
<file path=[Content_Types].xml><?xml version="1.0" encoding="utf-8"?>
<Types xmlns="http://schemas.openxmlformats.org/package/2006/content-types">
  <Default Extension="gif" ContentType="image/gi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2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drawings/drawing3.xml" ContentType="application/vnd.openxmlformats-officedocument.drawing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drawings/drawing4.xml" ContentType="application/vnd.openxmlformats-officedocument.drawing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drawings/drawing5.xml" ContentType="application/vnd.openxmlformats-officedocument.drawing+xml"/>
  <Override PartName="/xl/charts/chart93.xml" ContentType="application/vnd.openxmlformats-officedocument.drawingml.chart+xml"/>
  <Override PartName="/xl/drawings/drawing6.xml" ContentType="application/vnd.openxmlformats-officedocument.drawing+xml"/>
  <Override PartName="/xl/charts/chart94.xml" ContentType="application/vnd.openxmlformats-officedocument.drawingml.chart+xml"/>
  <Override PartName="/xl/drawings/drawing7.xml" ContentType="application/vnd.openxmlformats-officedocument.drawing+xml"/>
  <Override PartName="/xl/charts/chart95.xml" ContentType="application/vnd.openxmlformats-officedocument.drawingml.chart+xml"/>
  <Override PartName="/xl/comments1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drawings/drawing10.xml" ContentType="application/vnd.openxmlformats-officedocument.drawing+xml"/>
  <Override PartName="/xl/charts/chart122.xml" ContentType="application/vnd.openxmlformats-officedocument.drawingml.chart+xml"/>
  <Override PartName="/xl/drawings/drawing11.xml" ContentType="application/vnd.openxmlformats-officedocument.drawing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12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drawings/drawing13.xml" ContentType="application/vnd.openxmlformats-officedocument.drawing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drawings/drawing14.xml" ContentType="application/vnd.openxmlformats-officedocument.drawing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1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charts/chart277.xml" ContentType="application/vnd.openxmlformats-officedocument.drawingml.chart+xml"/>
  <Override PartName="/xl/drawings/drawing16.xml" ContentType="application/vnd.openxmlformats-officedocument.drawing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drawings/drawing17.xml" ContentType="application/vnd.openxmlformats-officedocument.drawing+xml"/>
  <Override PartName="/xl/charts/chart309.xml" ContentType="application/vnd.openxmlformats-officedocument.drawingml.chart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harts/chart319.xml" ContentType="application/vnd.openxmlformats-officedocument.drawingml.chart+xml"/>
  <Override PartName="/xl/charts/chart320.xml" ContentType="application/vnd.openxmlformats-officedocument.drawingml.chart+xml"/>
  <Override PartName="/xl/charts/chart321.xml" ContentType="application/vnd.openxmlformats-officedocument.drawingml.chart+xml"/>
  <Override PartName="/xl/charts/chart322.xml" ContentType="application/vnd.openxmlformats-officedocument.drawingml.chart+xml"/>
  <Override PartName="/xl/charts/chart323.xml" ContentType="application/vnd.openxmlformats-officedocument.drawingml.chart+xml"/>
  <Override PartName="/xl/charts/chart324.xml" ContentType="application/vnd.openxmlformats-officedocument.drawingml.chart+xml"/>
  <Override PartName="/xl/charts/chart325.xml" ContentType="application/vnd.openxmlformats-officedocument.drawingml.chart+xml"/>
  <Override PartName="/xl/charts/chart326.xml" ContentType="application/vnd.openxmlformats-officedocument.drawingml.chart+xml"/>
  <Override PartName="/xl/charts/chart327.xml" ContentType="application/vnd.openxmlformats-officedocument.drawingml.chart+xml"/>
  <Override PartName="/xl/charts/chart328.xml" ContentType="application/vnd.openxmlformats-officedocument.drawingml.chart+xml"/>
  <Override PartName="/xl/charts/chart329.xml" ContentType="application/vnd.openxmlformats-officedocument.drawingml.chart+xml"/>
  <Override PartName="/xl/charts/chart330.xml" ContentType="application/vnd.openxmlformats-officedocument.drawingml.chart+xml"/>
  <Override PartName="/xl/charts/chart331.xml" ContentType="application/vnd.openxmlformats-officedocument.drawingml.chart+xml"/>
  <Override PartName="/xl/charts/chart332.xml" ContentType="application/vnd.openxmlformats-officedocument.drawingml.chart+xml"/>
  <Override PartName="/xl/charts/chart333.xml" ContentType="application/vnd.openxmlformats-officedocument.drawingml.chart+xml"/>
  <Override PartName="/xl/charts/chart334.xml" ContentType="application/vnd.openxmlformats-officedocument.drawingml.chart+xml"/>
  <Override PartName="/xl/charts/chart335.xml" ContentType="application/vnd.openxmlformats-officedocument.drawingml.chart+xml"/>
  <Override PartName="/xl/charts/chart336.xml" ContentType="application/vnd.openxmlformats-officedocument.drawingml.chart+xml"/>
  <Override PartName="/xl/charts/chart337.xml" ContentType="application/vnd.openxmlformats-officedocument.drawingml.chart+xml"/>
  <Override PartName="/xl/charts/chart338.xml" ContentType="application/vnd.openxmlformats-officedocument.drawingml.chart+xml"/>
  <Override PartName="/xl/charts/chart339.xml" ContentType="application/vnd.openxmlformats-officedocument.drawingml.chart+xml"/>
  <Override PartName="/xl/drawings/drawing18.xml" ContentType="application/vnd.openxmlformats-officedocument.drawing+xml"/>
  <Override PartName="/xl/charts/chart340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625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jtbas\Downloads\"/>
    </mc:Choice>
  </mc:AlternateContent>
  <xr:revisionPtr revIDLastSave="577" documentId="11_B740B9B20C83B42942B36CF3A61E1C1123CE594C" xr6:coauthVersionLast="47" xr6:coauthVersionMax="47" xr10:uidLastSave="{1B102E42-AF1B-4533-A015-87CC4C44AA0B}"/>
  <bookViews>
    <workbookView xWindow="2820" yWindow="3105" windowWidth="24240" windowHeight="13740" tabRatio="808" firstSheet="12" xr2:uid="{00000000-000D-0000-FFFF-FFFF00000000}"/>
  </bookViews>
  <sheets>
    <sheet name="INDICE" sheetId="43" r:id="rId1"/>
    <sheet name="HABT" sheetId="75" r:id="rId2"/>
    <sheet name="VEICL" sheetId="74" r:id="rId3"/>
    <sheet name="GRAF_TOT" sheetId="56" r:id="rId4"/>
    <sheet name="MOR" sheetId="12" r:id="rId5"/>
    <sheet name="APPENDIX" sheetId="78" r:id="rId6"/>
    <sheet name="KMA.FROT" sheetId="44" r:id="rId7"/>
    <sheet name="KMA" sheetId="40" r:id="rId8"/>
    <sheet name="DEN" sheetId="15" r:id="rId9"/>
    <sheet name="COMB" sheetId="13" r:id="rId10"/>
    <sheet name="CORR_ALC" sheetId="45" r:id="rId11"/>
    <sheet name="FERRO_DSL" sheetId="53" r:id="rId12"/>
    <sheet name="CORR_DSL" sheetId="46" r:id="rId13"/>
    <sheet name="AGRO_DSL" sheetId="64" r:id="rId14"/>
    <sheet name="HIDRO_DSL" sheetId="65" r:id="rId15"/>
    <sheet name="CORR" sheetId="14" r:id="rId16"/>
    <sheet name="COMB_CORR" sheetId="29" r:id="rId17"/>
    <sheet name="ONSV_AUX_2013" sheetId="76" r:id="rId18"/>
    <sheet name="ONSV_2013" sheetId="77" r:id="rId19"/>
    <sheet name="LEV" sheetId="16" r:id="rId20"/>
    <sheet name="MOT" sheetId="19" r:id="rId21"/>
    <sheet name="CAM" sheetId="17" r:id="rId22"/>
    <sheet name="ONI" sheetId="18" r:id="rId23"/>
    <sheet name="FLEX" sheetId="20" r:id="rId24"/>
    <sheet name="GNV" sheetId="21" r:id="rId25"/>
    <sheet name="TAX" sheetId="27" r:id="rId26"/>
    <sheet name="FRO_TOT" sheetId="37" r:id="rId27"/>
    <sheet name="DIST_GAS_LEV" sheetId="26" r:id="rId28"/>
    <sheet name="DIST_GAS_MOT" sheetId="30" r:id="rId29"/>
    <sheet name="DIST_GAS_TOT" sheetId="31" r:id="rId30"/>
    <sheet name="DIST_DSL_CAM" sheetId="23" r:id="rId31"/>
    <sheet name="DIST_DSL_ONI" sheetId="22" r:id="rId32"/>
    <sheet name="DIST_DSL_LEV" sheetId="24" r:id="rId33"/>
    <sheet name="DIST_DSL_TOT" sheetId="25" r:id="rId34"/>
    <sheet name="DIST_ALC_LEV" sheetId="32" r:id="rId35"/>
    <sheet name="DIST_ALC_TOT" sheetId="33" r:id="rId36"/>
    <sheet name="DIST_TOT" sheetId="36" r:id="rId37"/>
    <sheet name="COMB_TOT" sheetId="38" r:id="rId38"/>
    <sheet name="TAX_TOT" sheetId="41" r:id="rId39"/>
    <sheet name="POP" sheetId="48" r:id="rId40"/>
    <sheet name="IDH" sheetId="49" r:id="rId41"/>
    <sheet name="PIB" sheetId="50" r:id="rId42"/>
    <sheet name="MOR_HAB" sheetId="51" r:id="rId43"/>
    <sheet name="IND_MOT" sheetId="66" r:id="rId44"/>
    <sheet name="MOR_VEIC" sheetId="52" r:id="rId45"/>
    <sheet name="RELAÇ_TUDO" sheetId="54" r:id="rId46"/>
    <sheet name="RELAÇ_ESTADOS" sheetId="67" r:id="rId47"/>
    <sheet name="Plan1" sheetId="72" r:id="rId48"/>
    <sheet name="TABELAO" sheetId="69" r:id="rId49"/>
    <sheet name="RANK" sheetId="68" r:id="rId50"/>
    <sheet name="GRAF_PED" sheetId="57" r:id="rId51"/>
    <sheet name="GRAF_CIC" sheetId="58" r:id="rId52"/>
    <sheet name="GRAF_MOT" sheetId="59" r:id="rId53"/>
    <sheet name="GRAF_VL" sheetId="60" r:id="rId54"/>
    <sheet name="GRAF_CAM" sheetId="61" r:id="rId55"/>
    <sheet name="GRAF_ONI" sheetId="62" r:id="rId56"/>
    <sheet name="GRAF_OUT" sheetId="63" r:id="rId57"/>
    <sheet name="COPIA_MORTES" sheetId="70" r:id="rId58"/>
    <sheet name="TRANSCAD" sheetId="71" r:id="rId59"/>
    <sheet name="FREQxRISCO" sheetId="73" r:id="rId60"/>
  </sheets>
  <definedNames>
    <definedName name="_xlnm._FilterDatabase" localSheetId="59" hidden="1">FREQxRISCO!$A$1:$AO$1</definedName>
    <definedName name="_xlnm._FilterDatabase" localSheetId="47" hidden="1">Plan1!$D$5:$F$5</definedName>
    <definedName name="_xlnm._FilterDatabase" localSheetId="46" hidden="1">RELAÇ_ESTADOS!$Y$2:$AF$29</definedName>
  </definedNames>
  <calcPr calcId="191028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Z4" i="12" l="1"/>
  <c r="AZ3" i="12"/>
  <c r="U5" i="46"/>
  <c r="Q3" i="46"/>
  <c r="BD5" i="12"/>
  <c r="BC5" i="12"/>
  <c r="BB5" i="12"/>
  <c r="BA5" i="12"/>
  <c r="AZ5" i="12"/>
  <c r="Q4" i="12"/>
  <c r="R4" i="12"/>
  <c r="AJ3" i="46"/>
  <c r="Z3" i="46"/>
  <c r="P3" i="46"/>
  <c r="L139" i="15"/>
  <c r="L135" i="15"/>
  <c r="L130" i="15"/>
  <c r="L120" i="15"/>
  <c r="L112" i="15"/>
  <c r="K139" i="15"/>
  <c r="K135" i="15"/>
  <c r="K130" i="15"/>
  <c r="K120" i="15"/>
  <c r="K112" i="15"/>
  <c r="J139" i="15"/>
  <c r="J135" i="15"/>
  <c r="J130" i="15"/>
  <c r="J120" i="15"/>
  <c r="J112" i="15"/>
  <c r="I139" i="15"/>
  <c r="I135" i="15"/>
  <c r="I130" i="15"/>
  <c r="I120" i="15"/>
  <c r="I112" i="15"/>
  <c r="H139" i="15"/>
  <c r="H135" i="15"/>
  <c r="H130" i="15"/>
  <c r="H120" i="15"/>
  <c r="H112" i="15"/>
  <c r="G139" i="15"/>
  <c r="G135" i="15"/>
  <c r="G130" i="15"/>
  <c r="G120" i="15"/>
  <c r="G112" i="15"/>
  <c r="F139" i="15"/>
  <c r="F135" i="15"/>
  <c r="F130" i="15"/>
  <c r="F120" i="15"/>
  <c r="F112" i="15"/>
  <c r="E139" i="15"/>
  <c r="E135" i="15"/>
  <c r="E130" i="15"/>
  <c r="E120" i="15"/>
  <c r="E112" i="15"/>
  <c r="D139" i="15"/>
  <c r="D135" i="15"/>
  <c r="D130" i="15"/>
  <c r="D120" i="15"/>
  <c r="D112" i="15"/>
  <c r="C139" i="15"/>
  <c r="C135" i="15"/>
  <c r="C130" i="15"/>
  <c r="C120" i="15"/>
  <c r="C112" i="15"/>
  <c r="L103" i="15"/>
  <c r="L99" i="15"/>
  <c r="L94" i="15"/>
  <c r="L84" i="15"/>
  <c r="L76" i="15"/>
  <c r="K103" i="15"/>
  <c r="K99" i="15"/>
  <c r="K94" i="15"/>
  <c r="K84" i="15"/>
  <c r="K76" i="15"/>
  <c r="J103" i="15"/>
  <c r="J99" i="15"/>
  <c r="J94" i="15"/>
  <c r="J84" i="15"/>
  <c r="J76" i="15"/>
  <c r="I103" i="15"/>
  <c r="I99" i="15"/>
  <c r="I94" i="15"/>
  <c r="I84" i="15"/>
  <c r="I76" i="15"/>
  <c r="H103" i="15"/>
  <c r="H99" i="15"/>
  <c r="H94" i="15"/>
  <c r="H84" i="15"/>
  <c r="H76" i="15"/>
  <c r="G103" i="15"/>
  <c r="G99" i="15"/>
  <c r="G94" i="15"/>
  <c r="G84" i="15"/>
  <c r="G76" i="15"/>
  <c r="F103" i="15"/>
  <c r="F99" i="15"/>
  <c r="F94" i="15"/>
  <c r="F84" i="15"/>
  <c r="F76" i="15"/>
  <c r="E103" i="15"/>
  <c r="E99" i="15"/>
  <c r="E94" i="15"/>
  <c r="E84" i="15"/>
  <c r="E76" i="15"/>
  <c r="D103" i="15"/>
  <c r="D99" i="15"/>
  <c r="D94" i="15"/>
  <c r="D84" i="15"/>
  <c r="D76" i="15"/>
  <c r="C103" i="15"/>
  <c r="C99" i="15"/>
  <c r="C94" i="15"/>
  <c r="C84" i="15"/>
  <c r="C76" i="15"/>
  <c r="L67" i="15"/>
  <c r="L63" i="15"/>
  <c r="L58" i="15"/>
  <c r="L48" i="15"/>
  <c r="L40" i="15"/>
  <c r="K67" i="15"/>
  <c r="K63" i="15"/>
  <c r="K58" i="15"/>
  <c r="K48" i="15"/>
  <c r="K40" i="15"/>
  <c r="J67" i="15"/>
  <c r="J63" i="15"/>
  <c r="J58" i="15"/>
  <c r="J48" i="15"/>
  <c r="J40" i="15"/>
  <c r="I67" i="15"/>
  <c r="I63" i="15"/>
  <c r="I58" i="15"/>
  <c r="I48" i="15"/>
  <c r="I40" i="15"/>
  <c r="H67" i="15"/>
  <c r="H63" i="15"/>
  <c r="H58" i="15"/>
  <c r="H48" i="15"/>
  <c r="H40" i="15"/>
  <c r="G67" i="15"/>
  <c r="G63" i="15"/>
  <c r="G58" i="15"/>
  <c r="G48" i="15"/>
  <c r="G40" i="15"/>
  <c r="F67" i="15"/>
  <c r="F63" i="15"/>
  <c r="F58" i="15"/>
  <c r="F48" i="15"/>
  <c r="F40" i="15"/>
  <c r="E67" i="15"/>
  <c r="E63" i="15"/>
  <c r="E58" i="15"/>
  <c r="E48" i="15"/>
  <c r="E40" i="15"/>
  <c r="D67" i="15"/>
  <c r="D63" i="15"/>
  <c r="D58" i="15"/>
  <c r="D48" i="15"/>
  <c r="D40" i="15"/>
  <c r="C67" i="15"/>
  <c r="C63" i="15"/>
  <c r="C58" i="15"/>
  <c r="C48" i="15"/>
  <c r="C40" i="15"/>
  <c r="B31" i="15"/>
  <c r="B27" i="15"/>
  <c r="B22" i="15"/>
  <c r="B29" i="15"/>
  <c r="B30" i="15"/>
  <c r="B32" i="15"/>
  <c r="B33" i="15"/>
  <c r="B34" i="15"/>
  <c r="B35" i="15"/>
  <c r="B28" i="15"/>
  <c r="B24" i="15"/>
  <c r="B25" i="15"/>
  <c r="B26" i="15"/>
  <c r="B23" i="15"/>
  <c r="B14" i="15"/>
  <c r="B15" i="15"/>
  <c r="B16" i="15"/>
  <c r="B17" i="15"/>
  <c r="B18" i="15"/>
  <c r="B19" i="15"/>
  <c r="B20" i="15"/>
  <c r="B21" i="15"/>
  <c r="B13" i="15"/>
  <c r="B6" i="15"/>
  <c r="B7" i="15"/>
  <c r="B8" i="15"/>
  <c r="B9" i="15"/>
  <c r="B10" i="15"/>
  <c r="B11" i="15"/>
  <c r="B5" i="15"/>
  <c r="J10" i="53"/>
  <c r="M2" i="53"/>
  <c r="J2" i="53"/>
  <c r="H28" i="53"/>
  <c r="Z6" i="45"/>
  <c r="Z7" i="45"/>
  <c r="Z8" i="45"/>
  <c r="Z9" i="45"/>
  <c r="Z10" i="45"/>
  <c r="Z11" i="45"/>
  <c r="Z13" i="45"/>
  <c r="Z14" i="45"/>
  <c r="Z15" i="45"/>
  <c r="Z16" i="45"/>
  <c r="Z17" i="45"/>
  <c r="Z18" i="45"/>
  <c r="Z19" i="45"/>
  <c r="Z20" i="45"/>
  <c r="Z21" i="45"/>
  <c r="Z23" i="45"/>
  <c r="Z24" i="45"/>
  <c r="Z25" i="45"/>
  <c r="Z26" i="45"/>
  <c r="Z28" i="45"/>
  <c r="Z29" i="45"/>
  <c r="Z30" i="45"/>
  <c r="Z32" i="45"/>
  <c r="Z33" i="45"/>
  <c r="Z34" i="45"/>
  <c r="Z35" i="45"/>
  <c r="Z5" i="45"/>
  <c r="W3" i="45"/>
  <c r="Z3" i="45"/>
  <c r="J5" i="29"/>
  <c r="F31" i="29"/>
  <c r="F29" i="29"/>
  <c r="F30" i="29"/>
  <c r="F32" i="29"/>
  <c r="F33" i="29"/>
  <c r="F34" i="29"/>
  <c r="F35" i="29"/>
  <c r="F28" i="29"/>
  <c r="F26" i="29"/>
  <c r="F24" i="29"/>
  <c r="F25" i="29"/>
  <c r="F23" i="29"/>
  <c r="F21" i="29"/>
  <c r="F14" i="29"/>
  <c r="F15" i="29"/>
  <c r="F16" i="29"/>
  <c r="F17" i="29"/>
  <c r="F18" i="29"/>
  <c r="F19" i="29"/>
  <c r="F20" i="29"/>
  <c r="F13" i="29"/>
  <c r="F11" i="29"/>
  <c r="F6" i="29"/>
  <c r="F7" i="29"/>
  <c r="F8" i="29"/>
  <c r="F9" i="29"/>
  <c r="F10" i="29"/>
  <c r="F5" i="29"/>
  <c r="E5" i="29"/>
  <c r="BN6" i="46"/>
  <c r="BN7" i="46"/>
  <c r="BN8" i="46"/>
  <c r="BN9" i="46"/>
  <c r="BN10" i="46"/>
  <c r="BN11" i="46"/>
  <c r="BN13" i="46"/>
  <c r="BN14" i="46"/>
  <c r="BN15" i="46"/>
  <c r="BN16" i="46"/>
  <c r="BN17" i="46"/>
  <c r="BN18" i="46"/>
  <c r="BN19" i="46"/>
  <c r="BN20" i="46"/>
  <c r="BN21" i="46"/>
  <c r="BN23" i="46"/>
  <c r="BN24" i="46"/>
  <c r="BN25" i="46"/>
  <c r="BN26" i="46"/>
  <c r="BN28" i="46"/>
  <c r="BN29" i="46"/>
  <c r="BN30" i="46"/>
  <c r="BN32" i="46"/>
  <c r="BN33" i="46"/>
  <c r="BN34" i="46"/>
  <c r="BN35" i="46"/>
  <c r="BN5" i="46"/>
  <c r="BM5" i="46"/>
  <c r="BD6" i="46"/>
  <c r="BD7" i="46"/>
  <c r="BD8" i="46"/>
  <c r="BD9" i="46"/>
  <c r="BD10" i="46"/>
  <c r="BD11" i="46"/>
  <c r="BD13" i="46"/>
  <c r="BD14" i="46"/>
  <c r="BD15" i="46"/>
  <c r="BD16" i="46"/>
  <c r="BD17" i="46"/>
  <c r="BD18" i="46"/>
  <c r="BD19" i="46"/>
  <c r="BD20" i="46"/>
  <c r="BD21" i="46"/>
  <c r="BD23" i="46"/>
  <c r="BD24" i="46"/>
  <c r="BD25" i="46"/>
  <c r="BD26" i="46"/>
  <c r="BD28" i="46"/>
  <c r="BD29" i="46"/>
  <c r="BD30" i="46"/>
  <c r="BD32" i="46"/>
  <c r="BD33" i="46"/>
  <c r="BD34" i="46"/>
  <c r="BD35" i="46"/>
  <c r="BD5" i="46"/>
  <c r="BC5" i="46"/>
  <c r="AT6" i="46"/>
  <c r="AT7" i="46"/>
  <c r="AT8" i="46"/>
  <c r="AT9" i="46"/>
  <c r="AT10" i="46"/>
  <c r="AT11" i="46"/>
  <c r="AT13" i="46"/>
  <c r="AT14" i="46"/>
  <c r="AT15" i="46"/>
  <c r="AT16" i="46"/>
  <c r="AT17" i="46"/>
  <c r="AT18" i="46"/>
  <c r="AT19" i="46"/>
  <c r="AT20" i="46"/>
  <c r="AT21" i="46"/>
  <c r="AT23" i="46"/>
  <c r="AT24" i="46"/>
  <c r="AT25" i="46"/>
  <c r="AT26" i="46"/>
  <c r="AT28" i="46"/>
  <c r="AT29" i="46"/>
  <c r="AT30" i="46"/>
  <c r="AT32" i="46"/>
  <c r="AT33" i="46"/>
  <c r="AT34" i="46"/>
  <c r="AT35" i="46"/>
  <c r="AT5" i="46"/>
  <c r="AS5" i="46"/>
  <c r="AJ6" i="46"/>
  <c r="AJ7" i="46"/>
  <c r="AJ8" i="46"/>
  <c r="AJ9" i="46"/>
  <c r="AJ10" i="46"/>
  <c r="AJ11" i="46"/>
  <c r="AJ13" i="46"/>
  <c r="AJ14" i="46"/>
  <c r="AJ15" i="46"/>
  <c r="AJ16" i="46"/>
  <c r="AJ17" i="46"/>
  <c r="AJ18" i="46"/>
  <c r="AJ19" i="46"/>
  <c r="AJ20" i="46"/>
  <c r="AJ21" i="46"/>
  <c r="AJ23" i="46"/>
  <c r="AJ24" i="46"/>
  <c r="AJ25" i="46"/>
  <c r="AJ26" i="46"/>
  <c r="AJ28" i="46"/>
  <c r="AJ29" i="46"/>
  <c r="AJ30" i="46"/>
  <c r="AJ32" i="46"/>
  <c r="AJ33" i="46"/>
  <c r="AJ34" i="46"/>
  <c r="AJ35" i="46"/>
  <c r="AJ5" i="46"/>
  <c r="AI5" i="46"/>
  <c r="Z6" i="46"/>
  <c r="Z7" i="46"/>
  <c r="Z8" i="46"/>
  <c r="Z9" i="46"/>
  <c r="Z10" i="46"/>
  <c r="Z11" i="46"/>
  <c r="Z13" i="46"/>
  <c r="Z14" i="46"/>
  <c r="Z15" i="46"/>
  <c r="Z16" i="46"/>
  <c r="Z17" i="46"/>
  <c r="Z18" i="46"/>
  <c r="Z19" i="46"/>
  <c r="Z20" i="46"/>
  <c r="Z21" i="46"/>
  <c r="Z23" i="46"/>
  <c r="Z24" i="46"/>
  <c r="Z25" i="46"/>
  <c r="Z26" i="46"/>
  <c r="Z28" i="46"/>
  <c r="Z29" i="46"/>
  <c r="Z30" i="46"/>
  <c r="Z32" i="46"/>
  <c r="Z33" i="46"/>
  <c r="Z34" i="46"/>
  <c r="Z35" i="46"/>
  <c r="Z5" i="46"/>
  <c r="Y5" i="46"/>
  <c r="P13" i="46"/>
  <c r="P14" i="46"/>
  <c r="P15" i="46"/>
  <c r="P16" i="46"/>
  <c r="P17" i="46"/>
  <c r="P18" i="46"/>
  <c r="P19" i="46"/>
  <c r="P20" i="46"/>
  <c r="P21" i="46"/>
  <c r="P23" i="46"/>
  <c r="P24" i="46"/>
  <c r="P25" i="46"/>
  <c r="P26" i="46"/>
  <c r="P28" i="46"/>
  <c r="P29" i="46"/>
  <c r="P30" i="46"/>
  <c r="P32" i="46"/>
  <c r="P33" i="46"/>
  <c r="P34" i="46"/>
  <c r="P35" i="46"/>
  <c r="P6" i="46"/>
  <c r="P7" i="46"/>
  <c r="P8" i="46"/>
  <c r="P9" i="46"/>
  <c r="P10" i="46"/>
  <c r="P11" i="46"/>
  <c r="P5" i="46"/>
  <c r="B5" i="13"/>
  <c r="B6" i="13"/>
  <c r="B7" i="13"/>
  <c r="B8" i="13"/>
  <c r="B9" i="13"/>
  <c r="B10" i="13"/>
  <c r="B11" i="13"/>
  <c r="B13" i="13"/>
  <c r="B14" i="13"/>
  <c r="B15" i="13"/>
  <c r="B16" i="13"/>
  <c r="B17" i="13"/>
  <c r="B18" i="13"/>
  <c r="B19" i="13"/>
  <c r="B20" i="13"/>
  <c r="B21" i="13"/>
  <c r="B23" i="13"/>
  <c r="B24" i="13"/>
  <c r="B25" i="13"/>
  <c r="B26" i="13"/>
  <c r="B28" i="13"/>
  <c r="B29" i="13"/>
  <c r="B30" i="13"/>
  <c r="B32" i="13"/>
  <c r="B33" i="13"/>
  <c r="B34" i="13"/>
  <c r="B35" i="13"/>
  <c r="BN3" i="46"/>
  <c r="BM3" i="46"/>
  <c r="BD3" i="46"/>
  <c r="BC3" i="46"/>
  <c r="AT3" i="46"/>
  <c r="AS3" i="46"/>
  <c r="AI3" i="46"/>
  <c r="Y3" i="46"/>
  <c r="M3" i="46"/>
  <c r="O3" i="46"/>
  <c r="O5" i="46" s="1"/>
  <c r="I3" i="65"/>
  <c r="H3" i="65"/>
  <c r="I9" i="64"/>
  <c r="G7" i="64"/>
  <c r="F18" i="53"/>
  <c r="F15" i="45"/>
  <c r="K4" i="13"/>
  <c r="K12" i="13"/>
  <c r="K22" i="13"/>
  <c r="K27" i="13"/>
  <c r="K31" i="13"/>
  <c r="K3" i="13"/>
  <c r="F3" i="45"/>
  <c r="K15" i="45"/>
  <c r="B175" i="15"/>
  <c r="B171" i="15"/>
  <c r="B166" i="15"/>
  <c r="B156" i="15"/>
  <c r="B148" i="15"/>
  <c r="B147" i="15"/>
  <c r="AY27" i="12"/>
  <c r="AY31" i="12"/>
  <c r="AT27" i="12"/>
  <c r="AJ12" i="12"/>
  <c r="U4" i="12"/>
  <c r="U12" i="12"/>
  <c r="U22" i="12"/>
  <c r="U27" i="12"/>
  <c r="U31" i="12"/>
  <c r="U3" i="12"/>
  <c r="P27" i="12"/>
  <c r="P31" i="12"/>
  <c r="F31" i="12"/>
  <c r="V5" i="78"/>
  <c r="W5" i="78"/>
  <c r="X5" i="78"/>
  <c r="V6" i="78"/>
  <c r="W6" i="78"/>
  <c r="X6" i="78"/>
  <c r="V7" i="78"/>
  <c r="W7" i="78"/>
  <c r="X7" i="78"/>
  <c r="V8" i="78"/>
  <c r="W8" i="78"/>
  <c r="X8" i="78"/>
  <c r="V9" i="78"/>
  <c r="W9" i="78"/>
  <c r="X9" i="78"/>
  <c r="V10" i="78"/>
  <c r="W10" i="78"/>
  <c r="X10" i="78"/>
  <c r="V11" i="78"/>
  <c r="W11" i="78"/>
  <c r="X11" i="78"/>
  <c r="V12" i="78"/>
  <c r="W12" i="78"/>
  <c r="X12" i="78"/>
  <c r="V13" i="78"/>
  <c r="W13" i="78"/>
  <c r="X13" i="78"/>
  <c r="V14" i="78"/>
  <c r="W14" i="78"/>
  <c r="X14" i="78"/>
  <c r="V15" i="78"/>
  <c r="W15" i="78"/>
  <c r="X15" i="78"/>
  <c r="V16" i="78"/>
  <c r="W16" i="78"/>
  <c r="X16" i="78"/>
  <c r="V17" i="78"/>
  <c r="W17" i="78"/>
  <c r="X17" i="78"/>
  <c r="V18" i="78"/>
  <c r="W18" i="78"/>
  <c r="X18" i="78"/>
  <c r="V19" i="78"/>
  <c r="W19" i="78"/>
  <c r="X19" i="78"/>
  <c r="V20" i="78"/>
  <c r="W20" i="78"/>
  <c r="X20" i="78"/>
  <c r="V21" i="78"/>
  <c r="W21" i="78"/>
  <c r="X21" i="78"/>
  <c r="V22" i="78"/>
  <c r="W22" i="78"/>
  <c r="X22" i="78"/>
  <c r="V23" i="78"/>
  <c r="W23" i="78"/>
  <c r="X23" i="78"/>
  <c r="V24" i="78"/>
  <c r="W24" i="78"/>
  <c r="X24" i="78"/>
  <c r="V25" i="78"/>
  <c r="W25" i="78"/>
  <c r="X25" i="78"/>
  <c r="V26" i="78"/>
  <c r="W26" i="78"/>
  <c r="X26" i="78"/>
  <c r="V27" i="78"/>
  <c r="W27" i="78"/>
  <c r="X27" i="78"/>
  <c r="V28" i="78"/>
  <c r="W28" i="78"/>
  <c r="X28" i="78"/>
  <c r="V29" i="78"/>
  <c r="W29" i="78"/>
  <c r="X29" i="78"/>
  <c r="V30" i="78"/>
  <c r="W30" i="78"/>
  <c r="X30" i="78"/>
  <c r="V31" i="78"/>
  <c r="W31" i="78"/>
  <c r="X31" i="78"/>
  <c r="V32" i="78"/>
  <c r="W32" i="78"/>
  <c r="X32" i="78"/>
  <c r="U6" i="78"/>
  <c r="U7" i="78"/>
  <c r="U8" i="78"/>
  <c r="U9" i="78"/>
  <c r="U10" i="78"/>
  <c r="U11" i="78"/>
  <c r="U12" i="78"/>
  <c r="U13" i="78"/>
  <c r="U14" i="78"/>
  <c r="U15" i="78"/>
  <c r="U16" i="78"/>
  <c r="U17" i="78"/>
  <c r="U18" i="78"/>
  <c r="U19" i="78"/>
  <c r="U20" i="78"/>
  <c r="U21" i="78"/>
  <c r="U22" i="78"/>
  <c r="U23" i="78"/>
  <c r="U24" i="78"/>
  <c r="U25" i="78"/>
  <c r="U26" i="78"/>
  <c r="U27" i="78"/>
  <c r="U28" i="78"/>
  <c r="U29" i="78"/>
  <c r="U30" i="78"/>
  <c r="U31" i="78"/>
  <c r="U32" i="78"/>
  <c r="U5" i="78"/>
  <c r="D55" i="26"/>
  <c r="Y16" i="76"/>
  <c r="AC13" i="76"/>
  <c r="AC14" i="76"/>
  <c r="AC15" i="76"/>
  <c r="AC16" i="76"/>
  <c r="AC17" i="76"/>
  <c r="AC22" i="76"/>
  <c r="AC23" i="76"/>
  <c r="AC24" i="76"/>
  <c r="AC25" i="76"/>
  <c r="AC26" i="76"/>
  <c r="AC27" i="76"/>
  <c r="AC28" i="76"/>
  <c r="AC29" i="76"/>
  <c r="AC30" i="76"/>
  <c r="AC31" i="76"/>
  <c r="AC32" i="76"/>
  <c r="AE17" i="76"/>
  <c r="Y42" i="76"/>
  <c r="Y67" i="76"/>
  <c r="Y41" i="76"/>
  <c r="Y68" i="76"/>
  <c r="Y60" i="76"/>
  <c r="F5" i="16"/>
  <c r="F22" i="16"/>
  <c r="F117" i="16"/>
  <c r="F129" i="16"/>
  <c r="F148" i="16"/>
  <c r="F38" i="16"/>
  <c r="F118" i="16"/>
  <c r="F138" i="16"/>
  <c r="F149" i="16"/>
  <c r="F150" i="16"/>
  <c r="G148" i="16"/>
  <c r="D5" i="16"/>
  <c r="D22" i="16"/>
  <c r="D117" i="16"/>
  <c r="D129" i="16"/>
  <c r="D148" i="16"/>
  <c r="D38" i="16"/>
  <c r="D118" i="16"/>
  <c r="D138" i="16"/>
  <c r="D149" i="16"/>
  <c r="D150" i="16"/>
  <c r="E148" i="16"/>
  <c r="B22" i="16"/>
  <c r="B117" i="16"/>
  <c r="B129" i="16"/>
  <c r="B148" i="16"/>
  <c r="B38" i="16"/>
  <c r="B118" i="16"/>
  <c r="B138" i="16"/>
  <c r="B149" i="16"/>
  <c r="B150" i="16"/>
  <c r="C148" i="16"/>
  <c r="Y47" i="76"/>
  <c r="Y14" i="76"/>
  <c r="Y61" i="76"/>
  <c r="F52" i="16"/>
  <c r="F119" i="16"/>
  <c r="F130" i="16"/>
  <c r="F155" i="16"/>
  <c r="F62" i="16"/>
  <c r="F120" i="16"/>
  <c r="F139" i="16"/>
  <c r="F156" i="16"/>
  <c r="F157" i="16"/>
  <c r="G155" i="16"/>
  <c r="D52" i="16"/>
  <c r="D119" i="16"/>
  <c r="D130" i="16"/>
  <c r="D155" i="16"/>
  <c r="D62" i="16"/>
  <c r="D120" i="16"/>
  <c r="D139" i="16"/>
  <c r="D156" i="16"/>
  <c r="D157" i="16"/>
  <c r="E155" i="16"/>
  <c r="B52" i="16"/>
  <c r="B119" i="16"/>
  <c r="B130" i="16"/>
  <c r="B155" i="16"/>
  <c r="B62" i="16"/>
  <c r="B120" i="16"/>
  <c r="B139" i="16"/>
  <c r="B156" i="16"/>
  <c r="B157" i="16"/>
  <c r="C155" i="16"/>
  <c r="Y48" i="76"/>
  <c r="Y13" i="76"/>
  <c r="Y62" i="76"/>
  <c r="F76" i="16"/>
  <c r="F121" i="16"/>
  <c r="F131" i="16"/>
  <c r="F162" i="16"/>
  <c r="F88" i="16"/>
  <c r="F122" i="16"/>
  <c r="F140" i="16"/>
  <c r="F163" i="16"/>
  <c r="F164" i="16"/>
  <c r="G162" i="16"/>
  <c r="D76" i="16"/>
  <c r="D121" i="16"/>
  <c r="D131" i="16"/>
  <c r="D162" i="16"/>
  <c r="D88" i="16"/>
  <c r="D122" i="16"/>
  <c r="D140" i="16"/>
  <c r="D163" i="16"/>
  <c r="D164" i="16"/>
  <c r="E162" i="16"/>
  <c r="B76" i="16"/>
  <c r="B121" i="16"/>
  <c r="B131" i="16"/>
  <c r="B162" i="16"/>
  <c r="B88" i="16"/>
  <c r="B122" i="16"/>
  <c r="B140" i="16"/>
  <c r="B163" i="16"/>
  <c r="B164" i="16"/>
  <c r="C162" i="16"/>
  <c r="Y49" i="76"/>
  <c r="Y15" i="76"/>
  <c r="Y43" i="76"/>
  <c r="Y77" i="76"/>
  <c r="Y40" i="76"/>
  <c r="Y79" i="76"/>
  <c r="Y36" i="76"/>
  <c r="Y37" i="76"/>
  <c r="Y86" i="76"/>
  <c r="Y63" i="76"/>
  <c r="F99" i="16"/>
  <c r="F123" i="16"/>
  <c r="F132" i="16"/>
  <c r="F169" i="16"/>
  <c r="F112" i="16"/>
  <c r="F113" i="16"/>
  <c r="F124" i="16"/>
  <c r="F141" i="16"/>
  <c r="F170" i="16"/>
  <c r="F171" i="16"/>
  <c r="G169" i="16"/>
  <c r="D99" i="16"/>
  <c r="D123" i="16"/>
  <c r="D132" i="16"/>
  <c r="D169" i="16"/>
  <c r="D112" i="16"/>
  <c r="D113" i="16"/>
  <c r="D124" i="16"/>
  <c r="D141" i="16"/>
  <c r="D170" i="16"/>
  <c r="D171" i="16"/>
  <c r="E169" i="16"/>
  <c r="B99" i="16"/>
  <c r="B123" i="16"/>
  <c r="B132" i="16"/>
  <c r="B169" i="16"/>
  <c r="B113" i="16"/>
  <c r="B124" i="16"/>
  <c r="B141" i="16"/>
  <c r="B170" i="16"/>
  <c r="B171" i="16"/>
  <c r="C169" i="16"/>
  <c r="Y50" i="76"/>
  <c r="Y95" i="76"/>
  <c r="B29" i="77"/>
  <c r="F38" i="26"/>
  <c r="G38" i="26"/>
  <c r="Y96" i="76"/>
  <c r="C29" i="77"/>
  <c r="C30" i="13"/>
  <c r="C30" i="29"/>
  <c r="F39" i="30"/>
  <c r="F10" i="30"/>
  <c r="C7" i="27"/>
  <c r="F11" i="30"/>
  <c r="AB39" i="30"/>
  <c r="C15" i="19"/>
  <c r="D12" i="19"/>
  <c r="E15" i="19"/>
  <c r="F12" i="19"/>
  <c r="G15" i="19"/>
  <c r="H12" i="19"/>
  <c r="Y71" i="76"/>
  <c r="D13" i="19"/>
  <c r="F13" i="19"/>
  <c r="H13" i="19"/>
  <c r="Y72" i="76"/>
  <c r="D14" i="19"/>
  <c r="F14" i="19"/>
  <c r="H14" i="19"/>
  <c r="Y73" i="76"/>
  <c r="Y111" i="76"/>
  <c r="P29" i="77"/>
  <c r="G39" i="30"/>
  <c r="G10" i="30"/>
  <c r="C8" i="27"/>
  <c r="G11" i="30"/>
  <c r="AC39" i="30"/>
  <c r="Y112" i="76"/>
  <c r="Q29" i="77"/>
  <c r="H39" i="30"/>
  <c r="H10" i="30"/>
  <c r="C9" i="27"/>
  <c r="H11" i="30"/>
  <c r="AD39" i="30"/>
  <c r="Y113" i="76"/>
  <c r="R29" i="77"/>
  <c r="I39" i="30"/>
  <c r="I10" i="30"/>
  <c r="C10" i="27"/>
  <c r="I11" i="30"/>
  <c r="AE39" i="30"/>
  <c r="H30" i="13"/>
  <c r="C30" i="45"/>
  <c r="H5" i="13"/>
  <c r="H6" i="13"/>
  <c r="H7" i="13"/>
  <c r="H8" i="13"/>
  <c r="H9" i="13"/>
  <c r="H10" i="13"/>
  <c r="H11" i="13"/>
  <c r="H4" i="13"/>
  <c r="H13" i="13"/>
  <c r="H14" i="13"/>
  <c r="H15" i="13"/>
  <c r="H16" i="13"/>
  <c r="H17" i="13"/>
  <c r="H18" i="13"/>
  <c r="H19" i="13"/>
  <c r="H20" i="13"/>
  <c r="H21" i="13"/>
  <c r="H12" i="13"/>
  <c r="H23" i="13"/>
  <c r="H24" i="13"/>
  <c r="H25" i="13"/>
  <c r="H26" i="13"/>
  <c r="H22" i="13"/>
  <c r="H28" i="13"/>
  <c r="H29" i="13"/>
  <c r="H27" i="13"/>
  <c r="H32" i="13"/>
  <c r="H33" i="13"/>
  <c r="H34" i="13"/>
  <c r="H35" i="13"/>
  <c r="H31" i="13"/>
  <c r="H3" i="13"/>
  <c r="C3" i="45"/>
  <c r="H30" i="45"/>
  <c r="M30" i="45"/>
  <c r="H29" i="14"/>
  <c r="W30" i="45"/>
  <c r="M29" i="14"/>
  <c r="H30" i="29"/>
  <c r="H38" i="26"/>
  <c r="I38" i="26"/>
  <c r="C5" i="27"/>
  <c r="D57" i="26"/>
  <c r="D85" i="26"/>
  <c r="Z85" i="26"/>
  <c r="I31" i="31"/>
  <c r="E55" i="26"/>
  <c r="G149" i="16"/>
  <c r="E149" i="16"/>
  <c r="C149" i="16"/>
  <c r="Y52" i="76"/>
  <c r="G156" i="16"/>
  <c r="E156" i="16"/>
  <c r="C156" i="16"/>
  <c r="Y53" i="76"/>
  <c r="G163" i="16"/>
  <c r="E163" i="16"/>
  <c r="C163" i="16"/>
  <c r="Y54" i="76"/>
  <c r="G170" i="16"/>
  <c r="E170" i="16"/>
  <c r="C170" i="16"/>
  <c r="Y55" i="76"/>
  <c r="Y101" i="76"/>
  <c r="H29" i="77"/>
  <c r="AA38" i="26"/>
  <c r="Y102" i="76"/>
  <c r="I29" i="77"/>
  <c r="AB38" i="26"/>
  <c r="AC38" i="26"/>
  <c r="C6" i="27"/>
  <c r="E57" i="26"/>
  <c r="E85" i="26"/>
  <c r="AA85" i="26"/>
  <c r="J31" i="31"/>
  <c r="AX39" i="30"/>
  <c r="K31" i="31"/>
  <c r="AY39" i="30"/>
  <c r="L31" i="31"/>
  <c r="AZ39" i="30"/>
  <c r="M31" i="31"/>
  <c r="BA39" i="30"/>
  <c r="N31" i="31"/>
  <c r="O31" i="31"/>
  <c r="AT31" i="31"/>
  <c r="B70" i="36"/>
  <c r="B70" i="38"/>
  <c r="B70" i="41"/>
  <c r="B70" i="37"/>
  <c r="B70" i="40"/>
  <c r="B70" i="44"/>
  <c r="AU31" i="31"/>
  <c r="C70" i="36"/>
  <c r="C70" i="38"/>
  <c r="C70" i="41"/>
  <c r="C70" i="37"/>
  <c r="C70" i="40"/>
  <c r="C70" i="44"/>
  <c r="D55" i="32"/>
  <c r="Y97" i="76"/>
  <c r="D29" i="77"/>
  <c r="E38" i="32"/>
  <c r="F38" i="32"/>
  <c r="G38" i="32"/>
  <c r="C12" i="27"/>
  <c r="D57" i="32"/>
  <c r="D85" i="32"/>
  <c r="U85" i="32"/>
  <c r="E31" i="33"/>
  <c r="E55" i="32"/>
  <c r="Y103" i="76"/>
  <c r="J29" i="77"/>
  <c r="V38" i="32"/>
  <c r="W38" i="32"/>
  <c r="X38" i="32"/>
  <c r="C13" i="27"/>
  <c r="E57" i="32"/>
  <c r="E85" i="32"/>
  <c r="V85" i="32"/>
  <c r="F31" i="33"/>
  <c r="G31" i="33"/>
  <c r="V31" i="33"/>
  <c r="H70" i="36"/>
  <c r="H70" i="38"/>
  <c r="H70" i="41"/>
  <c r="H70" i="37"/>
  <c r="H70" i="40"/>
  <c r="H70" i="44"/>
  <c r="W31" i="33"/>
  <c r="I70" i="36"/>
  <c r="I70" i="38"/>
  <c r="I70" i="41"/>
  <c r="I70" i="37"/>
  <c r="I70" i="40"/>
  <c r="I70" i="44"/>
  <c r="E9" i="24"/>
  <c r="Y98" i="76"/>
  <c r="E29" i="77"/>
  <c r="E38" i="24"/>
  <c r="C15" i="27"/>
  <c r="E10" i="24"/>
  <c r="V38" i="24"/>
  <c r="M30" i="13"/>
  <c r="C30" i="46"/>
  <c r="M5" i="13"/>
  <c r="M6" i="13"/>
  <c r="M7" i="13"/>
  <c r="M8" i="13"/>
  <c r="M9" i="13"/>
  <c r="M10" i="13"/>
  <c r="M11" i="13"/>
  <c r="M4" i="13"/>
  <c r="M13" i="13"/>
  <c r="M14" i="13"/>
  <c r="M15" i="13"/>
  <c r="M16" i="13"/>
  <c r="M17" i="13"/>
  <c r="M18" i="13"/>
  <c r="M19" i="13"/>
  <c r="M20" i="13"/>
  <c r="M21" i="13"/>
  <c r="M12" i="13"/>
  <c r="M23" i="13"/>
  <c r="M24" i="13"/>
  <c r="M25" i="13"/>
  <c r="M26" i="13"/>
  <c r="M22" i="13"/>
  <c r="M28" i="13"/>
  <c r="M29" i="13"/>
  <c r="M27" i="13"/>
  <c r="M32" i="13"/>
  <c r="M33" i="13"/>
  <c r="M34" i="13"/>
  <c r="M35" i="13"/>
  <c r="M31" i="13"/>
  <c r="M3" i="13"/>
  <c r="C3" i="46"/>
  <c r="H30" i="46"/>
  <c r="R3" i="46"/>
  <c r="M30" i="46"/>
  <c r="R29" i="14"/>
  <c r="W3" i="46"/>
  <c r="AB3" i="46"/>
  <c r="W30" i="46"/>
  <c r="W29" i="14"/>
  <c r="AG3" i="46"/>
  <c r="AM3" i="46"/>
  <c r="AL3" i="46"/>
  <c r="AG30" i="46"/>
  <c r="AB29" i="14"/>
  <c r="AQ3" i="46"/>
  <c r="AV3" i="46"/>
  <c r="AQ30" i="46"/>
  <c r="AG29" i="14"/>
  <c r="BA3" i="46"/>
  <c r="BF3" i="46"/>
  <c r="BA30" i="46"/>
  <c r="AL29" i="14"/>
  <c r="BK3" i="46"/>
  <c r="BP3" i="46"/>
  <c r="BK30" i="46"/>
  <c r="AQ29" i="14"/>
  <c r="B5" i="64"/>
  <c r="B13" i="64"/>
  <c r="B23" i="64"/>
  <c r="B28" i="64"/>
  <c r="B32" i="64"/>
  <c r="B4" i="64"/>
  <c r="C31" i="64"/>
  <c r="F31" i="64"/>
  <c r="AV29" i="14"/>
  <c r="L15" i="53"/>
  <c r="Q2" i="53"/>
  <c r="D15" i="53"/>
  <c r="D10" i="53"/>
  <c r="D12" i="53"/>
  <c r="D18" i="53"/>
  <c r="D19" i="53"/>
  <c r="D21" i="53"/>
  <c r="D23" i="53"/>
  <c r="D24" i="53"/>
  <c r="D25" i="53"/>
  <c r="D26" i="53"/>
  <c r="D28" i="53"/>
  <c r="E15" i="53"/>
  <c r="G15" i="53"/>
  <c r="Q15" i="53"/>
  <c r="BA29" i="14"/>
  <c r="B5" i="65"/>
  <c r="B13" i="65"/>
  <c r="B23" i="65"/>
  <c r="B28" i="65"/>
  <c r="B32" i="65"/>
  <c r="B4" i="65"/>
  <c r="C31" i="65"/>
  <c r="L3" i="65"/>
  <c r="F3" i="65"/>
  <c r="F31" i="65"/>
  <c r="BF29" i="14"/>
  <c r="M30" i="29"/>
  <c r="AM38" i="24"/>
  <c r="Q31" i="25"/>
  <c r="E15" i="23"/>
  <c r="C16" i="17"/>
  <c r="C23" i="17"/>
  <c r="C17" i="17"/>
  <c r="C24" i="17"/>
  <c r="C25" i="17"/>
  <c r="D23" i="17"/>
  <c r="E16" i="17"/>
  <c r="E23" i="17"/>
  <c r="E17" i="17"/>
  <c r="E24" i="17"/>
  <c r="E25" i="17"/>
  <c r="F23" i="17"/>
  <c r="G16" i="17"/>
  <c r="G23" i="17"/>
  <c r="G17" i="17"/>
  <c r="G24" i="17"/>
  <c r="G25" i="17"/>
  <c r="H23" i="17"/>
  <c r="Y88" i="76"/>
  <c r="D24" i="17"/>
  <c r="F24" i="17"/>
  <c r="H24" i="17"/>
  <c r="Y89" i="76"/>
  <c r="Y126" i="76"/>
  <c r="AA29" i="77"/>
  <c r="E45" i="23"/>
  <c r="M16" i="17"/>
  <c r="C17" i="27"/>
  <c r="E17" i="23"/>
  <c r="V45" i="23"/>
  <c r="AM45" i="23"/>
  <c r="K31" i="25"/>
  <c r="C15" i="23"/>
  <c r="F15" i="23"/>
  <c r="Y127" i="76"/>
  <c r="AB29" i="77"/>
  <c r="F45" i="23"/>
  <c r="M17" i="17"/>
  <c r="C18" i="27"/>
  <c r="F17" i="23"/>
  <c r="W45" i="23"/>
  <c r="AN45" i="23"/>
  <c r="L31" i="25"/>
  <c r="G15" i="23"/>
  <c r="G45" i="23"/>
  <c r="C18" i="17"/>
  <c r="M18" i="17"/>
  <c r="C19" i="27"/>
  <c r="G17" i="23"/>
  <c r="X45" i="23"/>
  <c r="AO45" i="23"/>
  <c r="M31" i="25"/>
  <c r="E15" i="22"/>
  <c r="E45" i="22"/>
  <c r="M18" i="18"/>
  <c r="C20" i="27"/>
  <c r="E17" i="22"/>
  <c r="V45" i="22"/>
  <c r="AM45" i="22"/>
  <c r="N31" i="25"/>
  <c r="F15" i="22"/>
  <c r="C20" i="18"/>
  <c r="C26" i="18"/>
  <c r="C19" i="18"/>
  <c r="C25" i="18"/>
  <c r="C27" i="18"/>
  <c r="D26" i="18"/>
  <c r="E20" i="18"/>
  <c r="E26" i="18"/>
  <c r="E19" i="18"/>
  <c r="E25" i="18"/>
  <c r="E27" i="18"/>
  <c r="F26" i="18"/>
  <c r="G20" i="18"/>
  <c r="G26" i="18"/>
  <c r="G19" i="18"/>
  <c r="G25" i="18"/>
  <c r="G27" i="18"/>
  <c r="H26" i="18"/>
  <c r="Y82" i="76"/>
  <c r="D25" i="18"/>
  <c r="F25" i="18"/>
  <c r="H25" i="18"/>
  <c r="Y81" i="76"/>
  <c r="Y119" i="76"/>
  <c r="V29" i="77"/>
  <c r="F45" i="22"/>
  <c r="M19" i="18"/>
  <c r="C21" i="27"/>
  <c r="F17" i="22"/>
  <c r="W45" i="22"/>
  <c r="AN45" i="22"/>
  <c r="O31" i="25"/>
  <c r="G15" i="22"/>
  <c r="Y118" i="76"/>
  <c r="U29" i="77"/>
  <c r="G45" i="22"/>
  <c r="M20" i="18"/>
  <c r="C22" i="27"/>
  <c r="G17" i="22"/>
  <c r="X45" i="22"/>
  <c r="AO45" i="22"/>
  <c r="P31" i="25"/>
  <c r="F9" i="24"/>
  <c r="Y104" i="76"/>
  <c r="K29" i="77"/>
  <c r="F38" i="24"/>
  <c r="C16" i="27"/>
  <c r="F10" i="24"/>
  <c r="W38" i="24"/>
  <c r="AN38" i="24"/>
  <c r="R31" i="25"/>
  <c r="S31" i="25"/>
  <c r="BL31" i="25"/>
  <c r="P70" i="36"/>
  <c r="BK29" i="14"/>
  <c r="P70" i="38"/>
  <c r="P70" i="41"/>
  <c r="P70" i="37"/>
  <c r="P70" i="40"/>
  <c r="P70" i="44"/>
  <c r="BM31" i="25"/>
  <c r="Q70" i="36"/>
  <c r="Q70" i="38"/>
  <c r="Q70" i="41"/>
  <c r="Q70" i="37"/>
  <c r="Q70" i="40"/>
  <c r="Q70" i="44"/>
  <c r="R32" i="36"/>
  <c r="R70" i="36"/>
  <c r="R30" i="29"/>
  <c r="R70" i="38"/>
  <c r="R70" i="41"/>
  <c r="R70" i="37"/>
  <c r="R70" i="40"/>
  <c r="R70" i="44"/>
  <c r="AB70" i="44"/>
  <c r="F55" i="26"/>
  <c r="J38" i="26"/>
  <c r="I4" i="21"/>
  <c r="H31" i="21"/>
  <c r="H6" i="21"/>
  <c r="H7" i="21"/>
  <c r="H8" i="21"/>
  <c r="H9" i="21"/>
  <c r="H10" i="21"/>
  <c r="H11" i="21"/>
  <c r="H12" i="21"/>
  <c r="H14" i="21"/>
  <c r="H15" i="21"/>
  <c r="H16" i="21"/>
  <c r="H17" i="21"/>
  <c r="H18" i="21"/>
  <c r="H19" i="21"/>
  <c r="H20" i="21"/>
  <c r="H21" i="21"/>
  <c r="H22" i="21"/>
  <c r="H24" i="21"/>
  <c r="H25" i="21"/>
  <c r="H26" i="21"/>
  <c r="H27" i="21"/>
  <c r="H29" i="21"/>
  <c r="H30" i="21"/>
  <c r="H33" i="21"/>
  <c r="H34" i="21"/>
  <c r="H35" i="21"/>
  <c r="H36" i="21"/>
  <c r="I31" i="21"/>
  <c r="D31" i="21"/>
  <c r="K38" i="26"/>
  <c r="D30" i="29"/>
  <c r="J39" i="30"/>
  <c r="J10" i="30"/>
  <c r="D7" i="27"/>
  <c r="J11" i="30"/>
  <c r="AF39" i="30"/>
  <c r="K39" i="30"/>
  <c r="K10" i="30"/>
  <c r="D8" i="27"/>
  <c r="K11" i="30"/>
  <c r="AG39" i="30"/>
  <c r="L39" i="30"/>
  <c r="L10" i="30"/>
  <c r="D9" i="27"/>
  <c r="L11" i="30"/>
  <c r="AH39" i="30"/>
  <c r="M39" i="30"/>
  <c r="M10" i="30"/>
  <c r="D10" i="27"/>
  <c r="M11" i="30"/>
  <c r="AI39" i="30"/>
  <c r="D30" i="45"/>
  <c r="I4" i="13"/>
  <c r="I12" i="13"/>
  <c r="I22" i="13"/>
  <c r="I27" i="13"/>
  <c r="I31" i="13"/>
  <c r="I3" i="13"/>
  <c r="D3" i="45"/>
  <c r="I30" i="45"/>
  <c r="N30" i="45"/>
  <c r="I29" i="14"/>
  <c r="X3" i="45"/>
  <c r="X30" i="45"/>
  <c r="N29" i="14"/>
  <c r="I30" i="29"/>
  <c r="L38" i="26"/>
  <c r="M38" i="26"/>
  <c r="D5" i="27"/>
  <c r="F57" i="26"/>
  <c r="F85" i="26"/>
  <c r="AB85" i="26"/>
  <c r="P31" i="31"/>
  <c r="G55" i="26"/>
  <c r="AD38" i="26"/>
  <c r="AE38" i="26"/>
  <c r="AF38" i="26"/>
  <c r="D6" i="27"/>
  <c r="G57" i="26"/>
  <c r="G85" i="26"/>
  <c r="AC85" i="26"/>
  <c r="Q31" i="31"/>
  <c r="BB39" i="30"/>
  <c r="R31" i="31"/>
  <c r="BC39" i="30"/>
  <c r="S31" i="31"/>
  <c r="BD39" i="30"/>
  <c r="T31" i="31"/>
  <c r="BE39" i="30"/>
  <c r="U31" i="31"/>
  <c r="V31" i="31"/>
  <c r="BA31" i="31"/>
  <c r="B108" i="36"/>
  <c r="B108" i="38"/>
  <c r="B108" i="41"/>
  <c r="B108" i="37"/>
  <c r="B108" i="40"/>
  <c r="B108" i="44"/>
  <c r="BB31" i="31"/>
  <c r="C108" i="36"/>
  <c r="C108" i="38"/>
  <c r="C108" i="41"/>
  <c r="C108" i="37"/>
  <c r="C108" i="40"/>
  <c r="C108" i="44"/>
  <c r="F55" i="32"/>
  <c r="H38" i="32"/>
  <c r="I38" i="32"/>
  <c r="J38" i="32"/>
  <c r="D12" i="27"/>
  <c r="F57" i="32"/>
  <c r="F85" i="32"/>
  <c r="W85" i="32"/>
  <c r="H31" i="33"/>
  <c r="G55" i="32"/>
  <c r="Y38" i="32"/>
  <c r="Z38" i="32"/>
  <c r="AA38" i="32"/>
  <c r="D13" i="27"/>
  <c r="G57" i="32"/>
  <c r="G85" i="32"/>
  <c r="X85" i="32"/>
  <c r="I31" i="33"/>
  <c r="J31" i="33"/>
  <c r="Y31" i="33"/>
  <c r="H108" i="36"/>
  <c r="H108" i="38"/>
  <c r="H108" i="41"/>
  <c r="H108" i="37"/>
  <c r="H108" i="40"/>
  <c r="H108" i="44"/>
  <c r="Z31" i="33"/>
  <c r="I108" i="36"/>
  <c r="I108" i="38"/>
  <c r="I108" i="41"/>
  <c r="I108" i="37"/>
  <c r="I108" i="40"/>
  <c r="I108" i="44"/>
  <c r="H9" i="24"/>
  <c r="H38" i="24"/>
  <c r="D15" i="27"/>
  <c r="H10" i="24"/>
  <c r="Y38" i="24"/>
  <c r="D30" i="46"/>
  <c r="N4" i="13"/>
  <c r="N12" i="13"/>
  <c r="N22" i="13"/>
  <c r="N27" i="13"/>
  <c r="N31" i="13"/>
  <c r="N3" i="13"/>
  <c r="D3" i="46"/>
  <c r="I30" i="46"/>
  <c r="N3" i="46"/>
  <c r="S3" i="46"/>
  <c r="N30" i="46"/>
  <c r="S29" i="14"/>
  <c r="X3" i="46"/>
  <c r="AC3" i="46"/>
  <c r="X30" i="46"/>
  <c r="X29" i="14"/>
  <c r="AH3" i="46"/>
  <c r="AH30" i="46"/>
  <c r="AC29" i="14"/>
  <c r="AR3" i="46"/>
  <c r="AW3" i="46"/>
  <c r="AR30" i="46"/>
  <c r="AH29" i="14"/>
  <c r="BB3" i="46"/>
  <c r="BG3" i="46"/>
  <c r="BB30" i="46"/>
  <c r="AM29" i="14"/>
  <c r="BL3" i="46"/>
  <c r="BQ3" i="46"/>
  <c r="BL30" i="46"/>
  <c r="AR29" i="14"/>
  <c r="G31" i="64"/>
  <c r="AW29" i="14"/>
  <c r="M15" i="53"/>
  <c r="R2" i="53"/>
  <c r="K2" i="53"/>
  <c r="H15" i="53"/>
  <c r="R15" i="53"/>
  <c r="BB29" i="14"/>
  <c r="M3" i="65"/>
  <c r="G3" i="65"/>
  <c r="G31" i="65"/>
  <c r="BG29" i="14"/>
  <c r="N30" i="29"/>
  <c r="AP38" i="24"/>
  <c r="Z31" i="25"/>
  <c r="H15" i="23"/>
  <c r="H45" i="23"/>
  <c r="D17" i="27"/>
  <c r="H17" i="23"/>
  <c r="Y45" i="23"/>
  <c r="AP45" i="23"/>
  <c r="T31" i="25"/>
  <c r="I15" i="23"/>
  <c r="I45" i="23"/>
  <c r="D18" i="27"/>
  <c r="I17" i="23"/>
  <c r="Z45" i="23"/>
  <c r="AQ45" i="23"/>
  <c r="U31" i="25"/>
  <c r="J15" i="23"/>
  <c r="J45" i="23"/>
  <c r="D19" i="27"/>
  <c r="J17" i="23"/>
  <c r="AA45" i="23"/>
  <c r="AR45" i="23"/>
  <c r="V31" i="25"/>
  <c r="H15" i="22"/>
  <c r="H45" i="22"/>
  <c r="D20" i="27"/>
  <c r="H17" i="22"/>
  <c r="Y45" i="22"/>
  <c r="AP45" i="22"/>
  <c r="W31" i="25"/>
  <c r="I15" i="22"/>
  <c r="I45" i="22"/>
  <c r="D21" i="27"/>
  <c r="I17" i="22"/>
  <c r="Z45" i="22"/>
  <c r="AQ45" i="22"/>
  <c r="X31" i="25"/>
  <c r="J15" i="22"/>
  <c r="J45" i="22"/>
  <c r="D22" i="27"/>
  <c r="J17" i="22"/>
  <c r="AA45" i="22"/>
  <c r="AR45" i="22"/>
  <c r="Y31" i="25"/>
  <c r="I9" i="24"/>
  <c r="I38" i="24"/>
  <c r="D16" i="27"/>
  <c r="I10" i="24"/>
  <c r="Z38" i="24"/>
  <c r="AQ38" i="24"/>
  <c r="AA31" i="25"/>
  <c r="AB31" i="25"/>
  <c r="BU31" i="25"/>
  <c r="P108" i="36"/>
  <c r="BL29" i="14"/>
  <c r="P108" i="38"/>
  <c r="P108" i="41"/>
  <c r="P108" i="37"/>
  <c r="P108" i="40"/>
  <c r="P108" i="44"/>
  <c r="BV31" i="25"/>
  <c r="Q108" i="36"/>
  <c r="Q108" i="38"/>
  <c r="Q108" i="41"/>
  <c r="Q108" i="37"/>
  <c r="Q108" i="40"/>
  <c r="Q108" i="44"/>
  <c r="R108" i="36"/>
  <c r="S30" i="29"/>
  <c r="R108" i="38"/>
  <c r="R108" i="41"/>
  <c r="R108" i="37"/>
  <c r="R108" i="40"/>
  <c r="R108" i="44"/>
  <c r="AB108" i="44"/>
  <c r="H55" i="26"/>
  <c r="N38" i="26"/>
  <c r="F31" i="21"/>
  <c r="E31" i="21"/>
  <c r="O38" i="26"/>
  <c r="E30" i="29"/>
  <c r="N39" i="30"/>
  <c r="N10" i="30"/>
  <c r="E7" i="27"/>
  <c r="N11" i="30"/>
  <c r="AJ39" i="30"/>
  <c r="O39" i="30"/>
  <c r="O10" i="30"/>
  <c r="E8" i="27"/>
  <c r="O11" i="30"/>
  <c r="AK39" i="30"/>
  <c r="P39" i="30"/>
  <c r="P10" i="30"/>
  <c r="E9" i="27"/>
  <c r="P11" i="30"/>
  <c r="AL39" i="30"/>
  <c r="Q39" i="30"/>
  <c r="Q10" i="30"/>
  <c r="E10" i="27"/>
  <c r="Q11" i="30"/>
  <c r="AM39" i="30"/>
  <c r="E30" i="45"/>
  <c r="J4" i="13"/>
  <c r="J12" i="13"/>
  <c r="J22" i="13"/>
  <c r="J27" i="13"/>
  <c r="J31" i="13"/>
  <c r="J3" i="13"/>
  <c r="E3" i="45"/>
  <c r="J30" i="45"/>
  <c r="O30" i="45"/>
  <c r="J29" i="14"/>
  <c r="Y3" i="45"/>
  <c r="Y30" i="45"/>
  <c r="O29" i="14"/>
  <c r="J30" i="29"/>
  <c r="P38" i="26"/>
  <c r="Q38" i="26"/>
  <c r="D56" i="26"/>
  <c r="H16" i="76"/>
  <c r="H42" i="76"/>
  <c r="H67" i="76"/>
  <c r="H41" i="76"/>
  <c r="H68" i="76"/>
  <c r="H60" i="76"/>
  <c r="H47" i="76"/>
  <c r="H14" i="76"/>
  <c r="H61" i="76"/>
  <c r="H48" i="76"/>
  <c r="H13" i="76"/>
  <c r="H62" i="76"/>
  <c r="H49" i="76"/>
  <c r="H15" i="76"/>
  <c r="H43" i="76"/>
  <c r="H77" i="76"/>
  <c r="H40" i="76"/>
  <c r="H79" i="76"/>
  <c r="H36" i="76"/>
  <c r="H37" i="76"/>
  <c r="H86" i="76"/>
  <c r="H63" i="76"/>
  <c r="H50" i="76"/>
  <c r="H95" i="76"/>
  <c r="B31" i="77"/>
  <c r="F40" i="26"/>
  <c r="G40" i="26"/>
  <c r="H96" i="76"/>
  <c r="C31" i="77"/>
  <c r="C32" i="13"/>
  <c r="C32" i="29"/>
  <c r="F41" i="30"/>
  <c r="AB41" i="30"/>
  <c r="H71" i="76"/>
  <c r="H72" i="76"/>
  <c r="H73" i="76"/>
  <c r="H111" i="76"/>
  <c r="P31" i="77"/>
  <c r="G41" i="30"/>
  <c r="AC41" i="30"/>
  <c r="H112" i="76"/>
  <c r="Q31" i="77"/>
  <c r="H41" i="30"/>
  <c r="AD41" i="30"/>
  <c r="H113" i="76"/>
  <c r="R31" i="77"/>
  <c r="I41" i="30"/>
  <c r="AE41" i="30"/>
  <c r="C32" i="45"/>
  <c r="H32" i="45"/>
  <c r="M32" i="45"/>
  <c r="H31" i="14"/>
  <c r="W32" i="45"/>
  <c r="M31" i="14"/>
  <c r="H32" i="29"/>
  <c r="H40" i="26"/>
  <c r="I40" i="26"/>
  <c r="D87" i="26"/>
  <c r="J16" i="76"/>
  <c r="J42" i="76"/>
  <c r="J67" i="76"/>
  <c r="J41" i="76"/>
  <c r="J68" i="76"/>
  <c r="J60" i="76"/>
  <c r="J47" i="76"/>
  <c r="J14" i="76"/>
  <c r="J61" i="76"/>
  <c r="J48" i="76"/>
  <c r="J13" i="76"/>
  <c r="J62" i="76"/>
  <c r="J49" i="76"/>
  <c r="J15" i="76"/>
  <c r="J43" i="76"/>
  <c r="J77" i="76"/>
  <c r="J40" i="76"/>
  <c r="J79" i="76"/>
  <c r="J36" i="76"/>
  <c r="J37" i="76"/>
  <c r="J86" i="76"/>
  <c r="J63" i="76"/>
  <c r="J50" i="76"/>
  <c r="J95" i="76"/>
  <c r="B32" i="77"/>
  <c r="F41" i="26"/>
  <c r="G41" i="26"/>
  <c r="J96" i="76"/>
  <c r="C32" i="77"/>
  <c r="C33" i="13"/>
  <c r="C33" i="29"/>
  <c r="F42" i="30"/>
  <c r="AB42" i="30"/>
  <c r="J71" i="76"/>
  <c r="J72" i="76"/>
  <c r="J73" i="76"/>
  <c r="J111" i="76"/>
  <c r="P32" i="77"/>
  <c r="G42" i="30"/>
  <c r="AC42" i="30"/>
  <c r="J112" i="76"/>
  <c r="Q32" i="77"/>
  <c r="H42" i="30"/>
  <c r="AD42" i="30"/>
  <c r="J113" i="76"/>
  <c r="R32" i="77"/>
  <c r="I42" i="30"/>
  <c r="AE42" i="30"/>
  <c r="C33" i="45"/>
  <c r="H33" i="45"/>
  <c r="M33" i="45"/>
  <c r="H32" i="14"/>
  <c r="W33" i="45"/>
  <c r="M32" i="14"/>
  <c r="H33" i="29"/>
  <c r="H41" i="26"/>
  <c r="I41" i="26"/>
  <c r="D88" i="26"/>
  <c r="L16" i="76"/>
  <c r="L42" i="76"/>
  <c r="L67" i="76"/>
  <c r="L41" i="76"/>
  <c r="L68" i="76"/>
  <c r="L60" i="76"/>
  <c r="L47" i="76"/>
  <c r="L14" i="76"/>
  <c r="L61" i="76"/>
  <c r="L48" i="76"/>
  <c r="L13" i="76"/>
  <c r="L62" i="76"/>
  <c r="L49" i="76"/>
  <c r="L15" i="76"/>
  <c r="L43" i="76"/>
  <c r="L77" i="76"/>
  <c r="L40" i="76"/>
  <c r="L79" i="76"/>
  <c r="L36" i="76"/>
  <c r="L37" i="76"/>
  <c r="L86" i="76"/>
  <c r="L63" i="76"/>
  <c r="L50" i="76"/>
  <c r="L95" i="76"/>
  <c r="B33" i="77"/>
  <c r="F42" i="26"/>
  <c r="G42" i="26"/>
  <c r="L96" i="76"/>
  <c r="C33" i="77"/>
  <c r="C34" i="13"/>
  <c r="C34" i="29"/>
  <c r="F43" i="30"/>
  <c r="AB43" i="30"/>
  <c r="L71" i="76"/>
  <c r="L72" i="76"/>
  <c r="L73" i="76"/>
  <c r="L111" i="76"/>
  <c r="P33" i="77"/>
  <c r="G43" i="30"/>
  <c r="AC43" i="30"/>
  <c r="L112" i="76"/>
  <c r="Q33" i="77"/>
  <c r="H43" i="30"/>
  <c r="AD43" i="30"/>
  <c r="L113" i="76"/>
  <c r="R33" i="77"/>
  <c r="I43" i="30"/>
  <c r="AE43" i="30"/>
  <c r="C34" i="45"/>
  <c r="H34" i="45"/>
  <c r="M34" i="45"/>
  <c r="H33" i="14"/>
  <c r="W34" i="45"/>
  <c r="M33" i="14"/>
  <c r="H34" i="29"/>
  <c r="H42" i="26"/>
  <c r="I42" i="26"/>
  <c r="D89" i="26"/>
  <c r="M16" i="76"/>
  <c r="M42" i="76"/>
  <c r="M67" i="76"/>
  <c r="M41" i="76"/>
  <c r="M68" i="76"/>
  <c r="M60" i="76"/>
  <c r="M47" i="76"/>
  <c r="M14" i="76"/>
  <c r="M61" i="76"/>
  <c r="M48" i="76"/>
  <c r="M13" i="76"/>
  <c r="M62" i="76"/>
  <c r="M49" i="76"/>
  <c r="M15" i="76"/>
  <c r="M43" i="76"/>
  <c r="M77" i="76"/>
  <c r="M40" i="76"/>
  <c r="M79" i="76"/>
  <c r="M36" i="76"/>
  <c r="M37" i="76"/>
  <c r="M86" i="76"/>
  <c r="M63" i="76"/>
  <c r="M50" i="76"/>
  <c r="M95" i="76"/>
  <c r="B34" i="77"/>
  <c r="F43" i="26"/>
  <c r="G43" i="26"/>
  <c r="M96" i="76"/>
  <c r="C34" i="77"/>
  <c r="C35" i="13"/>
  <c r="C35" i="29"/>
  <c r="F44" i="30"/>
  <c r="AB44" i="30"/>
  <c r="M71" i="76"/>
  <c r="M72" i="76"/>
  <c r="M73" i="76"/>
  <c r="M111" i="76"/>
  <c r="P34" i="77"/>
  <c r="G44" i="30"/>
  <c r="AC44" i="30"/>
  <c r="M112" i="76"/>
  <c r="Q34" i="77"/>
  <c r="H44" i="30"/>
  <c r="AD44" i="30"/>
  <c r="M113" i="76"/>
  <c r="R34" i="77"/>
  <c r="I44" i="30"/>
  <c r="AE44" i="30"/>
  <c r="C35" i="45"/>
  <c r="H35" i="45"/>
  <c r="M35" i="45"/>
  <c r="H34" i="14"/>
  <c r="W35" i="45"/>
  <c r="M34" i="14"/>
  <c r="H35" i="29"/>
  <c r="H43" i="26"/>
  <c r="I43" i="26"/>
  <c r="D90" i="26"/>
  <c r="D86" i="26"/>
  <c r="C31" i="29"/>
  <c r="Z86" i="26"/>
  <c r="I32" i="31"/>
  <c r="E56" i="26"/>
  <c r="H52" i="76"/>
  <c r="H53" i="76"/>
  <c r="H54" i="76"/>
  <c r="H55" i="76"/>
  <c r="H101" i="76"/>
  <c r="H31" i="77"/>
  <c r="AA40" i="26"/>
  <c r="H102" i="76"/>
  <c r="I31" i="77"/>
  <c r="AB40" i="26"/>
  <c r="AC40" i="26"/>
  <c r="E87" i="26"/>
  <c r="J52" i="76"/>
  <c r="J53" i="76"/>
  <c r="J54" i="76"/>
  <c r="J55" i="76"/>
  <c r="J101" i="76"/>
  <c r="H32" i="77"/>
  <c r="AA41" i="26"/>
  <c r="J102" i="76"/>
  <c r="I32" i="77"/>
  <c r="AB41" i="26"/>
  <c r="AC41" i="26"/>
  <c r="E88" i="26"/>
  <c r="L52" i="76"/>
  <c r="L53" i="76"/>
  <c r="L54" i="76"/>
  <c r="L55" i="76"/>
  <c r="L101" i="76"/>
  <c r="H33" i="77"/>
  <c r="AA42" i="26"/>
  <c r="L102" i="76"/>
  <c r="I33" i="77"/>
  <c r="AB42" i="26"/>
  <c r="AC42" i="26"/>
  <c r="E89" i="26"/>
  <c r="M52" i="76"/>
  <c r="M53" i="76"/>
  <c r="M54" i="76"/>
  <c r="M55" i="76"/>
  <c r="M101" i="76"/>
  <c r="H34" i="77"/>
  <c r="AA43" i="26"/>
  <c r="M102" i="76"/>
  <c r="I34" i="77"/>
  <c r="AB43" i="26"/>
  <c r="AC43" i="26"/>
  <c r="E90" i="26"/>
  <c r="E86" i="26"/>
  <c r="AA86" i="26"/>
  <c r="J32" i="31"/>
  <c r="AB40" i="30"/>
  <c r="AX40" i="30"/>
  <c r="K32" i="31"/>
  <c r="AC40" i="30"/>
  <c r="AY40" i="30"/>
  <c r="L32" i="31"/>
  <c r="AD40" i="30"/>
  <c r="AZ40" i="30"/>
  <c r="M32" i="31"/>
  <c r="AE40" i="30"/>
  <c r="BA40" i="30"/>
  <c r="N32" i="31"/>
  <c r="O32" i="31"/>
  <c r="AT32" i="31"/>
  <c r="B71" i="36"/>
  <c r="B72" i="38"/>
  <c r="B73" i="38"/>
  <c r="B74" i="38"/>
  <c r="B75" i="38"/>
  <c r="B71" i="38"/>
  <c r="B71" i="41"/>
  <c r="B72" i="37"/>
  <c r="B73" i="37"/>
  <c r="B74" i="37"/>
  <c r="B75" i="37"/>
  <c r="B71" i="37"/>
  <c r="B71" i="40"/>
  <c r="B71" i="44"/>
  <c r="AU32" i="31"/>
  <c r="C71" i="36"/>
  <c r="C72" i="38"/>
  <c r="C73" i="38"/>
  <c r="C74" i="38"/>
  <c r="C75" i="38"/>
  <c r="C71" i="38"/>
  <c r="C71" i="41"/>
  <c r="C72" i="37"/>
  <c r="C73" i="37"/>
  <c r="C74" i="37"/>
  <c r="C75" i="37"/>
  <c r="C71" i="37"/>
  <c r="C71" i="40"/>
  <c r="C71" i="44"/>
  <c r="D56" i="32"/>
  <c r="H97" i="76"/>
  <c r="D31" i="77"/>
  <c r="E40" i="32"/>
  <c r="F40" i="32"/>
  <c r="G40" i="32"/>
  <c r="D87" i="32"/>
  <c r="J97" i="76"/>
  <c r="D32" i="77"/>
  <c r="E41" i="32"/>
  <c r="F41" i="32"/>
  <c r="G41" i="32"/>
  <c r="D88" i="32"/>
  <c r="L97" i="76"/>
  <c r="D33" i="77"/>
  <c r="E42" i="32"/>
  <c r="F42" i="32"/>
  <c r="G42" i="32"/>
  <c r="D89" i="32"/>
  <c r="M97" i="76"/>
  <c r="D34" i="77"/>
  <c r="E43" i="32"/>
  <c r="F43" i="32"/>
  <c r="G43" i="32"/>
  <c r="D90" i="32"/>
  <c r="D86" i="32"/>
  <c r="H31" i="29"/>
  <c r="U86" i="32"/>
  <c r="E32" i="33"/>
  <c r="E56" i="32"/>
  <c r="H103" i="76"/>
  <c r="J31" i="77"/>
  <c r="V40" i="32"/>
  <c r="W40" i="32"/>
  <c r="X40" i="32"/>
  <c r="E87" i="32"/>
  <c r="J103" i="76"/>
  <c r="J32" i="77"/>
  <c r="V41" i="32"/>
  <c r="W41" i="32"/>
  <c r="X41" i="32"/>
  <c r="E88" i="32"/>
  <c r="L103" i="76"/>
  <c r="J33" i="77"/>
  <c r="V42" i="32"/>
  <c r="W42" i="32"/>
  <c r="X42" i="32"/>
  <c r="E89" i="32"/>
  <c r="M103" i="76"/>
  <c r="J34" i="77"/>
  <c r="V43" i="32"/>
  <c r="W43" i="32"/>
  <c r="X43" i="32"/>
  <c r="E90" i="32"/>
  <c r="E86" i="32"/>
  <c r="V86" i="32"/>
  <c r="F32" i="33"/>
  <c r="G32" i="33"/>
  <c r="V32" i="33"/>
  <c r="H71" i="36"/>
  <c r="H72" i="38"/>
  <c r="H73" i="38"/>
  <c r="H74" i="38"/>
  <c r="H75" i="38"/>
  <c r="H71" i="38"/>
  <c r="H71" i="41"/>
  <c r="H72" i="37"/>
  <c r="H73" i="37"/>
  <c r="H74" i="37"/>
  <c r="H75" i="37"/>
  <c r="H71" i="37"/>
  <c r="H71" i="40"/>
  <c r="H71" i="44"/>
  <c r="W32" i="33"/>
  <c r="I71" i="36"/>
  <c r="I72" i="38"/>
  <c r="I73" i="38"/>
  <c r="I74" i="38"/>
  <c r="I75" i="38"/>
  <c r="I71" i="38"/>
  <c r="I71" i="41"/>
  <c r="I72" i="37"/>
  <c r="I73" i="37"/>
  <c r="I74" i="37"/>
  <c r="I75" i="37"/>
  <c r="I71" i="37"/>
  <c r="I71" i="40"/>
  <c r="I71" i="44"/>
  <c r="H98" i="76"/>
  <c r="E31" i="77"/>
  <c r="E40" i="24"/>
  <c r="V40" i="24"/>
  <c r="J98" i="76"/>
  <c r="E32" i="77"/>
  <c r="E41" i="24"/>
  <c r="V41" i="24"/>
  <c r="L98" i="76"/>
  <c r="E33" i="77"/>
  <c r="E42" i="24"/>
  <c r="V42" i="24"/>
  <c r="M98" i="76"/>
  <c r="E34" i="77"/>
  <c r="E43" i="24"/>
  <c r="V43" i="24"/>
  <c r="V39" i="24"/>
  <c r="C32" i="46"/>
  <c r="H32" i="46"/>
  <c r="M32" i="46"/>
  <c r="R31" i="14"/>
  <c r="W32" i="46"/>
  <c r="W31" i="14"/>
  <c r="AG32" i="46"/>
  <c r="AB31" i="14"/>
  <c r="AQ32" i="46"/>
  <c r="AG31" i="14"/>
  <c r="BA32" i="46"/>
  <c r="AL31" i="14"/>
  <c r="BK32" i="46"/>
  <c r="AQ31" i="14"/>
  <c r="C33" i="64"/>
  <c r="F33" i="64"/>
  <c r="AV31" i="14"/>
  <c r="L10" i="53"/>
  <c r="E10" i="53"/>
  <c r="G10" i="53"/>
  <c r="Q10" i="53"/>
  <c r="BA31" i="14"/>
  <c r="C33" i="65"/>
  <c r="F33" i="65"/>
  <c r="BF31" i="14"/>
  <c r="M32" i="29"/>
  <c r="C33" i="46"/>
  <c r="H33" i="46"/>
  <c r="M33" i="46"/>
  <c r="R32" i="14"/>
  <c r="W33" i="46"/>
  <c r="W32" i="14"/>
  <c r="AG33" i="46"/>
  <c r="AB32" i="14"/>
  <c r="AQ33" i="46"/>
  <c r="AG32" i="14"/>
  <c r="BA33" i="46"/>
  <c r="AL32" i="14"/>
  <c r="BK33" i="46"/>
  <c r="AQ32" i="14"/>
  <c r="C34" i="64"/>
  <c r="F34" i="64"/>
  <c r="AV32" i="14"/>
  <c r="L9" i="53"/>
  <c r="Q9" i="53"/>
  <c r="BA32" i="14"/>
  <c r="C34" i="65"/>
  <c r="F34" i="65"/>
  <c r="BF32" i="14"/>
  <c r="M33" i="29"/>
  <c r="C34" i="46"/>
  <c r="H34" i="46"/>
  <c r="M34" i="46"/>
  <c r="R33" i="14"/>
  <c r="W34" i="46"/>
  <c r="W33" i="14"/>
  <c r="AG34" i="46"/>
  <c r="AB33" i="14"/>
  <c r="AQ34" i="46"/>
  <c r="AG33" i="14"/>
  <c r="BA34" i="46"/>
  <c r="AL33" i="14"/>
  <c r="BK34" i="46"/>
  <c r="AQ33" i="14"/>
  <c r="C35" i="64"/>
  <c r="F35" i="64"/>
  <c r="AV33" i="14"/>
  <c r="L27" i="53"/>
  <c r="Q27" i="53"/>
  <c r="BA33" i="14"/>
  <c r="C35" i="65"/>
  <c r="F35" i="65"/>
  <c r="BF33" i="14"/>
  <c r="M34" i="29"/>
  <c r="C35" i="46"/>
  <c r="H35" i="46"/>
  <c r="M35" i="46"/>
  <c r="R34" i="14"/>
  <c r="W35" i="46"/>
  <c r="W34" i="14"/>
  <c r="AG35" i="46"/>
  <c r="AB34" i="14"/>
  <c r="AQ35" i="46"/>
  <c r="AG34" i="14"/>
  <c r="BA35" i="46"/>
  <c r="AL34" i="14"/>
  <c r="BK35" i="46"/>
  <c r="AQ34" i="14"/>
  <c r="C36" i="64"/>
  <c r="F36" i="64"/>
  <c r="AV34" i="14"/>
  <c r="L26" i="53"/>
  <c r="E26" i="53"/>
  <c r="G26" i="53"/>
  <c r="Q26" i="53"/>
  <c r="BA34" i="14"/>
  <c r="C36" i="65"/>
  <c r="F36" i="65"/>
  <c r="BF34" i="14"/>
  <c r="M35" i="29"/>
  <c r="M31" i="29"/>
  <c r="AM39" i="24"/>
  <c r="Q32" i="25"/>
  <c r="E16" i="23"/>
  <c r="H88" i="76"/>
  <c r="H89" i="76"/>
  <c r="H126" i="76"/>
  <c r="AA31" i="77"/>
  <c r="E47" i="23"/>
  <c r="V47" i="23"/>
  <c r="J88" i="76"/>
  <c r="J89" i="76"/>
  <c r="J126" i="76"/>
  <c r="AA32" i="77"/>
  <c r="E48" i="23"/>
  <c r="V48" i="23"/>
  <c r="L88" i="76"/>
  <c r="L89" i="76"/>
  <c r="L126" i="76"/>
  <c r="AA33" i="77"/>
  <c r="E49" i="23"/>
  <c r="V49" i="23"/>
  <c r="M88" i="76"/>
  <c r="M89" i="76"/>
  <c r="M126" i="76"/>
  <c r="AA34" i="77"/>
  <c r="E50" i="23"/>
  <c r="V50" i="23"/>
  <c r="V46" i="23"/>
  <c r="AM46" i="23"/>
  <c r="K32" i="25"/>
  <c r="C16" i="23"/>
  <c r="F16" i="23"/>
  <c r="H127" i="76"/>
  <c r="AB31" i="77"/>
  <c r="F47" i="23"/>
  <c r="W47" i="23"/>
  <c r="J127" i="76"/>
  <c r="AB32" i="77"/>
  <c r="F48" i="23"/>
  <c r="W48" i="23"/>
  <c r="L127" i="76"/>
  <c r="AB33" i="77"/>
  <c r="F49" i="23"/>
  <c r="W49" i="23"/>
  <c r="M127" i="76"/>
  <c r="AB34" i="77"/>
  <c r="F50" i="23"/>
  <c r="W50" i="23"/>
  <c r="W46" i="23"/>
  <c r="AN46" i="23"/>
  <c r="L32" i="25"/>
  <c r="G16" i="23"/>
  <c r="G47" i="23"/>
  <c r="X47" i="23"/>
  <c r="G48" i="23"/>
  <c r="X48" i="23"/>
  <c r="G49" i="23"/>
  <c r="X49" i="23"/>
  <c r="G50" i="23"/>
  <c r="X50" i="23"/>
  <c r="X46" i="23"/>
  <c r="AO46" i="23"/>
  <c r="M32" i="25"/>
  <c r="E16" i="22"/>
  <c r="E47" i="22"/>
  <c r="V47" i="22"/>
  <c r="E48" i="22"/>
  <c r="V48" i="22"/>
  <c r="E49" i="22"/>
  <c r="V49" i="22"/>
  <c r="E50" i="22"/>
  <c r="V50" i="22"/>
  <c r="V46" i="22"/>
  <c r="AM46" i="22"/>
  <c r="N32" i="25"/>
  <c r="F16" i="22"/>
  <c r="H82" i="76"/>
  <c r="H81" i="76"/>
  <c r="H119" i="76"/>
  <c r="V31" i="77"/>
  <c r="F47" i="22"/>
  <c r="W47" i="22"/>
  <c r="J82" i="76"/>
  <c r="J81" i="76"/>
  <c r="J119" i="76"/>
  <c r="V32" i="77"/>
  <c r="F48" i="22"/>
  <c r="W48" i="22"/>
  <c r="L82" i="76"/>
  <c r="L81" i="76"/>
  <c r="L119" i="76"/>
  <c r="V33" i="77"/>
  <c r="F49" i="22"/>
  <c r="W49" i="22"/>
  <c r="M82" i="76"/>
  <c r="M81" i="76"/>
  <c r="M119" i="76"/>
  <c r="V34" i="77"/>
  <c r="F50" i="22"/>
  <c r="W50" i="22"/>
  <c r="W46" i="22"/>
  <c r="AN46" i="22"/>
  <c r="O32" i="25"/>
  <c r="G16" i="22"/>
  <c r="H118" i="76"/>
  <c r="U31" i="77"/>
  <c r="G47" i="22"/>
  <c r="X47" i="22"/>
  <c r="J118" i="76"/>
  <c r="U32" i="77"/>
  <c r="G48" i="22"/>
  <c r="X48" i="22"/>
  <c r="L118" i="76"/>
  <c r="U33" i="77"/>
  <c r="G49" i="22"/>
  <c r="X49" i="22"/>
  <c r="M118" i="76"/>
  <c r="U34" i="77"/>
  <c r="G50" i="22"/>
  <c r="X50" i="22"/>
  <c r="X46" i="22"/>
  <c r="AO46" i="22"/>
  <c r="P32" i="25"/>
  <c r="H104" i="76"/>
  <c r="K31" i="77"/>
  <c r="F40" i="24"/>
  <c r="W40" i="24"/>
  <c r="J104" i="76"/>
  <c r="K32" i="77"/>
  <c r="F41" i="24"/>
  <c r="W41" i="24"/>
  <c r="L104" i="76"/>
  <c r="K33" i="77"/>
  <c r="F42" i="24"/>
  <c r="W42" i="24"/>
  <c r="M104" i="76"/>
  <c r="K34" i="77"/>
  <c r="F43" i="24"/>
  <c r="W43" i="24"/>
  <c r="W39" i="24"/>
  <c r="AN39" i="24"/>
  <c r="R32" i="25"/>
  <c r="S32" i="25"/>
  <c r="BL32" i="25"/>
  <c r="P71" i="36"/>
  <c r="AM47" i="23"/>
  <c r="K33" i="25"/>
  <c r="AN47" i="23"/>
  <c r="L33" i="25"/>
  <c r="AO47" i="23"/>
  <c r="M33" i="25"/>
  <c r="AM47" i="22"/>
  <c r="N33" i="25"/>
  <c r="AN47" i="22"/>
  <c r="O33" i="25"/>
  <c r="AO47" i="22"/>
  <c r="P33" i="25"/>
  <c r="AM40" i="24"/>
  <c r="Q33" i="25"/>
  <c r="AN40" i="24"/>
  <c r="R33" i="25"/>
  <c r="S33" i="25"/>
  <c r="BK31" i="14"/>
  <c r="P72" i="38"/>
  <c r="AM48" i="23"/>
  <c r="K34" i="25"/>
  <c r="AN48" i="23"/>
  <c r="L34" i="25"/>
  <c r="AO48" i="23"/>
  <c r="M34" i="25"/>
  <c r="AM48" i="22"/>
  <c r="N34" i="25"/>
  <c r="AN48" i="22"/>
  <c r="O34" i="25"/>
  <c r="AO48" i="22"/>
  <c r="P34" i="25"/>
  <c r="AM41" i="24"/>
  <c r="Q34" i="25"/>
  <c r="AN41" i="24"/>
  <c r="R34" i="25"/>
  <c r="S34" i="25"/>
  <c r="BK32" i="14"/>
  <c r="P73" i="38"/>
  <c r="AM49" i="23"/>
  <c r="K35" i="25"/>
  <c r="AN49" i="23"/>
  <c r="L35" i="25"/>
  <c r="AO49" i="23"/>
  <c r="M35" i="25"/>
  <c r="AM49" i="22"/>
  <c r="N35" i="25"/>
  <c r="AN49" i="22"/>
  <c r="O35" i="25"/>
  <c r="AO49" i="22"/>
  <c r="P35" i="25"/>
  <c r="AM42" i="24"/>
  <c r="Q35" i="25"/>
  <c r="AN42" i="24"/>
  <c r="R35" i="25"/>
  <c r="S35" i="25"/>
  <c r="BK33" i="14"/>
  <c r="P74" i="38"/>
  <c r="AM50" i="23"/>
  <c r="K36" i="25"/>
  <c r="AN50" i="23"/>
  <c r="L36" i="25"/>
  <c r="AO50" i="23"/>
  <c r="M36" i="25"/>
  <c r="AM50" i="22"/>
  <c r="N36" i="25"/>
  <c r="AN50" i="22"/>
  <c r="O36" i="25"/>
  <c r="AO50" i="22"/>
  <c r="P36" i="25"/>
  <c r="AM43" i="24"/>
  <c r="Q36" i="25"/>
  <c r="AN43" i="24"/>
  <c r="R36" i="25"/>
  <c r="S36" i="25"/>
  <c r="BK34" i="14"/>
  <c r="P75" i="38"/>
  <c r="P71" i="38"/>
  <c r="P71" i="41"/>
  <c r="P72" i="37"/>
  <c r="P73" i="37"/>
  <c r="P74" i="37"/>
  <c r="P75" i="37"/>
  <c r="P71" i="37"/>
  <c r="P71" i="40"/>
  <c r="P71" i="44"/>
  <c r="BM32" i="25"/>
  <c r="Q71" i="36"/>
  <c r="Q72" i="38"/>
  <c r="Q73" i="38"/>
  <c r="Q74" i="38"/>
  <c r="Q75" i="38"/>
  <c r="Q71" i="38"/>
  <c r="Q71" i="41"/>
  <c r="Q72" i="37"/>
  <c r="Q73" i="37"/>
  <c r="Q74" i="37"/>
  <c r="Q75" i="37"/>
  <c r="Q71" i="37"/>
  <c r="Q71" i="40"/>
  <c r="Q71" i="44"/>
  <c r="R33" i="36"/>
  <c r="R71" i="36"/>
  <c r="R32" i="29"/>
  <c r="R72" i="38"/>
  <c r="R33" i="29"/>
  <c r="R73" i="38"/>
  <c r="R34" i="29"/>
  <c r="R74" i="38"/>
  <c r="R35" i="29"/>
  <c r="R75" i="38"/>
  <c r="R71" i="38"/>
  <c r="R71" i="41"/>
  <c r="R72" i="37"/>
  <c r="R73" i="37"/>
  <c r="R74" i="37"/>
  <c r="R75" i="37"/>
  <c r="R71" i="37"/>
  <c r="R71" i="40"/>
  <c r="R71" i="44"/>
  <c r="AB71" i="44"/>
  <c r="F56" i="26"/>
  <c r="J40" i="26"/>
  <c r="I33" i="21"/>
  <c r="D33" i="21"/>
  <c r="K40" i="26"/>
  <c r="D32" i="29"/>
  <c r="J41" i="30"/>
  <c r="AF41" i="30"/>
  <c r="K41" i="30"/>
  <c r="AG41" i="30"/>
  <c r="L41" i="30"/>
  <c r="AH41" i="30"/>
  <c r="M41" i="30"/>
  <c r="AI41" i="30"/>
  <c r="D32" i="45"/>
  <c r="I32" i="45"/>
  <c r="N32" i="45"/>
  <c r="I31" i="14"/>
  <c r="X32" i="45"/>
  <c r="N31" i="14"/>
  <c r="I32" i="29"/>
  <c r="L40" i="26"/>
  <c r="M40" i="26"/>
  <c r="F87" i="26"/>
  <c r="J41" i="26"/>
  <c r="I34" i="21"/>
  <c r="D34" i="21"/>
  <c r="K41" i="26"/>
  <c r="D33" i="29"/>
  <c r="J42" i="30"/>
  <c r="AF42" i="30"/>
  <c r="K42" i="30"/>
  <c r="AG42" i="30"/>
  <c r="L42" i="30"/>
  <c r="AH42" i="30"/>
  <c r="M42" i="30"/>
  <c r="AI42" i="30"/>
  <c r="D33" i="45"/>
  <c r="I33" i="45"/>
  <c r="N33" i="45"/>
  <c r="I32" i="14"/>
  <c r="X33" i="45"/>
  <c r="N32" i="14"/>
  <c r="I33" i="29"/>
  <c r="L41" i="26"/>
  <c r="M41" i="26"/>
  <c r="F88" i="26"/>
  <c r="J42" i="26"/>
  <c r="I35" i="21"/>
  <c r="D35" i="21"/>
  <c r="K42" i="26"/>
  <c r="D34" i="29"/>
  <c r="J43" i="30"/>
  <c r="AF43" i="30"/>
  <c r="K43" i="30"/>
  <c r="AG43" i="30"/>
  <c r="L43" i="30"/>
  <c r="AH43" i="30"/>
  <c r="M43" i="30"/>
  <c r="AI43" i="30"/>
  <c r="D34" i="45"/>
  <c r="I34" i="45"/>
  <c r="N34" i="45"/>
  <c r="I33" i="14"/>
  <c r="X34" i="45"/>
  <c r="N33" i="14"/>
  <c r="I34" i="29"/>
  <c r="L42" i="26"/>
  <c r="M42" i="26"/>
  <c r="F89" i="26"/>
  <c r="J43" i="26"/>
  <c r="I36" i="21"/>
  <c r="D36" i="21"/>
  <c r="K43" i="26"/>
  <c r="D35" i="29"/>
  <c r="J44" i="30"/>
  <c r="AF44" i="30"/>
  <c r="K44" i="30"/>
  <c r="AG44" i="30"/>
  <c r="L44" i="30"/>
  <c r="AH44" i="30"/>
  <c r="M44" i="30"/>
  <c r="AI44" i="30"/>
  <c r="D35" i="45"/>
  <c r="I35" i="45"/>
  <c r="N35" i="45"/>
  <c r="I34" i="14"/>
  <c r="X35" i="45"/>
  <c r="N34" i="14"/>
  <c r="I35" i="29"/>
  <c r="L43" i="26"/>
  <c r="M43" i="26"/>
  <c r="F90" i="26"/>
  <c r="F86" i="26"/>
  <c r="D31" i="29"/>
  <c r="AB86" i="26"/>
  <c r="P32" i="31"/>
  <c r="G56" i="26"/>
  <c r="AD40" i="26"/>
  <c r="AE40" i="26"/>
  <c r="AF40" i="26"/>
  <c r="G87" i="26"/>
  <c r="AD41" i="26"/>
  <c r="AE41" i="26"/>
  <c r="AF41" i="26"/>
  <c r="G88" i="26"/>
  <c r="AD42" i="26"/>
  <c r="AE42" i="26"/>
  <c r="AF42" i="26"/>
  <c r="G89" i="26"/>
  <c r="AD43" i="26"/>
  <c r="AE43" i="26"/>
  <c r="AF43" i="26"/>
  <c r="G90" i="26"/>
  <c r="G86" i="26"/>
  <c r="AC86" i="26"/>
  <c r="Q32" i="31"/>
  <c r="AF40" i="30"/>
  <c r="BB40" i="30"/>
  <c r="R32" i="31"/>
  <c r="AG40" i="30"/>
  <c r="BC40" i="30"/>
  <c r="S32" i="31"/>
  <c r="AH40" i="30"/>
  <c r="BD40" i="30"/>
  <c r="T32" i="31"/>
  <c r="AI40" i="30"/>
  <c r="BE40" i="30"/>
  <c r="U32" i="31"/>
  <c r="V32" i="31"/>
  <c r="BA32" i="31"/>
  <c r="B109" i="36"/>
  <c r="B110" i="38"/>
  <c r="B111" i="38"/>
  <c r="B112" i="38"/>
  <c r="B113" i="38"/>
  <c r="B109" i="38"/>
  <c r="B109" i="41"/>
  <c r="B110" i="37"/>
  <c r="B111" i="37"/>
  <c r="B112" i="37"/>
  <c r="B113" i="37"/>
  <c r="B109" i="37"/>
  <c r="B109" i="40"/>
  <c r="B109" i="44"/>
  <c r="BB32" i="31"/>
  <c r="C109" i="36"/>
  <c r="C110" i="38"/>
  <c r="C111" i="38"/>
  <c r="C112" i="38"/>
  <c r="C113" i="38"/>
  <c r="C109" i="38"/>
  <c r="C109" i="41"/>
  <c r="C110" i="37"/>
  <c r="C111" i="37"/>
  <c r="C112" i="37"/>
  <c r="C113" i="37"/>
  <c r="C109" i="37"/>
  <c r="C109" i="40"/>
  <c r="C109" i="44"/>
  <c r="F56" i="32"/>
  <c r="H40" i="32"/>
  <c r="I40" i="32"/>
  <c r="J40" i="32"/>
  <c r="F87" i="32"/>
  <c r="H41" i="32"/>
  <c r="I41" i="32"/>
  <c r="J41" i="32"/>
  <c r="F88" i="32"/>
  <c r="H42" i="32"/>
  <c r="I42" i="32"/>
  <c r="J42" i="32"/>
  <c r="F89" i="32"/>
  <c r="H43" i="32"/>
  <c r="I43" i="32"/>
  <c r="J43" i="32"/>
  <c r="F90" i="32"/>
  <c r="F86" i="32"/>
  <c r="I31" i="29"/>
  <c r="W86" i="32"/>
  <c r="H32" i="33"/>
  <c r="G56" i="32"/>
  <c r="Y40" i="32"/>
  <c r="Z40" i="32"/>
  <c r="AA40" i="32"/>
  <c r="G87" i="32"/>
  <c r="Y41" i="32"/>
  <c r="Z41" i="32"/>
  <c r="AA41" i="32"/>
  <c r="G88" i="32"/>
  <c r="Y42" i="32"/>
  <c r="Z42" i="32"/>
  <c r="AA42" i="32"/>
  <c r="G89" i="32"/>
  <c r="Y43" i="32"/>
  <c r="Z43" i="32"/>
  <c r="AA43" i="32"/>
  <c r="G90" i="32"/>
  <c r="G86" i="32"/>
  <c r="X86" i="32"/>
  <c r="I32" i="33"/>
  <c r="J32" i="33"/>
  <c r="Y32" i="33"/>
  <c r="H109" i="36"/>
  <c r="H110" i="38"/>
  <c r="H111" i="38"/>
  <c r="H112" i="38"/>
  <c r="H113" i="38"/>
  <c r="H109" i="38"/>
  <c r="H109" i="41"/>
  <c r="H110" i="37"/>
  <c r="H111" i="37"/>
  <c r="H112" i="37"/>
  <c r="H113" i="37"/>
  <c r="H109" i="37"/>
  <c r="H109" i="40"/>
  <c r="H109" i="44"/>
  <c r="Z32" i="33"/>
  <c r="I109" i="36"/>
  <c r="I110" i="38"/>
  <c r="I111" i="38"/>
  <c r="I112" i="38"/>
  <c r="I113" i="38"/>
  <c r="I109" i="38"/>
  <c r="I109" i="41"/>
  <c r="I110" i="37"/>
  <c r="I111" i="37"/>
  <c r="I112" i="37"/>
  <c r="I113" i="37"/>
  <c r="I109" i="37"/>
  <c r="I109" i="40"/>
  <c r="I109" i="44"/>
  <c r="H40" i="24"/>
  <c r="Y40" i="24"/>
  <c r="H41" i="24"/>
  <c r="Y41" i="24"/>
  <c r="H42" i="24"/>
  <c r="Y42" i="24"/>
  <c r="H43" i="24"/>
  <c r="Y43" i="24"/>
  <c r="Y39" i="24"/>
  <c r="D32" i="46"/>
  <c r="I32" i="46"/>
  <c r="N32" i="46"/>
  <c r="S31" i="14"/>
  <c r="X32" i="46"/>
  <c r="X31" i="14"/>
  <c r="AH32" i="46"/>
  <c r="AC31" i="14"/>
  <c r="AR32" i="46"/>
  <c r="AH31" i="14"/>
  <c r="BB32" i="46"/>
  <c r="AM31" i="14"/>
  <c r="BL32" i="46"/>
  <c r="AR31" i="14"/>
  <c r="G33" i="64"/>
  <c r="AW31" i="14"/>
  <c r="M10" i="53"/>
  <c r="H10" i="53"/>
  <c r="R10" i="53"/>
  <c r="BB31" i="14"/>
  <c r="G33" i="65"/>
  <c r="BG31" i="14"/>
  <c r="N32" i="29"/>
  <c r="D33" i="46"/>
  <c r="I33" i="46"/>
  <c r="N33" i="46"/>
  <c r="S32" i="14"/>
  <c r="X33" i="46"/>
  <c r="X32" i="14"/>
  <c r="AH33" i="46"/>
  <c r="AC32" i="14"/>
  <c r="AR33" i="46"/>
  <c r="AH32" i="14"/>
  <c r="BB33" i="46"/>
  <c r="AM32" i="14"/>
  <c r="BL33" i="46"/>
  <c r="AR32" i="14"/>
  <c r="G34" i="64"/>
  <c r="AW32" i="14"/>
  <c r="M9" i="53"/>
  <c r="R9" i="53"/>
  <c r="BB32" i="14"/>
  <c r="G34" i="65"/>
  <c r="BG32" i="14"/>
  <c r="N33" i="29"/>
  <c r="D34" i="46"/>
  <c r="I34" i="46"/>
  <c r="N34" i="46"/>
  <c r="S33" i="14"/>
  <c r="X34" i="46"/>
  <c r="X33" i="14"/>
  <c r="AH34" i="46"/>
  <c r="AC33" i="14"/>
  <c r="AR34" i="46"/>
  <c r="AH33" i="14"/>
  <c r="BB34" i="46"/>
  <c r="AM33" i="14"/>
  <c r="BL34" i="46"/>
  <c r="AR33" i="14"/>
  <c r="G35" i="64"/>
  <c r="AW33" i="14"/>
  <c r="M27" i="53"/>
  <c r="R27" i="53"/>
  <c r="BB33" i="14"/>
  <c r="G35" i="65"/>
  <c r="BG33" i="14"/>
  <c r="N34" i="29"/>
  <c r="D35" i="46"/>
  <c r="I35" i="46"/>
  <c r="N35" i="46"/>
  <c r="S34" i="14"/>
  <c r="X35" i="46"/>
  <c r="X34" i="14"/>
  <c r="AH35" i="46"/>
  <c r="AC34" i="14"/>
  <c r="AR35" i="46"/>
  <c r="AH34" i="14"/>
  <c r="BB35" i="46"/>
  <c r="AM34" i="14"/>
  <c r="BL35" i="46"/>
  <c r="AR34" i="14"/>
  <c r="G36" i="64"/>
  <c r="AW34" i="14"/>
  <c r="M26" i="53"/>
  <c r="H26" i="53"/>
  <c r="R26" i="53"/>
  <c r="BB34" i="14"/>
  <c r="G36" i="65"/>
  <c r="BG34" i="14"/>
  <c r="N35" i="29"/>
  <c r="N31" i="29"/>
  <c r="AP39" i="24"/>
  <c r="Z32" i="25"/>
  <c r="H16" i="23"/>
  <c r="H47" i="23"/>
  <c r="Y47" i="23"/>
  <c r="H48" i="23"/>
  <c r="Y48" i="23"/>
  <c r="H49" i="23"/>
  <c r="Y49" i="23"/>
  <c r="H50" i="23"/>
  <c r="Y50" i="23"/>
  <c r="Y46" i="23"/>
  <c r="AP46" i="23"/>
  <c r="T32" i="25"/>
  <c r="I16" i="23"/>
  <c r="I47" i="23"/>
  <c r="Z47" i="23"/>
  <c r="I48" i="23"/>
  <c r="Z48" i="23"/>
  <c r="I49" i="23"/>
  <c r="Z49" i="23"/>
  <c r="I50" i="23"/>
  <c r="Z50" i="23"/>
  <c r="Z46" i="23"/>
  <c r="AQ46" i="23"/>
  <c r="U32" i="25"/>
  <c r="J16" i="23"/>
  <c r="J47" i="23"/>
  <c r="AA47" i="23"/>
  <c r="J48" i="23"/>
  <c r="AA48" i="23"/>
  <c r="J49" i="23"/>
  <c r="AA49" i="23"/>
  <c r="J50" i="23"/>
  <c r="AA50" i="23"/>
  <c r="AA46" i="23"/>
  <c r="AR46" i="23"/>
  <c r="V32" i="25"/>
  <c r="H16" i="22"/>
  <c r="H47" i="22"/>
  <c r="Y47" i="22"/>
  <c r="H48" i="22"/>
  <c r="Y48" i="22"/>
  <c r="H49" i="22"/>
  <c r="Y49" i="22"/>
  <c r="H50" i="22"/>
  <c r="Y50" i="22"/>
  <c r="Y46" i="22"/>
  <c r="AP46" i="22"/>
  <c r="W32" i="25"/>
  <c r="I16" i="22"/>
  <c r="I47" i="22"/>
  <c r="Z47" i="22"/>
  <c r="I48" i="22"/>
  <c r="Z48" i="22"/>
  <c r="I49" i="22"/>
  <c r="Z49" i="22"/>
  <c r="I50" i="22"/>
  <c r="Z50" i="22"/>
  <c r="Z46" i="22"/>
  <c r="AQ46" i="22"/>
  <c r="X32" i="25"/>
  <c r="J16" i="22"/>
  <c r="J47" i="22"/>
  <c r="AA47" i="22"/>
  <c r="J48" i="22"/>
  <c r="AA48" i="22"/>
  <c r="J49" i="22"/>
  <c r="AA49" i="22"/>
  <c r="J50" i="22"/>
  <c r="AA50" i="22"/>
  <c r="AA46" i="22"/>
  <c r="AR46" i="22"/>
  <c r="Y32" i="25"/>
  <c r="I40" i="24"/>
  <c r="Z40" i="24"/>
  <c r="I41" i="24"/>
  <c r="Z41" i="24"/>
  <c r="I42" i="24"/>
  <c r="Z42" i="24"/>
  <c r="I43" i="24"/>
  <c r="Z43" i="24"/>
  <c r="Z39" i="24"/>
  <c r="AQ39" i="24"/>
  <c r="AA32" i="25"/>
  <c r="AB32" i="25"/>
  <c r="BU32" i="25"/>
  <c r="P109" i="36"/>
  <c r="AP47" i="23"/>
  <c r="T33" i="25"/>
  <c r="AQ47" i="23"/>
  <c r="U33" i="25"/>
  <c r="AR47" i="23"/>
  <c r="V33" i="25"/>
  <c r="AP47" i="22"/>
  <c r="W33" i="25"/>
  <c r="AQ47" i="22"/>
  <c r="X33" i="25"/>
  <c r="AR47" i="22"/>
  <c r="Y33" i="25"/>
  <c r="AP40" i="24"/>
  <c r="Z33" i="25"/>
  <c r="AQ40" i="24"/>
  <c r="AA33" i="25"/>
  <c r="AB33" i="25"/>
  <c r="BL31" i="14"/>
  <c r="P110" i="38"/>
  <c r="AP48" i="23"/>
  <c r="T34" i="25"/>
  <c r="AQ48" i="23"/>
  <c r="U34" i="25"/>
  <c r="AR48" i="23"/>
  <c r="V34" i="25"/>
  <c r="AP48" i="22"/>
  <c r="W34" i="25"/>
  <c r="AQ48" i="22"/>
  <c r="X34" i="25"/>
  <c r="AR48" i="22"/>
  <c r="Y34" i="25"/>
  <c r="AP41" i="24"/>
  <c r="Z34" i="25"/>
  <c r="AQ41" i="24"/>
  <c r="AA34" i="25"/>
  <c r="AB34" i="25"/>
  <c r="BL32" i="14"/>
  <c r="P111" i="38"/>
  <c r="AP49" i="23"/>
  <c r="T35" i="25"/>
  <c r="AQ49" i="23"/>
  <c r="U35" i="25"/>
  <c r="AR49" i="23"/>
  <c r="V35" i="25"/>
  <c r="AP49" i="22"/>
  <c r="W35" i="25"/>
  <c r="AQ49" i="22"/>
  <c r="X35" i="25"/>
  <c r="AR49" i="22"/>
  <c r="Y35" i="25"/>
  <c r="AP42" i="24"/>
  <c r="Z35" i="25"/>
  <c r="AQ42" i="24"/>
  <c r="AA35" i="25"/>
  <c r="AB35" i="25"/>
  <c r="BL33" i="14"/>
  <c r="P112" i="38"/>
  <c r="AP50" i="23"/>
  <c r="T36" i="25"/>
  <c r="AQ50" i="23"/>
  <c r="U36" i="25"/>
  <c r="AR50" i="23"/>
  <c r="V36" i="25"/>
  <c r="AP50" i="22"/>
  <c r="W36" i="25"/>
  <c r="AQ50" i="22"/>
  <c r="X36" i="25"/>
  <c r="AR50" i="22"/>
  <c r="Y36" i="25"/>
  <c r="AP43" i="24"/>
  <c r="Z36" i="25"/>
  <c r="AQ43" i="24"/>
  <c r="AA36" i="25"/>
  <c r="AB36" i="25"/>
  <c r="BL34" i="14"/>
  <c r="P113" i="38"/>
  <c r="P109" i="38"/>
  <c r="P109" i="41"/>
  <c r="P110" i="37"/>
  <c r="P111" i="37"/>
  <c r="P112" i="37"/>
  <c r="P113" i="37"/>
  <c r="P109" i="37"/>
  <c r="P109" i="40"/>
  <c r="P109" i="44"/>
  <c r="BV32" i="25"/>
  <c r="Q109" i="36"/>
  <c r="Q110" i="38"/>
  <c r="Q111" i="38"/>
  <c r="Q112" i="38"/>
  <c r="Q113" i="38"/>
  <c r="Q109" i="38"/>
  <c r="Q109" i="41"/>
  <c r="Q110" i="37"/>
  <c r="Q111" i="37"/>
  <c r="Q112" i="37"/>
  <c r="Q113" i="37"/>
  <c r="Q109" i="37"/>
  <c r="Q109" i="40"/>
  <c r="Q109" i="44"/>
  <c r="R109" i="36"/>
  <c r="S32" i="29"/>
  <c r="R110" i="38"/>
  <c r="S33" i="29"/>
  <c r="R111" i="38"/>
  <c r="S34" i="29"/>
  <c r="R112" i="38"/>
  <c r="S35" i="29"/>
  <c r="R113" i="38"/>
  <c r="R109" i="38"/>
  <c r="R109" i="41"/>
  <c r="R110" i="37"/>
  <c r="R111" i="37"/>
  <c r="R112" i="37"/>
  <c r="R113" i="37"/>
  <c r="R109" i="37"/>
  <c r="R109" i="40"/>
  <c r="R109" i="44"/>
  <c r="AB109" i="44"/>
  <c r="H56" i="26"/>
  <c r="N40" i="26"/>
  <c r="F33" i="21"/>
  <c r="E33" i="21"/>
  <c r="O40" i="26"/>
  <c r="E32" i="29"/>
  <c r="N41" i="30"/>
  <c r="AJ41" i="30"/>
  <c r="O41" i="30"/>
  <c r="AK41" i="30"/>
  <c r="P41" i="30"/>
  <c r="AL41" i="30"/>
  <c r="Q41" i="30"/>
  <c r="AM41" i="30"/>
  <c r="E32" i="45"/>
  <c r="J32" i="45"/>
  <c r="O32" i="45"/>
  <c r="J31" i="14"/>
  <c r="Y32" i="45"/>
  <c r="O31" i="14"/>
  <c r="J32" i="29"/>
  <c r="P40" i="26"/>
  <c r="Q40" i="26"/>
  <c r="Z87" i="26"/>
  <c r="I33" i="31"/>
  <c r="AA87" i="26"/>
  <c r="J33" i="31"/>
  <c r="AX41" i="30"/>
  <c r="K33" i="31"/>
  <c r="AY41" i="30"/>
  <c r="L33" i="31"/>
  <c r="AZ41" i="30"/>
  <c r="M33" i="31"/>
  <c r="BA41" i="30"/>
  <c r="N33" i="31"/>
  <c r="O33" i="31"/>
  <c r="AT33" i="31"/>
  <c r="B72" i="36"/>
  <c r="B72" i="41"/>
  <c r="B72" i="40"/>
  <c r="B72" i="44"/>
  <c r="AU33" i="31"/>
  <c r="C72" i="36"/>
  <c r="C72" i="41"/>
  <c r="C72" i="40"/>
  <c r="C72" i="44"/>
  <c r="U87" i="32"/>
  <c r="E33" i="33"/>
  <c r="V87" i="32"/>
  <c r="F33" i="33"/>
  <c r="G33" i="33"/>
  <c r="V33" i="33"/>
  <c r="H72" i="36"/>
  <c r="H72" i="41"/>
  <c r="H72" i="40"/>
  <c r="H72" i="44"/>
  <c r="W33" i="33"/>
  <c r="I72" i="36"/>
  <c r="I72" i="41"/>
  <c r="I72" i="40"/>
  <c r="I72" i="44"/>
  <c r="BL33" i="25"/>
  <c r="P72" i="36"/>
  <c r="P72" i="41"/>
  <c r="P72" i="40"/>
  <c r="P72" i="44"/>
  <c r="BM33" i="25"/>
  <c r="Q72" i="36"/>
  <c r="Q72" i="41"/>
  <c r="Q72" i="40"/>
  <c r="Q72" i="44"/>
  <c r="R72" i="44"/>
  <c r="AB72" i="44"/>
  <c r="AB87" i="26"/>
  <c r="P33" i="31"/>
  <c r="AC87" i="26"/>
  <c r="Q33" i="31"/>
  <c r="BB41" i="30"/>
  <c r="R33" i="31"/>
  <c r="BC41" i="30"/>
  <c r="S33" i="31"/>
  <c r="BD41" i="30"/>
  <c r="T33" i="31"/>
  <c r="BE41" i="30"/>
  <c r="U33" i="31"/>
  <c r="V33" i="31"/>
  <c r="BA33" i="31"/>
  <c r="B110" i="36"/>
  <c r="B110" i="41"/>
  <c r="B110" i="40"/>
  <c r="B110" i="44"/>
  <c r="BB33" i="31"/>
  <c r="C110" i="36"/>
  <c r="C110" i="41"/>
  <c r="C110" i="40"/>
  <c r="C110" i="44"/>
  <c r="W87" i="32"/>
  <c r="H33" i="33"/>
  <c r="X87" i="32"/>
  <c r="I33" i="33"/>
  <c r="J33" i="33"/>
  <c r="Y33" i="33"/>
  <c r="H110" i="36"/>
  <c r="H110" i="41"/>
  <c r="H110" i="40"/>
  <c r="H110" i="44"/>
  <c r="Z33" i="33"/>
  <c r="I110" i="36"/>
  <c r="I110" i="41"/>
  <c r="I110" i="40"/>
  <c r="I110" i="44"/>
  <c r="BU33" i="25"/>
  <c r="P110" i="36"/>
  <c r="P110" i="41"/>
  <c r="P110" i="40"/>
  <c r="P110" i="44"/>
  <c r="BV33" i="25"/>
  <c r="Q110" i="36"/>
  <c r="Q110" i="41"/>
  <c r="Q110" i="40"/>
  <c r="Q110" i="44"/>
  <c r="R34" i="36"/>
  <c r="R72" i="36"/>
  <c r="R110" i="36"/>
  <c r="R110" i="41"/>
  <c r="R110" i="40"/>
  <c r="R110" i="44"/>
  <c r="AB110" i="44"/>
  <c r="Z88" i="26"/>
  <c r="I34" i="31"/>
  <c r="AA88" i="26"/>
  <c r="J34" i="31"/>
  <c r="AX42" i="30"/>
  <c r="K34" i="31"/>
  <c r="AY42" i="30"/>
  <c r="L34" i="31"/>
  <c r="AZ42" i="30"/>
  <c r="M34" i="31"/>
  <c r="BA42" i="30"/>
  <c r="N34" i="31"/>
  <c r="O34" i="31"/>
  <c r="AT34" i="31"/>
  <c r="B73" i="36"/>
  <c r="B73" i="41"/>
  <c r="B73" i="40"/>
  <c r="B73" i="44"/>
  <c r="AU34" i="31"/>
  <c r="C73" i="36"/>
  <c r="C73" i="41"/>
  <c r="C73" i="40"/>
  <c r="C73" i="44"/>
  <c r="U88" i="32"/>
  <c r="E34" i="33"/>
  <c r="V88" i="32"/>
  <c r="F34" i="33"/>
  <c r="G34" i="33"/>
  <c r="V34" i="33"/>
  <c r="H73" i="36"/>
  <c r="H73" i="41"/>
  <c r="H73" i="40"/>
  <c r="H73" i="44"/>
  <c r="W34" i="33"/>
  <c r="I73" i="36"/>
  <c r="I73" i="41"/>
  <c r="I73" i="40"/>
  <c r="I73" i="44"/>
  <c r="BL34" i="25"/>
  <c r="P73" i="36"/>
  <c r="P73" i="41"/>
  <c r="P73" i="40"/>
  <c r="P73" i="44"/>
  <c r="BM34" i="25"/>
  <c r="Q73" i="36"/>
  <c r="Q73" i="41"/>
  <c r="Q73" i="40"/>
  <c r="Q73" i="44"/>
  <c r="R73" i="44"/>
  <c r="AB73" i="44"/>
  <c r="AB88" i="26"/>
  <c r="P34" i="31"/>
  <c r="AC88" i="26"/>
  <c r="Q34" i="31"/>
  <c r="BB42" i="30"/>
  <c r="R34" i="31"/>
  <c r="BC42" i="30"/>
  <c r="S34" i="31"/>
  <c r="BD42" i="30"/>
  <c r="T34" i="31"/>
  <c r="BE42" i="30"/>
  <c r="U34" i="31"/>
  <c r="V34" i="31"/>
  <c r="BA34" i="31"/>
  <c r="B111" i="36"/>
  <c r="B111" i="41"/>
  <c r="B111" i="40"/>
  <c r="B111" i="44"/>
  <c r="BB34" i="31"/>
  <c r="C111" i="36"/>
  <c r="C111" i="41"/>
  <c r="C111" i="40"/>
  <c r="C111" i="44"/>
  <c r="W88" i="32"/>
  <c r="H34" i="33"/>
  <c r="X88" i="32"/>
  <c r="I34" i="33"/>
  <c r="J34" i="33"/>
  <c r="Y34" i="33"/>
  <c r="H111" i="36"/>
  <c r="H111" i="41"/>
  <c r="H111" i="40"/>
  <c r="H111" i="44"/>
  <c r="Z34" i="33"/>
  <c r="I111" i="36"/>
  <c r="I111" i="41"/>
  <c r="I111" i="40"/>
  <c r="I111" i="44"/>
  <c r="BU34" i="25"/>
  <c r="P111" i="36"/>
  <c r="P111" i="41"/>
  <c r="P111" i="40"/>
  <c r="P111" i="44"/>
  <c r="BV34" i="25"/>
  <c r="Q111" i="36"/>
  <c r="Q111" i="41"/>
  <c r="Q111" i="40"/>
  <c r="Q111" i="44"/>
  <c r="R35" i="36"/>
  <c r="R73" i="36"/>
  <c r="R111" i="36"/>
  <c r="R111" i="41"/>
  <c r="R111" i="40"/>
  <c r="R111" i="44"/>
  <c r="AB111" i="44"/>
  <c r="N41" i="26"/>
  <c r="F34" i="21"/>
  <c r="E34" i="21"/>
  <c r="O41" i="26"/>
  <c r="E33" i="29"/>
  <c r="N42" i="30"/>
  <c r="AJ42" i="30"/>
  <c r="O42" i="30"/>
  <c r="AK42" i="30"/>
  <c r="P42" i="30"/>
  <c r="AL42" i="30"/>
  <c r="Q42" i="30"/>
  <c r="AM42" i="30"/>
  <c r="E33" i="45"/>
  <c r="J33" i="45"/>
  <c r="O33" i="45"/>
  <c r="J32" i="14"/>
  <c r="Y33" i="45"/>
  <c r="O32" i="14"/>
  <c r="J33" i="29"/>
  <c r="P41" i="26"/>
  <c r="Q41" i="26"/>
  <c r="Z89" i="26"/>
  <c r="I35" i="31"/>
  <c r="AA89" i="26"/>
  <c r="J35" i="31"/>
  <c r="AX43" i="30"/>
  <c r="K35" i="31"/>
  <c r="AY43" i="30"/>
  <c r="L35" i="31"/>
  <c r="AZ43" i="30"/>
  <c r="M35" i="31"/>
  <c r="BA43" i="30"/>
  <c r="N35" i="31"/>
  <c r="O35" i="31"/>
  <c r="AT35" i="31"/>
  <c r="B74" i="36"/>
  <c r="B74" i="41"/>
  <c r="B74" i="40"/>
  <c r="B74" i="44"/>
  <c r="AU35" i="31"/>
  <c r="C74" i="36"/>
  <c r="C74" i="41"/>
  <c r="C74" i="40"/>
  <c r="C74" i="44"/>
  <c r="U89" i="32"/>
  <c r="E35" i="33"/>
  <c r="V89" i="32"/>
  <c r="F35" i="33"/>
  <c r="G35" i="33"/>
  <c r="V35" i="33"/>
  <c r="H74" i="36"/>
  <c r="H74" i="41"/>
  <c r="H74" i="40"/>
  <c r="H74" i="44"/>
  <c r="W35" i="33"/>
  <c r="I74" i="36"/>
  <c r="I74" i="41"/>
  <c r="I74" i="40"/>
  <c r="I74" i="44"/>
  <c r="BL35" i="25"/>
  <c r="P74" i="36"/>
  <c r="P74" i="41"/>
  <c r="P74" i="40"/>
  <c r="P74" i="44"/>
  <c r="BM35" i="25"/>
  <c r="Q74" i="36"/>
  <c r="Q74" i="41"/>
  <c r="Q74" i="40"/>
  <c r="Q74" i="44"/>
  <c r="R36" i="36"/>
  <c r="R74" i="36"/>
  <c r="R74" i="41"/>
  <c r="R74" i="40"/>
  <c r="R74" i="44"/>
  <c r="AB74" i="44"/>
  <c r="AB89" i="26"/>
  <c r="P35" i="31"/>
  <c r="AC89" i="26"/>
  <c r="Q35" i="31"/>
  <c r="BB43" i="30"/>
  <c r="R35" i="31"/>
  <c r="BC43" i="30"/>
  <c r="S35" i="31"/>
  <c r="BD43" i="30"/>
  <c r="T35" i="31"/>
  <c r="BE43" i="30"/>
  <c r="U35" i="31"/>
  <c r="V35" i="31"/>
  <c r="BA35" i="31"/>
  <c r="B112" i="36"/>
  <c r="B112" i="41"/>
  <c r="B112" i="40"/>
  <c r="B112" i="44"/>
  <c r="BB35" i="31"/>
  <c r="C112" i="36"/>
  <c r="C112" i="41"/>
  <c r="C112" i="40"/>
  <c r="C112" i="44"/>
  <c r="W89" i="32"/>
  <c r="H35" i="33"/>
  <c r="X89" i="32"/>
  <c r="I35" i="33"/>
  <c r="J35" i="33"/>
  <c r="Y35" i="33"/>
  <c r="H112" i="36"/>
  <c r="H112" i="41"/>
  <c r="H112" i="40"/>
  <c r="H112" i="44"/>
  <c r="Z35" i="33"/>
  <c r="I112" i="36"/>
  <c r="I112" i="41"/>
  <c r="I112" i="40"/>
  <c r="I112" i="44"/>
  <c r="BU35" i="25"/>
  <c r="P112" i="36"/>
  <c r="P112" i="41"/>
  <c r="P112" i="40"/>
  <c r="P112" i="44"/>
  <c r="BV35" i="25"/>
  <c r="Q112" i="36"/>
  <c r="Q112" i="41"/>
  <c r="Q112" i="40"/>
  <c r="Q112" i="44"/>
  <c r="R112" i="36"/>
  <c r="R112" i="41"/>
  <c r="R112" i="40"/>
  <c r="R112" i="44"/>
  <c r="AB112" i="44"/>
  <c r="N42" i="26"/>
  <c r="F35" i="21"/>
  <c r="E35" i="21"/>
  <c r="O42" i="26"/>
  <c r="E34" i="29"/>
  <c r="N43" i="30"/>
  <c r="AJ43" i="30"/>
  <c r="O43" i="30"/>
  <c r="AK43" i="30"/>
  <c r="P43" i="30"/>
  <c r="AL43" i="30"/>
  <c r="Q43" i="30"/>
  <c r="AM43" i="30"/>
  <c r="E34" i="45"/>
  <c r="J34" i="45"/>
  <c r="O34" i="45"/>
  <c r="J33" i="14"/>
  <c r="Y34" i="45"/>
  <c r="O33" i="14"/>
  <c r="J34" i="29"/>
  <c r="P42" i="26"/>
  <c r="Q42" i="26"/>
  <c r="Z90" i="26"/>
  <c r="I36" i="31"/>
  <c r="AA90" i="26"/>
  <c r="J36" i="31"/>
  <c r="AX44" i="30"/>
  <c r="K36" i="31"/>
  <c r="AY44" i="30"/>
  <c r="L36" i="31"/>
  <c r="AZ44" i="30"/>
  <c r="M36" i="31"/>
  <c r="BA44" i="30"/>
  <c r="N36" i="31"/>
  <c r="O36" i="31"/>
  <c r="AT36" i="31"/>
  <c r="B75" i="36"/>
  <c r="B75" i="41"/>
  <c r="B75" i="40"/>
  <c r="B75" i="44"/>
  <c r="AU36" i="31"/>
  <c r="C75" i="36"/>
  <c r="C75" i="41"/>
  <c r="C75" i="40"/>
  <c r="C75" i="44"/>
  <c r="U90" i="32"/>
  <c r="E36" i="33"/>
  <c r="V90" i="32"/>
  <c r="F36" i="33"/>
  <c r="G36" i="33"/>
  <c r="V36" i="33"/>
  <c r="H75" i="36"/>
  <c r="H75" i="41"/>
  <c r="H75" i="40"/>
  <c r="H75" i="44"/>
  <c r="W36" i="33"/>
  <c r="I75" i="36"/>
  <c r="I75" i="41"/>
  <c r="I75" i="40"/>
  <c r="I75" i="44"/>
  <c r="BL36" i="25"/>
  <c r="P75" i="36"/>
  <c r="P75" i="41"/>
  <c r="P75" i="40"/>
  <c r="P75" i="44"/>
  <c r="BM36" i="25"/>
  <c r="Q75" i="36"/>
  <c r="Q75" i="41"/>
  <c r="Q75" i="40"/>
  <c r="Q75" i="44"/>
  <c r="R37" i="36"/>
  <c r="R75" i="36"/>
  <c r="R75" i="41"/>
  <c r="R75" i="40"/>
  <c r="R75" i="44"/>
  <c r="AB75" i="44"/>
  <c r="AB90" i="26"/>
  <c r="P36" i="31"/>
  <c r="AC90" i="26"/>
  <c r="Q36" i="31"/>
  <c r="BB44" i="30"/>
  <c r="R36" i="31"/>
  <c r="BC44" i="30"/>
  <c r="S36" i="31"/>
  <c r="BD44" i="30"/>
  <c r="T36" i="31"/>
  <c r="BE44" i="30"/>
  <c r="U36" i="31"/>
  <c r="V36" i="31"/>
  <c r="BA36" i="31"/>
  <c r="B113" i="36"/>
  <c r="B113" i="41"/>
  <c r="B113" i="40"/>
  <c r="B113" i="44"/>
  <c r="BB36" i="31"/>
  <c r="C113" i="36"/>
  <c r="C113" i="41"/>
  <c r="C113" i="40"/>
  <c r="C113" i="44"/>
  <c r="W90" i="32"/>
  <c r="H36" i="33"/>
  <c r="X90" i="32"/>
  <c r="I36" i="33"/>
  <c r="J36" i="33"/>
  <c r="Y36" i="33"/>
  <c r="H113" i="36"/>
  <c r="H113" i="41"/>
  <c r="H113" i="40"/>
  <c r="H113" i="44"/>
  <c r="Z36" i="33"/>
  <c r="I113" i="36"/>
  <c r="I113" i="41"/>
  <c r="I113" i="40"/>
  <c r="I113" i="44"/>
  <c r="BU36" i="25"/>
  <c r="P113" i="36"/>
  <c r="P113" i="41"/>
  <c r="P113" i="40"/>
  <c r="P113" i="44"/>
  <c r="BV36" i="25"/>
  <c r="Q113" i="36"/>
  <c r="Q113" i="41"/>
  <c r="Q113" i="40"/>
  <c r="Q113" i="44"/>
  <c r="R113" i="36"/>
  <c r="R113" i="41"/>
  <c r="R113" i="40"/>
  <c r="R113" i="44"/>
  <c r="AB113" i="44"/>
  <c r="N43" i="26"/>
  <c r="F36" i="21"/>
  <c r="E36" i="21"/>
  <c r="O43" i="26"/>
  <c r="E35" i="29"/>
  <c r="N44" i="30"/>
  <c r="AJ44" i="30"/>
  <c r="O44" i="30"/>
  <c r="AK44" i="30"/>
  <c r="P44" i="30"/>
  <c r="AL44" i="30"/>
  <c r="Q44" i="30"/>
  <c r="AM44" i="30"/>
  <c r="E35" i="45"/>
  <c r="J35" i="45"/>
  <c r="O35" i="45"/>
  <c r="J34" i="14"/>
  <c r="Y35" i="45"/>
  <c r="O34" i="14"/>
  <c r="J35" i="29"/>
  <c r="P43" i="26"/>
  <c r="Q43" i="26"/>
  <c r="D50" i="26"/>
  <c r="C16" i="76"/>
  <c r="C42" i="76"/>
  <c r="C67" i="76"/>
  <c r="C41" i="76"/>
  <c r="C68" i="76"/>
  <c r="C60" i="76"/>
  <c r="C47" i="76"/>
  <c r="C14" i="76"/>
  <c r="C61" i="76"/>
  <c r="C48" i="76"/>
  <c r="C13" i="76"/>
  <c r="C62" i="76"/>
  <c r="C49" i="76"/>
  <c r="C15" i="76"/>
  <c r="C43" i="76"/>
  <c r="C77" i="76"/>
  <c r="C40" i="76"/>
  <c r="C79" i="76"/>
  <c r="C36" i="76"/>
  <c r="C37" i="76"/>
  <c r="C86" i="76"/>
  <c r="C63" i="76"/>
  <c r="C50" i="76"/>
  <c r="C95" i="76"/>
  <c r="B12" i="77"/>
  <c r="F21" i="26"/>
  <c r="G21" i="26"/>
  <c r="C96" i="76"/>
  <c r="C12" i="77"/>
  <c r="C13" i="13"/>
  <c r="C13" i="29"/>
  <c r="F22" i="30"/>
  <c r="AB22" i="30"/>
  <c r="C71" i="76"/>
  <c r="C72" i="76"/>
  <c r="C73" i="76"/>
  <c r="C111" i="76"/>
  <c r="P12" i="77"/>
  <c r="G22" i="30"/>
  <c r="AC22" i="30"/>
  <c r="C112" i="76"/>
  <c r="Q12" i="77"/>
  <c r="H22" i="30"/>
  <c r="AD22" i="30"/>
  <c r="C113" i="76"/>
  <c r="R12" i="77"/>
  <c r="I22" i="30"/>
  <c r="AE22" i="30"/>
  <c r="C13" i="45"/>
  <c r="H13" i="45"/>
  <c r="M13" i="45"/>
  <c r="H12" i="14"/>
  <c r="W13" i="45"/>
  <c r="M12" i="14"/>
  <c r="H13" i="29"/>
  <c r="H21" i="26"/>
  <c r="I21" i="26"/>
  <c r="D68" i="26"/>
  <c r="F16" i="76"/>
  <c r="F42" i="76"/>
  <c r="F67" i="76"/>
  <c r="F41" i="76"/>
  <c r="F68" i="76"/>
  <c r="F60" i="76"/>
  <c r="F47" i="76"/>
  <c r="F14" i="76"/>
  <c r="F61" i="76"/>
  <c r="F48" i="76"/>
  <c r="F13" i="76"/>
  <c r="F62" i="76"/>
  <c r="F49" i="76"/>
  <c r="F15" i="76"/>
  <c r="F43" i="76"/>
  <c r="F77" i="76"/>
  <c r="F40" i="76"/>
  <c r="F79" i="76"/>
  <c r="F36" i="76"/>
  <c r="F37" i="76"/>
  <c r="F86" i="76"/>
  <c r="F63" i="76"/>
  <c r="F50" i="76"/>
  <c r="F95" i="76"/>
  <c r="B13" i="77"/>
  <c r="F22" i="26"/>
  <c r="G22" i="26"/>
  <c r="F96" i="76"/>
  <c r="C13" i="77"/>
  <c r="C14" i="13"/>
  <c r="C14" i="29"/>
  <c r="F23" i="30"/>
  <c r="AB23" i="30"/>
  <c r="F71" i="76"/>
  <c r="F72" i="76"/>
  <c r="F73" i="76"/>
  <c r="F111" i="76"/>
  <c r="P13" i="77"/>
  <c r="G23" i="30"/>
  <c r="AC23" i="30"/>
  <c r="F112" i="76"/>
  <c r="Q13" i="77"/>
  <c r="H23" i="30"/>
  <c r="AD23" i="30"/>
  <c r="F113" i="76"/>
  <c r="R13" i="77"/>
  <c r="I23" i="30"/>
  <c r="AE23" i="30"/>
  <c r="C14" i="45"/>
  <c r="H14" i="45"/>
  <c r="M14" i="45"/>
  <c r="H13" i="14"/>
  <c r="W14" i="45"/>
  <c r="M13" i="14"/>
  <c r="H14" i="29"/>
  <c r="H22" i="26"/>
  <c r="I22" i="26"/>
  <c r="D69" i="26"/>
  <c r="G16" i="76"/>
  <c r="G42" i="76"/>
  <c r="G67" i="76"/>
  <c r="G41" i="76"/>
  <c r="G68" i="76"/>
  <c r="G60" i="76"/>
  <c r="G47" i="76"/>
  <c r="G14" i="76"/>
  <c r="G61" i="76"/>
  <c r="G48" i="76"/>
  <c r="G13" i="76"/>
  <c r="G62" i="76"/>
  <c r="G49" i="76"/>
  <c r="G15" i="76"/>
  <c r="G43" i="76"/>
  <c r="G77" i="76"/>
  <c r="G40" i="76"/>
  <c r="G79" i="76"/>
  <c r="G36" i="76"/>
  <c r="G37" i="76"/>
  <c r="G86" i="76"/>
  <c r="G63" i="76"/>
  <c r="G50" i="76"/>
  <c r="G95" i="76"/>
  <c r="B14" i="77"/>
  <c r="F23" i="26"/>
  <c r="G23" i="26"/>
  <c r="G96" i="76"/>
  <c r="C14" i="77"/>
  <c r="C15" i="13"/>
  <c r="C15" i="29"/>
  <c r="F24" i="30"/>
  <c r="AB24" i="30"/>
  <c r="G71" i="76"/>
  <c r="G72" i="76"/>
  <c r="G73" i="76"/>
  <c r="G111" i="76"/>
  <c r="P14" i="77"/>
  <c r="G24" i="30"/>
  <c r="AC24" i="30"/>
  <c r="G112" i="76"/>
  <c r="Q14" i="77"/>
  <c r="H24" i="30"/>
  <c r="AD24" i="30"/>
  <c r="G113" i="76"/>
  <c r="R14" i="77"/>
  <c r="I24" i="30"/>
  <c r="AE24" i="30"/>
  <c r="C15" i="45"/>
  <c r="H15" i="45"/>
  <c r="M15" i="45"/>
  <c r="H14" i="14"/>
  <c r="W15" i="45"/>
  <c r="M14" i="14"/>
  <c r="H15" i="29"/>
  <c r="H23" i="26"/>
  <c r="I23" i="26"/>
  <c r="D70" i="26"/>
  <c r="K16" i="76"/>
  <c r="K35" i="76"/>
  <c r="K36" i="76"/>
  <c r="K37" i="76"/>
  <c r="K38" i="76"/>
  <c r="K39" i="76"/>
  <c r="K40" i="76"/>
  <c r="K41" i="76"/>
  <c r="K42" i="76"/>
  <c r="K43" i="76"/>
  <c r="K44" i="76"/>
  <c r="K45" i="76"/>
  <c r="AQ35" i="76"/>
  <c r="AQ38" i="76"/>
  <c r="AQ39" i="76"/>
  <c r="AQ44" i="76"/>
  <c r="K60" i="76"/>
  <c r="K47" i="76"/>
  <c r="K14" i="76"/>
  <c r="K61" i="76"/>
  <c r="K48" i="76"/>
  <c r="K13" i="76"/>
  <c r="K62" i="76"/>
  <c r="K49" i="76"/>
  <c r="K15" i="76"/>
  <c r="K77" i="76"/>
  <c r="K79" i="76"/>
  <c r="K86" i="76"/>
  <c r="K63" i="76"/>
  <c r="K50" i="76"/>
  <c r="K95" i="76"/>
  <c r="B15" i="77"/>
  <c r="F24" i="26"/>
  <c r="G24" i="26"/>
  <c r="K96" i="76"/>
  <c r="C15" i="77"/>
  <c r="C16" i="13"/>
  <c r="C16" i="29"/>
  <c r="F25" i="30"/>
  <c r="AB25" i="30"/>
  <c r="AQ41" i="76"/>
  <c r="K68" i="76"/>
  <c r="K71" i="76"/>
  <c r="K72" i="76"/>
  <c r="K73" i="76"/>
  <c r="K111" i="76"/>
  <c r="P15" i="77"/>
  <c r="G25" i="30"/>
  <c r="AC25" i="30"/>
  <c r="K112" i="76"/>
  <c r="Q15" i="77"/>
  <c r="H25" i="30"/>
  <c r="AD25" i="30"/>
  <c r="K113" i="76"/>
  <c r="R15" i="77"/>
  <c r="I25" i="30"/>
  <c r="AE25" i="30"/>
  <c r="C16" i="45"/>
  <c r="H16" i="45"/>
  <c r="M16" i="45"/>
  <c r="H15" i="14"/>
  <c r="W16" i="45"/>
  <c r="M15" i="14"/>
  <c r="H16" i="29"/>
  <c r="H24" i="26"/>
  <c r="I24" i="26"/>
  <c r="D71" i="26"/>
  <c r="P16" i="76"/>
  <c r="P42" i="76"/>
  <c r="P67" i="76"/>
  <c r="P41" i="76"/>
  <c r="P68" i="76"/>
  <c r="P60" i="76"/>
  <c r="P47" i="76"/>
  <c r="P14" i="76"/>
  <c r="P61" i="76"/>
  <c r="P48" i="76"/>
  <c r="P13" i="76"/>
  <c r="P62" i="76"/>
  <c r="P49" i="76"/>
  <c r="P15" i="76"/>
  <c r="P43" i="76"/>
  <c r="P77" i="76"/>
  <c r="P40" i="76"/>
  <c r="P79" i="76"/>
  <c r="P36" i="76"/>
  <c r="P37" i="76"/>
  <c r="P86" i="76"/>
  <c r="P63" i="76"/>
  <c r="P50" i="76"/>
  <c r="P95" i="76"/>
  <c r="B16" i="77"/>
  <c r="F25" i="26"/>
  <c r="G25" i="26"/>
  <c r="P96" i="76"/>
  <c r="C16" i="77"/>
  <c r="C17" i="13"/>
  <c r="C17" i="29"/>
  <c r="F26" i="30"/>
  <c r="AB26" i="30"/>
  <c r="P71" i="76"/>
  <c r="P72" i="76"/>
  <c r="P73" i="76"/>
  <c r="P111" i="76"/>
  <c r="P16" i="77"/>
  <c r="G26" i="30"/>
  <c r="AC26" i="30"/>
  <c r="P112" i="76"/>
  <c r="Q16" i="77"/>
  <c r="H26" i="30"/>
  <c r="AD26" i="30"/>
  <c r="P113" i="76"/>
  <c r="R16" i="77"/>
  <c r="I26" i="30"/>
  <c r="AE26" i="30"/>
  <c r="C17" i="45"/>
  <c r="H17" i="45"/>
  <c r="M17" i="45"/>
  <c r="H16" i="14"/>
  <c r="W17" i="45"/>
  <c r="M16" i="14"/>
  <c r="H17" i="29"/>
  <c r="H25" i="26"/>
  <c r="I25" i="26"/>
  <c r="D72" i="26"/>
  <c r="R16" i="76"/>
  <c r="R42" i="76"/>
  <c r="R67" i="76"/>
  <c r="R41" i="76"/>
  <c r="R68" i="76"/>
  <c r="R60" i="76"/>
  <c r="R47" i="76"/>
  <c r="R14" i="76"/>
  <c r="R61" i="76"/>
  <c r="R48" i="76"/>
  <c r="R13" i="76"/>
  <c r="R62" i="76"/>
  <c r="R49" i="76"/>
  <c r="R15" i="76"/>
  <c r="R43" i="76"/>
  <c r="R77" i="76"/>
  <c r="R40" i="76"/>
  <c r="R79" i="76"/>
  <c r="R36" i="76"/>
  <c r="R37" i="76"/>
  <c r="R86" i="76"/>
  <c r="R63" i="76"/>
  <c r="R50" i="76"/>
  <c r="R95" i="76"/>
  <c r="B17" i="77"/>
  <c r="F26" i="26"/>
  <c r="G26" i="26"/>
  <c r="R96" i="76"/>
  <c r="C17" i="77"/>
  <c r="C18" i="13"/>
  <c r="C18" i="29"/>
  <c r="F27" i="30"/>
  <c r="AB27" i="30"/>
  <c r="R71" i="76"/>
  <c r="R72" i="76"/>
  <c r="R73" i="76"/>
  <c r="R111" i="76"/>
  <c r="P17" i="77"/>
  <c r="G27" i="30"/>
  <c r="AC27" i="30"/>
  <c r="R112" i="76"/>
  <c r="Q17" i="77"/>
  <c r="H27" i="30"/>
  <c r="AD27" i="30"/>
  <c r="R113" i="76"/>
  <c r="R17" i="77"/>
  <c r="I27" i="30"/>
  <c r="AE27" i="30"/>
  <c r="C18" i="45"/>
  <c r="H18" i="45"/>
  <c r="M18" i="45"/>
  <c r="H17" i="14"/>
  <c r="W18" i="45"/>
  <c r="M17" i="14"/>
  <c r="H18" i="29"/>
  <c r="H26" i="26"/>
  <c r="I26" i="26"/>
  <c r="D73" i="26"/>
  <c r="S16" i="76"/>
  <c r="S42" i="76"/>
  <c r="S67" i="76"/>
  <c r="S41" i="76"/>
  <c r="S68" i="76"/>
  <c r="S60" i="76"/>
  <c r="S47" i="76"/>
  <c r="S14" i="76"/>
  <c r="S61" i="76"/>
  <c r="S48" i="76"/>
  <c r="S13" i="76"/>
  <c r="S62" i="76"/>
  <c r="S49" i="76"/>
  <c r="S15" i="76"/>
  <c r="S43" i="76"/>
  <c r="S77" i="76"/>
  <c r="S40" i="76"/>
  <c r="S79" i="76"/>
  <c r="S36" i="76"/>
  <c r="S37" i="76"/>
  <c r="S86" i="76"/>
  <c r="S63" i="76"/>
  <c r="S50" i="76"/>
  <c r="S95" i="76"/>
  <c r="B18" i="77"/>
  <c r="F27" i="26"/>
  <c r="G27" i="26"/>
  <c r="S96" i="76"/>
  <c r="C18" i="77"/>
  <c r="C19" i="13"/>
  <c r="C19" i="29"/>
  <c r="F28" i="30"/>
  <c r="AB28" i="30"/>
  <c r="S71" i="76"/>
  <c r="S72" i="76"/>
  <c r="S73" i="76"/>
  <c r="S111" i="76"/>
  <c r="P18" i="77"/>
  <c r="G28" i="30"/>
  <c r="AC28" i="30"/>
  <c r="S112" i="76"/>
  <c r="Q18" i="77"/>
  <c r="H28" i="30"/>
  <c r="AD28" i="30"/>
  <c r="S113" i="76"/>
  <c r="R18" i="77"/>
  <c r="I28" i="30"/>
  <c r="AE28" i="30"/>
  <c r="C19" i="45"/>
  <c r="H19" i="45"/>
  <c r="M19" i="45"/>
  <c r="H18" i="14"/>
  <c r="W19" i="45"/>
  <c r="M18" i="14"/>
  <c r="H19" i="29"/>
  <c r="H27" i="26"/>
  <c r="I27" i="26"/>
  <c r="D74" i="26"/>
  <c r="U16" i="76"/>
  <c r="U42" i="76"/>
  <c r="U67" i="76"/>
  <c r="U41" i="76"/>
  <c r="U68" i="76"/>
  <c r="U60" i="76"/>
  <c r="U47" i="76"/>
  <c r="U14" i="76"/>
  <c r="U61" i="76"/>
  <c r="U48" i="76"/>
  <c r="U13" i="76"/>
  <c r="U62" i="76"/>
  <c r="U49" i="76"/>
  <c r="U15" i="76"/>
  <c r="U43" i="76"/>
  <c r="U77" i="76"/>
  <c r="U40" i="76"/>
  <c r="U79" i="76"/>
  <c r="U36" i="76"/>
  <c r="U37" i="76"/>
  <c r="U86" i="76"/>
  <c r="U63" i="76"/>
  <c r="U50" i="76"/>
  <c r="U95" i="76"/>
  <c r="B19" i="77"/>
  <c r="F28" i="26"/>
  <c r="G28" i="26"/>
  <c r="U96" i="76"/>
  <c r="C19" i="77"/>
  <c r="C20" i="13"/>
  <c r="C20" i="29"/>
  <c r="F29" i="30"/>
  <c r="AB29" i="30"/>
  <c r="U71" i="76"/>
  <c r="U72" i="76"/>
  <c r="U73" i="76"/>
  <c r="U111" i="76"/>
  <c r="P19" i="77"/>
  <c r="G29" i="30"/>
  <c r="AC29" i="30"/>
  <c r="U112" i="76"/>
  <c r="Q19" i="77"/>
  <c r="H29" i="30"/>
  <c r="AD29" i="30"/>
  <c r="U113" i="76"/>
  <c r="R19" i="77"/>
  <c r="I29" i="30"/>
  <c r="AE29" i="30"/>
  <c r="C20" i="45"/>
  <c r="H20" i="45"/>
  <c r="M20" i="45"/>
  <c r="H19" i="14"/>
  <c r="W20" i="45"/>
  <c r="M19" i="14"/>
  <c r="H20" i="29"/>
  <c r="H28" i="26"/>
  <c r="I28" i="26"/>
  <c r="D75" i="26"/>
  <c r="AA16" i="76"/>
  <c r="AA42" i="76"/>
  <c r="AA67" i="76"/>
  <c r="AA41" i="76"/>
  <c r="AA68" i="76"/>
  <c r="AA60" i="76"/>
  <c r="AA47" i="76"/>
  <c r="AA14" i="76"/>
  <c r="AA61" i="76"/>
  <c r="AA48" i="76"/>
  <c r="AA13" i="76"/>
  <c r="AA62" i="76"/>
  <c r="AA49" i="76"/>
  <c r="AA15" i="76"/>
  <c r="AA43" i="76"/>
  <c r="AA77" i="76"/>
  <c r="AA40" i="76"/>
  <c r="AA79" i="76"/>
  <c r="AA36" i="76"/>
  <c r="AA37" i="76"/>
  <c r="AA86" i="76"/>
  <c r="AA63" i="76"/>
  <c r="AA50" i="76"/>
  <c r="AA95" i="76"/>
  <c r="B20" i="77"/>
  <c r="F29" i="26"/>
  <c r="G29" i="26"/>
  <c r="AA96" i="76"/>
  <c r="C20" i="77"/>
  <c r="C21" i="13"/>
  <c r="C21" i="29"/>
  <c r="F30" i="30"/>
  <c r="AB30" i="30"/>
  <c r="AA71" i="76"/>
  <c r="AA72" i="76"/>
  <c r="AA73" i="76"/>
  <c r="AA111" i="76"/>
  <c r="P20" i="77"/>
  <c r="G30" i="30"/>
  <c r="AC30" i="30"/>
  <c r="AA112" i="76"/>
  <c r="Q20" i="77"/>
  <c r="H30" i="30"/>
  <c r="AD30" i="30"/>
  <c r="AA113" i="76"/>
  <c r="R20" i="77"/>
  <c r="I30" i="30"/>
  <c r="AE30" i="30"/>
  <c r="C21" i="45"/>
  <c r="H21" i="45"/>
  <c r="M21" i="45"/>
  <c r="H20" i="14"/>
  <c r="W21" i="45"/>
  <c r="M20" i="14"/>
  <c r="H21" i="29"/>
  <c r="H29" i="26"/>
  <c r="I29" i="26"/>
  <c r="D76" i="26"/>
  <c r="D67" i="26"/>
  <c r="C12" i="29"/>
  <c r="Z67" i="26"/>
  <c r="I13" i="31"/>
  <c r="E50" i="26"/>
  <c r="C52" i="76"/>
  <c r="C53" i="76"/>
  <c r="C54" i="76"/>
  <c r="C55" i="76"/>
  <c r="C101" i="76"/>
  <c r="H12" i="77"/>
  <c r="AA21" i="26"/>
  <c r="C102" i="76"/>
  <c r="I12" i="77"/>
  <c r="AB21" i="26"/>
  <c r="AC21" i="26"/>
  <c r="E68" i="26"/>
  <c r="F52" i="76"/>
  <c r="F53" i="76"/>
  <c r="F54" i="76"/>
  <c r="F55" i="76"/>
  <c r="F101" i="76"/>
  <c r="H13" i="77"/>
  <c r="AA22" i="26"/>
  <c r="F102" i="76"/>
  <c r="I13" i="77"/>
  <c r="AB22" i="26"/>
  <c r="AC22" i="26"/>
  <c r="E69" i="26"/>
  <c r="G52" i="76"/>
  <c r="G53" i="76"/>
  <c r="G54" i="76"/>
  <c r="G55" i="76"/>
  <c r="G101" i="76"/>
  <c r="H14" i="77"/>
  <c r="AA23" i="26"/>
  <c r="G102" i="76"/>
  <c r="I14" i="77"/>
  <c r="AB23" i="26"/>
  <c r="AC23" i="26"/>
  <c r="E70" i="26"/>
  <c r="K52" i="76"/>
  <c r="K53" i="76"/>
  <c r="K54" i="76"/>
  <c r="K55" i="76"/>
  <c r="K101" i="76"/>
  <c r="H15" i="77"/>
  <c r="AA24" i="26"/>
  <c r="K102" i="76"/>
  <c r="I15" i="77"/>
  <c r="AB24" i="26"/>
  <c r="AC24" i="26"/>
  <c r="E71" i="26"/>
  <c r="P52" i="76"/>
  <c r="P53" i="76"/>
  <c r="P54" i="76"/>
  <c r="P55" i="76"/>
  <c r="P101" i="76"/>
  <c r="H16" i="77"/>
  <c r="AA25" i="26"/>
  <c r="P102" i="76"/>
  <c r="I16" i="77"/>
  <c r="AB25" i="26"/>
  <c r="AC25" i="26"/>
  <c r="E72" i="26"/>
  <c r="R52" i="76"/>
  <c r="R53" i="76"/>
  <c r="R54" i="76"/>
  <c r="R55" i="76"/>
  <c r="R101" i="76"/>
  <c r="H17" i="77"/>
  <c r="AA26" i="26"/>
  <c r="R102" i="76"/>
  <c r="I17" i="77"/>
  <c r="AB26" i="26"/>
  <c r="AC26" i="26"/>
  <c r="E73" i="26"/>
  <c r="S52" i="76"/>
  <c r="S53" i="76"/>
  <c r="S54" i="76"/>
  <c r="S55" i="76"/>
  <c r="S101" i="76"/>
  <c r="H18" i="77"/>
  <c r="AA27" i="26"/>
  <c r="S102" i="76"/>
  <c r="I18" i="77"/>
  <c r="AB27" i="26"/>
  <c r="AC27" i="26"/>
  <c r="E74" i="26"/>
  <c r="U52" i="76"/>
  <c r="U53" i="76"/>
  <c r="U54" i="76"/>
  <c r="U55" i="76"/>
  <c r="U101" i="76"/>
  <c r="H19" i="77"/>
  <c r="AA28" i="26"/>
  <c r="U102" i="76"/>
  <c r="I19" i="77"/>
  <c r="AB28" i="26"/>
  <c r="AC28" i="26"/>
  <c r="E75" i="26"/>
  <c r="AA52" i="76"/>
  <c r="AA53" i="76"/>
  <c r="AA54" i="76"/>
  <c r="AA55" i="76"/>
  <c r="AA101" i="76"/>
  <c r="H20" i="77"/>
  <c r="AA29" i="26"/>
  <c r="AA102" i="76"/>
  <c r="I20" i="77"/>
  <c r="AB29" i="26"/>
  <c r="AC29" i="26"/>
  <c r="E76" i="26"/>
  <c r="E67" i="26"/>
  <c r="AA67" i="26"/>
  <c r="J13" i="31"/>
  <c r="AB21" i="30"/>
  <c r="AX21" i="30"/>
  <c r="K13" i="31"/>
  <c r="AC21" i="30"/>
  <c r="AY21" i="30"/>
  <c r="L13" i="31"/>
  <c r="AD21" i="30"/>
  <c r="AZ21" i="30"/>
  <c r="M13" i="31"/>
  <c r="AE21" i="30"/>
  <c r="BA21" i="30"/>
  <c r="N13" i="31"/>
  <c r="O13" i="31"/>
  <c r="AT13" i="31"/>
  <c r="B52" i="36"/>
  <c r="B53" i="38"/>
  <c r="B54" i="38"/>
  <c r="B55" i="38"/>
  <c r="B56" i="38"/>
  <c r="B57" i="38"/>
  <c r="B58" i="38"/>
  <c r="B59" i="38"/>
  <c r="B60" i="38"/>
  <c r="B61" i="38"/>
  <c r="B52" i="38"/>
  <c r="B52" i="41"/>
  <c r="B53" i="37"/>
  <c r="B54" i="37"/>
  <c r="B55" i="37"/>
  <c r="B56" i="37"/>
  <c r="B57" i="37"/>
  <c r="B58" i="37"/>
  <c r="B59" i="37"/>
  <c r="B60" i="37"/>
  <c r="B61" i="37"/>
  <c r="B52" i="37"/>
  <c r="B52" i="40"/>
  <c r="B52" i="44"/>
  <c r="AU13" i="31"/>
  <c r="C52" i="36"/>
  <c r="C53" i="38"/>
  <c r="C54" i="38"/>
  <c r="C55" i="38"/>
  <c r="C56" i="38"/>
  <c r="C57" i="38"/>
  <c r="C58" i="38"/>
  <c r="C59" i="38"/>
  <c r="C60" i="38"/>
  <c r="C61" i="38"/>
  <c r="C52" i="38"/>
  <c r="C52" i="41"/>
  <c r="C53" i="37"/>
  <c r="C54" i="37"/>
  <c r="C55" i="37"/>
  <c r="C56" i="37"/>
  <c r="C57" i="37"/>
  <c r="C58" i="37"/>
  <c r="C59" i="37"/>
  <c r="C60" i="37"/>
  <c r="C61" i="37"/>
  <c r="C52" i="37"/>
  <c r="C52" i="40"/>
  <c r="C52" i="44"/>
  <c r="D50" i="32"/>
  <c r="C97" i="76"/>
  <c r="D12" i="77"/>
  <c r="E21" i="32"/>
  <c r="F21" i="32"/>
  <c r="G21" i="32"/>
  <c r="D68" i="32"/>
  <c r="F97" i="76"/>
  <c r="D13" i="77"/>
  <c r="E22" i="32"/>
  <c r="F22" i="32"/>
  <c r="G22" i="32"/>
  <c r="D69" i="32"/>
  <c r="G97" i="76"/>
  <c r="D14" i="77"/>
  <c r="E23" i="32"/>
  <c r="F23" i="32"/>
  <c r="G23" i="32"/>
  <c r="D70" i="32"/>
  <c r="K97" i="76"/>
  <c r="D15" i="77"/>
  <c r="E24" i="32"/>
  <c r="F24" i="32"/>
  <c r="G24" i="32"/>
  <c r="D71" i="32"/>
  <c r="P97" i="76"/>
  <c r="D16" i="77"/>
  <c r="E25" i="32"/>
  <c r="F25" i="32"/>
  <c r="G25" i="32"/>
  <c r="D72" i="32"/>
  <c r="R97" i="76"/>
  <c r="D17" i="77"/>
  <c r="E26" i="32"/>
  <c r="F26" i="32"/>
  <c r="G26" i="32"/>
  <c r="D73" i="32"/>
  <c r="S97" i="76"/>
  <c r="D18" i="77"/>
  <c r="E27" i="32"/>
  <c r="F27" i="32"/>
  <c r="G27" i="32"/>
  <c r="D74" i="32"/>
  <c r="U97" i="76"/>
  <c r="D19" i="77"/>
  <c r="E28" i="32"/>
  <c r="F28" i="32"/>
  <c r="G28" i="32"/>
  <c r="D75" i="32"/>
  <c r="AA97" i="76"/>
  <c r="D20" i="77"/>
  <c r="E29" i="32"/>
  <c r="F29" i="32"/>
  <c r="G29" i="32"/>
  <c r="D76" i="32"/>
  <c r="D67" i="32"/>
  <c r="H12" i="29"/>
  <c r="U67" i="32"/>
  <c r="E13" i="33"/>
  <c r="E50" i="32"/>
  <c r="C103" i="76"/>
  <c r="J12" i="77"/>
  <c r="V21" i="32"/>
  <c r="W21" i="32"/>
  <c r="X21" i="32"/>
  <c r="E68" i="32"/>
  <c r="F103" i="76"/>
  <c r="J13" i="77"/>
  <c r="V22" i="32"/>
  <c r="W22" i="32"/>
  <c r="X22" i="32"/>
  <c r="E69" i="32"/>
  <c r="G103" i="76"/>
  <c r="J14" i="77"/>
  <c r="V23" i="32"/>
  <c r="W23" i="32"/>
  <c r="X23" i="32"/>
  <c r="E70" i="32"/>
  <c r="K103" i="76"/>
  <c r="J15" i="77"/>
  <c r="V24" i="32"/>
  <c r="W24" i="32"/>
  <c r="X24" i="32"/>
  <c r="E71" i="32"/>
  <c r="P103" i="76"/>
  <c r="J16" i="77"/>
  <c r="V25" i="32"/>
  <c r="W25" i="32"/>
  <c r="X25" i="32"/>
  <c r="E72" i="32"/>
  <c r="R103" i="76"/>
  <c r="J17" i="77"/>
  <c r="V26" i="32"/>
  <c r="W26" i="32"/>
  <c r="X26" i="32"/>
  <c r="E73" i="32"/>
  <c r="S103" i="76"/>
  <c r="J18" i="77"/>
  <c r="V27" i="32"/>
  <c r="W27" i="32"/>
  <c r="X27" i="32"/>
  <c r="E74" i="32"/>
  <c r="U103" i="76"/>
  <c r="J19" i="77"/>
  <c r="V28" i="32"/>
  <c r="W28" i="32"/>
  <c r="X28" i="32"/>
  <c r="E75" i="32"/>
  <c r="AA103" i="76"/>
  <c r="J20" i="77"/>
  <c r="V29" i="32"/>
  <c r="W29" i="32"/>
  <c r="X29" i="32"/>
  <c r="E76" i="32"/>
  <c r="E67" i="32"/>
  <c r="V67" i="32"/>
  <c r="F13" i="33"/>
  <c r="G13" i="33"/>
  <c r="V13" i="33"/>
  <c r="H52" i="36"/>
  <c r="H53" i="38"/>
  <c r="H54" i="38"/>
  <c r="H55" i="38"/>
  <c r="H56" i="38"/>
  <c r="H57" i="38"/>
  <c r="H58" i="38"/>
  <c r="H59" i="38"/>
  <c r="H60" i="38"/>
  <c r="H61" i="38"/>
  <c r="H52" i="38"/>
  <c r="H52" i="41"/>
  <c r="H53" i="37"/>
  <c r="H54" i="37"/>
  <c r="H55" i="37"/>
  <c r="H56" i="37"/>
  <c r="H57" i="37"/>
  <c r="H58" i="37"/>
  <c r="H59" i="37"/>
  <c r="H60" i="37"/>
  <c r="H61" i="37"/>
  <c r="H52" i="37"/>
  <c r="H52" i="40"/>
  <c r="H52" i="44"/>
  <c r="W13" i="33"/>
  <c r="I52" i="36"/>
  <c r="I53" i="38"/>
  <c r="I54" i="38"/>
  <c r="I55" i="38"/>
  <c r="I56" i="38"/>
  <c r="I57" i="38"/>
  <c r="I58" i="38"/>
  <c r="I59" i="38"/>
  <c r="I60" i="38"/>
  <c r="I61" i="38"/>
  <c r="I52" i="38"/>
  <c r="I52" i="41"/>
  <c r="I53" i="37"/>
  <c r="I54" i="37"/>
  <c r="I55" i="37"/>
  <c r="I56" i="37"/>
  <c r="I57" i="37"/>
  <c r="I58" i="37"/>
  <c r="I59" i="37"/>
  <c r="I60" i="37"/>
  <c r="I61" i="37"/>
  <c r="I52" i="37"/>
  <c r="I52" i="40"/>
  <c r="I52" i="44"/>
  <c r="C98" i="76"/>
  <c r="E12" i="77"/>
  <c r="E21" i="24"/>
  <c r="V21" i="24"/>
  <c r="F98" i="76"/>
  <c r="E13" i="77"/>
  <c r="E22" i="24"/>
  <c r="V22" i="24"/>
  <c r="G98" i="76"/>
  <c r="E14" i="77"/>
  <c r="E23" i="24"/>
  <c r="V23" i="24"/>
  <c r="K98" i="76"/>
  <c r="E15" i="77"/>
  <c r="E24" i="24"/>
  <c r="V24" i="24"/>
  <c r="P98" i="76"/>
  <c r="E16" i="77"/>
  <c r="E25" i="24"/>
  <c r="V25" i="24"/>
  <c r="R98" i="76"/>
  <c r="E17" i="77"/>
  <c r="E26" i="24"/>
  <c r="V26" i="24"/>
  <c r="S98" i="76"/>
  <c r="E18" i="77"/>
  <c r="E27" i="24"/>
  <c r="V27" i="24"/>
  <c r="U98" i="76"/>
  <c r="E19" i="77"/>
  <c r="E28" i="24"/>
  <c r="V28" i="24"/>
  <c r="AA98" i="76"/>
  <c r="E20" i="77"/>
  <c r="E29" i="24"/>
  <c r="V29" i="24"/>
  <c r="V20" i="24"/>
  <c r="C13" i="46"/>
  <c r="H13" i="46"/>
  <c r="M13" i="46"/>
  <c r="R12" i="14"/>
  <c r="W13" i="46"/>
  <c r="W12" i="14"/>
  <c r="AG13" i="46"/>
  <c r="AB12" i="14"/>
  <c r="AQ13" i="46"/>
  <c r="AG12" i="14"/>
  <c r="BA13" i="46"/>
  <c r="AL12" i="14"/>
  <c r="BK13" i="46"/>
  <c r="AQ12" i="14"/>
  <c r="C14" i="64"/>
  <c r="F14" i="64"/>
  <c r="AV12" i="14"/>
  <c r="L22" i="53"/>
  <c r="Q22" i="53"/>
  <c r="BA12" i="14"/>
  <c r="C14" i="65"/>
  <c r="F14" i="65"/>
  <c r="BF12" i="14"/>
  <c r="M13" i="29"/>
  <c r="C14" i="46"/>
  <c r="H14" i="46"/>
  <c r="M14" i="46"/>
  <c r="R13" i="14"/>
  <c r="W14" i="46"/>
  <c r="W13" i="14"/>
  <c r="AG14" i="46"/>
  <c r="AB13" i="14"/>
  <c r="AQ14" i="46"/>
  <c r="AG13" i="14"/>
  <c r="BA14" i="46"/>
  <c r="AL13" i="14"/>
  <c r="BK14" i="46"/>
  <c r="AQ13" i="14"/>
  <c r="C15" i="64"/>
  <c r="F15" i="64"/>
  <c r="AV13" i="14"/>
  <c r="L11" i="53"/>
  <c r="Q11" i="53"/>
  <c r="BA13" i="14"/>
  <c r="C15" i="65"/>
  <c r="F15" i="65"/>
  <c r="BF13" i="14"/>
  <c r="M14" i="29"/>
  <c r="C15" i="46"/>
  <c r="H15" i="46"/>
  <c r="M15" i="46"/>
  <c r="R14" i="14"/>
  <c r="W15" i="46"/>
  <c r="W14" i="14"/>
  <c r="AG15" i="46"/>
  <c r="AB14" i="14"/>
  <c r="AQ15" i="46"/>
  <c r="AG14" i="14"/>
  <c r="BA15" i="46"/>
  <c r="AL14" i="14"/>
  <c r="BK15" i="46"/>
  <c r="AQ14" i="14"/>
  <c r="C16" i="64"/>
  <c r="F16" i="64"/>
  <c r="AV14" i="14"/>
  <c r="L20" i="53"/>
  <c r="Q20" i="53"/>
  <c r="BA14" i="14"/>
  <c r="C16" i="65"/>
  <c r="F16" i="65"/>
  <c r="BF14" i="14"/>
  <c r="M15" i="29"/>
  <c r="C16" i="46"/>
  <c r="H16" i="46"/>
  <c r="M16" i="46"/>
  <c r="R15" i="14"/>
  <c r="W16" i="46"/>
  <c r="W15" i="14"/>
  <c r="AG16" i="46"/>
  <c r="AB15" i="14"/>
  <c r="AQ16" i="46"/>
  <c r="AG15" i="14"/>
  <c r="BA16" i="46"/>
  <c r="AL15" i="14"/>
  <c r="BK16" i="46"/>
  <c r="AQ15" i="14"/>
  <c r="C17" i="64"/>
  <c r="F17" i="64"/>
  <c r="AV15" i="14"/>
  <c r="L18" i="53"/>
  <c r="E18" i="53"/>
  <c r="G18" i="53"/>
  <c r="Q18" i="53"/>
  <c r="BA15" i="14"/>
  <c r="C17" i="65"/>
  <c r="F17" i="65"/>
  <c r="BF15" i="14"/>
  <c r="M16" i="29"/>
  <c r="C17" i="46"/>
  <c r="H17" i="46"/>
  <c r="M17" i="46"/>
  <c r="R16" i="14"/>
  <c r="W17" i="46"/>
  <c r="W16" i="14"/>
  <c r="AG17" i="46"/>
  <c r="AB16" i="14"/>
  <c r="AQ17" i="46"/>
  <c r="AG16" i="14"/>
  <c r="BA17" i="46"/>
  <c r="AL16" i="14"/>
  <c r="BK17" i="46"/>
  <c r="AQ16" i="14"/>
  <c r="C18" i="64"/>
  <c r="F18" i="64"/>
  <c r="AV16" i="14"/>
  <c r="L23" i="53"/>
  <c r="E23" i="53"/>
  <c r="G23" i="53"/>
  <c r="Q23" i="53"/>
  <c r="BA16" i="14"/>
  <c r="C18" i="65"/>
  <c r="F18" i="65"/>
  <c r="BF16" i="14"/>
  <c r="M17" i="29"/>
  <c r="C18" i="46"/>
  <c r="H18" i="46"/>
  <c r="M18" i="46"/>
  <c r="R17" i="14"/>
  <c r="W18" i="46"/>
  <c r="W17" i="14"/>
  <c r="AG18" i="46"/>
  <c r="AB17" i="14"/>
  <c r="AQ18" i="46"/>
  <c r="AG17" i="14"/>
  <c r="BA18" i="46"/>
  <c r="AL17" i="14"/>
  <c r="BK18" i="46"/>
  <c r="AQ17" i="14"/>
  <c r="C19" i="64"/>
  <c r="F19" i="64"/>
  <c r="AV17" i="14"/>
  <c r="L24" i="53"/>
  <c r="E24" i="53"/>
  <c r="G24" i="53"/>
  <c r="Q24" i="53"/>
  <c r="BA17" i="14"/>
  <c r="C19" i="65"/>
  <c r="F19" i="65"/>
  <c r="BF17" i="14"/>
  <c r="M18" i="29"/>
  <c r="C19" i="46"/>
  <c r="H19" i="46"/>
  <c r="M19" i="46"/>
  <c r="R18" i="14"/>
  <c r="W19" i="46"/>
  <c r="W18" i="14"/>
  <c r="AG19" i="46"/>
  <c r="AB18" i="14"/>
  <c r="AQ19" i="46"/>
  <c r="AG18" i="14"/>
  <c r="BA19" i="46"/>
  <c r="AL18" i="14"/>
  <c r="BK19" i="46"/>
  <c r="AQ18" i="14"/>
  <c r="C20" i="64"/>
  <c r="F20" i="64"/>
  <c r="AV18" i="14"/>
  <c r="L19" i="53"/>
  <c r="E19" i="53"/>
  <c r="G19" i="53"/>
  <c r="Q19" i="53"/>
  <c r="BA18" i="14"/>
  <c r="C20" i="65"/>
  <c r="F20" i="65"/>
  <c r="BF18" i="14"/>
  <c r="M19" i="29"/>
  <c r="C20" i="46"/>
  <c r="H20" i="46"/>
  <c r="M20" i="46"/>
  <c r="R19" i="14"/>
  <c r="W20" i="46"/>
  <c r="W19" i="14"/>
  <c r="AG20" i="46"/>
  <c r="AB19" i="14"/>
  <c r="AQ20" i="46"/>
  <c r="AG19" i="14"/>
  <c r="BA20" i="46"/>
  <c r="AL19" i="14"/>
  <c r="BK20" i="46"/>
  <c r="AQ19" i="14"/>
  <c r="C21" i="64"/>
  <c r="F21" i="64"/>
  <c r="AV19" i="14"/>
  <c r="L21" i="53"/>
  <c r="E21" i="53"/>
  <c r="G21" i="53"/>
  <c r="Q21" i="53"/>
  <c r="BA19" i="14"/>
  <c r="C21" i="65"/>
  <c r="F21" i="65"/>
  <c r="BF19" i="14"/>
  <c r="M20" i="29"/>
  <c r="C21" i="46"/>
  <c r="H21" i="46"/>
  <c r="M21" i="46"/>
  <c r="R20" i="14"/>
  <c r="W21" i="46"/>
  <c r="W20" i="14"/>
  <c r="AG21" i="46"/>
  <c r="AB20" i="14"/>
  <c r="AQ21" i="46"/>
  <c r="AG20" i="14"/>
  <c r="BA21" i="46"/>
  <c r="AL20" i="14"/>
  <c r="BK21" i="46"/>
  <c r="AQ20" i="14"/>
  <c r="C22" i="64"/>
  <c r="F22" i="64"/>
  <c r="AV20" i="14"/>
  <c r="L12" i="53"/>
  <c r="E12" i="53"/>
  <c r="G12" i="53"/>
  <c r="Q12" i="53"/>
  <c r="BA20" i="14"/>
  <c r="C22" i="65"/>
  <c r="F22" i="65"/>
  <c r="BF20" i="14"/>
  <c r="M21" i="29"/>
  <c r="M12" i="29"/>
  <c r="AM20" i="24"/>
  <c r="Q13" i="25"/>
  <c r="E10" i="23"/>
  <c r="C88" i="76"/>
  <c r="C89" i="76"/>
  <c r="C126" i="76"/>
  <c r="AA12" i="77"/>
  <c r="E28" i="23"/>
  <c r="V28" i="23"/>
  <c r="F88" i="76"/>
  <c r="F89" i="76"/>
  <c r="F126" i="76"/>
  <c r="AA13" i="77"/>
  <c r="E29" i="23"/>
  <c r="V29" i="23"/>
  <c r="G88" i="76"/>
  <c r="G89" i="76"/>
  <c r="G126" i="76"/>
  <c r="AA14" i="77"/>
  <c r="E30" i="23"/>
  <c r="V30" i="23"/>
  <c r="K88" i="76"/>
  <c r="K89" i="76"/>
  <c r="K126" i="76"/>
  <c r="AA15" i="77"/>
  <c r="E31" i="23"/>
  <c r="V31" i="23"/>
  <c r="P88" i="76"/>
  <c r="P89" i="76"/>
  <c r="P126" i="76"/>
  <c r="AA16" i="77"/>
  <c r="E32" i="23"/>
  <c r="V32" i="23"/>
  <c r="R88" i="76"/>
  <c r="R89" i="76"/>
  <c r="R126" i="76"/>
  <c r="AA17" i="77"/>
  <c r="E33" i="23"/>
  <c r="V33" i="23"/>
  <c r="S88" i="76"/>
  <c r="S89" i="76"/>
  <c r="S126" i="76"/>
  <c r="AA18" i="77"/>
  <c r="E34" i="23"/>
  <c r="V34" i="23"/>
  <c r="U88" i="76"/>
  <c r="U89" i="76"/>
  <c r="U126" i="76"/>
  <c r="AA19" i="77"/>
  <c r="E35" i="23"/>
  <c r="V35" i="23"/>
  <c r="AA88" i="76"/>
  <c r="AA89" i="76"/>
  <c r="AA126" i="76"/>
  <c r="AA20" i="77"/>
  <c r="E36" i="23"/>
  <c r="V36" i="23"/>
  <c r="V27" i="23"/>
  <c r="AM27" i="23"/>
  <c r="K13" i="25"/>
  <c r="C10" i="23"/>
  <c r="F10" i="23"/>
  <c r="C127" i="76"/>
  <c r="AB12" i="77"/>
  <c r="F28" i="23"/>
  <c r="W28" i="23"/>
  <c r="F127" i="76"/>
  <c r="AB13" i="77"/>
  <c r="F29" i="23"/>
  <c r="W29" i="23"/>
  <c r="G127" i="76"/>
  <c r="AB14" i="77"/>
  <c r="F30" i="23"/>
  <c r="W30" i="23"/>
  <c r="K127" i="76"/>
  <c r="AB15" i="77"/>
  <c r="F31" i="23"/>
  <c r="W31" i="23"/>
  <c r="P127" i="76"/>
  <c r="AB16" i="77"/>
  <c r="F32" i="23"/>
  <c r="W32" i="23"/>
  <c r="R127" i="76"/>
  <c r="AB17" i="77"/>
  <c r="F33" i="23"/>
  <c r="W33" i="23"/>
  <c r="S127" i="76"/>
  <c r="AB18" i="77"/>
  <c r="F34" i="23"/>
  <c r="W34" i="23"/>
  <c r="U127" i="76"/>
  <c r="AB19" i="77"/>
  <c r="F35" i="23"/>
  <c r="W35" i="23"/>
  <c r="AA127" i="76"/>
  <c r="AB20" i="77"/>
  <c r="F36" i="23"/>
  <c r="W36" i="23"/>
  <c r="W27" i="23"/>
  <c r="AN27" i="23"/>
  <c r="L13" i="25"/>
  <c r="G10" i="23"/>
  <c r="G28" i="23"/>
  <c r="X28" i="23"/>
  <c r="G29" i="23"/>
  <c r="X29" i="23"/>
  <c r="G30" i="23"/>
  <c r="X30" i="23"/>
  <c r="G31" i="23"/>
  <c r="X31" i="23"/>
  <c r="G32" i="23"/>
  <c r="X32" i="23"/>
  <c r="G33" i="23"/>
  <c r="X33" i="23"/>
  <c r="G34" i="23"/>
  <c r="X34" i="23"/>
  <c r="G35" i="23"/>
  <c r="X35" i="23"/>
  <c r="G36" i="23"/>
  <c r="X36" i="23"/>
  <c r="X27" i="23"/>
  <c r="AO27" i="23"/>
  <c r="M13" i="25"/>
  <c r="E10" i="22"/>
  <c r="E28" i="22"/>
  <c r="V28" i="22"/>
  <c r="E29" i="22"/>
  <c r="V29" i="22"/>
  <c r="E30" i="22"/>
  <c r="V30" i="22"/>
  <c r="E31" i="22"/>
  <c r="V31" i="22"/>
  <c r="E32" i="22"/>
  <c r="V32" i="22"/>
  <c r="E33" i="22"/>
  <c r="V33" i="22"/>
  <c r="E34" i="22"/>
  <c r="V34" i="22"/>
  <c r="E35" i="22"/>
  <c r="V35" i="22"/>
  <c r="E36" i="22"/>
  <c r="V36" i="22"/>
  <c r="V27" i="22"/>
  <c r="AM27" i="22"/>
  <c r="N13" i="25"/>
  <c r="F10" i="22"/>
  <c r="C82" i="76"/>
  <c r="C81" i="76"/>
  <c r="C119" i="76"/>
  <c r="V12" i="77"/>
  <c r="F28" i="22"/>
  <c r="W28" i="22"/>
  <c r="F82" i="76"/>
  <c r="F81" i="76"/>
  <c r="F119" i="76"/>
  <c r="V13" i="77"/>
  <c r="F29" i="22"/>
  <c r="W29" i="22"/>
  <c r="G82" i="76"/>
  <c r="G81" i="76"/>
  <c r="G119" i="76"/>
  <c r="V14" i="77"/>
  <c r="F30" i="22"/>
  <c r="W30" i="22"/>
  <c r="K82" i="76"/>
  <c r="K81" i="76"/>
  <c r="K119" i="76"/>
  <c r="V15" i="77"/>
  <c r="F31" i="22"/>
  <c r="W31" i="22"/>
  <c r="P82" i="76"/>
  <c r="P81" i="76"/>
  <c r="P119" i="76"/>
  <c r="V16" i="77"/>
  <c r="F32" i="22"/>
  <c r="W32" i="22"/>
  <c r="R82" i="76"/>
  <c r="R81" i="76"/>
  <c r="R119" i="76"/>
  <c r="V17" i="77"/>
  <c r="F33" i="22"/>
  <c r="W33" i="22"/>
  <c r="S82" i="76"/>
  <c r="S81" i="76"/>
  <c r="S119" i="76"/>
  <c r="V18" i="77"/>
  <c r="F34" i="22"/>
  <c r="W34" i="22"/>
  <c r="U82" i="76"/>
  <c r="U81" i="76"/>
  <c r="U119" i="76"/>
  <c r="V19" i="77"/>
  <c r="F35" i="22"/>
  <c r="W35" i="22"/>
  <c r="AA82" i="76"/>
  <c r="AA81" i="76"/>
  <c r="AA119" i="76"/>
  <c r="V20" i="77"/>
  <c r="F36" i="22"/>
  <c r="W36" i="22"/>
  <c r="W27" i="22"/>
  <c r="AN27" i="22"/>
  <c r="O13" i="25"/>
  <c r="G10" i="22"/>
  <c r="C118" i="76"/>
  <c r="U12" i="77"/>
  <c r="G28" i="22"/>
  <c r="X28" i="22"/>
  <c r="F118" i="76"/>
  <c r="U13" i="77"/>
  <c r="G29" i="22"/>
  <c r="X29" i="22"/>
  <c r="G118" i="76"/>
  <c r="U14" i="77"/>
  <c r="G30" i="22"/>
  <c r="X30" i="22"/>
  <c r="K118" i="76"/>
  <c r="U15" i="77"/>
  <c r="G31" i="22"/>
  <c r="X31" i="22"/>
  <c r="P118" i="76"/>
  <c r="U16" i="77"/>
  <c r="G32" i="22"/>
  <c r="X32" i="22"/>
  <c r="R118" i="76"/>
  <c r="U17" i="77"/>
  <c r="G33" i="22"/>
  <c r="X33" i="22"/>
  <c r="S118" i="76"/>
  <c r="U18" i="77"/>
  <c r="G34" i="22"/>
  <c r="X34" i="22"/>
  <c r="U118" i="76"/>
  <c r="U19" i="77"/>
  <c r="G35" i="22"/>
  <c r="X35" i="22"/>
  <c r="AA118" i="76"/>
  <c r="U20" i="77"/>
  <c r="G36" i="22"/>
  <c r="X36" i="22"/>
  <c r="X27" i="22"/>
  <c r="AO27" i="22"/>
  <c r="P13" i="25"/>
  <c r="C104" i="76"/>
  <c r="K12" i="77"/>
  <c r="F21" i="24"/>
  <c r="W21" i="24"/>
  <c r="F104" i="76"/>
  <c r="K13" i="77"/>
  <c r="F22" i="24"/>
  <c r="W22" i="24"/>
  <c r="G104" i="76"/>
  <c r="K14" i="77"/>
  <c r="F23" i="24"/>
  <c r="W23" i="24"/>
  <c r="K104" i="76"/>
  <c r="K15" i="77"/>
  <c r="F24" i="24"/>
  <c r="W24" i="24"/>
  <c r="P104" i="76"/>
  <c r="K16" i="77"/>
  <c r="F25" i="24"/>
  <c r="W25" i="24"/>
  <c r="R104" i="76"/>
  <c r="K17" i="77"/>
  <c r="F26" i="24"/>
  <c r="W26" i="24"/>
  <c r="S104" i="76"/>
  <c r="K18" i="77"/>
  <c r="F27" i="24"/>
  <c r="W27" i="24"/>
  <c r="U104" i="76"/>
  <c r="K19" i="77"/>
  <c r="F28" i="24"/>
  <c r="W28" i="24"/>
  <c r="AA104" i="76"/>
  <c r="K20" i="77"/>
  <c r="F29" i="24"/>
  <c r="W29" i="24"/>
  <c r="W20" i="24"/>
  <c r="AN20" i="24"/>
  <c r="R13" i="25"/>
  <c r="S13" i="25"/>
  <c r="BL13" i="25"/>
  <c r="P52" i="36"/>
  <c r="AM28" i="23"/>
  <c r="K14" i="25"/>
  <c r="AN28" i="23"/>
  <c r="L14" i="25"/>
  <c r="AO28" i="23"/>
  <c r="M14" i="25"/>
  <c r="AM28" i="22"/>
  <c r="N14" i="25"/>
  <c r="AN28" i="22"/>
  <c r="O14" i="25"/>
  <c r="AO28" i="22"/>
  <c r="P14" i="25"/>
  <c r="AM21" i="24"/>
  <c r="Q14" i="25"/>
  <c r="AN21" i="24"/>
  <c r="R14" i="25"/>
  <c r="S14" i="25"/>
  <c r="BK12" i="14"/>
  <c r="P53" i="38"/>
  <c r="AM29" i="23"/>
  <c r="K15" i="25"/>
  <c r="AN29" i="23"/>
  <c r="L15" i="25"/>
  <c r="AO29" i="23"/>
  <c r="M15" i="25"/>
  <c r="AM29" i="22"/>
  <c r="N15" i="25"/>
  <c r="AN29" i="22"/>
  <c r="O15" i="25"/>
  <c r="AO29" i="22"/>
  <c r="P15" i="25"/>
  <c r="AM22" i="24"/>
  <c r="Q15" i="25"/>
  <c r="AN22" i="24"/>
  <c r="R15" i="25"/>
  <c r="S15" i="25"/>
  <c r="BK13" i="14"/>
  <c r="P54" i="38"/>
  <c r="AM30" i="23"/>
  <c r="K16" i="25"/>
  <c r="AN30" i="23"/>
  <c r="L16" i="25"/>
  <c r="AO30" i="23"/>
  <c r="M16" i="25"/>
  <c r="AM30" i="22"/>
  <c r="N16" i="25"/>
  <c r="AN30" i="22"/>
  <c r="O16" i="25"/>
  <c r="AO30" i="22"/>
  <c r="P16" i="25"/>
  <c r="AM23" i="24"/>
  <c r="Q16" i="25"/>
  <c r="AN23" i="24"/>
  <c r="R16" i="25"/>
  <c r="S16" i="25"/>
  <c r="BK14" i="14"/>
  <c r="P55" i="38"/>
  <c r="AM31" i="23"/>
  <c r="K17" i="25"/>
  <c r="AN31" i="23"/>
  <c r="L17" i="25"/>
  <c r="AO31" i="23"/>
  <c r="M17" i="25"/>
  <c r="AM31" i="22"/>
  <c r="N17" i="25"/>
  <c r="AN31" i="22"/>
  <c r="O17" i="25"/>
  <c r="AO31" i="22"/>
  <c r="P17" i="25"/>
  <c r="AM24" i="24"/>
  <c r="Q17" i="25"/>
  <c r="AN24" i="24"/>
  <c r="R17" i="25"/>
  <c r="S17" i="25"/>
  <c r="BK15" i="14"/>
  <c r="P56" i="38"/>
  <c r="AM32" i="23"/>
  <c r="K18" i="25"/>
  <c r="AN32" i="23"/>
  <c r="L18" i="25"/>
  <c r="AO32" i="23"/>
  <c r="M18" i="25"/>
  <c r="AM32" i="22"/>
  <c r="N18" i="25"/>
  <c r="AN32" i="22"/>
  <c r="O18" i="25"/>
  <c r="AO32" i="22"/>
  <c r="P18" i="25"/>
  <c r="AM25" i="24"/>
  <c r="Q18" i="25"/>
  <c r="AN25" i="24"/>
  <c r="R18" i="25"/>
  <c r="S18" i="25"/>
  <c r="BK16" i="14"/>
  <c r="P57" i="38"/>
  <c r="AM33" i="23"/>
  <c r="K19" i="25"/>
  <c r="AN33" i="23"/>
  <c r="L19" i="25"/>
  <c r="AO33" i="23"/>
  <c r="M19" i="25"/>
  <c r="AM33" i="22"/>
  <c r="N19" i="25"/>
  <c r="AN33" i="22"/>
  <c r="O19" i="25"/>
  <c r="AO33" i="22"/>
  <c r="P19" i="25"/>
  <c r="AM26" i="24"/>
  <c r="Q19" i="25"/>
  <c r="AN26" i="24"/>
  <c r="R19" i="25"/>
  <c r="S19" i="25"/>
  <c r="BK17" i="14"/>
  <c r="P58" i="38"/>
  <c r="AM34" i="23"/>
  <c r="K20" i="25"/>
  <c r="AN34" i="23"/>
  <c r="L20" i="25"/>
  <c r="AO34" i="23"/>
  <c r="M20" i="25"/>
  <c r="AM34" i="22"/>
  <c r="N20" i="25"/>
  <c r="AN34" i="22"/>
  <c r="O20" i="25"/>
  <c r="AO34" i="22"/>
  <c r="P20" i="25"/>
  <c r="AM27" i="24"/>
  <c r="Q20" i="25"/>
  <c r="AN27" i="24"/>
  <c r="R20" i="25"/>
  <c r="S20" i="25"/>
  <c r="BK18" i="14"/>
  <c r="P59" i="38"/>
  <c r="AM35" i="23"/>
  <c r="K21" i="25"/>
  <c r="AN35" i="23"/>
  <c r="L21" i="25"/>
  <c r="AO35" i="23"/>
  <c r="M21" i="25"/>
  <c r="AM35" i="22"/>
  <c r="N21" i="25"/>
  <c r="AN35" i="22"/>
  <c r="O21" i="25"/>
  <c r="AO35" i="22"/>
  <c r="P21" i="25"/>
  <c r="AM28" i="24"/>
  <c r="Q21" i="25"/>
  <c r="AN28" i="24"/>
  <c r="R21" i="25"/>
  <c r="S21" i="25"/>
  <c r="BK19" i="14"/>
  <c r="P60" i="38"/>
  <c r="AM36" i="23"/>
  <c r="K22" i="25"/>
  <c r="AN36" i="23"/>
  <c r="L22" i="25"/>
  <c r="AO36" i="23"/>
  <c r="M22" i="25"/>
  <c r="AM36" i="22"/>
  <c r="N22" i="25"/>
  <c r="AN36" i="22"/>
  <c r="O22" i="25"/>
  <c r="AO36" i="22"/>
  <c r="P22" i="25"/>
  <c r="AM29" i="24"/>
  <c r="Q22" i="25"/>
  <c r="AN29" i="24"/>
  <c r="R22" i="25"/>
  <c r="S22" i="25"/>
  <c r="BK20" i="14"/>
  <c r="P61" i="38"/>
  <c r="P52" i="38"/>
  <c r="P52" i="41"/>
  <c r="P53" i="37"/>
  <c r="P54" i="37"/>
  <c r="P55" i="37"/>
  <c r="P56" i="37"/>
  <c r="P57" i="37"/>
  <c r="P58" i="37"/>
  <c r="P59" i="37"/>
  <c r="P60" i="37"/>
  <c r="P61" i="37"/>
  <c r="P52" i="37"/>
  <c r="P52" i="40"/>
  <c r="P52" i="44"/>
  <c r="BM13" i="25"/>
  <c r="Q52" i="36"/>
  <c r="Q53" i="38"/>
  <c r="Q54" i="38"/>
  <c r="Q55" i="38"/>
  <c r="Q56" i="38"/>
  <c r="Q57" i="38"/>
  <c r="Q58" i="38"/>
  <c r="Q59" i="38"/>
  <c r="Q60" i="38"/>
  <c r="Q61" i="38"/>
  <c r="Q52" i="38"/>
  <c r="Q52" i="41"/>
  <c r="Q53" i="37"/>
  <c r="Q54" i="37"/>
  <c r="Q55" i="37"/>
  <c r="Q56" i="37"/>
  <c r="Q57" i="37"/>
  <c r="Q58" i="37"/>
  <c r="Q59" i="37"/>
  <c r="Q60" i="37"/>
  <c r="Q61" i="37"/>
  <c r="Q52" i="37"/>
  <c r="Q52" i="40"/>
  <c r="Q52" i="44"/>
  <c r="R14" i="36"/>
  <c r="R52" i="36"/>
  <c r="R13" i="29"/>
  <c r="R53" i="38"/>
  <c r="R14" i="29"/>
  <c r="R54" i="38"/>
  <c r="R15" i="29"/>
  <c r="R55" i="38"/>
  <c r="R16" i="29"/>
  <c r="R56" i="38"/>
  <c r="R17" i="29"/>
  <c r="R57" i="38"/>
  <c r="R18" i="29"/>
  <c r="R58" i="38"/>
  <c r="R19" i="29"/>
  <c r="R59" i="38"/>
  <c r="R20" i="29"/>
  <c r="R60" i="38"/>
  <c r="R21" i="29"/>
  <c r="R61" i="38"/>
  <c r="R52" i="38"/>
  <c r="R52" i="41"/>
  <c r="R53" i="37"/>
  <c r="R54" i="37"/>
  <c r="R55" i="37"/>
  <c r="R56" i="37"/>
  <c r="R57" i="37"/>
  <c r="R58" i="37"/>
  <c r="R59" i="37"/>
  <c r="R60" i="37"/>
  <c r="R61" i="37"/>
  <c r="R52" i="37"/>
  <c r="R52" i="40"/>
  <c r="R52" i="44"/>
  <c r="AB52" i="44"/>
  <c r="F50" i="26"/>
  <c r="J21" i="26"/>
  <c r="I14" i="21"/>
  <c r="D14" i="21"/>
  <c r="K21" i="26"/>
  <c r="D13" i="29"/>
  <c r="J22" i="30"/>
  <c r="AF22" i="30"/>
  <c r="K22" i="30"/>
  <c r="AG22" i="30"/>
  <c r="L22" i="30"/>
  <c r="AH22" i="30"/>
  <c r="M22" i="30"/>
  <c r="AI22" i="30"/>
  <c r="D13" i="45"/>
  <c r="I13" i="45"/>
  <c r="N13" i="45"/>
  <c r="I12" i="14"/>
  <c r="X13" i="45"/>
  <c r="N12" i="14"/>
  <c r="I13" i="29"/>
  <c r="L21" i="26"/>
  <c r="M21" i="26"/>
  <c r="F68" i="26"/>
  <c r="J22" i="26"/>
  <c r="I15" i="21"/>
  <c r="D15" i="21"/>
  <c r="K22" i="26"/>
  <c r="D14" i="29"/>
  <c r="J23" i="30"/>
  <c r="AF23" i="30"/>
  <c r="K23" i="30"/>
  <c r="AG23" i="30"/>
  <c r="L23" i="30"/>
  <c r="AH23" i="30"/>
  <c r="M23" i="30"/>
  <c r="AI23" i="30"/>
  <c r="D14" i="45"/>
  <c r="I14" i="45"/>
  <c r="N14" i="45"/>
  <c r="I13" i="14"/>
  <c r="X14" i="45"/>
  <c r="N13" i="14"/>
  <c r="I14" i="29"/>
  <c r="L22" i="26"/>
  <c r="M22" i="26"/>
  <c r="F69" i="26"/>
  <c r="J23" i="26"/>
  <c r="I16" i="21"/>
  <c r="D16" i="21"/>
  <c r="K23" i="26"/>
  <c r="D15" i="29"/>
  <c r="J24" i="30"/>
  <c r="AF24" i="30"/>
  <c r="K24" i="30"/>
  <c r="AG24" i="30"/>
  <c r="L24" i="30"/>
  <c r="AH24" i="30"/>
  <c r="M24" i="30"/>
  <c r="AI24" i="30"/>
  <c r="D15" i="45"/>
  <c r="I15" i="45"/>
  <c r="N15" i="45"/>
  <c r="I14" i="14"/>
  <c r="X15" i="45"/>
  <c r="N14" i="14"/>
  <c r="I15" i="29"/>
  <c r="L23" i="26"/>
  <c r="M23" i="26"/>
  <c r="F70" i="26"/>
  <c r="J24" i="26"/>
  <c r="I17" i="21"/>
  <c r="D17" i="21"/>
  <c r="K24" i="26"/>
  <c r="D16" i="29"/>
  <c r="J25" i="30"/>
  <c r="AF25" i="30"/>
  <c r="K25" i="30"/>
  <c r="AG25" i="30"/>
  <c r="L25" i="30"/>
  <c r="AH25" i="30"/>
  <c r="M25" i="30"/>
  <c r="AI25" i="30"/>
  <c r="D16" i="45"/>
  <c r="I16" i="45"/>
  <c r="N16" i="45"/>
  <c r="I15" i="14"/>
  <c r="X16" i="45"/>
  <c r="N15" i="14"/>
  <c r="I16" i="29"/>
  <c r="L24" i="26"/>
  <c r="M24" i="26"/>
  <c r="F71" i="26"/>
  <c r="J25" i="26"/>
  <c r="I18" i="21"/>
  <c r="D18" i="21"/>
  <c r="K25" i="26"/>
  <c r="D17" i="29"/>
  <c r="J26" i="30"/>
  <c r="AF26" i="30"/>
  <c r="K26" i="30"/>
  <c r="AG26" i="30"/>
  <c r="L26" i="30"/>
  <c r="AH26" i="30"/>
  <c r="M26" i="30"/>
  <c r="AI26" i="30"/>
  <c r="D17" i="45"/>
  <c r="I17" i="45"/>
  <c r="N17" i="45"/>
  <c r="I16" i="14"/>
  <c r="X17" i="45"/>
  <c r="N16" i="14"/>
  <c r="I17" i="29"/>
  <c r="L25" i="26"/>
  <c r="M25" i="26"/>
  <c r="F72" i="26"/>
  <c r="J26" i="26"/>
  <c r="I19" i="21"/>
  <c r="D19" i="21"/>
  <c r="K26" i="26"/>
  <c r="D18" i="29"/>
  <c r="J27" i="30"/>
  <c r="AF27" i="30"/>
  <c r="K27" i="30"/>
  <c r="AG27" i="30"/>
  <c r="L27" i="30"/>
  <c r="AH27" i="30"/>
  <c r="M27" i="30"/>
  <c r="AI27" i="30"/>
  <c r="D18" i="45"/>
  <c r="I18" i="45"/>
  <c r="N18" i="45"/>
  <c r="I17" i="14"/>
  <c r="X18" i="45"/>
  <c r="N17" i="14"/>
  <c r="I18" i="29"/>
  <c r="L26" i="26"/>
  <c r="M26" i="26"/>
  <c r="F73" i="26"/>
  <c r="J27" i="26"/>
  <c r="I20" i="21"/>
  <c r="D20" i="21"/>
  <c r="K27" i="26"/>
  <c r="D19" i="29"/>
  <c r="J28" i="30"/>
  <c r="AF28" i="30"/>
  <c r="K28" i="30"/>
  <c r="AG28" i="30"/>
  <c r="L28" i="30"/>
  <c r="AH28" i="30"/>
  <c r="M28" i="30"/>
  <c r="AI28" i="30"/>
  <c r="D19" i="45"/>
  <c r="I19" i="45"/>
  <c r="N19" i="45"/>
  <c r="I18" i="14"/>
  <c r="X19" i="45"/>
  <c r="N18" i="14"/>
  <c r="I19" i="29"/>
  <c r="L27" i="26"/>
  <c r="M27" i="26"/>
  <c r="F74" i="26"/>
  <c r="J28" i="26"/>
  <c r="I21" i="21"/>
  <c r="D21" i="21"/>
  <c r="K28" i="26"/>
  <c r="D20" i="29"/>
  <c r="J29" i="30"/>
  <c r="AF29" i="30"/>
  <c r="K29" i="30"/>
  <c r="AG29" i="30"/>
  <c r="L29" i="30"/>
  <c r="AH29" i="30"/>
  <c r="M29" i="30"/>
  <c r="AI29" i="30"/>
  <c r="D20" i="45"/>
  <c r="I20" i="45"/>
  <c r="N20" i="45"/>
  <c r="I19" i="14"/>
  <c r="X20" i="45"/>
  <c r="N19" i="14"/>
  <c r="I20" i="29"/>
  <c r="L28" i="26"/>
  <c r="M28" i="26"/>
  <c r="F75" i="26"/>
  <c r="J29" i="26"/>
  <c r="I22" i="21"/>
  <c r="D22" i="21"/>
  <c r="K29" i="26"/>
  <c r="D21" i="29"/>
  <c r="J30" i="30"/>
  <c r="AF30" i="30"/>
  <c r="K30" i="30"/>
  <c r="AG30" i="30"/>
  <c r="L30" i="30"/>
  <c r="AH30" i="30"/>
  <c r="M30" i="30"/>
  <c r="AI30" i="30"/>
  <c r="D21" i="45"/>
  <c r="I21" i="45"/>
  <c r="N21" i="45"/>
  <c r="I20" i="14"/>
  <c r="X21" i="45"/>
  <c r="N20" i="14"/>
  <c r="I21" i="29"/>
  <c r="L29" i="26"/>
  <c r="M29" i="26"/>
  <c r="F76" i="26"/>
  <c r="F67" i="26"/>
  <c r="D12" i="29"/>
  <c r="AB67" i="26"/>
  <c r="P13" i="31"/>
  <c r="G50" i="26"/>
  <c r="AD21" i="26"/>
  <c r="AE21" i="26"/>
  <c r="AF21" i="26"/>
  <c r="G68" i="26"/>
  <c r="AD22" i="26"/>
  <c r="AE22" i="26"/>
  <c r="AF22" i="26"/>
  <c r="G69" i="26"/>
  <c r="AD23" i="26"/>
  <c r="AE23" i="26"/>
  <c r="AF23" i="26"/>
  <c r="G70" i="26"/>
  <c r="AD24" i="26"/>
  <c r="AE24" i="26"/>
  <c r="AF24" i="26"/>
  <c r="G71" i="26"/>
  <c r="AD25" i="26"/>
  <c r="AE25" i="26"/>
  <c r="AF25" i="26"/>
  <c r="G72" i="26"/>
  <c r="AD26" i="26"/>
  <c r="AE26" i="26"/>
  <c r="AF26" i="26"/>
  <c r="G73" i="26"/>
  <c r="AD27" i="26"/>
  <c r="AE27" i="26"/>
  <c r="AF27" i="26"/>
  <c r="G74" i="26"/>
  <c r="AD28" i="26"/>
  <c r="AE28" i="26"/>
  <c r="AF28" i="26"/>
  <c r="G75" i="26"/>
  <c r="AD29" i="26"/>
  <c r="AE29" i="26"/>
  <c r="AF29" i="26"/>
  <c r="G76" i="26"/>
  <c r="G67" i="26"/>
  <c r="AC67" i="26"/>
  <c r="Q13" i="31"/>
  <c r="AF21" i="30"/>
  <c r="BB21" i="30"/>
  <c r="R13" i="31"/>
  <c r="AG21" i="30"/>
  <c r="BC21" i="30"/>
  <c r="S13" i="31"/>
  <c r="AH21" i="30"/>
  <c r="BD21" i="30"/>
  <c r="T13" i="31"/>
  <c r="AI21" i="30"/>
  <c r="BE21" i="30"/>
  <c r="U13" i="31"/>
  <c r="V13" i="31"/>
  <c r="BA13" i="31"/>
  <c r="B90" i="36"/>
  <c r="B91" i="38"/>
  <c r="B92" i="38"/>
  <c r="B93" i="38"/>
  <c r="B94" i="38"/>
  <c r="B95" i="38"/>
  <c r="B96" i="38"/>
  <c r="B97" i="38"/>
  <c r="B98" i="38"/>
  <c r="B99" i="38"/>
  <c r="B90" i="38"/>
  <c r="B90" i="41"/>
  <c r="B91" i="37"/>
  <c r="B92" i="37"/>
  <c r="B93" i="37"/>
  <c r="B94" i="37"/>
  <c r="B95" i="37"/>
  <c r="B96" i="37"/>
  <c r="B97" i="37"/>
  <c r="B98" i="37"/>
  <c r="B99" i="37"/>
  <c r="B90" i="37"/>
  <c r="B90" i="40"/>
  <c r="B90" i="44"/>
  <c r="BB13" i="31"/>
  <c r="C90" i="36"/>
  <c r="C91" i="38"/>
  <c r="C92" i="38"/>
  <c r="C93" i="38"/>
  <c r="C94" i="38"/>
  <c r="C95" i="38"/>
  <c r="C96" i="38"/>
  <c r="C97" i="38"/>
  <c r="C98" i="38"/>
  <c r="C99" i="38"/>
  <c r="C90" i="38"/>
  <c r="C90" i="41"/>
  <c r="C91" i="37"/>
  <c r="C92" i="37"/>
  <c r="C93" i="37"/>
  <c r="C94" i="37"/>
  <c r="C95" i="37"/>
  <c r="C96" i="37"/>
  <c r="C97" i="37"/>
  <c r="C98" i="37"/>
  <c r="C99" i="37"/>
  <c r="C90" i="37"/>
  <c r="C90" i="40"/>
  <c r="C90" i="44"/>
  <c r="F50" i="32"/>
  <c r="H21" i="32"/>
  <c r="I21" i="32"/>
  <c r="J21" i="32"/>
  <c r="F68" i="32"/>
  <c r="H22" i="32"/>
  <c r="I22" i="32"/>
  <c r="J22" i="32"/>
  <c r="F69" i="32"/>
  <c r="H23" i="32"/>
  <c r="I23" i="32"/>
  <c r="J23" i="32"/>
  <c r="F70" i="32"/>
  <c r="H24" i="32"/>
  <c r="I24" i="32"/>
  <c r="J24" i="32"/>
  <c r="F71" i="32"/>
  <c r="H25" i="32"/>
  <c r="I25" i="32"/>
  <c r="J25" i="32"/>
  <c r="F72" i="32"/>
  <c r="H26" i="32"/>
  <c r="I26" i="32"/>
  <c r="J26" i="32"/>
  <c r="F73" i="32"/>
  <c r="H27" i="32"/>
  <c r="I27" i="32"/>
  <c r="J27" i="32"/>
  <c r="F74" i="32"/>
  <c r="H28" i="32"/>
  <c r="I28" i="32"/>
  <c r="J28" i="32"/>
  <c r="F75" i="32"/>
  <c r="H29" i="32"/>
  <c r="I29" i="32"/>
  <c r="J29" i="32"/>
  <c r="F76" i="32"/>
  <c r="F67" i="32"/>
  <c r="I12" i="29"/>
  <c r="W67" i="32"/>
  <c r="H13" i="33"/>
  <c r="G50" i="32"/>
  <c r="Y21" i="32"/>
  <c r="Z21" i="32"/>
  <c r="AA21" i="32"/>
  <c r="G68" i="32"/>
  <c r="Y22" i="32"/>
  <c r="Z22" i="32"/>
  <c r="AA22" i="32"/>
  <c r="G69" i="32"/>
  <c r="Y23" i="32"/>
  <c r="Z23" i="32"/>
  <c r="AA23" i="32"/>
  <c r="G70" i="32"/>
  <c r="Y24" i="32"/>
  <c r="Z24" i="32"/>
  <c r="AA24" i="32"/>
  <c r="G71" i="32"/>
  <c r="Y25" i="32"/>
  <c r="Z25" i="32"/>
  <c r="AA25" i="32"/>
  <c r="G72" i="32"/>
  <c r="Y26" i="32"/>
  <c r="Z26" i="32"/>
  <c r="AA26" i="32"/>
  <c r="G73" i="32"/>
  <c r="Y27" i="32"/>
  <c r="Z27" i="32"/>
  <c r="AA27" i="32"/>
  <c r="G74" i="32"/>
  <c r="Y28" i="32"/>
  <c r="Z28" i="32"/>
  <c r="AA28" i="32"/>
  <c r="G75" i="32"/>
  <c r="Y29" i="32"/>
  <c r="Z29" i="32"/>
  <c r="AA29" i="32"/>
  <c r="G76" i="32"/>
  <c r="G67" i="32"/>
  <c r="X67" i="32"/>
  <c r="I13" i="33"/>
  <c r="J13" i="33"/>
  <c r="Y13" i="33"/>
  <c r="H90" i="36"/>
  <c r="H91" i="38"/>
  <c r="H92" i="38"/>
  <c r="H93" i="38"/>
  <c r="H94" i="38"/>
  <c r="H95" i="38"/>
  <c r="H96" i="38"/>
  <c r="H97" i="38"/>
  <c r="H98" i="38"/>
  <c r="H99" i="38"/>
  <c r="H90" i="38"/>
  <c r="H90" i="41"/>
  <c r="H91" i="37"/>
  <c r="H92" i="37"/>
  <c r="H93" i="37"/>
  <c r="H94" i="37"/>
  <c r="H95" i="37"/>
  <c r="H96" i="37"/>
  <c r="H97" i="37"/>
  <c r="H98" i="37"/>
  <c r="H99" i="37"/>
  <c r="H90" i="37"/>
  <c r="H90" i="40"/>
  <c r="H90" i="44"/>
  <c r="Z13" i="33"/>
  <c r="I90" i="36"/>
  <c r="I91" i="38"/>
  <c r="I92" i="38"/>
  <c r="I93" i="38"/>
  <c r="I94" i="38"/>
  <c r="I95" i="38"/>
  <c r="I96" i="38"/>
  <c r="I97" i="38"/>
  <c r="I98" i="38"/>
  <c r="I99" i="38"/>
  <c r="I90" i="38"/>
  <c r="I90" i="41"/>
  <c r="I91" i="37"/>
  <c r="I92" i="37"/>
  <c r="I93" i="37"/>
  <c r="I94" i="37"/>
  <c r="I95" i="37"/>
  <c r="I96" i="37"/>
  <c r="I97" i="37"/>
  <c r="I98" i="37"/>
  <c r="I99" i="37"/>
  <c r="I90" i="37"/>
  <c r="I90" i="40"/>
  <c r="I90" i="44"/>
  <c r="H21" i="24"/>
  <c r="Y21" i="24"/>
  <c r="H22" i="24"/>
  <c r="Y22" i="24"/>
  <c r="H23" i="24"/>
  <c r="Y23" i="24"/>
  <c r="H24" i="24"/>
  <c r="Y24" i="24"/>
  <c r="H25" i="24"/>
  <c r="Y25" i="24"/>
  <c r="H26" i="24"/>
  <c r="Y26" i="24"/>
  <c r="H27" i="24"/>
  <c r="Y27" i="24"/>
  <c r="H28" i="24"/>
  <c r="Y28" i="24"/>
  <c r="H29" i="24"/>
  <c r="Y29" i="24"/>
  <c r="Y20" i="24"/>
  <c r="D13" i="46"/>
  <c r="I13" i="46"/>
  <c r="N13" i="46"/>
  <c r="S12" i="14"/>
  <c r="X13" i="46"/>
  <c r="X12" i="14"/>
  <c r="AH13" i="46"/>
  <c r="AC12" i="14"/>
  <c r="AR13" i="46"/>
  <c r="AH12" i="14"/>
  <c r="BB13" i="46"/>
  <c r="AM12" i="14"/>
  <c r="BL13" i="46"/>
  <c r="AR12" i="14"/>
  <c r="G14" i="64"/>
  <c r="AW12" i="14"/>
  <c r="M22" i="53"/>
  <c r="R22" i="53"/>
  <c r="BB12" i="14"/>
  <c r="G14" i="65"/>
  <c r="BG12" i="14"/>
  <c r="N13" i="29"/>
  <c r="D14" i="46"/>
  <c r="I14" i="46"/>
  <c r="N14" i="46"/>
  <c r="S13" i="14"/>
  <c r="X14" i="46"/>
  <c r="X13" i="14"/>
  <c r="AH14" i="46"/>
  <c r="AC13" i="14"/>
  <c r="AR14" i="46"/>
  <c r="AH13" i="14"/>
  <c r="BB14" i="46"/>
  <c r="AM13" i="14"/>
  <c r="BL14" i="46"/>
  <c r="AR13" i="14"/>
  <c r="G15" i="64"/>
  <c r="AW13" i="14"/>
  <c r="M11" i="53"/>
  <c r="R11" i="53"/>
  <c r="BB13" i="14"/>
  <c r="G15" i="65"/>
  <c r="BG13" i="14"/>
  <c r="N14" i="29"/>
  <c r="D15" i="46"/>
  <c r="I15" i="46"/>
  <c r="N15" i="46"/>
  <c r="S14" i="14"/>
  <c r="X15" i="46"/>
  <c r="X14" i="14"/>
  <c r="AH15" i="46"/>
  <c r="AC14" i="14"/>
  <c r="AR15" i="46"/>
  <c r="AH14" i="14"/>
  <c r="BB15" i="46"/>
  <c r="AM14" i="14"/>
  <c r="BL15" i="46"/>
  <c r="AR14" i="14"/>
  <c r="G16" i="64"/>
  <c r="AW14" i="14"/>
  <c r="M20" i="53"/>
  <c r="R20" i="53"/>
  <c r="BB14" i="14"/>
  <c r="G16" i="65"/>
  <c r="BG14" i="14"/>
  <c r="N15" i="29"/>
  <c r="D16" i="46"/>
  <c r="I16" i="46"/>
  <c r="N16" i="46"/>
  <c r="S15" i="14"/>
  <c r="X16" i="46"/>
  <c r="X15" i="14"/>
  <c r="AH16" i="46"/>
  <c r="AC15" i="14"/>
  <c r="AR16" i="46"/>
  <c r="AH15" i="14"/>
  <c r="BB16" i="46"/>
  <c r="AM15" i="14"/>
  <c r="BL16" i="46"/>
  <c r="AR15" i="14"/>
  <c r="G17" i="64"/>
  <c r="AW15" i="14"/>
  <c r="M18" i="53"/>
  <c r="H18" i="53"/>
  <c r="R18" i="53"/>
  <c r="BB15" i="14"/>
  <c r="G17" i="65"/>
  <c r="BG15" i="14"/>
  <c r="N16" i="29"/>
  <c r="D17" i="46"/>
  <c r="I17" i="46"/>
  <c r="N17" i="46"/>
  <c r="S16" i="14"/>
  <c r="X17" i="46"/>
  <c r="X16" i="14"/>
  <c r="AH17" i="46"/>
  <c r="AC16" i="14"/>
  <c r="AR17" i="46"/>
  <c r="AH16" i="14"/>
  <c r="BB17" i="46"/>
  <c r="AM16" i="14"/>
  <c r="BL17" i="46"/>
  <c r="AR16" i="14"/>
  <c r="G18" i="64"/>
  <c r="AW16" i="14"/>
  <c r="M23" i="53"/>
  <c r="H23" i="53"/>
  <c r="R23" i="53"/>
  <c r="BB16" i="14"/>
  <c r="G18" i="65"/>
  <c r="BG16" i="14"/>
  <c r="N17" i="29"/>
  <c r="D18" i="46"/>
  <c r="I18" i="46"/>
  <c r="N18" i="46"/>
  <c r="S17" i="14"/>
  <c r="X18" i="46"/>
  <c r="X17" i="14"/>
  <c r="AH18" i="46"/>
  <c r="AC17" i="14"/>
  <c r="AR18" i="46"/>
  <c r="AH17" i="14"/>
  <c r="BB18" i="46"/>
  <c r="AM17" i="14"/>
  <c r="BL18" i="46"/>
  <c r="AR17" i="14"/>
  <c r="G19" i="64"/>
  <c r="AW17" i="14"/>
  <c r="M24" i="53"/>
  <c r="H24" i="53"/>
  <c r="R24" i="53"/>
  <c r="BB17" i="14"/>
  <c r="G19" i="65"/>
  <c r="BG17" i="14"/>
  <c r="N18" i="29"/>
  <c r="D19" i="46"/>
  <c r="I19" i="46"/>
  <c r="N19" i="46"/>
  <c r="S18" i="14"/>
  <c r="X19" i="46"/>
  <c r="X18" i="14"/>
  <c r="AH19" i="46"/>
  <c r="AC18" i="14"/>
  <c r="AR19" i="46"/>
  <c r="AH18" i="14"/>
  <c r="BB19" i="46"/>
  <c r="AM18" i="14"/>
  <c r="BL19" i="46"/>
  <c r="AR18" i="14"/>
  <c r="G20" i="64"/>
  <c r="AW18" i="14"/>
  <c r="M19" i="53"/>
  <c r="H19" i="53"/>
  <c r="R19" i="53"/>
  <c r="BB18" i="14"/>
  <c r="G20" i="65"/>
  <c r="BG18" i="14"/>
  <c r="N19" i="29"/>
  <c r="D20" i="46"/>
  <c r="I20" i="46"/>
  <c r="N20" i="46"/>
  <c r="S19" i="14"/>
  <c r="X20" i="46"/>
  <c r="X19" i="14"/>
  <c r="AH20" i="46"/>
  <c r="AC19" i="14"/>
  <c r="AR20" i="46"/>
  <c r="AH19" i="14"/>
  <c r="BB20" i="46"/>
  <c r="AM19" i="14"/>
  <c r="BL20" i="46"/>
  <c r="AR19" i="14"/>
  <c r="G21" i="64"/>
  <c r="AW19" i="14"/>
  <c r="M21" i="53"/>
  <c r="H21" i="53"/>
  <c r="R21" i="53"/>
  <c r="BB19" i="14"/>
  <c r="G21" i="65"/>
  <c r="BG19" i="14"/>
  <c r="N20" i="29"/>
  <c r="D21" i="46"/>
  <c r="I21" i="46"/>
  <c r="N21" i="46"/>
  <c r="S20" i="14"/>
  <c r="X21" i="46"/>
  <c r="X20" i="14"/>
  <c r="AH21" i="46"/>
  <c r="AC20" i="14"/>
  <c r="AR21" i="46"/>
  <c r="AH20" i="14"/>
  <c r="BB21" i="46"/>
  <c r="AM20" i="14"/>
  <c r="BL21" i="46"/>
  <c r="AR20" i="14"/>
  <c r="G22" i="64"/>
  <c r="AW20" i="14"/>
  <c r="M12" i="53"/>
  <c r="H12" i="53"/>
  <c r="R12" i="53"/>
  <c r="BB20" i="14"/>
  <c r="G22" i="65"/>
  <c r="BG20" i="14"/>
  <c r="N21" i="29"/>
  <c r="N12" i="29"/>
  <c r="AP20" i="24"/>
  <c r="Z13" i="25"/>
  <c r="H10" i="23"/>
  <c r="H28" i="23"/>
  <c r="Y28" i="23"/>
  <c r="H29" i="23"/>
  <c r="Y29" i="23"/>
  <c r="H30" i="23"/>
  <c r="Y30" i="23"/>
  <c r="H31" i="23"/>
  <c r="Y31" i="23"/>
  <c r="H32" i="23"/>
  <c r="Y32" i="23"/>
  <c r="H33" i="23"/>
  <c r="Y33" i="23"/>
  <c r="H34" i="23"/>
  <c r="Y34" i="23"/>
  <c r="H35" i="23"/>
  <c r="Y35" i="23"/>
  <c r="H36" i="23"/>
  <c r="Y36" i="23"/>
  <c r="Y27" i="23"/>
  <c r="AP27" i="23"/>
  <c r="T13" i="25"/>
  <c r="I10" i="23"/>
  <c r="I28" i="23"/>
  <c r="Z28" i="23"/>
  <c r="I29" i="23"/>
  <c r="Z29" i="23"/>
  <c r="I30" i="23"/>
  <c r="Z30" i="23"/>
  <c r="I31" i="23"/>
  <c r="Z31" i="23"/>
  <c r="I32" i="23"/>
  <c r="Z32" i="23"/>
  <c r="I33" i="23"/>
  <c r="Z33" i="23"/>
  <c r="I34" i="23"/>
  <c r="Z34" i="23"/>
  <c r="I35" i="23"/>
  <c r="Z35" i="23"/>
  <c r="I36" i="23"/>
  <c r="Z36" i="23"/>
  <c r="Z27" i="23"/>
  <c r="AQ27" i="23"/>
  <c r="U13" i="25"/>
  <c r="J10" i="23"/>
  <c r="J28" i="23"/>
  <c r="AA28" i="23"/>
  <c r="J29" i="23"/>
  <c r="AA29" i="23"/>
  <c r="J30" i="23"/>
  <c r="AA30" i="23"/>
  <c r="J31" i="23"/>
  <c r="AA31" i="23"/>
  <c r="J32" i="23"/>
  <c r="AA32" i="23"/>
  <c r="J33" i="23"/>
  <c r="AA33" i="23"/>
  <c r="J34" i="23"/>
  <c r="AA34" i="23"/>
  <c r="J35" i="23"/>
  <c r="AA35" i="23"/>
  <c r="J36" i="23"/>
  <c r="AA36" i="23"/>
  <c r="AA27" i="23"/>
  <c r="AR27" i="23"/>
  <c r="V13" i="25"/>
  <c r="H10" i="22"/>
  <c r="H28" i="22"/>
  <c r="Y28" i="22"/>
  <c r="H29" i="22"/>
  <c r="Y29" i="22"/>
  <c r="H30" i="22"/>
  <c r="Y30" i="22"/>
  <c r="H31" i="22"/>
  <c r="Y31" i="22"/>
  <c r="H32" i="22"/>
  <c r="Y32" i="22"/>
  <c r="H33" i="22"/>
  <c r="Y33" i="22"/>
  <c r="H34" i="22"/>
  <c r="Y34" i="22"/>
  <c r="H35" i="22"/>
  <c r="Y35" i="22"/>
  <c r="H36" i="22"/>
  <c r="Y36" i="22"/>
  <c r="Y27" i="22"/>
  <c r="AP27" i="22"/>
  <c r="W13" i="25"/>
  <c r="I10" i="22"/>
  <c r="I28" i="22"/>
  <c r="Z28" i="22"/>
  <c r="I29" i="22"/>
  <c r="Z29" i="22"/>
  <c r="I30" i="22"/>
  <c r="Z30" i="22"/>
  <c r="I31" i="22"/>
  <c r="Z31" i="22"/>
  <c r="I32" i="22"/>
  <c r="Z32" i="22"/>
  <c r="I33" i="22"/>
  <c r="Z33" i="22"/>
  <c r="I34" i="22"/>
  <c r="Z34" i="22"/>
  <c r="I35" i="22"/>
  <c r="Z35" i="22"/>
  <c r="I36" i="22"/>
  <c r="Z36" i="22"/>
  <c r="Z27" i="22"/>
  <c r="AQ27" i="22"/>
  <c r="X13" i="25"/>
  <c r="J10" i="22"/>
  <c r="J28" i="22"/>
  <c r="AA28" i="22"/>
  <c r="J29" i="22"/>
  <c r="AA29" i="22"/>
  <c r="J30" i="22"/>
  <c r="AA30" i="22"/>
  <c r="J31" i="22"/>
  <c r="AA31" i="22"/>
  <c r="J32" i="22"/>
  <c r="AA32" i="22"/>
  <c r="J33" i="22"/>
  <c r="AA33" i="22"/>
  <c r="J34" i="22"/>
  <c r="AA34" i="22"/>
  <c r="J35" i="22"/>
  <c r="AA35" i="22"/>
  <c r="J36" i="22"/>
  <c r="AA36" i="22"/>
  <c r="AA27" i="22"/>
  <c r="AR27" i="22"/>
  <c r="Y13" i="25"/>
  <c r="I21" i="24"/>
  <c r="Z21" i="24"/>
  <c r="I22" i="24"/>
  <c r="Z22" i="24"/>
  <c r="I23" i="24"/>
  <c r="Z23" i="24"/>
  <c r="I24" i="24"/>
  <c r="Z24" i="24"/>
  <c r="I25" i="24"/>
  <c r="Z25" i="24"/>
  <c r="I26" i="24"/>
  <c r="Z26" i="24"/>
  <c r="I27" i="24"/>
  <c r="Z27" i="24"/>
  <c r="I28" i="24"/>
  <c r="Z28" i="24"/>
  <c r="I29" i="24"/>
  <c r="Z29" i="24"/>
  <c r="Z20" i="24"/>
  <c r="AQ20" i="24"/>
  <c r="AA13" i="25"/>
  <c r="AB13" i="25"/>
  <c r="BU13" i="25"/>
  <c r="P90" i="36"/>
  <c r="AP28" i="23"/>
  <c r="T14" i="25"/>
  <c r="AQ28" i="23"/>
  <c r="U14" i="25"/>
  <c r="AR28" i="23"/>
  <c r="V14" i="25"/>
  <c r="AP28" i="22"/>
  <c r="W14" i="25"/>
  <c r="AQ28" i="22"/>
  <c r="X14" i="25"/>
  <c r="AR28" i="22"/>
  <c r="Y14" i="25"/>
  <c r="AP21" i="24"/>
  <c r="Z14" i="25"/>
  <c r="AQ21" i="24"/>
  <c r="AA14" i="25"/>
  <c r="AB14" i="25"/>
  <c r="BL12" i="14"/>
  <c r="P91" i="38"/>
  <c r="AP29" i="23"/>
  <c r="T15" i="25"/>
  <c r="AQ29" i="23"/>
  <c r="U15" i="25"/>
  <c r="AR29" i="23"/>
  <c r="V15" i="25"/>
  <c r="AP29" i="22"/>
  <c r="W15" i="25"/>
  <c r="AQ29" i="22"/>
  <c r="X15" i="25"/>
  <c r="AR29" i="22"/>
  <c r="Y15" i="25"/>
  <c r="AP22" i="24"/>
  <c r="Z15" i="25"/>
  <c r="AQ22" i="24"/>
  <c r="AA15" i="25"/>
  <c r="AB15" i="25"/>
  <c r="BL13" i="14"/>
  <c r="P92" i="38"/>
  <c r="AP30" i="23"/>
  <c r="T16" i="25"/>
  <c r="AQ30" i="23"/>
  <c r="U16" i="25"/>
  <c r="AR30" i="23"/>
  <c r="V16" i="25"/>
  <c r="AP30" i="22"/>
  <c r="W16" i="25"/>
  <c r="AQ30" i="22"/>
  <c r="X16" i="25"/>
  <c r="AR30" i="22"/>
  <c r="Y16" i="25"/>
  <c r="AP23" i="24"/>
  <c r="Z16" i="25"/>
  <c r="AQ23" i="24"/>
  <c r="AA16" i="25"/>
  <c r="AB16" i="25"/>
  <c r="BL14" i="14"/>
  <c r="P93" i="38"/>
  <c r="AP31" i="23"/>
  <c r="T17" i="25"/>
  <c r="AQ31" i="23"/>
  <c r="U17" i="25"/>
  <c r="AR31" i="23"/>
  <c r="V17" i="25"/>
  <c r="AP31" i="22"/>
  <c r="W17" i="25"/>
  <c r="AQ31" i="22"/>
  <c r="X17" i="25"/>
  <c r="AR31" i="22"/>
  <c r="Y17" i="25"/>
  <c r="AP24" i="24"/>
  <c r="Z17" i="25"/>
  <c r="AQ24" i="24"/>
  <c r="AA17" i="25"/>
  <c r="AB17" i="25"/>
  <c r="BL15" i="14"/>
  <c r="P94" i="38"/>
  <c r="AP32" i="23"/>
  <c r="T18" i="25"/>
  <c r="AQ32" i="23"/>
  <c r="U18" i="25"/>
  <c r="AR32" i="23"/>
  <c r="V18" i="25"/>
  <c r="AP32" i="22"/>
  <c r="W18" i="25"/>
  <c r="AQ32" i="22"/>
  <c r="X18" i="25"/>
  <c r="AR32" i="22"/>
  <c r="Y18" i="25"/>
  <c r="AP25" i="24"/>
  <c r="Z18" i="25"/>
  <c r="AQ25" i="24"/>
  <c r="AA18" i="25"/>
  <c r="AB18" i="25"/>
  <c r="BL16" i="14"/>
  <c r="P95" i="38"/>
  <c r="AP33" i="23"/>
  <c r="T19" i="25"/>
  <c r="AQ33" i="23"/>
  <c r="U19" i="25"/>
  <c r="AR33" i="23"/>
  <c r="V19" i="25"/>
  <c r="AP33" i="22"/>
  <c r="W19" i="25"/>
  <c r="AQ33" i="22"/>
  <c r="X19" i="25"/>
  <c r="AR33" i="22"/>
  <c r="Y19" i="25"/>
  <c r="AP26" i="24"/>
  <c r="Z19" i="25"/>
  <c r="AQ26" i="24"/>
  <c r="AA19" i="25"/>
  <c r="AB19" i="25"/>
  <c r="BL17" i="14"/>
  <c r="P96" i="38"/>
  <c r="AP34" i="23"/>
  <c r="T20" i="25"/>
  <c r="AQ34" i="23"/>
  <c r="U20" i="25"/>
  <c r="AR34" i="23"/>
  <c r="V20" i="25"/>
  <c r="AP34" i="22"/>
  <c r="W20" i="25"/>
  <c r="AQ34" i="22"/>
  <c r="X20" i="25"/>
  <c r="AR34" i="22"/>
  <c r="Y20" i="25"/>
  <c r="AP27" i="24"/>
  <c r="Z20" i="25"/>
  <c r="AQ27" i="24"/>
  <c r="AA20" i="25"/>
  <c r="AB20" i="25"/>
  <c r="BL18" i="14"/>
  <c r="P97" i="38"/>
  <c r="AP35" i="23"/>
  <c r="T21" i="25"/>
  <c r="AQ35" i="23"/>
  <c r="U21" i="25"/>
  <c r="AR35" i="23"/>
  <c r="V21" i="25"/>
  <c r="AP35" i="22"/>
  <c r="W21" i="25"/>
  <c r="AQ35" i="22"/>
  <c r="X21" i="25"/>
  <c r="AR35" i="22"/>
  <c r="Y21" i="25"/>
  <c r="AP28" i="24"/>
  <c r="Z21" i="25"/>
  <c r="AQ28" i="24"/>
  <c r="AA21" i="25"/>
  <c r="AB21" i="25"/>
  <c r="BL19" i="14"/>
  <c r="P98" i="38"/>
  <c r="AP36" i="23"/>
  <c r="T22" i="25"/>
  <c r="AQ36" i="23"/>
  <c r="U22" i="25"/>
  <c r="AR36" i="23"/>
  <c r="V22" i="25"/>
  <c r="AP36" i="22"/>
  <c r="W22" i="25"/>
  <c r="AQ36" i="22"/>
  <c r="X22" i="25"/>
  <c r="AR36" i="22"/>
  <c r="Y22" i="25"/>
  <c r="AP29" i="24"/>
  <c r="Z22" i="25"/>
  <c r="AQ29" i="24"/>
  <c r="AA22" i="25"/>
  <c r="AB22" i="25"/>
  <c r="BL20" i="14"/>
  <c r="P99" i="38"/>
  <c r="P90" i="38"/>
  <c r="P90" i="41"/>
  <c r="P91" i="37"/>
  <c r="P92" i="37"/>
  <c r="P93" i="37"/>
  <c r="P94" i="37"/>
  <c r="P95" i="37"/>
  <c r="P96" i="37"/>
  <c r="P97" i="37"/>
  <c r="P98" i="37"/>
  <c r="P99" i="37"/>
  <c r="P90" i="37"/>
  <c r="P90" i="40"/>
  <c r="P90" i="44"/>
  <c r="BV13" i="25"/>
  <c r="Q90" i="36"/>
  <c r="Q91" i="38"/>
  <c r="Q92" i="38"/>
  <c r="Q93" i="38"/>
  <c r="Q94" i="38"/>
  <c r="Q95" i="38"/>
  <c r="Q96" i="38"/>
  <c r="Q97" i="38"/>
  <c r="Q98" i="38"/>
  <c r="Q99" i="38"/>
  <c r="Q90" i="38"/>
  <c r="Q90" i="41"/>
  <c r="Q91" i="37"/>
  <c r="Q92" i="37"/>
  <c r="Q93" i="37"/>
  <c r="Q94" i="37"/>
  <c r="Q95" i="37"/>
  <c r="Q96" i="37"/>
  <c r="Q97" i="37"/>
  <c r="Q98" i="37"/>
  <c r="Q99" i="37"/>
  <c r="Q90" i="37"/>
  <c r="Q90" i="40"/>
  <c r="Q90" i="44"/>
  <c r="R90" i="36"/>
  <c r="S13" i="29"/>
  <c r="R91" i="38"/>
  <c r="S14" i="29"/>
  <c r="R92" i="38"/>
  <c r="S15" i="29"/>
  <c r="R93" i="38"/>
  <c r="S16" i="29"/>
  <c r="R94" i="38"/>
  <c r="S17" i="29"/>
  <c r="R95" i="38"/>
  <c r="S18" i="29"/>
  <c r="R96" i="38"/>
  <c r="S19" i="29"/>
  <c r="R97" i="38"/>
  <c r="S20" i="29"/>
  <c r="R98" i="38"/>
  <c r="S21" i="29"/>
  <c r="R99" i="38"/>
  <c r="R90" i="38"/>
  <c r="R90" i="41"/>
  <c r="R91" i="37"/>
  <c r="R92" i="37"/>
  <c r="R93" i="37"/>
  <c r="R94" i="37"/>
  <c r="R95" i="37"/>
  <c r="R96" i="37"/>
  <c r="R97" i="37"/>
  <c r="R98" i="37"/>
  <c r="R99" i="37"/>
  <c r="R90" i="37"/>
  <c r="R90" i="40"/>
  <c r="R90" i="44"/>
  <c r="AB90" i="44"/>
  <c r="H50" i="26"/>
  <c r="N21" i="26"/>
  <c r="F14" i="21"/>
  <c r="E14" i="21"/>
  <c r="O21" i="26"/>
  <c r="E13" i="29"/>
  <c r="N22" i="30"/>
  <c r="AJ22" i="30"/>
  <c r="O22" i="30"/>
  <c r="AK22" i="30"/>
  <c r="P22" i="30"/>
  <c r="AL22" i="30"/>
  <c r="Q22" i="30"/>
  <c r="AM22" i="30"/>
  <c r="E13" i="45"/>
  <c r="J13" i="45"/>
  <c r="O13" i="45"/>
  <c r="J12" i="14"/>
  <c r="Y13" i="45"/>
  <c r="O12" i="14"/>
  <c r="J13" i="29"/>
  <c r="P21" i="26"/>
  <c r="Q21" i="26"/>
  <c r="Z68" i="26"/>
  <c r="I14" i="31"/>
  <c r="AA68" i="26"/>
  <c r="J14" i="31"/>
  <c r="AX22" i="30"/>
  <c r="K14" i="31"/>
  <c r="AY22" i="30"/>
  <c r="L14" i="31"/>
  <c r="AZ22" i="30"/>
  <c r="M14" i="31"/>
  <c r="BA22" i="30"/>
  <c r="N14" i="31"/>
  <c r="O14" i="31"/>
  <c r="AT14" i="31"/>
  <c r="B53" i="36"/>
  <c r="B53" i="41"/>
  <c r="B53" i="40"/>
  <c r="B53" i="44"/>
  <c r="AU14" i="31"/>
  <c r="C53" i="36"/>
  <c r="C53" i="41"/>
  <c r="C53" i="40"/>
  <c r="C53" i="44"/>
  <c r="U68" i="32"/>
  <c r="E14" i="33"/>
  <c r="V68" i="32"/>
  <c r="F14" i="33"/>
  <c r="G14" i="33"/>
  <c r="V14" i="33"/>
  <c r="H53" i="36"/>
  <c r="H53" i="41"/>
  <c r="H53" i="40"/>
  <c r="H53" i="44"/>
  <c r="W14" i="33"/>
  <c r="I53" i="36"/>
  <c r="I53" i="41"/>
  <c r="I53" i="40"/>
  <c r="I53" i="44"/>
  <c r="BL14" i="25"/>
  <c r="P53" i="36"/>
  <c r="P53" i="41"/>
  <c r="P53" i="40"/>
  <c r="P53" i="44"/>
  <c r="BM14" i="25"/>
  <c r="Q53" i="36"/>
  <c r="Q53" i="41"/>
  <c r="Q53" i="40"/>
  <c r="Q53" i="44"/>
  <c r="R15" i="36"/>
  <c r="R53" i="36"/>
  <c r="R53" i="41"/>
  <c r="R53" i="40"/>
  <c r="R53" i="44"/>
  <c r="AB53" i="44"/>
  <c r="AB68" i="26"/>
  <c r="P14" i="31"/>
  <c r="AC68" i="26"/>
  <c r="Q14" i="31"/>
  <c r="BB22" i="30"/>
  <c r="R14" i="31"/>
  <c r="BC22" i="30"/>
  <c r="S14" i="31"/>
  <c r="BD22" i="30"/>
  <c r="T14" i="31"/>
  <c r="BE22" i="30"/>
  <c r="U14" i="31"/>
  <c r="V14" i="31"/>
  <c r="BA14" i="31"/>
  <c r="B91" i="36"/>
  <c r="B91" i="41"/>
  <c r="B91" i="40"/>
  <c r="B91" i="44"/>
  <c r="BB14" i="31"/>
  <c r="C91" i="36"/>
  <c r="C91" i="41"/>
  <c r="C91" i="40"/>
  <c r="C91" i="44"/>
  <c r="W68" i="32"/>
  <c r="H14" i="33"/>
  <c r="X68" i="32"/>
  <c r="I14" i="33"/>
  <c r="J14" i="33"/>
  <c r="Y14" i="33"/>
  <c r="H91" i="36"/>
  <c r="H91" i="41"/>
  <c r="H91" i="40"/>
  <c r="H91" i="44"/>
  <c r="Z14" i="33"/>
  <c r="I91" i="36"/>
  <c r="I91" i="41"/>
  <c r="I91" i="40"/>
  <c r="I91" i="44"/>
  <c r="BU14" i="25"/>
  <c r="P91" i="36"/>
  <c r="P91" i="41"/>
  <c r="P91" i="40"/>
  <c r="P91" i="44"/>
  <c r="BV14" i="25"/>
  <c r="Q91" i="36"/>
  <c r="Q91" i="41"/>
  <c r="Q91" i="40"/>
  <c r="Q91" i="44"/>
  <c r="R91" i="36"/>
  <c r="R91" i="41"/>
  <c r="R91" i="40"/>
  <c r="R91" i="44"/>
  <c r="AB91" i="44"/>
  <c r="Z69" i="26"/>
  <c r="I15" i="31"/>
  <c r="AA69" i="26"/>
  <c r="J15" i="31"/>
  <c r="AX23" i="30"/>
  <c r="K15" i="31"/>
  <c r="AY23" i="30"/>
  <c r="L15" i="31"/>
  <c r="AZ23" i="30"/>
  <c r="M15" i="31"/>
  <c r="BA23" i="30"/>
  <c r="N15" i="31"/>
  <c r="O15" i="31"/>
  <c r="AT15" i="31"/>
  <c r="B54" i="36"/>
  <c r="B54" i="41"/>
  <c r="B54" i="40"/>
  <c r="B54" i="44"/>
  <c r="AU15" i="31"/>
  <c r="C54" i="36"/>
  <c r="C54" i="41"/>
  <c r="C54" i="40"/>
  <c r="C54" i="44"/>
  <c r="U69" i="32"/>
  <c r="E15" i="33"/>
  <c r="V69" i="32"/>
  <c r="F15" i="33"/>
  <c r="G15" i="33"/>
  <c r="V15" i="33"/>
  <c r="H54" i="36"/>
  <c r="H54" i="41"/>
  <c r="H54" i="40"/>
  <c r="H54" i="44"/>
  <c r="W15" i="33"/>
  <c r="I54" i="36"/>
  <c r="I54" i="41"/>
  <c r="I54" i="40"/>
  <c r="I54" i="44"/>
  <c r="BL15" i="25"/>
  <c r="P54" i="36"/>
  <c r="P54" i="41"/>
  <c r="P54" i="40"/>
  <c r="P54" i="44"/>
  <c r="BM15" i="25"/>
  <c r="Q54" i="36"/>
  <c r="Q54" i="41"/>
  <c r="Q54" i="40"/>
  <c r="Q54" i="44"/>
  <c r="R16" i="36"/>
  <c r="R54" i="36"/>
  <c r="R54" i="41"/>
  <c r="R54" i="40"/>
  <c r="R54" i="44"/>
  <c r="AB54" i="44"/>
  <c r="AB69" i="26"/>
  <c r="P15" i="31"/>
  <c r="AC69" i="26"/>
  <c r="Q15" i="31"/>
  <c r="BB23" i="30"/>
  <c r="R15" i="31"/>
  <c r="BC23" i="30"/>
  <c r="S15" i="31"/>
  <c r="BD23" i="30"/>
  <c r="T15" i="31"/>
  <c r="BE23" i="30"/>
  <c r="U15" i="31"/>
  <c r="V15" i="31"/>
  <c r="BA15" i="31"/>
  <c r="B92" i="36"/>
  <c r="B92" i="41"/>
  <c r="B92" i="40"/>
  <c r="B92" i="44"/>
  <c r="BB15" i="31"/>
  <c r="C92" i="36"/>
  <c r="C92" i="41"/>
  <c r="C92" i="40"/>
  <c r="C92" i="44"/>
  <c r="W69" i="32"/>
  <c r="H15" i="33"/>
  <c r="X69" i="32"/>
  <c r="I15" i="33"/>
  <c r="J15" i="33"/>
  <c r="Y15" i="33"/>
  <c r="H92" i="36"/>
  <c r="H92" i="41"/>
  <c r="H92" i="40"/>
  <c r="H92" i="44"/>
  <c r="Z15" i="33"/>
  <c r="I92" i="36"/>
  <c r="I92" i="41"/>
  <c r="I92" i="40"/>
  <c r="I92" i="44"/>
  <c r="BU15" i="25"/>
  <c r="P92" i="36"/>
  <c r="P92" i="41"/>
  <c r="P92" i="40"/>
  <c r="P92" i="44"/>
  <c r="BV15" i="25"/>
  <c r="Q92" i="36"/>
  <c r="Q92" i="41"/>
  <c r="Q92" i="40"/>
  <c r="Q92" i="44"/>
  <c r="R92" i="36"/>
  <c r="R92" i="41"/>
  <c r="R92" i="40"/>
  <c r="R92" i="44"/>
  <c r="AB92" i="44"/>
  <c r="N22" i="26"/>
  <c r="F15" i="21"/>
  <c r="E15" i="21"/>
  <c r="O22" i="26"/>
  <c r="E14" i="29"/>
  <c r="N23" i="30"/>
  <c r="AJ23" i="30"/>
  <c r="O23" i="30"/>
  <c r="AK23" i="30"/>
  <c r="P23" i="30"/>
  <c r="AL23" i="30"/>
  <c r="Q23" i="30"/>
  <c r="AM23" i="30"/>
  <c r="E14" i="45"/>
  <c r="J14" i="45"/>
  <c r="O14" i="45"/>
  <c r="J13" i="14"/>
  <c r="Y14" i="45"/>
  <c r="O13" i="14"/>
  <c r="J14" i="29"/>
  <c r="P22" i="26"/>
  <c r="Q22" i="26"/>
  <c r="Z70" i="26"/>
  <c r="I16" i="31"/>
  <c r="AA70" i="26"/>
  <c r="J16" i="31"/>
  <c r="AX24" i="30"/>
  <c r="K16" i="31"/>
  <c r="AY24" i="30"/>
  <c r="L16" i="31"/>
  <c r="AZ24" i="30"/>
  <c r="M16" i="31"/>
  <c r="BA24" i="30"/>
  <c r="N16" i="31"/>
  <c r="O16" i="31"/>
  <c r="AT16" i="31"/>
  <c r="B55" i="36"/>
  <c r="B55" i="41"/>
  <c r="B55" i="40"/>
  <c r="B55" i="44"/>
  <c r="AU16" i="31"/>
  <c r="C55" i="36"/>
  <c r="C55" i="41"/>
  <c r="C55" i="40"/>
  <c r="C55" i="44"/>
  <c r="U70" i="32"/>
  <c r="E16" i="33"/>
  <c r="V70" i="32"/>
  <c r="F16" i="33"/>
  <c r="G16" i="33"/>
  <c r="V16" i="33"/>
  <c r="H55" i="36"/>
  <c r="H55" i="41"/>
  <c r="H55" i="40"/>
  <c r="H55" i="44"/>
  <c r="W16" i="33"/>
  <c r="I55" i="36"/>
  <c r="I55" i="41"/>
  <c r="I55" i="40"/>
  <c r="I55" i="44"/>
  <c r="BL16" i="25"/>
  <c r="P55" i="36"/>
  <c r="P55" i="41"/>
  <c r="P55" i="40"/>
  <c r="P55" i="44"/>
  <c r="BM16" i="25"/>
  <c r="Q55" i="36"/>
  <c r="Q55" i="41"/>
  <c r="Q55" i="40"/>
  <c r="Q55" i="44"/>
  <c r="R17" i="36"/>
  <c r="R55" i="36"/>
  <c r="R55" i="41"/>
  <c r="R55" i="40"/>
  <c r="R55" i="44"/>
  <c r="AB55" i="44"/>
  <c r="AB70" i="26"/>
  <c r="P16" i="31"/>
  <c r="AC70" i="26"/>
  <c r="Q16" i="31"/>
  <c r="BB24" i="30"/>
  <c r="R16" i="31"/>
  <c r="BC24" i="30"/>
  <c r="S16" i="31"/>
  <c r="BD24" i="30"/>
  <c r="T16" i="31"/>
  <c r="BE24" i="30"/>
  <c r="U16" i="31"/>
  <c r="V16" i="31"/>
  <c r="BA16" i="31"/>
  <c r="B93" i="36"/>
  <c r="B93" i="41"/>
  <c r="B93" i="40"/>
  <c r="B93" i="44"/>
  <c r="BB16" i="31"/>
  <c r="C93" i="36"/>
  <c r="C93" i="41"/>
  <c r="C93" i="40"/>
  <c r="C93" i="44"/>
  <c r="W70" i="32"/>
  <c r="H16" i="33"/>
  <c r="X70" i="32"/>
  <c r="I16" i="33"/>
  <c r="J16" i="33"/>
  <c r="Y16" i="33"/>
  <c r="H93" i="36"/>
  <c r="H93" i="41"/>
  <c r="H93" i="40"/>
  <c r="H93" i="44"/>
  <c r="Z16" i="33"/>
  <c r="I93" i="36"/>
  <c r="I93" i="41"/>
  <c r="I93" i="40"/>
  <c r="I93" i="44"/>
  <c r="BU16" i="25"/>
  <c r="P93" i="36"/>
  <c r="P93" i="41"/>
  <c r="P93" i="40"/>
  <c r="P93" i="44"/>
  <c r="BV16" i="25"/>
  <c r="Q93" i="36"/>
  <c r="Q93" i="41"/>
  <c r="Q93" i="40"/>
  <c r="Q93" i="44"/>
  <c r="R93" i="36"/>
  <c r="R93" i="41"/>
  <c r="R93" i="40"/>
  <c r="R93" i="44"/>
  <c r="AB93" i="44"/>
  <c r="N23" i="26"/>
  <c r="F16" i="21"/>
  <c r="E16" i="21"/>
  <c r="O23" i="26"/>
  <c r="E15" i="29"/>
  <c r="N24" i="30"/>
  <c r="AJ24" i="30"/>
  <c r="O24" i="30"/>
  <c r="AK24" i="30"/>
  <c r="P24" i="30"/>
  <c r="AL24" i="30"/>
  <c r="Q24" i="30"/>
  <c r="AM24" i="30"/>
  <c r="E15" i="45"/>
  <c r="J15" i="45"/>
  <c r="O15" i="45"/>
  <c r="J14" i="14"/>
  <c r="Y15" i="45"/>
  <c r="O14" i="14"/>
  <c r="J15" i="29"/>
  <c r="P23" i="26"/>
  <c r="Q23" i="26"/>
  <c r="Z71" i="26"/>
  <c r="I17" i="31"/>
  <c r="AA71" i="26"/>
  <c r="J17" i="31"/>
  <c r="AX25" i="30"/>
  <c r="K17" i="31"/>
  <c r="AY25" i="30"/>
  <c r="L17" i="31"/>
  <c r="AZ25" i="30"/>
  <c r="M17" i="31"/>
  <c r="BA25" i="30"/>
  <c r="N17" i="31"/>
  <c r="O17" i="31"/>
  <c r="AT17" i="31"/>
  <c r="B56" i="36"/>
  <c r="B56" i="41"/>
  <c r="B56" i="40"/>
  <c r="B56" i="44"/>
  <c r="AU17" i="31"/>
  <c r="C56" i="36"/>
  <c r="C56" i="41"/>
  <c r="C56" i="40"/>
  <c r="C56" i="44"/>
  <c r="U71" i="32"/>
  <c r="E17" i="33"/>
  <c r="V71" i="32"/>
  <c r="F17" i="33"/>
  <c r="G17" i="33"/>
  <c r="V17" i="33"/>
  <c r="H56" i="36"/>
  <c r="H56" i="41"/>
  <c r="H56" i="40"/>
  <c r="H56" i="44"/>
  <c r="W17" i="33"/>
  <c r="I56" i="36"/>
  <c r="I56" i="41"/>
  <c r="I56" i="40"/>
  <c r="I56" i="44"/>
  <c r="BL17" i="25"/>
  <c r="P56" i="36"/>
  <c r="P56" i="41"/>
  <c r="P56" i="40"/>
  <c r="P56" i="44"/>
  <c r="BM17" i="25"/>
  <c r="Q56" i="36"/>
  <c r="Q56" i="41"/>
  <c r="Q56" i="40"/>
  <c r="Q56" i="44"/>
  <c r="R56" i="44"/>
  <c r="AB56" i="44"/>
  <c r="AB71" i="26"/>
  <c r="P17" i="31"/>
  <c r="AC71" i="26"/>
  <c r="Q17" i="31"/>
  <c r="BB25" i="30"/>
  <c r="R17" i="31"/>
  <c r="BC25" i="30"/>
  <c r="S17" i="31"/>
  <c r="BD25" i="30"/>
  <c r="T17" i="31"/>
  <c r="BE25" i="30"/>
  <c r="U17" i="31"/>
  <c r="V17" i="31"/>
  <c r="BA17" i="31"/>
  <c r="B94" i="36"/>
  <c r="B94" i="41"/>
  <c r="B94" i="40"/>
  <c r="B94" i="44"/>
  <c r="BB17" i="31"/>
  <c r="C94" i="36"/>
  <c r="C94" i="41"/>
  <c r="C94" i="40"/>
  <c r="C94" i="44"/>
  <c r="W71" i="32"/>
  <c r="H17" i="33"/>
  <c r="X71" i="32"/>
  <c r="I17" i="33"/>
  <c r="J17" i="33"/>
  <c r="Y17" i="33"/>
  <c r="H94" i="36"/>
  <c r="H94" i="41"/>
  <c r="H94" i="40"/>
  <c r="H94" i="44"/>
  <c r="Z17" i="33"/>
  <c r="I94" i="36"/>
  <c r="I94" i="41"/>
  <c r="I94" i="40"/>
  <c r="I94" i="44"/>
  <c r="BU17" i="25"/>
  <c r="P94" i="36"/>
  <c r="P94" i="41"/>
  <c r="P94" i="40"/>
  <c r="P94" i="44"/>
  <c r="BV17" i="25"/>
  <c r="Q94" i="36"/>
  <c r="Q94" i="41"/>
  <c r="Q94" i="40"/>
  <c r="Q94" i="44"/>
  <c r="R94" i="44"/>
  <c r="AB94" i="44"/>
  <c r="N24" i="26"/>
  <c r="F17" i="21"/>
  <c r="E17" i="21"/>
  <c r="O24" i="26"/>
  <c r="E16" i="29"/>
  <c r="N25" i="30"/>
  <c r="AJ25" i="30"/>
  <c r="O25" i="30"/>
  <c r="AK25" i="30"/>
  <c r="P25" i="30"/>
  <c r="AL25" i="30"/>
  <c r="Q25" i="30"/>
  <c r="AM25" i="30"/>
  <c r="E16" i="45"/>
  <c r="J16" i="45"/>
  <c r="O16" i="45"/>
  <c r="J15" i="14"/>
  <c r="Y16" i="45"/>
  <c r="O15" i="14"/>
  <c r="J16" i="29"/>
  <c r="P24" i="26"/>
  <c r="Q24" i="26"/>
  <c r="Z72" i="26"/>
  <c r="I18" i="31"/>
  <c r="AA72" i="26"/>
  <c r="J18" i="31"/>
  <c r="AX26" i="30"/>
  <c r="K18" i="31"/>
  <c r="AY26" i="30"/>
  <c r="L18" i="31"/>
  <c r="AZ26" i="30"/>
  <c r="M18" i="31"/>
  <c r="BA26" i="30"/>
  <c r="N18" i="31"/>
  <c r="O18" i="31"/>
  <c r="AT18" i="31"/>
  <c r="B57" i="36"/>
  <c r="B57" i="41"/>
  <c r="B57" i="40"/>
  <c r="B57" i="44"/>
  <c r="AU18" i="31"/>
  <c r="C57" i="36"/>
  <c r="C57" i="41"/>
  <c r="C57" i="40"/>
  <c r="C57" i="44"/>
  <c r="U72" i="32"/>
  <c r="E18" i="33"/>
  <c r="V72" i="32"/>
  <c r="F18" i="33"/>
  <c r="G18" i="33"/>
  <c r="V18" i="33"/>
  <c r="H57" i="36"/>
  <c r="H57" i="41"/>
  <c r="H57" i="40"/>
  <c r="H57" i="44"/>
  <c r="W18" i="33"/>
  <c r="I57" i="36"/>
  <c r="I57" i="41"/>
  <c r="I57" i="40"/>
  <c r="I57" i="44"/>
  <c r="BL18" i="25"/>
  <c r="P57" i="36"/>
  <c r="P57" i="41"/>
  <c r="P57" i="40"/>
  <c r="P57" i="44"/>
  <c r="BM18" i="25"/>
  <c r="Q57" i="36"/>
  <c r="Q57" i="41"/>
  <c r="Q57" i="40"/>
  <c r="Q57" i="44"/>
  <c r="R19" i="36"/>
  <c r="R57" i="36"/>
  <c r="R57" i="41"/>
  <c r="R57" i="40"/>
  <c r="R57" i="44"/>
  <c r="AB57" i="44"/>
  <c r="AB72" i="26"/>
  <c r="P18" i="31"/>
  <c r="AC72" i="26"/>
  <c r="Q18" i="31"/>
  <c r="BB26" i="30"/>
  <c r="R18" i="31"/>
  <c r="BC26" i="30"/>
  <c r="S18" i="31"/>
  <c r="BD26" i="30"/>
  <c r="T18" i="31"/>
  <c r="BE26" i="30"/>
  <c r="U18" i="31"/>
  <c r="V18" i="31"/>
  <c r="BA18" i="31"/>
  <c r="B95" i="36"/>
  <c r="B95" i="41"/>
  <c r="B95" i="40"/>
  <c r="B95" i="44"/>
  <c r="BB18" i="31"/>
  <c r="C95" i="36"/>
  <c r="C95" i="41"/>
  <c r="C95" i="40"/>
  <c r="C95" i="44"/>
  <c r="W72" i="32"/>
  <c r="H18" i="33"/>
  <c r="X72" i="32"/>
  <c r="I18" i="33"/>
  <c r="J18" i="33"/>
  <c r="Y18" i="33"/>
  <c r="H95" i="36"/>
  <c r="H95" i="41"/>
  <c r="H95" i="40"/>
  <c r="H95" i="44"/>
  <c r="Z18" i="33"/>
  <c r="I95" i="36"/>
  <c r="I95" i="41"/>
  <c r="I95" i="40"/>
  <c r="I95" i="44"/>
  <c r="BU18" i="25"/>
  <c r="P95" i="36"/>
  <c r="P95" i="41"/>
  <c r="P95" i="40"/>
  <c r="P95" i="44"/>
  <c r="BV18" i="25"/>
  <c r="Q95" i="36"/>
  <c r="Q95" i="41"/>
  <c r="Q95" i="40"/>
  <c r="Q95" i="44"/>
  <c r="R95" i="36"/>
  <c r="R95" i="41"/>
  <c r="R95" i="40"/>
  <c r="R95" i="44"/>
  <c r="AB95" i="44"/>
  <c r="N25" i="26"/>
  <c r="F18" i="21"/>
  <c r="E18" i="21"/>
  <c r="O25" i="26"/>
  <c r="E17" i="29"/>
  <c r="N26" i="30"/>
  <c r="AJ26" i="30"/>
  <c r="O26" i="30"/>
  <c r="AK26" i="30"/>
  <c r="P26" i="30"/>
  <c r="AL26" i="30"/>
  <c r="Q26" i="30"/>
  <c r="AM26" i="30"/>
  <c r="E17" i="45"/>
  <c r="J17" i="45"/>
  <c r="O17" i="45"/>
  <c r="J16" i="14"/>
  <c r="Y17" i="45"/>
  <c r="O16" i="14"/>
  <c r="J17" i="29"/>
  <c r="P25" i="26"/>
  <c r="Q25" i="26"/>
  <c r="Z73" i="26"/>
  <c r="I19" i="31"/>
  <c r="AA73" i="26"/>
  <c r="J19" i="31"/>
  <c r="AX27" i="30"/>
  <c r="K19" i="31"/>
  <c r="AY27" i="30"/>
  <c r="L19" i="31"/>
  <c r="AZ27" i="30"/>
  <c r="M19" i="31"/>
  <c r="BA27" i="30"/>
  <c r="N19" i="31"/>
  <c r="O19" i="31"/>
  <c r="AT19" i="31"/>
  <c r="B58" i="36"/>
  <c r="B58" i="41"/>
  <c r="B58" i="40"/>
  <c r="B58" i="44"/>
  <c r="AU19" i="31"/>
  <c r="C58" i="36"/>
  <c r="C58" i="41"/>
  <c r="C58" i="40"/>
  <c r="C58" i="44"/>
  <c r="U73" i="32"/>
  <c r="E19" i="33"/>
  <c r="V73" i="32"/>
  <c r="F19" i="33"/>
  <c r="G19" i="33"/>
  <c r="V19" i="33"/>
  <c r="H58" i="36"/>
  <c r="H58" i="41"/>
  <c r="H58" i="40"/>
  <c r="H58" i="44"/>
  <c r="W19" i="33"/>
  <c r="I58" i="36"/>
  <c r="I58" i="41"/>
  <c r="I58" i="40"/>
  <c r="I58" i="44"/>
  <c r="BL19" i="25"/>
  <c r="P58" i="36"/>
  <c r="P58" i="41"/>
  <c r="P58" i="40"/>
  <c r="P58" i="44"/>
  <c r="BM19" i="25"/>
  <c r="Q58" i="36"/>
  <c r="Q58" i="41"/>
  <c r="Q58" i="40"/>
  <c r="Q58" i="44"/>
  <c r="R20" i="36"/>
  <c r="R58" i="36"/>
  <c r="R58" i="41"/>
  <c r="R58" i="40"/>
  <c r="R58" i="44"/>
  <c r="AB58" i="44"/>
  <c r="AB73" i="26"/>
  <c r="P19" i="31"/>
  <c r="AC73" i="26"/>
  <c r="Q19" i="31"/>
  <c r="BB27" i="30"/>
  <c r="R19" i="31"/>
  <c r="BC27" i="30"/>
  <c r="S19" i="31"/>
  <c r="BD27" i="30"/>
  <c r="T19" i="31"/>
  <c r="BE27" i="30"/>
  <c r="U19" i="31"/>
  <c r="V19" i="31"/>
  <c r="BA19" i="31"/>
  <c r="B96" i="36"/>
  <c r="B96" i="41"/>
  <c r="B96" i="40"/>
  <c r="B96" i="44"/>
  <c r="BB19" i="31"/>
  <c r="C96" i="36"/>
  <c r="C96" i="41"/>
  <c r="C96" i="40"/>
  <c r="C96" i="44"/>
  <c r="W73" i="32"/>
  <c r="H19" i="33"/>
  <c r="X73" i="32"/>
  <c r="I19" i="33"/>
  <c r="J19" i="33"/>
  <c r="Y19" i="33"/>
  <c r="H96" i="36"/>
  <c r="H96" i="41"/>
  <c r="H96" i="40"/>
  <c r="H96" i="44"/>
  <c r="Z19" i="33"/>
  <c r="I96" i="36"/>
  <c r="I96" i="41"/>
  <c r="I96" i="40"/>
  <c r="I96" i="44"/>
  <c r="BU19" i="25"/>
  <c r="P96" i="36"/>
  <c r="P96" i="41"/>
  <c r="P96" i="40"/>
  <c r="P96" i="44"/>
  <c r="BV19" i="25"/>
  <c r="Q96" i="36"/>
  <c r="Q96" i="41"/>
  <c r="Q96" i="40"/>
  <c r="Q96" i="44"/>
  <c r="R96" i="36"/>
  <c r="R96" i="41"/>
  <c r="R96" i="40"/>
  <c r="R96" i="44"/>
  <c r="AB96" i="44"/>
  <c r="N26" i="26"/>
  <c r="F19" i="21"/>
  <c r="E19" i="21"/>
  <c r="O26" i="26"/>
  <c r="E18" i="29"/>
  <c r="N27" i="30"/>
  <c r="AJ27" i="30"/>
  <c r="O27" i="30"/>
  <c r="AK27" i="30"/>
  <c r="P27" i="30"/>
  <c r="AL27" i="30"/>
  <c r="Q27" i="30"/>
  <c r="AM27" i="30"/>
  <c r="E18" i="45"/>
  <c r="J18" i="45"/>
  <c r="O18" i="45"/>
  <c r="J17" i="14"/>
  <c r="Y18" i="45"/>
  <c r="O17" i="14"/>
  <c r="J18" i="29"/>
  <c r="P26" i="26"/>
  <c r="Q26" i="26"/>
  <c r="Z74" i="26"/>
  <c r="I20" i="31"/>
  <c r="AA74" i="26"/>
  <c r="J20" i="31"/>
  <c r="AX28" i="30"/>
  <c r="K20" i="31"/>
  <c r="AY28" i="30"/>
  <c r="L20" i="31"/>
  <c r="AZ28" i="30"/>
  <c r="M20" i="31"/>
  <c r="BA28" i="30"/>
  <c r="N20" i="31"/>
  <c r="O20" i="31"/>
  <c r="AT20" i="31"/>
  <c r="B59" i="36"/>
  <c r="B59" i="41"/>
  <c r="B59" i="40"/>
  <c r="B59" i="44"/>
  <c r="AU20" i="31"/>
  <c r="C59" i="36"/>
  <c r="C59" i="41"/>
  <c r="C59" i="40"/>
  <c r="C59" i="44"/>
  <c r="U74" i="32"/>
  <c r="E20" i="33"/>
  <c r="V74" i="32"/>
  <c r="F20" i="33"/>
  <c r="G20" i="33"/>
  <c r="V20" i="33"/>
  <c r="H59" i="36"/>
  <c r="H59" i="41"/>
  <c r="H59" i="40"/>
  <c r="H59" i="44"/>
  <c r="W20" i="33"/>
  <c r="I59" i="36"/>
  <c r="I59" i="41"/>
  <c r="I59" i="40"/>
  <c r="I59" i="44"/>
  <c r="BL20" i="25"/>
  <c r="P59" i="36"/>
  <c r="P59" i="41"/>
  <c r="P59" i="40"/>
  <c r="P59" i="44"/>
  <c r="BM20" i="25"/>
  <c r="Q59" i="36"/>
  <c r="Q59" i="41"/>
  <c r="Q59" i="40"/>
  <c r="Q59" i="44"/>
  <c r="R21" i="36"/>
  <c r="R59" i="36"/>
  <c r="R59" i="41"/>
  <c r="R59" i="40"/>
  <c r="R59" i="44"/>
  <c r="AB59" i="44"/>
  <c r="AB74" i="26"/>
  <c r="P20" i="31"/>
  <c r="AC74" i="26"/>
  <c r="Q20" i="31"/>
  <c r="BB28" i="30"/>
  <c r="R20" i="31"/>
  <c r="BC28" i="30"/>
  <c r="S20" i="31"/>
  <c r="BD28" i="30"/>
  <c r="T20" i="31"/>
  <c r="BE28" i="30"/>
  <c r="U20" i="31"/>
  <c r="V20" i="31"/>
  <c r="BA20" i="31"/>
  <c r="B97" i="36"/>
  <c r="B97" i="41"/>
  <c r="B97" i="40"/>
  <c r="B97" i="44"/>
  <c r="BB20" i="31"/>
  <c r="C97" i="36"/>
  <c r="C97" i="41"/>
  <c r="C97" i="40"/>
  <c r="C97" i="44"/>
  <c r="W74" i="32"/>
  <c r="H20" i="33"/>
  <c r="X74" i="32"/>
  <c r="I20" i="33"/>
  <c r="J20" i="33"/>
  <c r="Y20" i="33"/>
  <c r="H97" i="36"/>
  <c r="H97" i="41"/>
  <c r="H97" i="40"/>
  <c r="H97" i="44"/>
  <c r="Z20" i="33"/>
  <c r="I97" i="36"/>
  <c r="I97" i="41"/>
  <c r="I97" i="40"/>
  <c r="I97" i="44"/>
  <c r="BU20" i="25"/>
  <c r="P97" i="36"/>
  <c r="P97" i="41"/>
  <c r="P97" i="40"/>
  <c r="P97" i="44"/>
  <c r="BV20" i="25"/>
  <c r="Q97" i="36"/>
  <c r="Q97" i="41"/>
  <c r="Q97" i="40"/>
  <c r="Q97" i="44"/>
  <c r="R97" i="36"/>
  <c r="R97" i="41"/>
  <c r="R97" i="40"/>
  <c r="R97" i="44"/>
  <c r="AB97" i="44"/>
  <c r="N27" i="26"/>
  <c r="F20" i="21"/>
  <c r="E20" i="21"/>
  <c r="O27" i="26"/>
  <c r="E19" i="29"/>
  <c r="N28" i="30"/>
  <c r="AJ28" i="30"/>
  <c r="O28" i="30"/>
  <c r="AK28" i="30"/>
  <c r="P28" i="30"/>
  <c r="AL28" i="30"/>
  <c r="Q28" i="30"/>
  <c r="AM28" i="30"/>
  <c r="E19" i="45"/>
  <c r="J19" i="45"/>
  <c r="O19" i="45"/>
  <c r="J18" i="14"/>
  <c r="Y19" i="45"/>
  <c r="O18" i="14"/>
  <c r="J19" i="29"/>
  <c r="P27" i="26"/>
  <c r="Q27" i="26"/>
  <c r="Z75" i="26"/>
  <c r="I21" i="31"/>
  <c r="AA75" i="26"/>
  <c r="J21" i="31"/>
  <c r="AX29" i="30"/>
  <c r="K21" i="31"/>
  <c r="AY29" i="30"/>
  <c r="L21" i="31"/>
  <c r="AZ29" i="30"/>
  <c r="M21" i="31"/>
  <c r="BA29" i="30"/>
  <c r="N21" i="31"/>
  <c r="O21" i="31"/>
  <c r="AT21" i="31"/>
  <c r="B60" i="36"/>
  <c r="B60" i="41"/>
  <c r="B60" i="40"/>
  <c r="B60" i="44"/>
  <c r="AU21" i="31"/>
  <c r="C60" i="36"/>
  <c r="C60" i="41"/>
  <c r="C60" i="40"/>
  <c r="C60" i="44"/>
  <c r="U75" i="32"/>
  <c r="E21" i="33"/>
  <c r="V75" i="32"/>
  <c r="F21" i="33"/>
  <c r="G21" i="33"/>
  <c r="V21" i="33"/>
  <c r="H60" i="36"/>
  <c r="H60" i="41"/>
  <c r="H60" i="40"/>
  <c r="H60" i="44"/>
  <c r="W21" i="33"/>
  <c r="I60" i="36"/>
  <c r="I60" i="41"/>
  <c r="I60" i="40"/>
  <c r="I60" i="44"/>
  <c r="BL21" i="25"/>
  <c r="P60" i="36"/>
  <c r="P60" i="41"/>
  <c r="P60" i="40"/>
  <c r="P60" i="44"/>
  <c r="BM21" i="25"/>
  <c r="Q60" i="36"/>
  <c r="Q60" i="41"/>
  <c r="Q60" i="40"/>
  <c r="Q60" i="44"/>
  <c r="R22" i="36"/>
  <c r="R60" i="36"/>
  <c r="R60" i="41"/>
  <c r="R60" i="40"/>
  <c r="R60" i="44"/>
  <c r="AB60" i="44"/>
  <c r="AB75" i="26"/>
  <c r="P21" i="31"/>
  <c r="AC75" i="26"/>
  <c r="Q21" i="31"/>
  <c r="BB29" i="30"/>
  <c r="R21" i="31"/>
  <c r="BC29" i="30"/>
  <c r="S21" i="31"/>
  <c r="BD29" i="30"/>
  <c r="T21" i="31"/>
  <c r="BE29" i="30"/>
  <c r="U21" i="31"/>
  <c r="V21" i="31"/>
  <c r="BA21" i="31"/>
  <c r="B98" i="36"/>
  <c r="B98" i="41"/>
  <c r="B98" i="40"/>
  <c r="B98" i="44"/>
  <c r="BB21" i="31"/>
  <c r="C98" i="36"/>
  <c r="C98" i="41"/>
  <c r="C98" i="40"/>
  <c r="C98" i="44"/>
  <c r="W75" i="32"/>
  <c r="H21" i="33"/>
  <c r="X75" i="32"/>
  <c r="I21" i="33"/>
  <c r="J21" i="33"/>
  <c r="Y21" i="33"/>
  <c r="H98" i="36"/>
  <c r="H98" i="41"/>
  <c r="H98" i="40"/>
  <c r="H98" i="44"/>
  <c r="Z21" i="33"/>
  <c r="I98" i="36"/>
  <c r="I98" i="41"/>
  <c r="I98" i="40"/>
  <c r="I98" i="44"/>
  <c r="BU21" i="25"/>
  <c r="P98" i="36"/>
  <c r="P98" i="41"/>
  <c r="P98" i="40"/>
  <c r="P98" i="44"/>
  <c r="BV21" i="25"/>
  <c r="Q98" i="36"/>
  <c r="Q98" i="41"/>
  <c r="Q98" i="40"/>
  <c r="Q98" i="44"/>
  <c r="R98" i="36"/>
  <c r="R98" i="41"/>
  <c r="R98" i="40"/>
  <c r="R98" i="44"/>
  <c r="AB98" i="44"/>
  <c r="N28" i="26"/>
  <c r="F21" i="21"/>
  <c r="E21" i="21"/>
  <c r="O28" i="26"/>
  <c r="E20" i="29"/>
  <c r="N29" i="30"/>
  <c r="AJ29" i="30"/>
  <c r="O29" i="30"/>
  <c r="AK29" i="30"/>
  <c r="P29" i="30"/>
  <c r="AL29" i="30"/>
  <c r="Q29" i="30"/>
  <c r="AM29" i="30"/>
  <c r="E20" i="45"/>
  <c r="J20" i="45"/>
  <c r="O20" i="45"/>
  <c r="J19" i="14"/>
  <c r="Y20" i="45"/>
  <c r="O19" i="14"/>
  <c r="J20" i="29"/>
  <c r="P28" i="26"/>
  <c r="Q28" i="26"/>
  <c r="Z76" i="26"/>
  <c r="I22" i="31"/>
  <c r="AA76" i="26"/>
  <c r="J22" i="31"/>
  <c r="AX30" i="30"/>
  <c r="K22" i="31"/>
  <c r="AY30" i="30"/>
  <c r="L22" i="31"/>
  <c r="AZ30" i="30"/>
  <c r="M22" i="31"/>
  <c r="BA30" i="30"/>
  <c r="N22" i="31"/>
  <c r="O22" i="31"/>
  <c r="AT22" i="31"/>
  <c r="B61" i="36"/>
  <c r="B61" i="41"/>
  <c r="B61" i="40"/>
  <c r="B61" i="44"/>
  <c r="AU22" i="31"/>
  <c r="C61" i="36"/>
  <c r="C61" i="41"/>
  <c r="C61" i="40"/>
  <c r="C61" i="44"/>
  <c r="U76" i="32"/>
  <c r="E22" i="33"/>
  <c r="V76" i="32"/>
  <c r="F22" i="33"/>
  <c r="G22" i="33"/>
  <c r="V22" i="33"/>
  <c r="H61" i="36"/>
  <c r="H61" i="41"/>
  <c r="H61" i="40"/>
  <c r="H61" i="44"/>
  <c r="W22" i="33"/>
  <c r="I61" i="36"/>
  <c r="I61" i="41"/>
  <c r="I61" i="40"/>
  <c r="I61" i="44"/>
  <c r="BL22" i="25"/>
  <c r="P61" i="36"/>
  <c r="P61" i="41"/>
  <c r="P61" i="40"/>
  <c r="P61" i="44"/>
  <c r="BM22" i="25"/>
  <c r="Q61" i="36"/>
  <c r="Q61" i="41"/>
  <c r="Q61" i="40"/>
  <c r="Q61" i="44"/>
  <c r="R23" i="36"/>
  <c r="R61" i="36"/>
  <c r="R61" i="41"/>
  <c r="R61" i="40"/>
  <c r="R61" i="44"/>
  <c r="AB61" i="44"/>
  <c r="AB76" i="26"/>
  <c r="P22" i="31"/>
  <c r="AC76" i="26"/>
  <c r="Q22" i="31"/>
  <c r="BB30" i="30"/>
  <c r="R22" i="31"/>
  <c r="BC30" i="30"/>
  <c r="S22" i="31"/>
  <c r="BD30" i="30"/>
  <c r="T22" i="31"/>
  <c r="BE30" i="30"/>
  <c r="U22" i="31"/>
  <c r="V22" i="31"/>
  <c r="BA22" i="31"/>
  <c r="B99" i="36"/>
  <c r="B99" i="41"/>
  <c r="B99" i="40"/>
  <c r="B99" i="44"/>
  <c r="BB22" i="31"/>
  <c r="C99" i="36"/>
  <c r="C99" i="41"/>
  <c r="C99" i="40"/>
  <c r="C99" i="44"/>
  <c r="W76" i="32"/>
  <c r="H22" i="33"/>
  <c r="X76" i="32"/>
  <c r="I22" i="33"/>
  <c r="J22" i="33"/>
  <c r="Y22" i="33"/>
  <c r="H99" i="36"/>
  <c r="H99" i="41"/>
  <c r="H99" i="40"/>
  <c r="H99" i="44"/>
  <c r="Z22" i="33"/>
  <c r="I99" i="36"/>
  <c r="I99" i="41"/>
  <c r="I99" i="40"/>
  <c r="I99" i="44"/>
  <c r="BU22" i="25"/>
  <c r="P99" i="36"/>
  <c r="P99" i="41"/>
  <c r="P99" i="40"/>
  <c r="P99" i="44"/>
  <c r="BV22" i="25"/>
  <c r="Q99" i="36"/>
  <c r="Q99" i="41"/>
  <c r="Q99" i="40"/>
  <c r="Q99" i="44"/>
  <c r="R99" i="36"/>
  <c r="R99" i="41"/>
  <c r="R99" i="40"/>
  <c r="R99" i="44"/>
  <c r="AB99" i="44"/>
  <c r="N29" i="26"/>
  <c r="F22" i="21"/>
  <c r="E22" i="21"/>
  <c r="O29" i="26"/>
  <c r="E21" i="29"/>
  <c r="N30" i="30"/>
  <c r="AJ30" i="30"/>
  <c r="O30" i="30"/>
  <c r="AK30" i="30"/>
  <c r="P30" i="30"/>
  <c r="AL30" i="30"/>
  <c r="Q30" i="30"/>
  <c r="AM30" i="30"/>
  <c r="E21" i="45"/>
  <c r="J21" i="45"/>
  <c r="O21" i="45"/>
  <c r="J20" i="14"/>
  <c r="Y21" i="45"/>
  <c r="O20" i="14"/>
  <c r="J21" i="29"/>
  <c r="P29" i="26"/>
  <c r="Q29" i="26"/>
  <c r="D51" i="26"/>
  <c r="I16" i="76"/>
  <c r="I42" i="76"/>
  <c r="I67" i="76"/>
  <c r="I41" i="76"/>
  <c r="I68" i="76"/>
  <c r="I60" i="76"/>
  <c r="I47" i="76"/>
  <c r="I14" i="76"/>
  <c r="I61" i="76"/>
  <c r="I48" i="76"/>
  <c r="I13" i="76"/>
  <c r="I62" i="76"/>
  <c r="I49" i="76"/>
  <c r="I15" i="76"/>
  <c r="I43" i="76"/>
  <c r="I77" i="76"/>
  <c r="I40" i="76"/>
  <c r="I79" i="76"/>
  <c r="I36" i="76"/>
  <c r="I37" i="76"/>
  <c r="I86" i="76"/>
  <c r="I63" i="76"/>
  <c r="I50" i="76"/>
  <c r="I95" i="76"/>
  <c r="B22" i="77"/>
  <c r="F31" i="26"/>
  <c r="G31" i="26"/>
  <c r="I96" i="76"/>
  <c r="C22" i="77"/>
  <c r="C23" i="13"/>
  <c r="C23" i="29"/>
  <c r="F32" i="30"/>
  <c r="AB32" i="30"/>
  <c r="I71" i="76"/>
  <c r="I72" i="76"/>
  <c r="I73" i="76"/>
  <c r="I111" i="76"/>
  <c r="P22" i="77"/>
  <c r="G32" i="30"/>
  <c r="AC32" i="30"/>
  <c r="I112" i="76"/>
  <c r="Q22" i="77"/>
  <c r="H32" i="30"/>
  <c r="AD32" i="30"/>
  <c r="I113" i="76"/>
  <c r="R22" i="77"/>
  <c r="I32" i="30"/>
  <c r="AE32" i="30"/>
  <c r="C23" i="45"/>
  <c r="H23" i="45"/>
  <c r="M23" i="45"/>
  <c r="H22" i="14"/>
  <c r="W23" i="45"/>
  <c r="M22" i="14"/>
  <c r="H23" i="29"/>
  <c r="H31" i="26"/>
  <c r="I31" i="26"/>
  <c r="D78" i="26"/>
  <c r="D52" i="26"/>
  <c r="N16" i="76"/>
  <c r="N42" i="76"/>
  <c r="N67" i="76"/>
  <c r="N41" i="76"/>
  <c r="N68" i="76"/>
  <c r="N60" i="76"/>
  <c r="N47" i="76"/>
  <c r="N14" i="76"/>
  <c r="N61" i="76"/>
  <c r="N48" i="76"/>
  <c r="N13" i="76"/>
  <c r="N62" i="76"/>
  <c r="N49" i="76"/>
  <c r="N15" i="76"/>
  <c r="N43" i="76"/>
  <c r="N77" i="76"/>
  <c r="N40" i="76"/>
  <c r="N79" i="76"/>
  <c r="N36" i="76"/>
  <c r="N37" i="76"/>
  <c r="N86" i="76"/>
  <c r="N63" i="76"/>
  <c r="N50" i="76"/>
  <c r="N95" i="76"/>
  <c r="B23" i="77"/>
  <c r="F32" i="26"/>
  <c r="G32" i="26"/>
  <c r="N96" i="76"/>
  <c r="C23" i="77"/>
  <c r="C24" i="13"/>
  <c r="C24" i="29"/>
  <c r="F33" i="30"/>
  <c r="AB33" i="30"/>
  <c r="N71" i="76"/>
  <c r="N72" i="76"/>
  <c r="N73" i="76"/>
  <c r="N111" i="76"/>
  <c r="P23" i="77"/>
  <c r="G33" i="30"/>
  <c r="AC33" i="30"/>
  <c r="N112" i="76"/>
  <c r="Q23" i="77"/>
  <c r="H33" i="30"/>
  <c r="AD33" i="30"/>
  <c r="N113" i="76"/>
  <c r="R23" i="77"/>
  <c r="I33" i="30"/>
  <c r="AE33" i="30"/>
  <c r="C24" i="45"/>
  <c r="H24" i="45"/>
  <c r="M24" i="45"/>
  <c r="H23" i="14"/>
  <c r="W24" i="45"/>
  <c r="M23" i="14"/>
  <c r="H24" i="29"/>
  <c r="H32" i="26"/>
  <c r="I32" i="26"/>
  <c r="D79" i="26"/>
  <c r="D53" i="26"/>
  <c r="T16" i="76"/>
  <c r="T42" i="76"/>
  <c r="T67" i="76"/>
  <c r="T41" i="76"/>
  <c r="T68" i="76"/>
  <c r="T60" i="76"/>
  <c r="T47" i="76"/>
  <c r="T14" i="76"/>
  <c r="T61" i="76"/>
  <c r="T48" i="76"/>
  <c r="T13" i="76"/>
  <c r="T62" i="76"/>
  <c r="T49" i="76"/>
  <c r="T15" i="76"/>
  <c r="T43" i="76"/>
  <c r="T77" i="76"/>
  <c r="T40" i="76"/>
  <c r="T79" i="76"/>
  <c r="T36" i="76"/>
  <c r="T37" i="76"/>
  <c r="T86" i="76"/>
  <c r="T63" i="76"/>
  <c r="T50" i="76"/>
  <c r="T95" i="76"/>
  <c r="B24" i="77"/>
  <c r="F33" i="26"/>
  <c r="G33" i="26"/>
  <c r="T96" i="76"/>
  <c r="C24" i="77"/>
  <c r="C25" i="13"/>
  <c r="C25" i="29"/>
  <c r="F34" i="30"/>
  <c r="AB34" i="30"/>
  <c r="T71" i="76"/>
  <c r="T72" i="76"/>
  <c r="T73" i="76"/>
  <c r="T111" i="76"/>
  <c r="P24" i="77"/>
  <c r="G34" i="30"/>
  <c r="AC34" i="30"/>
  <c r="T112" i="76"/>
  <c r="Q24" i="77"/>
  <c r="H34" i="30"/>
  <c r="AD34" i="30"/>
  <c r="T113" i="76"/>
  <c r="R24" i="77"/>
  <c r="I34" i="30"/>
  <c r="AE34" i="30"/>
  <c r="C25" i="45"/>
  <c r="H25" i="45"/>
  <c r="M25" i="45"/>
  <c r="H24" i="14"/>
  <c r="W25" i="45"/>
  <c r="M24" i="14"/>
  <c r="H25" i="29"/>
  <c r="H33" i="26"/>
  <c r="I33" i="26"/>
  <c r="D80" i="26"/>
  <c r="D54" i="26"/>
  <c r="Z16" i="76"/>
  <c r="Z42" i="76"/>
  <c r="Z67" i="76"/>
  <c r="Z41" i="76"/>
  <c r="Z68" i="76"/>
  <c r="Z60" i="76"/>
  <c r="Z47" i="76"/>
  <c r="Z14" i="76"/>
  <c r="Z61" i="76"/>
  <c r="Z48" i="76"/>
  <c r="Z13" i="76"/>
  <c r="Z62" i="76"/>
  <c r="Z49" i="76"/>
  <c r="Z15" i="76"/>
  <c r="Z43" i="76"/>
  <c r="Z77" i="76"/>
  <c r="Z40" i="76"/>
  <c r="Z79" i="76"/>
  <c r="Z36" i="76"/>
  <c r="Z37" i="76"/>
  <c r="Z86" i="76"/>
  <c r="Z63" i="76"/>
  <c r="Z50" i="76"/>
  <c r="Z95" i="76"/>
  <c r="B25" i="77"/>
  <c r="F34" i="26"/>
  <c r="G34" i="26"/>
  <c r="Z96" i="76"/>
  <c r="C25" i="77"/>
  <c r="C26" i="13"/>
  <c r="C26" i="29"/>
  <c r="F35" i="30"/>
  <c r="AB35" i="30"/>
  <c r="Z71" i="76"/>
  <c r="Z72" i="76"/>
  <c r="Z73" i="76"/>
  <c r="Z111" i="76"/>
  <c r="P25" i="77"/>
  <c r="G35" i="30"/>
  <c r="AC35" i="30"/>
  <c r="Z112" i="76"/>
  <c r="Q25" i="77"/>
  <c r="H35" i="30"/>
  <c r="AD35" i="30"/>
  <c r="Z113" i="76"/>
  <c r="R25" i="77"/>
  <c r="I35" i="30"/>
  <c r="AE35" i="30"/>
  <c r="C26" i="45"/>
  <c r="H26" i="45"/>
  <c r="M26" i="45"/>
  <c r="H25" i="14"/>
  <c r="W26" i="45"/>
  <c r="M25" i="14"/>
  <c r="H26" i="29"/>
  <c r="H34" i="26"/>
  <c r="I34" i="26"/>
  <c r="D81" i="26"/>
  <c r="D77" i="26"/>
  <c r="C22" i="29"/>
  <c r="Z77" i="26"/>
  <c r="I23" i="31"/>
  <c r="E51" i="26"/>
  <c r="I52" i="76"/>
  <c r="I53" i="76"/>
  <c r="I54" i="76"/>
  <c r="I55" i="76"/>
  <c r="I101" i="76"/>
  <c r="H22" i="77"/>
  <c r="AA31" i="26"/>
  <c r="I102" i="76"/>
  <c r="I22" i="77"/>
  <c r="AB31" i="26"/>
  <c r="AC31" i="26"/>
  <c r="E78" i="26"/>
  <c r="E52" i="26"/>
  <c r="N52" i="76"/>
  <c r="N53" i="76"/>
  <c r="N54" i="76"/>
  <c r="N55" i="76"/>
  <c r="N101" i="76"/>
  <c r="H23" i="77"/>
  <c r="AA32" i="26"/>
  <c r="N102" i="76"/>
  <c r="I23" i="77"/>
  <c r="AB32" i="26"/>
  <c r="AC32" i="26"/>
  <c r="E79" i="26"/>
  <c r="E53" i="26"/>
  <c r="T52" i="76"/>
  <c r="T53" i="76"/>
  <c r="T54" i="76"/>
  <c r="T55" i="76"/>
  <c r="T101" i="76"/>
  <c r="H24" i="77"/>
  <c r="AA33" i="26"/>
  <c r="T102" i="76"/>
  <c r="I24" i="77"/>
  <c r="AB33" i="26"/>
  <c r="AC33" i="26"/>
  <c r="E80" i="26"/>
  <c r="E54" i="26"/>
  <c r="Z52" i="76"/>
  <c r="Z53" i="76"/>
  <c r="Z54" i="76"/>
  <c r="Z55" i="76"/>
  <c r="Z101" i="76"/>
  <c r="H25" i="77"/>
  <c r="AA34" i="26"/>
  <c r="Z102" i="76"/>
  <c r="I25" i="77"/>
  <c r="AB34" i="26"/>
  <c r="AC34" i="26"/>
  <c r="E81" i="26"/>
  <c r="E77" i="26"/>
  <c r="AA77" i="26"/>
  <c r="J23" i="31"/>
  <c r="AB31" i="30"/>
  <c r="AX31" i="30"/>
  <c r="K23" i="31"/>
  <c r="AC31" i="30"/>
  <c r="AY31" i="30"/>
  <c r="L23" i="31"/>
  <c r="AD31" i="30"/>
  <c r="AZ31" i="30"/>
  <c r="M23" i="31"/>
  <c r="AE31" i="30"/>
  <c r="BA31" i="30"/>
  <c r="N23" i="31"/>
  <c r="O23" i="31"/>
  <c r="AT23" i="31"/>
  <c r="B62" i="36"/>
  <c r="B63" i="38"/>
  <c r="B64" i="38"/>
  <c r="B65" i="38"/>
  <c r="B66" i="38"/>
  <c r="B62" i="38"/>
  <c r="B62" i="41"/>
  <c r="B63" i="37"/>
  <c r="B64" i="37"/>
  <c r="B65" i="37"/>
  <c r="B66" i="37"/>
  <c r="B62" i="37"/>
  <c r="B62" i="40"/>
  <c r="B62" i="44"/>
  <c r="AU23" i="31"/>
  <c r="C62" i="36"/>
  <c r="C63" i="38"/>
  <c r="C64" i="38"/>
  <c r="C65" i="38"/>
  <c r="C66" i="38"/>
  <c r="C62" i="38"/>
  <c r="C62" i="41"/>
  <c r="C63" i="37"/>
  <c r="C64" i="37"/>
  <c r="C65" i="37"/>
  <c r="C66" i="37"/>
  <c r="C62" i="37"/>
  <c r="C62" i="40"/>
  <c r="C62" i="44"/>
  <c r="D51" i="32"/>
  <c r="I97" i="76"/>
  <c r="D22" i="77"/>
  <c r="E31" i="32"/>
  <c r="F31" i="32"/>
  <c r="G31" i="32"/>
  <c r="D78" i="32"/>
  <c r="D52" i="32"/>
  <c r="N97" i="76"/>
  <c r="D23" i="77"/>
  <c r="E32" i="32"/>
  <c r="F32" i="32"/>
  <c r="G32" i="32"/>
  <c r="D79" i="32"/>
  <c r="D53" i="32"/>
  <c r="T97" i="76"/>
  <c r="D24" i="77"/>
  <c r="E33" i="32"/>
  <c r="F33" i="32"/>
  <c r="G33" i="32"/>
  <c r="D80" i="32"/>
  <c r="D54" i="32"/>
  <c r="Z97" i="76"/>
  <c r="D25" i="77"/>
  <c r="E34" i="32"/>
  <c r="F34" i="32"/>
  <c r="G34" i="32"/>
  <c r="D81" i="32"/>
  <c r="D77" i="32"/>
  <c r="H22" i="29"/>
  <c r="U77" i="32"/>
  <c r="E23" i="33"/>
  <c r="E51" i="32"/>
  <c r="I103" i="76"/>
  <c r="J22" i="77"/>
  <c r="V31" i="32"/>
  <c r="W31" i="32"/>
  <c r="X31" i="32"/>
  <c r="E78" i="32"/>
  <c r="E52" i="32"/>
  <c r="N103" i="76"/>
  <c r="J23" i="77"/>
  <c r="V32" i="32"/>
  <c r="W32" i="32"/>
  <c r="X32" i="32"/>
  <c r="E79" i="32"/>
  <c r="E53" i="32"/>
  <c r="T103" i="76"/>
  <c r="J24" i="77"/>
  <c r="V33" i="32"/>
  <c r="W33" i="32"/>
  <c r="X33" i="32"/>
  <c r="E80" i="32"/>
  <c r="E54" i="32"/>
  <c r="Z103" i="76"/>
  <c r="J25" i="77"/>
  <c r="V34" i="32"/>
  <c r="W34" i="32"/>
  <c r="X34" i="32"/>
  <c r="E81" i="32"/>
  <c r="E77" i="32"/>
  <c r="V77" i="32"/>
  <c r="F23" i="33"/>
  <c r="G23" i="33"/>
  <c r="V23" i="33"/>
  <c r="H62" i="36"/>
  <c r="H63" i="38"/>
  <c r="H64" i="38"/>
  <c r="H65" i="38"/>
  <c r="H66" i="38"/>
  <c r="H62" i="38"/>
  <c r="H62" i="41"/>
  <c r="H63" i="37"/>
  <c r="H64" i="37"/>
  <c r="H65" i="37"/>
  <c r="H66" i="37"/>
  <c r="H62" i="37"/>
  <c r="H62" i="40"/>
  <c r="H62" i="44"/>
  <c r="W23" i="33"/>
  <c r="I62" i="36"/>
  <c r="I63" i="38"/>
  <c r="I64" i="38"/>
  <c r="I65" i="38"/>
  <c r="I66" i="38"/>
  <c r="I62" i="38"/>
  <c r="I62" i="41"/>
  <c r="I63" i="37"/>
  <c r="I64" i="37"/>
  <c r="I65" i="37"/>
  <c r="I66" i="37"/>
  <c r="I62" i="37"/>
  <c r="I62" i="40"/>
  <c r="I62" i="44"/>
  <c r="I98" i="76"/>
  <c r="E22" i="77"/>
  <c r="E31" i="24"/>
  <c r="V31" i="24"/>
  <c r="N98" i="76"/>
  <c r="E23" i="77"/>
  <c r="E32" i="24"/>
  <c r="V32" i="24"/>
  <c r="T98" i="76"/>
  <c r="E24" i="77"/>
  <c r="E33" i="24"/>
  <c r="V33" i="24"/>
  <c r="Z98" i="76"/>
  <c r="E25" i="77"/>
  <c r="E34" i="24"/>
  <c r="V34" i="24"/>
  <c r="V30" i="24"/>
  <c r="C23" i="46"/>
  <c r="H23" i="46"/>
  <c r="M23" i="46"/>
  <c r="R22" i="14"/>
  <c r="W23" i="46"/>
  <c r="W22" i="14"/>
  <c r="AG23" i="46"/>
  <c r="AB22" i="14"/>
  <c r="AQ23" i="46"/>
  <c r="AG22" i="14"/>
  <c r="BA23" i="46"/>
  <c r="AL22" i="14"/>
  <c r="BK23" i="46"/>
  <c r="AQ22" i="14"/>
  <c r="C24" i="64"/>
  <c r="F24" i="64"/>
  <c r="AV22" i="14"/>
  <c r="L13" i="53"/>
  <c r="Q13" i="53"/>
  <c r="BA22" i="14"/>
  <c r="C24" i="65"/>
  <c r="F24" i="65"/>
  <c r="BF22" i="14"/>
  <c r="M23" i="29"/>
  <c r="C24" i="46"/>
  <c r="H24" i="46"/>
  <c r="M24" i="46"/>
  <c r="R23" i="14"/>
  <c r="W24" i="46"/>
  <c r="W23" i="14"/>
  <c r="AG24" i="46"/>
  <c r="AB23" i="14"/>
  <c r="AQ24" i="46"/>
  <c r="AG23" i="14"/>
  <c r="BA24" i="46"/>
  <c r="AL23" i="14"/>
  <c r="BK24" i="46"/>
  <c r="AQ23" i="14"/>
  <c r="C25" i="64"/>
  <c r="F25" i="64"/>
  <c r="AV23" i="14"/>
  <c r="L8" i="53"/>
  <c r="Q8" i="53"/>
  <c r="BA23" i="14"/>
  <c r="C25" i="65"/>
  <c r="F25" i="65"/>
  <c r="BF23" i="14"/>
  <c r="M24" i="29"/>
  <c r="C25" i="46"/>
  <c r="H25" i="46"/>
  <c r="M25" i="46"/>
  <c r="R24" i="14"/>
  <c r="W25" i="46"/>
  <c r="W24" i="14"/>
  <c r="AG25" i="46"/>
  <c r="AB24" i="14"/>
  <c r="AQ25" i="46"/>
  <c r="AG24" i="14"/>
  <c r="BA25" i="46"/>
  <c r="AL24" i="14"/>
  <c r="BK25" i="46"/>
  <c r="AQ24" i="14"/>
  <c r="C26" i="64"/>
  <c r="F26" i="64"/>
  <c r="AV24" i="14"/>
  <c r="L14" i="53"/>
  <c r="Q14" i="53"/>
  <c r="BA24" i="14"/>
  <c r="C26" i="65"/>
  <c r="F26" i="65"/>
  <c r="BF24" i="14"/>
  <c r="M25" i="29"/>
  <c r="C26" i="46"/>
  <c r="H26" i="46"/>
  <c r="M26" i="46"/>
  <c r="R25" i="14"/>
  <c r="W26" i="46"/>
  <c r="W25" i="14"/>
  <c r="AG26" i="46"/>
  <c r="AB25" i="14"/>
  <c r="AQ26" i="46"/>
  <c r="AG25" i="14"/>
  <c r="BA26" i="46"/>
  <c r="AL25" i="14"/>
  <c r="BK26" i="46"/>
  <c r="AQ25" i="14"/>
  <c r="C27" i="64"/>
  <c r="F27" i="64"/>
  <c r="AV25" i="14"/>
  <c r="L7" i="53"/>
  <c r="Q7" i="53"/>
  <c r="BA25" i="14"/>
  <c r="C27" i="65"/>
  <c r="F27" i="65"/>
  <c r="BF25" i="14"/>
  <c r="M26" i="29"/>
  <c r="M22" i="29"/>
  <c r="AM30" i="24"/>
  <c r="Q23" i="25"/>
  <c r="E11" i="23"/>
  <c r="I88" i="76"/>
  <c r="I89" i="76"/>
  <c r="I126" i="76"/>
  <c r="AA22" i="77"/>
  <c r="E38" i="23"/>
  <c r="V38" i="23"/>
  <c r="E12" i="23"/>
  <c r="N88" i="76"/>
  <c r="N89" i="76"/>
  <c r="N126" i="76"/>
  <c r="AA23" i="77"/>
  <c r="E39" i="23"/>
  <c r="V39" i="23"/>
  <c r="E13" i="23"/>
  <c r="T88" i="76"/>
  <c r="T89" i="76"/>
  <c r="T126" i="76"/>
  <c r="AA24" i="77"/>
  <c r="E40" i="23"/>
  <c r="V40" i="23"/>
  <c r="E14" i="23"/>
  <c r="Z88" i="76"/>
  <c r="Z89" i="76"/>
  <c r="Z126" i="76"/>
  <c r="AA25" i="77"/>
  <c r="E41" i="23"/>
  <c r="V41" i="23"/>
  <c r="V37" i="23"/>
  <c r="AM37" i="23"/>
  <c r="K23" i="25"/>
  <c r="C11" i="23"/>
  <c r="F11" i="23"/>
  <c r="I127" i="76"/>
  <c r="AB22" i="77"/>
  <c r="F38" i="23"/>
  <c r="W38" i="23"/>
  <c r="C12" i="23"/>
  <c r="F12" i="23"/>
  <c r="N127" i="76"/>
  <c r="AB23" i="77"/>
  <c r="F39" i="23"/>
  <c r="W39" i="23"/>
  <c r="C13" i="23"/>
  <c r="F13" i="23"/>
  <c r="T127" i="76"/>
  <c r="AB24" i="77"/>
  <c r="F40" i="23"/>
  <c r="W40" i="23"/>
  <c r="C14" i="23"/>
  <c r="F14" i="23"/>
  <c r="Z127" i="76"/>
  <c r="AB25" i="77"/>
  <c r="F41" i="23"/>
  <c r="W41" i="23"/>
  <c r="W37" i="23"/>
  <c r="AN37" i="23"/>
  <c r="L23" i="25"/>
  <c r="G11" i="23"/>
  <c r="G38" i="23"/>
  <c r="X38" i="23"/>
  <c r="G12" i="23"/>
  <c r="G39" i="23"/>
  <c r="X39" i="23"/>
  <c r="G13" i="23"/>
  <c r="G40" i="23"/>
  <c r="X40" i="23"/>
  <c r="G14" i="23"/>
  <c r="G41" i="23"/>
  <c r="X41" i="23"/>
  <c r="X37" i="23"/>
  <c r="AO37" i="23"/>
  <c r="M23" i="25"/>
  <c r="E11" i="22"/>
  <c r="E38" i="22"/>
  <c r="V38" i="22"/>
  <c r="E12" i="22"/>
  <c r="E39" i="22"/>
  <c r="V39" i="22"/>
  <c r="E13" i="22"/>
  <c r="E40" i="22"/>
  <c r="V40" i="22"/>
  <c r="E14" i="22"/>
  <c r="E41" i="22"/>
  <c r="V41" i="22"/>
  <c r="V37" i="22"/>
  <c r="AM37" i="22"/>
  <c r="N23" i="25"/>
  <c r="F11" i="22"/>
  <c r="I82" i="76"/>
  <c r="I81" i="76"/>
  <c r="I119" i="76"/>
  <c r="V22" i="77"/>
  <c r="F38" i="22"/>
  <c r="W38" i="22"/>
  <c r="F12" i="22"/>
  <c r="N82" i="76"/>
  <c r="N81" i="76"/>
  <c r="N119" i="76"/>
  <c r="V23" i="77"/>
  <c r="F39" i="22"/>
  <c r="W39" i="22"/>
  <c r="F13" i="22"/>
  <c r="T82" i="76"/>
  <c r="T81" i="76"/>
  <c r="T119" i="76"/>
  <c r="V24" i="77"/>
  <c r="F40" i="22"/>
  <c r="W40" i="22"/>
  <c r="F14" i="22"/>
  <c r="Z82" i="76"/>
  <c r="Z81" i="76"/>
  <c r="Z119" i="76"/>
  <c r="V25" i="77"/>
  <c r="F41" i="22"/>
  <c r="W41" i="22"/>
  <c r="W37" i="22"/>
  <c r="AN37" i="22"/>
  <c r="O23" i="25"/>
  <c r="G11" i="22"/>
  <c r="I118" i="76"/>
  <c r="U22" i="77"/>
  <c r="G38" i="22"/>
  <c r="X38" i="22"/>
  <c r="G12" i="22"/>
  <c r="N118" i="76"/>
  <c r="U23" i="77"/>
  <c r="G39" i="22"/>
  <c r="X39" i="22"/>
  <c r="G13" i="22"/>
  <c r="T118" i="76"/>
  <c r="U24" i="77"/>
  <c r="G40" i="22"/>
  <c r="X40" i="22"/>
  <c r="G14" i="22"/>
  <c r="Z118" i="76"/>
  <c r="U25" i="77"/>
  <c r="G41" i="22"/>
  <c r="X41" i="22"/>
  <c r="X37" i="22"/>
  <c r="AO37" i="22"/>
  <c r="P23" i="25"/>
  <c r="I104" i="76"/>
  <c r="K22" i="77"/>
  <c r="F31" i="24"/>
  <c r="W31" i="24"/>
  <c r="N104" i="76"/>
  <c r="K23" i="77"/>
  <c r="F32" i="24"/>
  <c r="W32" i="24"/>
  <c r="T104" i="76"/>
  <c r="K24" i="77"/>
  <c r="F33" i="24"/>
  <c r="W33" i="24"/>
  <c r="Z104" i="76"/>
  <c r="K25" i="77"/>
  <c r="F34" i="24"/>
  <c r="W34" i="24"/>
  <c r="W30" i="24"/>
  <c r="AN30" i="24"/>
  <c r="R23" i="25"/>
  <c r="S23" i="25"/>
  <c r="BL23" i="25"/>
  <c r="P62" i="36"/>
  <c r="AM38" i="23"/>
  <c r="K24" i="25"/>
  <c r="AN38" i="23"/>
  <c r="L24" i="25"/>
  <c r="AO38" i="23"/>
  <c r="M24" i="25"/>
  <c r="AM38" i="22"/>
  <c r="N24" i="25"/>
  <c r="AN38" i="22"/>
  <c r="O24" i="25"/>
  <c r="AO38" i="22"/>
  <c r="P24" i="25"/>
  <c r="AM31" i="24"/>
  <c r="Q24" i="25"/>
  <c r="AN31" i="24"/>
  <c r="R24" i="25"/>
  <c r="S24" i="25"/>
  <c r="BK22" i="14"/>
  <c r="P63" i="38"/>
  <c r="AM39" i="23"/>
  <c r="K25" i="25"/>
  <c r="AN39" i="23"/>
  <c r="L25" i="25"/>
  <c r="AO39" i="23"/>
  <c r="M25" i="25"/>
  <c r="AM39" i="22"/>
  <c r="N25" i="25"/>
  <c r="AN39" i="22"/>
  <c r="O25" i="25"/>
  <c r="AO39" i="22"/>
  <c r="P25" i="25"/>
  <c r="AM32" i="24"/>
  <c r="Q25" i="25"/>
  <c r="AN32" i="24"/>
  <c r="R25" i="25"/>
  <c r="S25" i="25"/>
  <c r="BK23" i="14"/>
  <c r="P64" i="38"/>
  <c r="AM40" i="23"/>
  <c r="K26" i="25"/>
  <c r="AN40" i="23"/>
  <c r="L26" i="25"/>
  <c r="AO40" i="23"/>
  <c r="M26" i="25"/>
  <c r="AM40" i="22"/>
  <c r="N26" i="25"/>
  <c r="AN40" i="22"/>
  <c r="O26" i="25"/>
  <c r="AO40" i="22"/>
  <c r="P26" i="25"/>
  <c r="AM33" i="24"/>
  <c r="Q26" i="25"/>
  <c r="AN33" i="24"/>
  <c r="R26" i="25"/>
  <c r="S26" i="25"/>
  <c r="BK24" i="14"/>
  <c r="P65" i="38"/>
  <c r="AM41" i="23"/>
  <c r="K27" i="25"/>
  <c r="AN41" i="23"/>
  <c r="L27" i="25"/>
  <c r="AO41" i="23"/>
  <c r="M27" i="25"/>
  <c r="AM41" i="22"/>
  <c r="N27" i="25"/>
  <c r="AN41" i="22"/>
  <c r="O27" i="25"/>
  <c r="AO41" i="22"/>
  <c r="P27" i="25"/>
  <c r="AM34" i="24"/>
  <c r="Q27" i="25"/>
  <c r="AN34" i="24"/>
  <c r="R27" i="25"/>
  <c r="S27" i="25"/>
  <c r="BK25" i="14"/>
  <c r="P66" i="38"/>
  <c r="P62" i="38"/>
  <c r="P62" i="41"/>
  <c r="P63" i="37"/>
  <c r="P64" i="37"/>
  <c r="P65" i="37"/>
  <c r="P66" i="37"/>
  <c r="P62" i="37"/>
  <c r="P62" i="40"/>
  <c r="P62" i="44"/>
  <c r="BM23" i="25"/>
  <c r="Q62" i="36"/>
  <c r="Q63" i="38"/>
  <c r="Q64" i="38"/>
  <c r="Q65" i="38"/>
  <c r="Q66" i="38"/>
  <c r="Q62" i="38"/>
  <c r="Q62" i="41"/>
  <c r="Q63" i="37"/>
  <c r="Q64" i="37"/>
  <c r="Q65" i="37"/>
  <c r="Q66" i="37"/>
  <c r="Q62" i="37"/>
  <c r="Q62" i="40"/>
  <c r="Q62" i="44"/>
  <c r="R24" i="36"/>
  <c r="R62" i="36"/>
  <c r="R23" i="29"/>
  <c r="R63" i="38"/>
  <c r="R24" i="29"/>
  <c r="R64" i="38"/>
  <c r="R25" i="29"/>
  <c r="R65" i="38"/>
  <c r="R26" i="29"/>
  <c r="R66" i="38"/>
  <c r="R62" i="38"/>
  <c r="R62" i="41"/>
  <c r="R63" i="37"/>
  <c r="R64" i="37"/>
  <c r="R65" i="37"/>
  <c r="R66" i="37"/>
  <c r="R62" i="37"/>
  <c r="R62" i="40"/>
  <c r="R62" i="44"/>
  <c r="AB62" i="44"/>
  <c r="F51" i="26"/>
  <c r="J31" i="26"/>
  <c r="I24" i="21"/>
  <c r="D24" i="21"/>
  <c r="K31" i="26"/>
  <c r="D23" i="29"/>
  <c r="J32" i="30"/>
  <c r="AF32" i="30"/>
  <c r="K32" i="30"/>
  <c r="AG32" i="30"/>
  <c r="L32" i="30"/>
  <c r="AH32" i="30"/>
  <c r="M32" i="30"/>
  <c r="AI32" i="30"/>
  <c r="D23" i="45"/>
  <c r="I23" i="45"/>
  <c r="N23" i="45"/>
  <c r="I22" i="14"/>
  <c r="X23" i="45"/>
  <c r="N22" i="14"/>
  <c r="I23" i="29"/>
  <c r="L31" i="26"/>
  <c r="M31" i="26"/>
  <c r="F78" i="26"/>
  <c r="F52" i="26"/>
  <c r="J32" i="26"/>
  <c r="I25" i="21"/>
  <c r="D25" i="21"/>
  <c r="K32" i="26"/>
  <c r="D24" i="29"/>
  <c r="J33" i="30"/>
  <c r="AF33" i="30"/>
  <c r="K33" i="30"/>
  <c r="AG33" i="30"/>
  <c r="L33" i="30"/>
  <c r="AH33" i="30"/>
  <c r="M33" i="30"/>
  <c r="AI33" i="30"/>
  <c r="D24" i="45"/>
  <c r="I24" i="45"/>
  <c r="N24" i="45"/>
  <c r="I23" i="14"/>
  <c r="X24" i="45"/>
  <c r="N23" i="14"/>
  <c r="I24" i="29"/>
  <c r="L32" i="26"/>
  <c r="M32" i="26"/>
  <c r="F79" i="26"/>
  <c r="F53" i="26"/>
  <c r="J33" i="26"/>
  <c r="I26" i="21"/>
  <c r="D26" i="21"/>
  <c r="K33" i="26"/>
  <c r="D25" i="29"/>
  <c r="J34" i="30"/>
  <c r="AF34" i="30"/>
  <c r="K34" i="30"/>
  <c r="AG34" i="30"/>
  <c r="L34" i="30"/>
  <c r="AH34" i="30"/>
  <c r="M34" i="30"/>
  <c r="AI34" i="30"/>
  <c r="D25" i="45"/>
  <c r="I25" i="45"/>
  <c r="N25" i="45"/>
  <c r="I24" i="14"/>
  <c r="X25" i="45"/>
  <c r="N24" i="14"/>
  <c r="I25" i="29"/>
  <c r="L33" i="26"/>
  <c r="M33" i="26"/>
  <c r="F80" i="26"/>
  <c r="F54" i="26"/>
  <c r="J34" i="26"/>
  <c r="I27" i="21"/>
  <c r="D27" i="21"/>
  <c r="K34" i="26"/>
  <c r="D26" i="29"/>
  <c r="J35" i="30"/>
  <c r="AF35" i="30"/>
  <c r="K35" i="30"/>
  <c r="AG35" i="30"/>
  <c r="L35" i="30"/>
  <c r="AH35" i="30"/>
  <c r="M35" i="30"/>
  <c r="AI35" i="30"/>
  <c r="D26" i="45"/>
  <c r="I26" i="45"/>
  <c r="N26" i="45"/>
  <c r="I25" i="14"/>
  <c r="X26" i="45"/>
  <c r="N25" i="14"/>
  <c r="I26" i="29"/>
  <c r="L34" i="26"/>
  <c r="M34" i="26"/>
  <c r="F81" i="26"/>
  <c r="F77" i="26"/>
  <c r="D22" i="29"/>
  <c r="AB77" i="26"/>
  <c r="P23" i="31"/>
  <c r="G51" i="26"/>
  <c r="AD31" i="26"/>
  <c r="AE31" i="26"/>
  <c r="AF31" i="26"/>
  <c r="G78" i="26"/>
  <c r="G52" i="26"/>
  <c r="AD32" i="26"/>
  <c r="AE32" i="26"/>
  <c r="AF32" i="26"/>
  <c r="G79" i="26"/>
  <c r="G53" i="26"/>
  <c r="AD33" i="26"/>
  <c r="AE33" i="26"/>
  <c r="AF33" i="26"/>
  <c r="G80" i="26"/>
  <c r="G54" i="26"/>
  <c r="AD34" i="26"/>
  <c r="AE34" i="26"/>
  <c r="AF34" i="26"/>
  <c r="G81" i="26"/>
  <c r="G77" i="26"/>
  <c r="AC77" i="26"/>
  <c r="Q23" i="31"/>
  <c r="AF31" i="30"/>
  <c r="BB31" i="30"/>
  <c r="R23" i="31"/>
  <c r="AG31" i="30"/>
  <c r="BC31" i="30"/>
  <c r="S23" i="31"/>
  <c r="AH31" i="30"/>
  <c r="BD31" i="30"/>
  <c r="T23" i="31"/>
  <c r="AI31" i="30"/>
  <c r="BE31" i="30"/>
  <c r="U23" i="31"/>
  <c r="V23" i="31"/>
  <c r="BA23" i="31"/>
  <c r="B100" i="36"/>
  <c r="B101" i="38"/>
  <c r="B102" i="38"/>
  <c r="B103" i="38"/>
  <c r="B104" i="38"/>
  <c r="B100" i="38"/>
  <c r="B100" i="41"/>
  <c r="B101" i="37"/>
  <c r="B102" i="37"/>
  <c r="B103" i="37"/>
  <c r="B104" i="37"/>
  <c r="B100" i="37"/>
  <c r="B100" i="40"/>
  <c r="B100" i="44"/>
  <c r="BB23" i="31"/>
  <c r="C100" i="36"/>
  <c r="C101" i="38"/>
  <c r="C102" i="38"/>
  <c r="C103" i="38"/>
  <c r="C104" i="38"/>
  <c r="C100" i="38"/>
  <c r="C100" i="41"/>
  <c r="C101" i="37"/>
  <c r="C102" i="37"/>
  <c r="C103" i="37"/>
  <c r="C104" i="37"/>
  <c r="C100" i="37"/>
  <c r="C100" i="40"/>
  <c r="C100" i="44"/>
  <c r="F51" i="32"/>
  <c r="H31" i="32"/>
  <c r="I31" i="32"/>
  <c r="J31" i="32"/>
  <c r="F78" i="32"/>
  <c r="F52" i="32"/>
  <c r="H32" i="32"/>
  <c r="I32" i="32"/>
  <c r="J32" i="32"/>
  <c r="F79" i="32"/>
  <c r="F53" i="32"/>
  <c r="H33" i="32"/>
  <c r="I33" i="32"/>
  <c r="J33" i="32"/>
  <c r="F80" i="32"/>
  <c r="F54" i="32"/>
  <c r="H34" i="32"/>
  <c r="I34" i="32"/>
  <c r="J34" i="32"/>
  <c r="F81" i="32"/>
  <c r="F77" i="32"/>
  <c r="I22" i="29"/>
  <c r="W77" i="32"/>
  <c r="H23" i="33"/>
  <c r="G51" i="32"/>
  <c r="Y31" i="32"/>
  <c r="Z31" i="32"/>
  <c r="AA31" i="32"/>
  <c r="G78" i="32"/>
  <c r="G52" i="32"/>
  <c r="Y32" i="32"/>
  <c r="Z32" i="32"/>
  <c r="AA32" i="32"/>
  <c r="G79" i="32"/>
  <c r="G53" i="32"/>
  <c r="Y33" i="32"/>
  <c r="Z33" i="32"/>
  <c r="AA33" i="32"/>
  <c r="G80" i="32"/>
  <c r="G54" i="32"/>
  <c r="Y34" i="32"/>
  <c r="Z34" i="32"/>
  <c r="AA34" i="32"/>
  <c r="G81" i="32"/>
  <c r="G77" i="32"/>
  <c r="X77" i="32"/>
  <c r="I23" i="33"/>
  <c r="J23" i="33"/>
  <c r="Y23" i="33"/>
  <c r="H100" i="36"/>
  <c r="H101" i="38"/>
  <c r="H102" i="38"/>
  <c r="H103" i="38"/>
  <c r="H104" i="38"/>
  <c r="H100" i="38"/>
  <c r="H100" i="41"/>
  <c r="H101" i="37"/>
  <c r="H102" i="37"/>
  <c r="H103" i="37"/>
  <c r="H104" i="37"/>
  <c r="H100" i="37"/>
  <c r="H100" i="40"/>
  <c r="H100" i="44"/>
  <c r="Z23" i="33"/>
  <c r="I100" i="36"/>
  <c r="I101" i="38"/>
  <c r="I102" i="38"/>
  <c r="I103" i="38"/>
  <c r="I104" i="38"/>
  <c r="I100" i="38"/>
  <c r="I100" i="41"/>
  <c r="I101" i="37"/>
  <c r="I102" i="37"/>
  <c r="I103" i="37"/>
  <c r="I104" i="37"/>
  <c r="I100" i="37"/>
  <c r="I100" i="40"/>
  <c r="I100" i="44"/>
  <c r="H31" i="24"/>
  <c r="Y31" i="24"/>
  <c r="H32" i="24"/>
  <c r="Y32" i="24"/>
  <c r="H33" i="24"/>
  <c r="Y33" i="24"/>
  <c r="H34" i="24"/>
  <c r="Y34" i="24"/>
  <c r="Y30" i="24"/>
  <c r="D23" i="46"/>
  <c r="I23" i="46"/>
  <c r="N23" i="46"/>
  <c r="S22" i="14"/>
  <c r="X23" i="46"/>
  <c r="X22" i="14"/>
  <c r="AH23" i="46"/>
  <c r="AC22" i="14"/>
  <c r="AR23" i="46"/>
  <c r="AH22" i="14"/>
  <c r="BB23" i="46"/>
  <c r="AM22" i="14"/>
  <c r="BL23" i="46"/>
  <c r="AR22" i="14"/>
  <c r="G24" i="64"/>
  <c r="AW22" i="14"/>
  <c r="M13" i="53"/>
  <c r="R13" i="53"/>
  <c r="BB22" i="14"/>
  <c r="G24" i="65"/>
  <c r="BG22" i="14"/>
  <c r="N23" i="29"/>
  <c r="D24" i="46"/>
  <c r="I24" i="46"/>
  <c r="N24" i="46"/>
  <c r="S23" i="14"/>
  <c r="X24" i="46"/>
  <c r="X23" i="14"/>
  <c r="AH24" i="46"/>
  <c r="AC23" i="14"/>
  <c r="AR24" i="46"/>
  <c r="AH23" i="14"/>
  <c r="BB24" i="46"/>
  <c r="AM23" i="14"/>
  <c r="BL24" i="46"/>
  <c r="AR23" i="14"/>
  <c r="G25" i="64"/>
  <c r="AW23" i="14"/>
  <c r="M8" i="53"/>
  <c r="R8" i="53"/>
  <c r="BB23" i="14"/>
  <c r="G25" i="65"/>
  <c r="BG23" i="14"/>
  <c r="N24" i="29"/>
  <c r="D25" i="46"/>
  <c r="I25" i="46"/>
  <c r="N25" i="46"/>
  <c r="S24" i="14"/>
  <c r="X25" i="46"/>
  <c r="X24" i="14"/>
  <c r="AH25" i="46"/>
  <c r="AC24" i="14"/>
  <c r="AR25" i="46"/>
  <c r="AH24" i="14"/>
  <c r="BB25" i="46"/>
  <c r="AM24" i="14"/>
  <c r="BL25" i="46"/>
  <c r="AR24" i="14"/>
  <c r="G26" i="64"/>
  <c r="AW24" i="14"/>
  <c r="M14" i="53"/>
  <c r="R14" i="53"/>
  <c r="BB24" i="14"/>
  <c r="G26" i="65"/>
  <c r="BG24" i="14"/>
  <c r="N25" i="29"/>
  <c r="D26" i="46"/>
  <c r="I26" i="46"/>
  <c r="N26" i="46"/>
  <c r="S25" i="14"/>
  <c r="X26" i="46"/>
  <c r="X25" i="14"/>
  <c r="AH26" i="46"/>
  <c r="AC25" i="14"/>
  <c r="AR26" i="46"/>
  <c r="AH25" i="14"/>
  <c r="BB26" i="46"/>
  <c r="AM25" i="14"/>
  <c r="BL26" i="46"/>
  <c r="AR25" i="14"/>
  <c r="G27" i="64"/>
  <c r="AW25" i="14"/>
  <c r="M7" i="53"/>
  <c r="R7" i="53"/>
  <c r="BB25" i="14"/>
  <c r="G27" i="65"/>
  <c r="BG25" i="14"/>
  <c r="N26" i="29"/>
  <c r="N22" i="29"/>
  <c r="AP30" i="24"/>
  <c r="Z23" i="25"/>
  <c r="H11" i="23"/>
  <c r="H38" i="23"/>
  <c r="Y38" i="23"/>
  <c r="H12" i="23"/>
  <c r="H39" i="23"/>
  <c r="Y39" i="23"/>
  <c r="H13" i="23"/>
  <c r="H40" i="23"/>
  <c r="Y40" i="23"/>
  <c r="H14" i="23"/>
  <c r="H41" i="23"/>
  <c r="Y41" i="23"/>
  <c r="Y37" i="23"/>
  <c r="AP37" i="23"/>
  <c r="T23" i="25"/>
  <c r="I11" i="23"/>
  <c r="I38" i="23"/>
  <c r="Z38" i="23"/>
  <c r="I12" i="23"/>
  <c r="I39" i="23"/>
  <c r="Z39" i="23"/>
  <c r="I13" i="23"/>
  <c r="I40" i="23"/>
  <c r="Z40" i="23"/>
  <c r="I14" i="23"/>
  <c r="I41" i="23"/>
  <c r="Z41" i="23"/>
  <c r="Z37" i="23"/>
  <c r="AQ37" i="23"/>
  <c r="U23" i="25"/>
  <c r="J11" i="23"/>
  <c r="J38" i="23"/>
  <c r="AA38" i="23"/>
  <c r="J12" i="23"/>
  <c r="J39" i="23"/>
  <c r="AA39" i="23"/>
  <c r="J13" i="23"/>
  <c r="J40" i="23"/>
  <c r="AA40" i="23"/>
  <c r="J14" i="23"/>
  <c r="J41" i="23"/>
  <c r="AA41" i="23"/>
  <c r="AA37" i="23"/>
  <c r="AR37" i="23"/>
  <c r="V23" i="25"/>
  <c r="H11" i="22"/>
  <c r="H38" i="22"/>
  <c r="Y38" i="22"/>
  <c r="H12" i="22"/>
  <c r="H39" i="22"/>
  <c r="Y39" i="22"/>
  <c r="H13" i="22"/>
  <c r="H40" i="22"/>
  <c r="Y40" i="22"/>
  <c r="H14" i="22"/>
  <c r="H41" i="22"/>
  <c r="Y41" i="22"/>
  <c r="Y37" i="22"/>
  <c r="AP37" i="22"/>
  <c r="W23" i="25"/>
  <c r="I11" i="22"/>
  <c r="I38" i="22"/>
  <c r="Z38" i="22"/>
  <c r="I12" i="22"/>
  <c r="I39" i="22"/>
  <c r="Z39" i="22"/>
  <c r="I13" i="22"/>
  <c r="I40" i="22"/>
  <c r="Z40" i="22"/>
  <c r="I14" i="22"/>
  <c r="I41" i="22"/>
  <c r="Z41" i="22"/>
  <c r="Z37" i="22"/>
  <c r="AQ37" i="22"/>
  <c r="X23" i="25"/>
  <c r="J11" i="22"/>
  <c r="J38" i="22"/>
  <c r="AA38" i="22"/>
  <c r="J12" i="22"/>
  <c r="J39" i="22"/>
  <c r="AA39" i="22"/>
  <c r="J13" i="22"/>
  <c r="J40" i="22"/>
  <c r="AA40" i="22"/>
  <c r="J14" i="22"/>
  <c r="J41" i="22"/>
  <c r="AA41" i="22"/>
  <c r="AA37" i="22"/>
  <c r="AR37" i="22"/>
  <c r="Y23" i="25"/>
  <c r="I31" i="24"/>
  <c r="Z31" i="24"/>
  <c r="I32" i="24"/>
  <c r="Z32" i="24"/>
  <c r="I33" i="24"/>
  <c r="Z33" i="24"/>
  <c r="I34" i="24"/>
  <c r="Z34" i="24"/>
  <c r="Z30" i="24"/>
  <c r="AQ30" i="24"/>
  <c r="AA23" i="25"/>
  <c r="AB23" i="25"/>
  <c r="BU23" i="25"/>
  <c r="P100" i="36"/>
  <c r="AP38" i="23"/>
  <c r="T24" i="25"/>
  <c r="AQ38" i="23"/>
  <c r="U24" i="25"/>
  <c r="AR38" i="23"/>
  <c r="V24" i="25"/>
  <c r="AP38" i="22"/>
  <c r="W24" i="25"/>
  <c r="AQ38" i="22"/>
  <c r="X24" i="25"/>
  <c r="AR38" i="22"/>
  <c r="Y24" i="25"/>
  <c r="AP31" i="24"/>
  <c r="Z24" i="25"/>
  <c r="AQ31" i="24"/>
  <c r="AA24" i="25"/>
  <c r="AB24" i="25"/>
  <c r="BL22" i="14"/>
  <c r="P101" i="38"/>
  <c r="AP39" i="23"/>
  <c r="T25" i="25"/>
  <c r="AQ39" i="23"/>
  <c r="U25" i="25"/>
  <c r="AR39" i="23"/>
  <c r="V25" i="25"/>
  <c r="AP39" i="22"/>
  <c r="W25" i="25"/>
  <c r="AQ39" i="22"/>
  <c r="X25" i="25"/>
  <c r="AR39" i="22"/>
  <c r="Y25" i="25"/>
  <c r="AP32" i="24"/>
  <c r="Z25" i="25"/>
  <c r="AQ32" i="24"/>
  <c r="AA25" i="25"/>
  <c r="AB25" i="25"/>
  <c r="BL23" i="14"/>
  <c r="P102" i="38"/>
  <c r="AP40" i="23"/>
  <c r="T26" i="25"/>
  <c r="AQ40" i="23"/>
  <c r="U26" i="25"/>
  <c r="AR40" i="23"/>
  <c r="V26" i="25"/>
  <c r="AP40" i="22"/>
  <c r="W26" i="25"/>
  <c r="AQ40" i="22"/>
  <c r="X26" i="25"/>
  <c r="AR40" i="22"/>
  <c r="Y26" i="25"/>
  <c r="AP33" i="24"/>
  <c r="Z26" i="25"/>
  <c r="AQ33" i="24"/>
  <c r="AA26" i="25"/>
  <c r="AB26" i="25"/>
  <c r="BL24" i="14"/>
  <c r="P103" i="38"/>
  <c r="AP41" i="23"/>
  <c r="T27" i="25"/>
  <c r="AQ41" i="23"/>
  <c r="U27" i="25"/>
  <c r="AR41" i="23"/>
  <c r="V27" i="25"/>
  <c r="AP41" i="22"/>
  <c r="W27" i="25"/>
  <c r="AQ41" i="22"/>
  <c r="X27" i="25"/>
  <c r="AR41" i="22"/>
  <c r="Y27" i="25"/>
  <c r="AP34" i="24"/>
  <c r="Z27" i="25"/>
  <c r="AQ34" i="24"/>
  <c r="AA27" i="25"/>
  <c r="AB27" i="25"/>
  <c r="BL25" i="14"/>
  <c r="P104" i="38"/>
  <c r="P100" i="38"/>
  <c r="P100" i="41"/>
  <c r="P101" i="37"/>
  <c r="P102" i="37"/>
  <c r="P103" i="37"/>
  <c r="P104" i="37"/>
  <c r="P100" i="37"/>
  <c r="P100" i="40"/>
  <c r="P100" i="44"/>
  <c r="BV23" i="25"/>
  <c r="Q100" i="36"/>
  <c r="Q101" i="38"/>
  <c r="Q102" i="38"/>
  <c r="Q103" i="38"/>
  <c r="Q104" i="38"/>
  <c r="Q100" i="38"/>
  <c r="Q100" i="41"/>
  <c r="Q101" i="37"/>
  <c r="Q102" i="37"/>
  <c r="Q103" i="37"/>
  <c r="Q104" i="37"/>
  <c r="Q100" i="37"/>
  <c r="Q100" i="40"/>
  <c r="Q100" i="44"/>
  <c r="R100" i="36"/>
  <c r="S23" i="29"/>
  <c r="R101" i="38"/>
  <c r="S24" i="29"/>
  <c r="R102" i="38"/>
  <c r="S25" i="29"/>
  <c r="R103" i="38"/>
  <c r="S26" i="29"/>
  <c r="R104" i="38"/>
  <c r="R100" i="38"/>
  <c r="R100" i="41"/>
  <c r="R101" i="37"/>
  <c r="R102" i="37"/>
  <c r="R103" i="37"/>
  <c r="R104" i="37"/>
  <c r="R100" i="37"/>
  <c r="R100" i="40"/>
  <c r="R100" i="44"/>
  <c r="AB100" i="44"/>
  <c r="H51" i="26"/>
  <c r="N31" i="26"/>
  <c r="F24" i="21"/>
  <c r="E24" i="21"/>
  <c r="O31" i="26"/>
  <c r="E23" i="29"/>
  <c r="N32" i="30"/>
  <c r="AJ32" i="30"/>
  <c r="O32" i="30"/>
  <c r="AK32" i="30"/>
  <c r="P32" i="30"/>
  <c r="AL32" i="30"/>
  <c r="Q32" i="30"/>
  <c r="AM32" i="30"/>
  <c r="E23" i="45"/>
  <c r="J23" i="45"/>
  <c r="O23" i="45"/>
  <c r="J22" i="14"/>
  <c r="Y23" i="45"/>
  <c r="O22" i="14"/>
  <c r="J23" i="29"/>
  <c r="P31" i="26"/>
  <c r="Q31" i="26"/>
  <c r="Z78" i="26"/>
  <c r="I24" i="31"/>
  <c r="AA78" i="26"/>
  <c r="J24" i="31"/>
  <c r="AX32" i="30"/>
  <c r="K24" i="31"/>
  <c r="AY32" i="30"/>
  <c r="L24" i="31"/>
  <c r="AZ32" i="30"/>
  <c r="M24" i="31"/>
  <c r="BA32" i="30"/>
  <c r="N24" i="31"/>
  <c r="O24" i="31"/>
  <c r="AT24" i="31"/>
  <c r="B63" i="36"/>
  <c r="B63" i="41"/>
  <c r="B63" i="40"/>
  <c r="B63" i="44"/>
  <c r="AU24" i="31"/>
  <c r="C63" i="36"/>
  <c r="C63" i="41"/>
  <c r="C63" i="40"/>
  <c r="C63" i="44"/>
  <c r="U78" i="32"/>
  <c r="E24" i="33"/>
  <c r="V78" i="32"/>
  <c r="F24" i="33"/>
  <c r="G24" i="33"/>
  <c r="V24" i="33"/>
  <c r="H63" i="36"/>
  <c r="H63" i="41"/>
  <c r="H63" i="40"/>
  <c r="H63" i="44"/>
  <c r="W24" i="33"/>
  <c r="I63" i="36"/>
  <c r="I63" i="41"/>
  <c r="I63" i="40"/>
  <c r="I63" i="44"/>
  <c r="BL24" i="25"/>
  <c r="P63" i="36"/>
  <c r="P63" i="41"/>
  <c r="P63" i="40"/>
  <c r="P63" i="44"/>
  <c r="BM24" i="25"/>
  <c r="Q63" i="36"/>
  <c r="Q63" i="41"/>
  <c r="Q63" i="40"/>
  <c r="Q63" i="44"/>
  <c r="R25" i="36"/>
  <c r="R63" i="36"/>
  <c r="R63" i="41"/>
  <c r="R63" i="40"/>
  <c r="R63" i="44"/>
  <c r="AB63" i="44"/>
  <c r="AB78" i="26"/>
  <c r="P24" i="31"/>
  <c r="AC78" i="26"/>
  <c r="Q24" i="31"/>
  <c r="BB32" i="30"/>
  <c r="R24" i="31"/>
  <c r="BC32" i="30"/>
  <c r="S24" i="31"/>
  <c r="BD32" i="30"/>
  <c r="T24" i="31"/>
  <c r="BE32" i="30"/>
  <c r="U24" i="31"/>
  <c r="V24" i="31"/>
  <c r="BA24" i="31"/>
  <c r="B101" i="36"/>
  <c r="B101" i="41"/>
  <c r="B101" i="40"/>
  <c r="B101" i="44"/>
  <c r="BB24" i="31"/>
  <c r="C101" i="36"/>
  <c r="C101" i="41"/>
  <c r="C101" i="40"/>
  <c r="C101" i="44"/>
  <c r="W78" i="32"/>
  <c r="H24" i="33"/>
  <c r="X78" i="32"/>
  <c r="I24" i="33"/>
  <c r="J24" i="33"/>
  <c r="Y24" i="33"/>
  <c r="H101" i="36"/>
  <c r="H101" i="41"/>
  <c r="H101" i="40"/>
  <c r="H101" i="44"/>
  <c r="Z24" i="33"/>
  <c r="I101" i="36"/>
  <c r="I101" i="41"/>
  <c r="I101" i="40"/>
  <c r="I101" i="44"/>
  <c r="BU24" i="25"/>
  <c r="P101" i="36"/>
  <c r="P101" i="41"/>
  <c r="P101" i="40"/>
  <c r="P101" i="44"/>
  <c r="BV24" i="25"/>
  <c r="Q101" i="36"/>
  <c r="Q101" i="41"/>
  <c r="Q101" i="40"/>
  <c r="Q101" i="44"/>
  <c r="R101" i="36"/>
  <c r="R101" i="41"/>
  <c r="R101" i="40"/>
  <c r="R101" i="44"/>
  <c r="AB101" i="44"/>
  <c r="Z79" i="26"/>
  <c r="I25" i="31"/>
  <c r="AA79" i="26"/>
  <c r="J25" i="31"/>
  <c r="AX33" i="30"/>
  <c r="K25" i="31"/>
  <c r="AY33" i="30"/>
  <c r="L25" i="31"/>
  <c r="AZ33" i="30"/>
  <c r="M25" i="31"/>
  <c r="BA33" i="30"/>
  <c r="N25" i="31"/>
  <c r="O25" i="31"/>
  <c r="AT25" i="31"/>
  <c r="B64" i="36"/>
  <c r="B64" i="41"/>
  <c r="B64" i="40"/>
  <c r="B64" i="44"/>
  <c r="AU25" i="31"/>
  <c r="C64" i="36"/>
  <c r="C64" i="41"/>
  <c r="C64" i="40"/>
  <c r="C64" i="44"/>
  <c r="U79" i="32"/>
  <c r="E25" i="33"/>
  <c r="V79" i="32"/>
  <c r="F25" i="33"/>
  <c r="G25" i="33"/>
  <c r="V25" i="33"/>
  <c r="H64" i="36"/>
  <c r="H64" i="41"/>
  <c r="H64" i="40"/>
  <c r="H64" i="44"/>
  <c r="W25" i="33"/>
  <c r="I64" i="36"/>
  <c r="I64" i="41"/>
  <c r="I64" i="40"/>
  <c r="I64" i="44"/>
  <c r="BL25" i="25"/>
  <c r="P64" i="36"/>
  <c r="P64" i="41"/>
  <c r="P64" i="40"/>
  <c r="P64" i="44"/>
  <c r="BM25" i="25"/>
  <c r="Q64" i="36"/>
  <c r="Q64" i="41"/>
  <c r="Q64" i="40"/>
  <c r="Q64" i="44"/>
  <c r="R26" i="36"/>
  <c r="R64" i="36"/>
  <c r="R64" i="41"/>
  <c r="R64" i="40"/>
  <c r="R64" i="44"/>
  <c r="AB64" i="44"/>
  <c r="AB79" i="26"/>
  <c r="P25" i="31"/>
  <c r="AC79" i="26"/>
  <c r="Q25" i="31"/>
  <c r="BB33" i="30"/>
  <c r="R25" i="31"/>
  <c r="BC33" i="30"/>
  <c r="S25" i="31"/>
  <c r="BD33" i="30"/>
  <c r="T25" i="31"/>
  <c r="BE33" i="30"/>
  <c r="U25" i="31"/>
  <c r="V25" i="31"/>
  <c r="BA25" i="31"/>
  <c r="B102" i="36"/>
  <c r="B102" i="41"/>
  <c r="B102" i="40"/>
  <c r="B102" i="44"/>
  <c r="BB25" i="31"/>
  <c r="C102" i="36"/>
  <c r="C102" i="41"/>
  <c r="C102" i="40"/>
  <c r="C102" i="44"/>
  <c r="W79" i="32"/>
  <c r="H25" i="33"/>
  <c r="X79" i="32"/>
  <c r="I25" i="33"/>
  <c r="J25" i="33"/>
  <c r="Y25" i="33"/>
  <c r="H102" i="36"/>
  <c r="H102" i="41"/>
  <c r="H102" i="40"/>
  <c r="H102" i="44"/>
  <c r="Z25" i="33"/>
  <c r="I102" i="36"/>
  <c r="I102" i="41"/>
  <c r="I102" i="40"/>
  <c r="I102" i="44"/>
  <c r="BU25" i="25"/>
  <c r="P102" i="36"/>
  <c r="P102" i="41"/>
  <c r="P102" i="40"/>
  <c r="P102" i="44"/>
  <c r="BV25" i="25"/>
  <c r="Q102" i="36"/>
  <c r="Q102" i="41"/>
  <c r="Q102" i="40"/>
  <c r="Q102" i="44"/>
  <c r="R102" i="36"/>
  <c r="R102" i="41"/>
  <c r="R102" i="40"/>
  <c r="R102" i="44"/>
  <c r="AB102" i="44"/>
  <c r="H52" i="26"/>
  <c r="N32" i="26"/>
  <c r="F25" i="21"/>
  <c r="E25" i="21"/>
  <c r="O32" i="26"/>
  <c r="E24" i="29"/>
  <c r="N33" i="30"/>
  <c r="AJ33" i="30"/>
  <c r="O33" i="30"/>
  <c r="AK33" i="30"/>
  <c r="P33" i="30"/>
  <c r="AL33" i="30"/>
  <c r="Q33" i="30"/>
  <c r="AM33" i="30"/>
  <c r="E24" i="45"/>
  <c r="J24" i="45"/>
  <c r="O24" i="45"/>
  <c r="J23" i="14"/>
  <c r="Y24" i="45"/>
  <c r="O23" i="14"/>
  <c r="J24" i="29"/>
  <c r="P32" i="26"/>
  <c r="Q32" i="26"/>
  <c r="Z80" i="26"/>
  <c r="I26" i="31"/>
  <c r="AA80" i="26"/>
  <c r="J26" i="31"/>
  <c r="AX34" i="30"/>
  <c r="K26" i="31"/>
  <c r="AY34" i="30"/>
  <c r="L26" i="31"/>
  <c r="AZ34" i="30"/>
  <c r="M26" i="31"/>
  <c r="BA34" i="30"/>
  <c r="N26" i="31"/>
  <c r="O26" i="31"/>
  <c r="AT26" i="31"/>
  <c r="B65" i="36"/>
  <c r="B65" i="41"/>
  <c r="B65" i="40"/>
  <c r="B65" i="44"/>
  <c r="AU26" i="31"/>
  <c r="C65" i="36"/>
  <c r="C65" i="41"/>
  <c r="C65" i="40"/>
  <c r="C65" i="44"/>
  <c r="U80" i="32"/>
  <c r="E26" i="33"/>
  <c r="V80" i="32"/>
  <c r="F26" i="33"/>
  <c r="G26" i="33"/>
  <c r="V26" i="33"/>
  <c r="H65" i="36"/>
  <c r="H65" i="41"/>
  <c r="H65" i="40"/>
  <c r="H65" i="44"/>
  <c r="W26" i="33"/>
  <c r="I65" i="36"/>
  <c r="I65" i="41"/>
  <c r="I65" i="40"/>
  <c r="I65" i="44"/>
  <c r="BL26" i="25"/>
  <c r="P65" i="36"/>
  <c r="P65" i="41"/>
  <c r="P65" i="40"/>
  <c r="P65" i="44"/>
  <c r="BM26" i="25"/>
  <c r="Q65" i="36"/>
  <c r="Q65" i="41"/>
  <c r="Q65" i="40"/>
  <c r="Q65" i="44"/>
  <c r="R27" i="36"/>
  <c r="R65" i="36"/>
  <c r="R65" i="41"/>
  <c r="R65" i="40"/>
  <c r="R65" i="44"/>
  <c r="AB65" i="44"/>
  <c r="AB80" i="26"/>
  <c r="P26" i="31"/>
  <c r="AC80" i="26"/>
  <c r="Q26" i="31"/>
  <c r="BB34" i="30"/>
  <c r="R26" i="31"/>
  <c r="BC34" i="30"/>
  <c r="S26" i="31"/>
  <c r="BD34" i="30"/>
  <c r="T26" i="31"/>
  <c r="BE34" i="30"/>
  <c r="U26" i="31"/>
  <c r="V26" i="31"/>
  <c r="BA26" i="31"/>
  <c r="B103" i="36"/>
  <c r="B103" i="41"/>
  <c r="B103" i="40"/>
  <c r="B103" i="44"/>
  <c r="BB26" i="31"/>
  <c r="C103" i="36"/>
  <c r="C103" i="41"/>
  <c r="C103" i="40"/>
  <c r="C103" i="44"/>
  <c r="W80" i="32"/>
  <c r="H26" i="33"/>
  <c r="X80" i="32"/>
  <c r="I26" i="33"/>
  <c r="J26" i="33"/>
  <c r="Y26" i="33"/>
  <c r="H103" i="36"/>
  <c r="H103" i="41"/>
  <c r="H103" i="40"/>
  <c r="H103" i="44"/>
  <c r="Z26" i="33"/>
  <c r="I103" i="36"/>
  <c r="I103" i="41"/>
  <c r="I103" i="40"/>
  <c r="I103" i="44"/>
  <c r="BU26" i="25"/>
  <c r="P103" i="36"/>
  <c r="P103" i="41"/>
  <c r="P103" i="40"/>
  <c r="P103" i="44"/>
  <c r="BV26" i="25"/>
  <c r="Q103" i="36"/>
  <c r="Q103" i="41"/>
  <c r="Q103" i="40"/>
  <c r="Q103" i="44"/>
  <c r="R103" i="36"/>
  <c r="R103" i="41"/>
  <c r="R103" i="40"/>
  <c r="R103" i="44"/>
  <c r="AB103" i="44"/>
  <c r="H53" i="26"/>
  <c r="N33" i="26"/>
  <c r="F26" i="21"/>
  <c r="E26" i="21"/>
  <c r="O33" i="26"/>
  <c r="E25" i="29"/>
  <c r="N34" i="30"/>
  <c r="AJ34" i="30"/>
  <c r="O34" i="30"/>
  <c r="AK34" i="30"/>
  <c r="P34" i="30"/>
  <c r="AL34" i="30"/>
  <c r="Q34" i="30"/>
  <c r="AM34" i="30"/>
  <c r="E25" i="45"/>
  <c r="J25" i="45"/>
  <c r="O25" i="45"/>
  <c r="J24" i="14"/>
  <c r="Y25" i="45"/>
  <c r="O24" i="14"/>
  <c r="J25" i="29"/>
  <c r="P33" i="26"/>
  <c r="Q33" i="26"/>
  <c r="Z81" i="26"/>
  <c r="I27" i="31"/>
  <c r="AA81" i="26"/>
  <c r="J27" i="31"/>
  <c r="AX35" i="30"/>
  <c r="K27" i="31"/>
  <c r="AY35" i="30"/>
  <c r="L27" i="31"/>
  <c r="AZ35" i="30"/>
  <c r="M27" i="31"/>
  <c r="BA35" i="30"/>
  <c r="N27" i="31"/>
  <c r="O27" i="31"/>
  <c r="AT27" i="31"/>
  <c r="B66" i="36"/>
  <c r="B66" i="41"/>
  <c r="B66" i="40"/>
  <c r="B66" i="44"/>
  <c r="AU27" i="31"/>
  <c r="C66" i="36"/>
  <c r="C66" i="41"/>
  <c r="C66" i="40"/>
  <c r="C66" i="44"/>
  <c r="U81" i="32"/>
  <c r="E27" i="33"/>
  <c r="V81" i="32"/>
  <c r="F27" i="33"/>
  <c r="G27" i="33"/>
  <c r="V27" i="33"/>
  <c r="H66" i="36"/>
  <c r="H66" i="41"/>
  <c r="H66" i="40"/>
  <c r="H66" i="44"/>
  <c r="W27" i="33"/>
  <c r="I66" i="36"/>
  <c r="I66" i="41"/>
  <c r="I66" i="40"/>
  <c r="I66" i="44"/>
  <c r="BL27" i="25"/>
  <c r="P66" i="36"/>
  <c r="P66" i="41"/>
  <c r="P66" i="40"/>
  <c r="P66" i="44"/>
  <c r="BM27" i="25"/>
  <c r="Q66" i="36"/>
  <c r="Q66" i="41"/>
  <c r="Q66" i="40"/>
  <c r="Q66" i="44"/>
  <c r="R28" i="36"/>
  <c r="R66" i="36"/>
  <c r="R66" i="41"/>
  <c r="R66" i="40"/>
  <c r="R66" i="44"/>
  <c r="AB66" i="44"/>
  <c r="AB81" i="26"/>
  <c r="P27" i="31"/>
  <c r="AC81" i="26"/>
  <c r="Q27" i="31"/>
  <c r="BB35" i="30"/>
  <c r="R27" i="31"/>
  <c r="BC35" i="30"/>
  <c r="S27" i="31"/>
  <c r="BD35" i="30"/>
  <c r="T27" i="31"/>
  <c r="BE35" i="30"/>
  <c r="U27" i="31"/>
  <c r="V27" i="31"/>
  <c r="BA27" i="31"/>
  <c r="B104" i="36"/>
  <c r="B104" i="41"/>
  <c r="B104" i="40"/>
  <c r="B104" i="44"/>
  <c r="BB27" i="31"/>
  <c r="C104" i="36"/>
  <c r="C104" i="41"/>
  <c r="C104" i="40"/>
  <c r="C104" i="44"/>
  <c r="W81" i="32"/>
  <c r="H27" i="33"/>
  <c r="X81" i="32"/>
  <c r="I27" i="33"/>
  <c r="J27" i="33"/>
  <c r="Y27" i="33"/>
  <c r="H104" i="36"/>
  <c r="H104" i="41"/>
  <c r="H104" i="40"/>
  <c r="H104" i="44"/>
  <c r="Z27" i="33"/>
  <c r="I104" i="36"/>
  <c r="I104" i="41"/>
  <c r="I104" i="40"/>
  <c r="I104" i="44"/>
  <c r="BU27" i="25"/>
  <c r="P104" i="36"/>
  <c r="P104" i="41"/>
  <c r="P104" i="40"/>
  <c r="P104" i="44"/>
  <c r="BV27" i="25"/>
  <c r="Q104" i="36"/>
  <c r="Q104" i="41"/>
  <c r="Q104" i="40"/>
  <c r="Q104" i="44"/>
  <c r="R104" i="36"/>
  <c r="R104" i="41"/>
  <c r="R104" i="40"/>
  <c r="R104" i="44"/>
  <c r="AB104" i="44"/>
  <c r="H54" i="26"/>
  <c r="N34" i="26"/>
  <c r="F27" i="21"/>
  <c r="E27" i="21"/>
  <c r="O34" i="26"/>
  <c r="E26" i="29"/>
  <c r="N35" i="30"/>
  <c r="AJ35" i="30"/>
  <c r="O35" i="30"/>
  <c r="AK35" i="30"/>
  <c r="P35" i="30"/>
  <c r="AL35" i="30"/>
  <c r="Q35" i="30"/>
  <c r="AM35" i="30"/>
  <c r="E26" i="45"/>
  <c r="J26" i="45"/>
  <c r="O26" i="45"/>
  <c r="J25" i="14"/>
  <c r="Y26" i="45"/>
  <c r="O25" i="14"/>
  <c r="J26" i="29"/>
  <c r="P34" i="26"/>
  <c r="Q34" i="26"/>
  <c r="Q16" i="76"/>
  <c r="Q42" i="76"/>
  <c r="Q67" i="76"/>
  <c r="Q41" i="76"/>
  <c r="Q68" i="76"/>
  <c r="Q60" i="76"/>
  <c r="Q47" i="76"/>
  <c r="Q14" i="76"/>
  <c r="Q61" i="76"/>
  <c r="Q48" i="76"/>
  <c r="Q13" i="76"/>
  <c r="Q62" i="76"/>
  <c r="Q49" i="76"/>
  <c r="Q15" i="76"/>
  <c r="Q43" i="76"/>
  <c r="Q77" i="76"/>
  <c r="Q40" i="76"/>
  <c r="Q79" i="76"/>
  <c r="Q36" i="76"/>
  <c r="Q37" i="76"/>
  <c r="Q86" i="76"/>
  <c r="Q63" i="76"/>
  <c r="Q50" i="76"/>
  <c r="Q95" i="76"/>
  <c r="B27" i="77"/>
  <c r="F36" i="26"/>
  <c r="G36" i="26"/>
  <c r="Q96" i="76"/>
  <c r="C27" i="77"/>
  <c r="C28" i="13"/>
  <c r="C28" i="29"/>
  <c r="F37" i="30"/>
  <c r="AB37" i="30"/>
  <c r="Q71" i="76"/>
  <c r="Q72" i="76"/>
  <c r="Q73" i="76"/>
  <c r="Q111" i="76"/>
  <c r="P27" i="77"/>
  <c r="G37" i="30"/>
  <c r="AC37" i="30"/>
  <c r="Q112" i="76"/>
  <c r="Q27" i="77"/>
  <c r="H37" i="30"/>
  <c r="AD37" i="30"/>
  <c r="Q113" i="76"/>
  <c r="R27" i="77"/>
  <c r="I37" i="30"/>
  <c r="AE37" i="30"/>
  <c r="C28" i="45"/>
  <c r="H28" i="45"/>
  <c r="M28" i="45"/>
  <c r="H27" i="14"/>
  <c r="W28" i="45"/>
  <c r="M27" i="14"/>
  <c r="H28" i="29"/>
  <c r="H36" i="26"/>
  <c r="I36" i="26"/>
  <c r="D83" i="26"/>
  <c r="V16" i="76"/>
  <c r="V42" i="76"/>
  <c r="V67" i="76"/>
  <c r="V41" i="76"/>
  <c r="V68" i="76"/>
  <c r="V60" i="76"/>
  <c r="V47" i="76"/>
  <c r="V14" i="76"/>
  <c r="V61" i="76"/>
  <c r="V48" i="76"/>
  <c r="V13" i="76"/>
  <c r="V62" i="76"/>
  <c r="V49" i="76"/>
  <c r="V15" i="76"/>
  <c r="V43" i="76"/>
  <c r="V77" i="76"/>
  <c r="V40" i="76"/>
  <c r="V79" i="76"/>
  <c r="V36" i="76"/>
  <c r="V37" i="76"/>
  <c r="V86" i="76"/>
  <c r="V63" i="76"/>
  <c r="V50" i="76"/>
  <c r="V95" i="76"/>
  <c r="B28" i="77"/>
  <c r="F37" i="26"/>
  <c r="G37" i="26"/>
  <c r="V96" i="76"/>
  <c r="C28" i="77"/>
  <c r="C29" i="13"/>
  <c r="C29" i="29"/>
  <c r="F38" i="30"/>
  <c r="AB38" i="30"/>
  <c r="V71" i="76"/>
  <c r="V72" i="76"/>
  <c r="V73" i="76"/>
  <c r="V111" i="76"/>
  <c r="P28" i="77"/>
  <c r="G38" i="30"/>
  <c r="AC38" i="30"/>
  <c r="V112" i="76"/>
  <c r="Q28" i="77"/>
  <c r="H38" i="30"/>
  <c r="AD38" i="30"/>
  <c r="V113" i="76"/>
  <c r="R28" i="77"/>
  <c r="I38" i="30"/>
  <c r="AE38" i="30"/>
  <c r="C29" i="45"/>
  <c r="H29" i="45"/>
  <c r="M29" i="45"/>
  <c r="H28" i="14"/>
  <c r="W29" i="45"/>
  <c r="M28" i="14"/>
  <c r="H29" i="29"/>
  <c r="H37" i="26"/>
  <c r="I37" i="26"/>
  <c r="D84" i="26"/>
  <c r="D82" i="26"/>
  <c r="C27" i="29"/>
  <c r="Z82" i="26"/>
  <c r="I28" i="31"/>
  <c r="Q52" i="76"/>
  <c r="Q53" i="76"/>
  <c r="Q54" i="76"/>
  <c r="Q55" i="76"/>
  <c r="Q101" i="76"/>
  <c r="H27" i="77"/>
  <c r="AA36" i="26"/>
  <c r="Q102" i="76"/>
  <c r="I27" i="77"/>
  <c r="AB36" i="26"/>
  <c r="AC36" i="26"/>
  <c r="E83" i="26"/>
  <c r="V52" i="76"/>
  <c r="V53" i="76"/>
  <c r="V54" i="76"/>
  <c r="V55" i="76"/>
  <c r="V101" i="76"/>
  <c r="H28" i="77"/>
  <c r="AA37" i="26"/>
  <c r="V102" i="76"/>
  <c r="I28" i="77"/>
  <c r="AB37" i="26"/>
  <c r="AC37" i="26"/>
  <c r="E84" i="26"/>
  <c r="E82" i="26"/>
  <c r="AA82" i="26"/>
  <c r="J28" i="31"/>
  <c r="AB36" i="30"/>
  <c r="AX36" i="30"/>
  <c r="K28" i="31"/>
  <c r="AC36" i="30"/>
  <c r="AY36" i="30"/>
  <c r="L28" i="31"/>
  <c r="AD36" i="30"/>
  <c r="AZ36" i="30"/>
  <c r="M28" i="31"/>
  <c r="AE36" i="30"/>
  <c r="BA36" i="30"/>
  <c r="N28" i="31"/>
  <c r="O28" i="31"/>
  <c r="AT28" i="31"/>
  <c r="B67" i="36"/>
  <c r="B68" i="38"/>
  <c r="B69" i="38"/>
  <c r="B67" i="38"/>
  <c r="B67" i="41"/>
  <c r="B68" i="37"/>
  <c r="B69" i="37"/>
  <c r="B67" i="37"/>
  <c r="B67" i="40"/>
  <c r="B67" i="44"/>
  <c r="AU28" i="31"/>
  <c r="C67" i="36"/>
  <c r="C68" i="38"/>
  <c r="C69" i="38"/>
  <c r="C67" i="38"/>
  <c r="C67" i="41"/>
  <c r="C68" i="37"/>
  <c r="C69" i="37"/>
  <c r="C67" i="37"/>
  <c r="C67" i="40"/>
  <c r="C67" i="44"/>
  <c r="Q97" i="76"/>
  <c r="D27" i="77"/>
  <c r="E36" i="32"/>
  <c r="F36" i="32"/>
  <c r="G36" i="32"/>
  <c r="D83" i="32"/>
  <c r="V97" i="76"/>
  <c r="D28" i="77"/>
  <c r="E37" i="32"/>
  <c r="F37" i="32"/>
  <c r="G37" i="32"/>
  <c r="D84" i="32"/>
  <c r="D82" i="32"/>
  <c r="H27" i="29"/>
  <c r="U82" i="32"/>
  <c r="E28" i="33"/>
  <c r="Q103" i="76"/>
  <c r="J27" i="77"/>
  <c r="V36" i="32"/>
  <c r="W36" i="32"/>
  <c r="X36" i="32"/>
  <c r="E83" i="32"/>
  <c r="V103" i="76"/>
  <c r="J28" i="77"/>
  <c r="V37" i="32"/>
  <c r="W37" i="32"/>
  <c r="X37" i="32"/>
  <c r="E84" i="32"/>
  <c r="E82" i="32"/>
  <c r="V82" i="32"/>
  <c r="F28" i="33"/>
  <c r="G28" i="33"/>
  <c r="V28" i="33"/>
  <c r="H67" i="36"/>
  <c r="H68" i="38"/>
  <c r="H69" i="38"/>
  <c r="H67" i="38"/>
  <c r="H67" i="41"/>
  <c r="H68" i="37"/>
  <c r="H69" i="37"/>
  <c r="H67" i="37"/>
  <c r="H67" i="40"/>
  <c r="H67" i="44"/>
  <c r="W28" i="33"/>
  <c r="I67" i="36"/>
  <c r="I68" i="38"/>
  <c r="I69" i="38"/>
  <c r="I67" i="38"/>
  <c r="I67" i="41"/>
  <c r="I68" i="37"/>
  <c r="I69" i="37"/>
  <c r="I67" i="37"/>
  <c r="I67" i="40"/>
  <c r="I67" i="44"/>
  <c r="Q98" i="76"/>
  <c r="E27" i="77"/>
  <c r="E36" i="24"/>
  <c r="V36" i="24"/>
  <c r="V98" i="76"/>
  <c r="E28" i="77"/>
  <c r="E37" i="24"/>
  <c r="V37" i="24"/>
  <c r="V35" i="24"/>
  <c r="C28" i="46"/>
  <c r="H28" i="46"/>
  <c r="M28" i="46"/>
  <c r="R27" i="14"/>
  <c r="W28" i="46"/>
  <c r="W27" i="14"/>
  <c r="AG28" i="46"/>
  <c r="AB27" i="14"/>
  <c r="AQ28" i="46"/>
  <c r="AG27" i="14"/>
  <c r="BA28" i="46"/>
  <c r="AL27" i="14"/>
  <c r="BK28" i="46"/>
  <c r="AQ27" i="14"/>
  <c r="C29" i="64"/>
  <c r="F29" i="64"/>
  <c r="AV27" i="14"/>
  <c r="L17" i="53"/>
  <c r="Q17" i="53"/>
  <c r="BA27" i="14"/>
  <c r="C29" i="65"/>
  <c r="F29" i="65"/>
  <c r="BF27" i="14"/>
  <c r="M28" i="29"/>
  <c r="C29" i="46"/>
  <c r="H29" i="46"/>
  <c r="M29" i="46"/>
  <c r="R28" i="14"/>
  <c r="W29" i="46"/>
  <c r="W28" i="14"/>
  <c r="AG29" i="46"/>
  <c r="AB28" i="14"/>
  <c r="AQ29" i="46"/>
  <c r="AG28" i="14"/>
  <c r="BA29" i="46"/>
  <c r="AL28" i="14"/>
  <c r="BK29" i="46"/>
  <c r="AQ28" i="14"/>
  <c r="C30" i="64"/>
  <c r="F30" i="64"/>
  <c r="AV28" i="14"/>
  <c r="L16" i="53"/>
  <c r="Q16" i="53"/>
  <c r="BA28" i="14"/>
  <c r="C30" i="65"/>
  <c r="F30" i="65"/>
  <c r="BF28" i="14"/>
  <c r="M29" i="29"/>
  <c r="M27" i="29"/>
  <c r="AM35" i="24"/>
  <c r="Q28" i="25"/>
  <c r="Q88" i="76"/>
  <c r="Q89" i="76"/>
  <c r="Q126" i="76"/>
  <c r="AA27" i="77"/>
  <c r="E43" i="23"/>
  <c r="V43" i="23"/>
  <c r="V88" i="76"/>
  <c r="V89" i="76"/>
  <c r="V126" i="76"/>
  <c r="AA28" i="77"/>
  <c r="E44" i="23"/>
  <c r="V44" i="23"/>
  <c r="V42" i="23"/>
  <c r="AM42" i="23"/>
  <c r="K28" i="25"/>
  <c r="Q127" i="76"/>
  <c r="AB27" i="77"/>
  <c r="F43" i="23"/>
  <c r="W43" i="23"/>
  <c r="V127" i="76"/>
  <c r="AB28" i="77"/>
  <c r="F44" i="23"/>
  <c r="W44" i="23"/>
  <c r="W42" i="23"/>
  <c r="AN42" i="23"/>
  <c r="L28" i="25"/>
  <c r="G43" i="23"/>
  <c r="X43" i="23"/>
  <c r="G44" i="23"/>
  <c r="X44" i="23"/>
  <c r="X42" i="23"/>
  <c r="AO42" i="23"/>
  <c r="M28" i="25"/>
  <c r="E43" i="22"/>
  <c r="V43" i="22"/>
  <c r="E44" i="22"/>
  <c r="V44" i="22"/>
  <c r="V42" i="22"/>
  <c r="AM42" i="22"/>
  <c r="N28" i="25"/>
  <c r="Q82" i="76"/>
  <c r="Q81" i="76"/>
  <c r="Q119" i="76"/>
  <c r="V27" i="77"/>
  <c r="F43" i="22"/>
  <c r="W43" i="22"/>
  <c r="V82" i="76"/>
  <c r="V81" i="76"/>
  <c r="V119" i="76"/>
  <c r="V28" i="77"/>
  <c r="F44" i="22"/>
  <c r="W44" i="22"/>
  <c r="W42" i="22"/>
  <c r="AN42" i="22"/>
  <c r="O28" i="25"/>
  <c r="Q118" i="76"/>
  <c r="U27" i="77"/>
  <c r="G43" i="22"/>
  <c r="X43" i="22"/>
  <c r="V118" i="76"/>
  <c r="U28" i="77"/>
  <c r="G44" i="22"/>
  <c r="X44" i="22"/>
  <c r="X42" i="22"/>
  <c r="AO42" i="22"/>
  <c r="P28" i="25"/>
  <c r="Q104" i="76"/>
  <c r="K27" i="77"/>
  <c r="F36" i="24"/>
  <c r="W36" i="24"/>
  <c r="V104" i="76"/>
  <c r="K28" i="77"/>
  <c r="F37" i="24"/>
  <c r="W37" i="24"/>
  <c r="W35" i="24"/>
  <c r="AN35" i="24"/>
  <c r="R28" i="25"/>
  <c r="S28" i="25"/>
  <c r="BL28" i="25"/>
  <c r="P67" i="36"/>
  <c r="AM43" i="23"/>
  <c r="K29" i="25"/>
  <c r="AN43" i="23"/>
  <c r="L29" i="25"/>
  <c r="AO43" i="23"/>
  <c r="M29" i="25"/>
  <c r="AM43" i="22"/>
  <c r="N29" i="25"/>
  <c r="AN43" i="22"/>
  <c r="O29" i="25"/>
  <c r="AO43" i="22"/>
  <c r="P29" i="25"/>
  <c r="AM36" i="24"/>
  <c r="Q29" i="25"/>
  <c r="AN36" i="24"/>
  <c r="R29" i="25"/>
  <c r="S29" i="25"/>
  <c r="BK27" i="14"/>
  <c r="P68" i="38"/>
  <c r="AM44" i="23"/>
  <c r="K30" i="25"/>
  <c r="AN44" i="23"/>
  <c r="L30" i="25"/>
  <c r="AO44" i="23"/>
  <c r="M30" i="25"/>
  <c r="AM44" i="22"/>
  <c r="N30" i="25"/>
  <c r="AN44" i="22"/>
  <c r="O30" i="25"/>
  <c r="AO44" i="22"/>
  <c r="P30" i="25"/>
  <c r="AM37" i="24"/>
  <c r="Q30" i="25"/>
  <c r="AN37" i="24"/>
  <c r="R30" i="25"/>
  <c r="S30" i="25"/>
  <c r="BK28" i="14"/>
  <c r="P69" i="38"/>
  <c r="P67" i="38"/>
  <c r="P67" i="41"/>
  <c r="P68" i="37"/>
  <c r="P69" i="37"/>
  <c r="P67" i="37"/>
  <c r="P67" i="40"/>
  <c r="P67" i="44"/>
  <c r="BM28" i="25"/>
  <c r="Q67" i="36"/>
  <c r="Q68" i="38"/>
  <c r="Q69" i="38"/>
  <c r="Q67" i="38"/>
  <c r="Q67" i="41"/>
  <c r="Q68" i="37"/>
  <c r="Q69" i="37"/>
  <c r="Q67" i="37"/>
  <c r="Q67" i="40"/>
  <c r="Q67" i="44"/>
  <c r="R29" i="36"/>
  <c r="R67" i="36"/>
  <c r="R28" i="29"/>
  <c r="R68" i="38"/>
  <c r="R29" i="29"/>
  <c r="R69" i="38"/>
  <c r="R67" i="38"/>
  <c r="R67" i="41"/>
  <c r="R68" i="37"/>
  <c r="R69" i="37"/>
  <c r="R67" i="37"/>
  <c r="R67" i="40"/>
  <c r="R67" i="44"/>
  <c r="AB67" i="44"/>
  <c r="J36" i="26"/>
  <c r="I29" i="21"/>
  <c r="D29" i="21"/>
  <c r="K36" i="26"/>
  <c r="D28" i="29"/>
  <c r="J37" i="30"/>
  <c r="AF37" i="30"/>
  <c r="K37" i="30"/>
  <c r="AG37" i="30"/>
  <c r="L37" i="30"/>
  <c r="AH37" i="30"/>
  <c r="M37" i="30"/>
  <c r="AI37" i="30"/>
  <c r="D28" i="45"/>
  <c r="I28" i="45"/>
  <c r="N28" i="45"/>
  <c r="I27" i="14"/>
  <c r="X28" i="45"/>
  <c r="N27" i="14"/>
  <c r="I28" i="29"/>
  <c r="L36" i="26"/>
  <c r="M36" i="26"/>
  <c r="F83" i="26"/>
  <c r="J37" i="26"/>
  <c r="I30" i="21"/>
  <c r="D30" i="21"/>
  <c r="K37" i="26"/>
  <c r="D29" i="29"/>
  <c r="J38" i="30"/>
  <c r="AF38" i="30"/>
  <c r="K38" i="30"/>
  <c r="AG38" i="30"/>
  <c r="L38" i="30"/>
  <c r="AH38" i="30"/>
  <c r="M38" i="30"/>
  <c r="AI38" i="30"/>
  <c r="D29" i="45"/>
  <c r="I29" i="45"/>
  <c r="N29" i="45"/>
  <c r="I28" i="14"/>
  <c r="X29" i="45"/>
  <c r="N28" i="14"/>
  <c r="I29" i="29"/>
  <c r="L37" i="26"/>
  <c r="M37" i="26"/>
  <c r="F84" i="26"/>
  <c r="F82" i="26"/>
  <c r="D27" i="29"/>
  <c r="AB82" i="26"/>
  <c r="P28" i="31"/>
  <c r="AD36" i="26"/>
  <c r="AE36" i="26"/>
  <c r="AF36" i="26"/>
  <c r="G83" i="26"/>
  <c r="AD37" i="26"/>
  <c r="AE37" i="26"/>
  <c r="AF37" i="26"/>
  <c r="G84" i="26"/>
  <c r="G82" i="26"/>
  <c r="AC82" i="26"/>
  <c r="Q28" i="31"/>
  <c r="AF36" i="30"/>
  <c r="BB36" i="30"/>
  <c r="R28" i="31"/>
  <c r="AG36" i="30"/>
  <c r="BC36" i="30"/>
  <c r="S28" i="31"/>
  <c r="AH36" i="30"/>
  <c r="BD36" i="30"/>
  <c r="T28" i="31"/>
  <c r="AI36" i="30"/>
  <c r="BE36" i="30"/>
  <c r="U28" i="31"/>
  <c r="V28" i="31"/>
  <c r="BA28" i="31"/>
  <c r="B105" i="36"/>
  <c r="B106" i="38"/>
  <c r="B107" i="38"/>
  <c r="B105" i="38"/>
  <c r="B105" i="41"/>
  <c r="B106" i="37"/>
  <c r="B107" i="37"/>
  <c r="B105" i="37"/>
  <c r="B105" i="40"/>
  <c r="B105" i="44"/>
  <c r="BB28" i="31"/>
  <c r="C105" i="36"/>
  <c r="C106" i="38"/>
  <c r="C107" i="38"/>
  <c r="C105" i="38"/>
  <c r="C105" i="41"/>
  <c r="C106" i="37"/>
  <c r="C107" i="37"/>
  <c r="C105" i="37"/>
  <c r="C105" i="40"/>
  <c r="C105" i="44"/>
  <c r="H36" i="32"/>
  <c r="I36" i="32"/>
  <c r="J36" i="32"/>
  <c r="F83" i="32"/>
  <c r="H37" i="32"/>
  <c r="I37" i="32"/>
  <c r="J37" i="32"/>
  <c r="F84" i="32"/>
  <c r="F82" i="32"/>
  <c r="I27" i="29"/>
  <c r="W82" i="32"/>
  <c r="H28" i="33"/>
  <c r="Y36" i="32"/>
  <c r="Z36" i="32"/>
  <c r="AA36" i="32"/>
  <c r="G83" i="32"/>
  <c r="Y37" i="32"/>
  <c r="Z37" i="32"/>
  <c r="AA37" i="32"/>
  <c r="G84" i="32"/>
  <c r="G82" i="32"/>
  <c r="X82" i="32"/>
  <c r="I28" i="33"/>
  <c r="J28" i="33"/>
  <c r="Y28" i="33"/>
  <c r="H105" i="36"/>
  <c r="H106" i="38"/>
  <c r="H107" i="38"/>
  <c r="H105" i="38"/>
  <c r="H105" i="41"/>
  <c r="H106" i="37"/>
  <c r="H107" i="37"/>
  <c r="H105" i="37"/>
  <c r="H105" i="40"/>
  <c r="H105" i="44"/>
  <c r="Z28" i="33"/>
  <c r="I105" i="36"/>
  <c r="I106" i="38"/>
  <c r="I107" i="38"/>
  <c r="I105" i="38"/>
  <c r="I105" i="41"/>
  <c r="I106" i="37"/>
  <c r="I107" i="37"/>
  <c r="I105" i="37"/>
  <c r="I105" i="40"/>
  <c r="I105" i="44"/>
  <c r="H36" i="24"/>
  <c r="Y36" i="24"/>
  <c r="H37" i="24"/>
  <c r="Y37" i="24"/>
  <c r="Y35" i="24"/>
  <c r="D28" i="46"/>
  <c r="I28" i="46"/>
  <c r="N28" i="46"/>
  <c r="S27" i="14"/>
  <c r="X28" i="46"/>
  <c r="X27" i="14"/>
  <c r="AH28" i="46"/>
  <c r="AC27" i="14"/>
  <c r="AR28" i="46"/>
  <c r="AH27" i="14"/>
  <c r="BB28" i="46"/>
  <c r="AM27" i="14"/>
  <c r="BL28" i="46"/>
  <c r="AR27" i="14"/>
  <c r="G29" i="64"/>
  <c r="AW27" i="14"/>
  <c r="M17" i="53"/>
  <c r="R17" i="53"/>
  <c r="BB27" i="14"/>
  <c r="G29" i="65"/>
  <c r="BG27" i="14"/>
  <c r="N28" i="29"/>
  <c r="D29" i="46"/>
  <c r="I29" i="46"/>
  <c r="N29" i="46"/>
  <c r="S28" i="14"/>
  <c r="X29" i="46"/>
  <c r="X28" i="14"/>
  <c r="AH29" i="46"/>
  <c r="AC28" i="14"/>
  <c r="AR29" i="46"/>
  <c r="AH28" i="14"/>
  <c r="BB29" i="46"/>
  <c r="AM28" i="14"/>
  <c r="BL29" i="46"/>
  <c r="AR28" i="14"/>
  <c r="G30" i="64"/>
  <c r="AW28" i="14"/>
  <c r="M16" i="53"/>
  <c r="R16" i="53"/>
  <c r="BB28" i="14"/>
  <c r="G30" i="65"/>
  <c r="BG28" i="14"/>
  <c r="N29" i="29"/>
  <c r="N27" i="29"/>
  <c r="AP35" i="24"/>
  <c r="Z28" i="25"/>
  <c r="H43" i="23"/>
  <c r="Y43" i="23"/>
  <c r="H44" i="23"/>
  <c r="Y44" i="23"/>
  <c r="Y42" i="23"/>
  <c r="AP42" i="23"/>
  <c r="T28" i="25"/>
  <c r="I43" i="23"/>
  <c r="Z43" i="23"/>
  <c r="I44" i="23"/>
  <c r="Z44" i="23"/>
  <c r="Z42" i="23"/>
  <c r="AQ42" i="23"/>
  <c r="U28" i="25"/>
  <c r="J43" i="23"/>
  <c r="AA43" i="23"/>
  <c r="J44" i="23"/>
  <c r="AA44" i="23"/>
  <c r="AA42" i="23"/>
  <c r="AR42" i="23"/>
  <c r="V28" i="25"/>
  <c r="H43" i="22"/>
  <c r="Y43" i="22"/>
  <c r="H44" i="22"/>
  <c r="Y44" i="22"/>
  <c r="Y42" i="22"/>
  <c r="AP42" i="22"/>
  <c r="W28" i="25"/>
  <c r="I43" i="22"/>
  <c r="Z43" i="22"/>
  <c r="I44" i="22"/>
  <c r="Z44" i="22"/>
  <c r="Z42" i="22"/>
  <c r="AQ42" i="22"/>
  <c r="X28" i="25"/>
  <c r="J43" i="22"/>
  <c r="AA43" i="22"/>
  <c r="J44" i="22"/>
  <c r="AA44" i="22"/>
  <c r="AA42" i="22"/>
  <c r="AR42" i="22"/>
  <c r="Y28" i="25"/>
  <c r="I36" i="24"/>
  <c r="Z36" i="24"/>
  <c r="I37" i="24"/>
  <c r="Z37" i="24"/>
  <c r="Z35" i="24"/>
  <c r="AQ35" i="24"/>
  <c r="AA28" i="25"/>
  <c r="AB28" i="25"/>
  <c r="BU28" i="25"/>
  <c r="P105" i="36"/>
  <c r="AP43" i="23"/>
  <c r="T29" i="25"/>
  <c r="AQ43" i="23"/>
  <c r="U29" i="25"/>
  <c r="AR43" i="23"/>
  <c r="V29" i="25"/>
  <c r="AP43" i="22"/>
  <c r="W29" i="25"/>
  <c r="AQ43" i="22"/>
  <c r="X29" i="25"/>
  <c r="AR43" i="22"/>
  <c r="Y29" i="25"/>
  <c r="AP36" i="24"/>
  <c r="Z29" i="25"/>
  <c r="AQ36" i="24"/>
  <c r="AA29" i="25"/>
  <c r="AB29" i="25"/>
  <c r="BL27" i="14"/>
  <c r="P106" i="38"/>
  <c r="AP44" i="23"/>
  <c r="T30" i="25"/>
  <c r="AQ44" i="23"/>
  <c r="U30" i="25"/>
  <c r="AR44" i="23"/>
  <c r="V30" i="25"/>
  <c r="AP44" i="22"/>
  <c r="W30" i="25"/>
  <c r="AQ44" i="22"/>
  <c r="X30" i="25"/>
  <c r="AR44" i="22"/>
  <c r="Y30" i="25"/>
  <c r="AP37" i="24"/>
  <c r="Z30" i="25"/>
  <c r="AQ37" i="24"/>
  <c r="AA30" i="25"/>
  <c r="AB30" i="25"/>
  <c r="BL28" i="14"/>
  <c r="P107" i="38"/>
  <c r="P105" i="38"/>
  <c r="P105" i="41"/>
  <c r="P106" i="37"/>
  <c r="P107" i="37"/>
  <c r="P105" i="37"/>
  <c r="P105" i="40"/>
  <c r="P105" i="44"/>
  <c r="BV28" i="25"/>
  <c r="Q105" i="36"/>
  <c r="Q106" i="38"/>
  <c r="Q107" i="38"/>
  <c r="Q105" i="38"/>
  <c r="Q105" i="41"/>
  <c r="Q106" i="37"/>
  <c r="Q107" i="37"/>
  <c r="Q105" i="37"/>
  <c r="Q105" i="40"/>
  <c r="Q105" i="44"/>
  <c r="R105" i="36"/>
  <c r="S28" i="29"/>
  <c r="R106" i="38"/>
  <c r="S29" i="29"/>
  <c r="R107" i="38"/>
  <c r="R105" i="38"/>
  <c r="R105" i="41"/>
  <c r="R106" i="37"/>
  <c r="R107" i="37"/>
  <c r="R105" i="37"/>
  <c r="R105" i="40"/>
  <c r="R105" i="44"/>
  <c r="AB105" i="44"/>
  <c r="N36" i="26"/>
  <c r="F29" i="21"/>
  <c r="E29" i="21"/>
  <c r="O36" i="26"/>
  <c r="E28" i="29"/>
  <c r="N37" i="30"/>
  <c r="AJ37" i="30"/>
  <c r="O37" i="30"/>
  <c r="AK37" i="30"/>
  <c r="P37" i="30"/>
  <c r="AL37" i="30"/>
  <c r="Q37" i="30"/>
  <c r="AM37" i="30"/>
  <c r="E28" i="45"/>
  <c r="J28" i="45"/>
  <c r="O28" i="45"/>
  <c r="J27" i="14"/>
  <c r="Y28" i="45"/>
  <c r="O27" i="14"/>
  <c r="J28" i="29"/>
  <c r="P36" i="26"/>
  <c r="Q36" i="26"/>
  <c r="Z83" i="26"/>
  <c r="I29" i="31"/>
  <c r="AA83" i="26"/>
  <c r="J29" i="31"/>
  <c r="AX37" i="30"/>
  <c r="K29" i="31"/>
  <c r="AY37" i="30"/>
  <c r="L29" i="31"/>
  <c r="AZ37" i="30"/>
  <c r="M29" i="31"/>
  <c r="BA37" i="30"/>
  <c r="N29" i="31"/>
  <c r="O29" i="31"/>
  <c r="AT29" i="31"/>
  <c r="B68" i="36"/>
  <c r="B68" i="41"/>
  <c r="B68" i="40"/>
  <c r="B68" i="44"/>
  <c r="AU29" i="31"/>
  <c r="C68" i="36"/>
  <c r="C68" i="41"/>
  <c r="C68" i="40"/>
  <c r="C68" i="44"/>
  <c r="U83" i="32"/>
  <c r="E29" i="33"/>
  <c r="V83" i="32"/>
  <c r="F29" i="33"/>
  <c r="G29" i="33"/>
  <c r="V29" i="33"/>
  <c r="H68" i="36"/>
  <c r="H68" i="41"/>
  <c r="H68" i="40"/>
  <c r="H68" i="44"/>
  <c r="W29" i="33"/>
  <c r="I68" i="36"/>
  <c r="I68" i="41"/>
  <c r="I68" i="40"/>
  <c r="I68" i="44"/>
  <c r="BL29" i="25"/>
  <c r="P68" i="36"/>
  <c r="P68" i="41"/>
  <c r="P68" i="40"/>
  <c r="P68" i="44"/>
  <c r="BM29" i="25"/>
  <c r="Q68" i="36"/>
  <c r="Q68" i="41"/>
  <c r="Q68" i="40"/>
  <c r="Q68" i="44"/>
  <c r="R30" i="36"/>
  <c r="R68" i="36"/>
  <c r="R68" i="41"/>
  <c r="R68" i="40"/>
  <c r="R68" i="44"/>
  <c r="AB68" i="44"/>
  <c r="AB83" i="26"/>
  <c r="P29" i="31"/>
  <c r="AC83" i="26"/>
  <c r="Q29" i="31"/>
  <c r="BB37" i="30"/>
  <c r="R29" i="31"/>
  <c r="BC37" i="30"/>
  <c r="S29" i="31"/>
  <c r="BD37" i="30"/>
  <c r="T29" i="31"/>
  <c r="BE37" i="30"/>
  <c r="U29" i="31"/>
  <c r="V29" i="31"/>
  <c r="BA29" i="31"/>
  <c r="B106" i="36"/>
  <c r="B106" i="41"/>
  <c r="B106" i="40"/>
  <c r="B106" i="44"/>
  <c r="BB29" i="31"/>
  <c r="C106" i="36"/>
  <c r="C106" i="41"/>
  <c r="C106" i="40"/>
  <c r="C106" i="44"/>
  <c r="W83" i="32"/>
  <c r="H29" i="33"/>
  <c r="X83" i="32"/>
  <c r="I29" i="33"/>
  <c r="J29" i="33"/>
  <c r="Y29" i="33"/>
  <c r="H106" i="36"/>
  <c r="H106" i="41"/>
  <c r="H106" i="40"/>
  <c r="H106" i="44"/>
  <c r="Z29" i="33"/>
  <c r="I106" i="36"/>
  <c r="I106" i="41"/>
  <c r="I106" i="40"/>
  <c r="I106" i="44"/>
  <c r="BU29" i="25"/>
  <c r="P106" i="36"/>
  <c r="P106" i="41"/>
  <c r="P106" i="40"/>
  <c r="P106" i="44"/>
  <c r="BV29" i="25"/>
  <c r="Q106" i="36"/>
  <c r="Q106" i="41"/>
  <c r="Q106" i="40"/>
  <c r="Q106" i="44"/>
  <c r="R106" i="36"/>
  <c r="R106" i="41"/>
  <c r="R106" i="40"/>
  <c r="R106" i="44"/>
  <c r="AB106" i="44"/>
  <c r="Z84" i="26"/>
  <c r="I30" i="31"/>
  <c r="AA84" i="26"/>
  <c r="J30" i="31"/>
  <c r="AX38" i="30"/>
  <c r="K30" i="31"/>
  <c r="AY38" i="30"/>
  <c r="L30" i="31"/>
  <c r="AZ38" i="30"/>
  <c r="M30" i="31"/>
  <c r="BA38" i="30"/>
  <c r="N30" i="31"/>
  <c r="O30" i="31"/>
  <c r="AT30" i="31"/>
  <c r="B69" i="36"/>
  <c r="B69" i="41"/>
  <c r="B69" i="40"/>
  <c r="B69" i="44"/>
  <c r="AU30" i="31"/>
  <c r="C69" i="36"/>
  <c r="C69" i="41"/>
  <c r="C69" i="40"/>
  <c r="C69" i="44"/>
  <c r="U84" i="32"/>
  <c r="E30" i="33"/>
  <c r="V84" i="32"/>
  <c r="F30" i="33"/>
  <c r="G30" i="33"/>
  <c r="V30" i="33"/>
  <c r="H69" i="36"/>
  <c r="H69" i="41"/>
  <c r="H69" i="40"/>
  <c r="H69" i="44"/>
  <c r="W30" i="33"/>
  <c r="I69" i="36"/>
  <c r="I69" i="41"/>
  <c r="I69" i="40"/>
  <c r="I69" i="44"/>
  <c r="BL30" i="25"/>
  <c r="P69" i="36"/>
  <c r="P69" i="41"/>
  <c r="P69" i="40"/>
  <c r="P69" i="44"/>
  <c r="BM30" i="25"/>
  <c r="Q69" i="36"/>
  <c r="Q69" i="41"/>
  <c r="Q69" i="40"/>
  <c r="Q69" i="44"/>
  <c r="R31" i="36"/>
  <c r="R69" i="36"/>
  <c r="R69" i="41"/>
  <c r="R69" i="40"/>
  <c r="R69" i="44"/>
  <c r="AB69" i="44"/>
  <c r="AB84" i="26"/>
  <c r="P30" i="31"/>
  <c r="AC84" i="26"/>
  <c r="Q30" i="31"/>
  <c r="BB38" i="30"/>
  <c r="R30" i="31"/>
  <c r="BC38" i="30"/>
  <c r="S30" i="31"/>
  <c r="BD38" i="30"/>
  <c r="T30" i="31"/>
  <c r="BE38" i="30"/>
  <c r="U30" i="31"/>
  <c r="V30" i="31"/>
  <c r="BA30" i="31"/>
  <c r="B107" i="36"/>
  <c r="B107" i="41"/>
  <c r="B107" i="40"/>
  <c r="B107" i="44"/>
  <c r="BB30" i="31"/>
  <c r="C107" i="36"/>
  <c r="C107" i="41"/>
  <c r="C107" i="40"/>
  <c r="C107" i="44"/>
  <c r="W84" i="32"/>
  <c r="H30" i="33"/>
  <c r="X84" i="32"/>
  <c r="I30" i="33"/>
  <c r="J30" i="33"/>
  <c r="Y30" i="33"/>
  <c r="H107" i="36"/>
  <c r="H107" i="41"/>
  <c r="H107" i="40"/>
  <c r="H107" i="44"/>
  <c r="Z30" i="33"/>
  <c r="I107" i="36"/>
  <c r="I107" i="41"/>
  <c r="I107" i="40"/>
  <c r="I107" i="44"/>
  <c r="BU30" i="25"/>
  <c r="P107" i="36"/>
  <c r="P107" i="41"/>
  <c r="P107" i="40"/>
  <c r="P107" i="44"/>
  <c r="BV30" i="25"/>
  <c r="Q107" i="36"/>
  <c r="Q107" i="41"/>
  <c r="Q107" i="40"/>
  <c r="Q107" i="44"/>
  <c r="R107" i="36"/>
  <c r="R107" i="41"/>
  <c r="R107" i="40"/>
  <c r="R107" i="44"/>
  <c r="AB107" i="44"/>
  <c r="N37" i="26"/>
  <c r="F30" i="21"/>
  <c r="E30" i="21"/>
  <c r="O37" i="26"/>
  <c r="E29" i="29"/>
  <c r="N38" i="30"/>
  <c r="AJ38" i="30"/>
  <c r="O38" i="30"/>
  <c r="AK38" i="30"/>
  <c r="P38" i="30"/>
  <c r="AL38" i="30"/>
  <c r="Q38" i="30"/>
  <c r="AM38" i="30"/>
  <c r="E29" i="45"/>
  <c r="J29" i="45"/>
  <c r="O29" i="45"/>
  <c r="J28" i="14"/>
  <c r="Y29" i="45"/>
  <c r="O28" i="14"/>
  <c r="J29" i="29"/>
  <c r="P37" i="26"/>
  <c r="Q37" i="26"/>
  <c r="D49" i="26"/>
  <c r="D16" i="76"/>
  <c r="D42" i="76"/>
  <c r="D67" i="76"/>
  <c r="D41" i="76"/>
  <c r="D68" i="76"/>
  <c r="D60" i="76"/>
  <c r="D47" i="76"/>
  <c r="D14" i="76"/>
  <c r="D61" i="76"/>
  <c r="D48" i="76"/>
  <c r="D13" i="76"/>
  <c r="D62" i="76"/>
  <c r="D49" i="76"/>
  <c r="D15" i="76"/>
  <c r="D43" i="76"/>
  <c r="D77" i="76"/>
  <c r="D40" i="76"/>
  <c r="D79" i="76"/>
  <c r="D36" i="76"/>
  <c r="D37" i="76"/>
  <c r="D86" i="76"/>
  <c r="D63" i="76"/>
  <c r="D50" i="76"/>
  <c r="D95" i="76"/>
  <c r="B5" i="77"/>
  <c r="F14" i="26"/>
  <c r="G14" i="26"/>
  <c r="D96" i="76"/>
  <c r="C5" i="77"/>
  <c r="C6" i="13"/>
  <c r="C6" i="29"/>
  <c r="F15" i="30"/>
  <c r="AB15" i="30"/>
  <c r="D71" i="76"/>
  <c r="D72" i="76"/>
  <c r="D73" i="76"/>
  <c r="D111" i="76"/>
  <c r="P5" i="77"/>
  <c r="G15" i="30"/>
  <c r="AC15" i="30"/>
  <c r="D112" i="76"/>
  <c r="Q5" i="77"/>
  <c r="H15" i="30"/>
  <c r="AD15" i="30"/>
  <c r="D113" i="76"/>
  <c r="R5" i="77"/>
  <c r="I15" i="30"/>
  <c r="AE15" i="30"/>
  <c r="C6" i="45"/>
  <c r="H6" i="45"/>
  <c r="M6" i="45"/>
  <c r="H5" i="14"/>
  <c r="W6" i="45"/>
  <c r="M5" i="14"/>
  <c r="H6" i="29"/>
  <c r="H14" i="26"/>
  <c r="I14" i="26"/>
  <c r="D61" i="26"/>
  <c r="Z61" i="26"/>
  <c r="I7" i="31"/>
  <c r="E49" i="26"/>
  <c r="D52" i="76"/>
  <c r="D53" i="76"/>
  <c r="D54" i="76"/>
  <c r="D55" i="76"/>
  <c r="D101" i="76"/>
  <c r="H5" i="77"/>
  <c r="AA14" i="26"/>
  <c r="D102" i="76"/>
  <c r="I5" i="77"/>
  <c r="AB14" i="26"/>
  <c r="AC14" i="26"/>
  <c r="E61" i="26"/>
  <c r="AA61" i="26"/>
  <c r="J7" i="31"/>
  <c r="AX15" i="30"/>
  <c r="K7" i="31"/>
  <c r="AY15" i="30"/>
  <c r="L7" i="31"/>
  <c r="AZ15" i="30"/>
  <c r="M7" i="31"/>
  <c r="BA15" i="30"/>
  <c r="N7" i="31"/>
  <c r="O7" i="31"/>
  <c r="AT7" i="31"/>
  <c r="B46" i="36"/>
  <c r="B46" i="38"/>
  <c r="B46" i="41"/>
  <c r="B46" i="37"/>
  <c r="B46" i="40"/>
  <c r="B46" i="44"/>
  <c r="AU7" i="31"/>
  <c r="C46" i="36"/>
  <c r="C46" i="38"/>
  <c r="C46" i="41"/>
  <c r="C46" i="37"/>
  <c r="C46" i="40"/>
  <c r="C46" i="44"/>
  <c r="D49" i="32"/>
  <c r="D97" i="76"/>
  <c r="D5" i="77"/>
  <c r="E14" i="32"/>
  <c r="F14" i="32"/>
  <c r="G14" i="32"/>
  <c r="D61" i="32"/>
  <c r="U61" i="32"/>
  <c r="E7" i="33"/>
  <c r="E49" i="32"/>
  <c r="D103" i="76"/>
  <c r="J5" i="77"/>
  <c r="V14" i="32"/>
  <c r="W14" i="32"/>
  <c r="X14" i="32"/>
  <c r="E61" i="32"/>
  <c r="V61" i="32"/>
  <c r="F7" i="33"/>
  <c r="G7" i="33"/>
  <c r="V7" i="33"/>
  <c r="H46" i="36"/>
  <c r="H46" i="38"/>
  <c r="H46" i="41"/>
  <c r="H46" i="37"/>
  <c r="H46" i="40"/>
  <c r="H46" i="44"/>
  <c r="W7" i="33"/>
  <c r="I46" i="36"/>
  <c r="I46" i="38"/>
  <c r="I46" i="41"/>
  <c r="I46" i="37"/>
  <c r="I46" i="40"/>
  <c r="I46" i="44"/>
  <c r="D98" i="76"/>
  <c r="E5" i="77"/>
  <c r="E14" i="24"/>
  <c r="V14" i="24"/>
  <c r="C6" i="46"/>
  <c r="H6" i="46"/>
  <c r="M6" i="46"/>
  <c r="R5" i="14"/>
  <c r="W6" i="46"/>
  <c r="W5" i="14"/>
  <c r="AG6" i="46"/>
  <c r="AB5" i="14"/>
  <c r="AQ6" i="46"/>
  <c r="AG5" i="14"/>
  <c r="BA6" i="46"/>
  <c r="AL5" i="14"/>
  <c r="BK6" i="46"/>
  <c r="AQ5" i="14"/>
  <c r="C7" i="64"/>
  <c r="F7" i="64"/>
  <c r="AV5" i="14"/>
  <c r="C7" i="65"/>
  <c r="F7" i="65"/>
  <c r="BF5" i="14"/>
  <c r="M6" i="29"/>
  <c r="AM14" i="24"/>
  <c r="Q7" i="25"/>
  <c r="E9" i="23"/>
  <c r="D88" i="76"/>
  <c r="D89" i="76"/>
  <c r="D126" i="76"/>
  <c r="AA5" i="77"/>
  <c r="E21" i="23"/>
  <c r="V21" i="23"/>
  <c r="AM21" i="23"/>
  <c r="K7" i="25"/>
  <c r="C9" i="23"/>
  <c r="F9" i="23"/>
  <c r="D127" i="76"/>
  <c r="AB5" i="77"/>
  <c r="F21" i="23"/>
  <c r="W21" i="23"/>
  <c r="AN21" i="23"/>
  <c r="L7" i="25"/>
  <c r="G9" i="23"/>
  <c r="G21" i="23"/>
  <c r="X21" i="23"/>
  <c r="AO21" i="23"/>
  <c r="M7" i="25"/>
  <c r="E9" i="22"/>
  <c r="E21" i="22"/>
  <c r="V21" i="22"/>
  <c r="AM21" i="22"/>
  <c r="N7" i="25"/>
  <c r="F9" i="22"/>
  <c r="D82" i="76"/>
  <c r="D81" i="76"/>
  <c r="D119" i="76"/>
  <c r="V5" i="77"/>
  <c r="F21" i="22"/>
  <c r="W21" i="22"/>
  <c r="AN21" i="22"/>
  <c r="O7" i="25"/>
  <c r="G9" i="22"/>
  <c r="D118" i="76"/>
  <c r="U5" i="77"/>
  <c r="G21" i="22"/>
  <c r="X21" i="22"/>
  <c r="AO21" i="22"/>
  <c r="P7" i="25"/>
  <c r="D104" i="76"/>
  <c r="K5" i="77"/>
  <c r="F14" i="24"/>
  <c r="W14" i="24"/>
  <c r="AN14" i="24"/>
  <c r="R7" i="25"/>
  <c r="S7" i="25"/>
  <c r="BL7" i="25"/>
  <c r="P46" i="36"/>
  <c r="BK5" i="14"/>
  <c r="P46" i="38"/>
  <c r="P46" i="41"/>
  <c r="P46" i="37"/>
  <c r="P46" i="40"/>
  <c r="P46" i="44"/>
  <c r="BM7" i="25"/>
  <c r="Q46" i="36"/>
  <c r="Q46" i="38"/>
  <c r="Q46" i="41"/>
  <c r="Q46" i="37"/>
  <c r="Q46" i="40"/>
  <c r="Q46" i="44"/>
  <c r="R46" i="37"/>
  <c r="R46" i="44"/>
  <c r="AB46" i="44"/>
  <c r="F49" i="26"/>
  <c r="J14" i="26"/>
  <c r="I7" i="21"/>
  <c r="D7" i="21"/>
  <c r="K14" i="26"/>
  <c r="D6" i="29"/>
  <c r="J15" i="30"/>
  <c r="AF15" i="30"/>
  <c r="K15" i="30"/>
  <c r="AG15" i="30"/>
  <c r="L15" i="30"/>
  <c r="AH15" i="30"/>
  <c r="M15" i="30"/>
  <c r="AI15" i="30"/>
  <c r="D6" i="45"/>
  <c r="I6" i="45"/>
  <c r="N6" i="45"/>
  <c r="I5" i="14"/>
  <c r="X6" i="45"/>
  <c r="N5" i="14"/>
  <c r="I6" i="29"/>
  <c r="L14" i="26"/>
  <c r="M14" i="26"/>
  <c r="F61" i="26"/>
  <c r="AB61" i="26"/>
  <c r="P7" i="31"/>
  <c r="G49" i="26"/>
  <c r="AD14" i="26"/>
  <c r="AE14" i="26"/>
  <c r="AF14" i="26"/>
  <c r="G61" i="26"/>
  <c r="AC61" i="26"/>
  <c r="Q7" i="31"/>
  <c r="BB15" i="30"/>
  <c r="R7" i="31"/>
  <c r="BC15" i="30"/>
  <c r="S7" i="31"/>
  <c r="BD15" i="30"/>
  <c r="T7" i="31"/>
  <c r="BE15" i="30"/>
  <c r="U7" i="31"/>
  <c r="V7" i="31"/>
  <c r="BA7" i="31"/>
  <c r="B84" i="36"/>
  <c r="B84" i="38"/>
  <c r="B84" i="41"/>
  <c r="B84" i="37"/>
  <c r="B84" i="40"/>
  <c r="B84" i="44"/>
  <c r="BB7" i="31"/>
  <c r="C84" i="36"/>
  <c r="C84" i="38"/>
  <c r="C84" i="41"/>
  <c r="C84" i="37"/>
  <c r="C84" i="40"/>
  <c r="C84" i="44"/>
  <c r="F49" i="32"/>
  <c r="H14" i="32"/>
  <c r="I14" i="32"/>
  <c r="J14" i="32"/>
  <c r="F61" i="32"/>
  <c r="W61" i="32"/>
  <c r="H7" i="33"/>
  <c r="G49" i="32"/>
  <c r="Y14" i="32"/>
  <c r="Z14" i="32"/>
  <c r="AA14" i="32"/>
  <c r="G61" i="32"/>
  <c r="X61" i="32"/>
  <c r="I7" i="33"/>
  <c r="J7" i="33"/>
  <c r="Y7" i="33"/>
  <c r="H84" i="36"/>
  <c r="H84" i="38"/>
  <c r="H84" i="41"/>
  <c r="H84" i="37"/>
  <c r="H84" i="40"/>
  <c r="H84" i="44"/>
  <c r="Z7" i="33"/>
  <c r="I84" i="36"/>
  <c r="I84" i="38"/>
  <c r="I84" i="41"/>
  <c r="I84" i="37"/>
  <c r="I84" i="40"/>
  <c r="I84" i="44"/>
  <c r="H14" i="24"/>
  <c r="Y14" i="24"/>
  <c r="D6" i="46"/>
  <c r="I6" i="46"/>
  <c r="N6" i="46"/>
  <c r="S5" i="14"/>
  <c r="X6" i="46"/>
  <c r="X5" i="14"/>
  <c r="AH6" i="46"/>
  <c r="AC5" i="14"/>
  <c r="AR6" i="46"/>
  <c r="AH5" i="14"/>
  <c r="BB6" i="46"/>
  <c r="AM5" i="14"/>
  <c r="BL6" i="46"/>
  <c r="AR5" i="14"/>
  <c r="AW5" i="14"/>
  <c r="G7" i="65"/>
  <c r="BG5" i="14"/>
  <c r="N6" i="29"/>
  <c r="AP14" i="24"/>
  <c r="Z7" i="25"/>
  <c r="H9" i="23"/>
  <c r="H21" i="23"/>
  <c r="Y21" i="23"/>
  <c r="AP21" i="23"/>
  <c r="T7" i="25"/>
  <c r="I9" i="23"/>
  <c r="I21" i="23"/>
  <c r="Z21" i="23"/>
  <c r="AQ21" i="23"/>
  <c r="U7" i="25"/>
  <c r="J9" i="23"/>
  <c r="J21" i="23"/>
  <c r="AA21" i="23"/>
  <c r="AR21" i="23"/>
  <c r="V7" i="25"/>
  <c r="H9" i="22"/>
  <c r="H21" i="22"/>
  <c r="Y21" i="22"/>
  <c r="AP21" i="22"/>
  <c r="W7" i="25"/>
  <c r="I9" i="22"/>
  <c r="I21" i="22"/>
  <c r="Z21" i="22"/>
  <c r="AQ21" i="22"/>
  <c r="X7" i="25"/>
  <c r="J9" i="22"/>
  <c r="J21" i="22"/>
  <c r="AA21" i="22"/>
  <c r="AR21" i="22"/>
  <c r="Y7" i="25"/>
  <c r="I14" i="24"/>
  <c r="Z14" i="24"/>
  <c r="AQ14" i="24"/>
  <c r="AA7" i="25"/>
  <c r="AB7" i="25"/>
  <c r="BU7" i="25"/>
  <c r="P84" i="36"/>
  <c r="BL5" i="14"/>
  <c r="P84" i="38"/>
  <c r="P84" i="41"/>
  <c r="P84" i="37"/>
  <c r="P84" i="40"/>
  <c r="P84" i="44"/>
  <c r="BV7" i="25"/>
  <c r="Q84" i="36"/>
  <c r="Q84" i="38"/>
  <c r="Q84" i="41"/>
  <c r="Q84" i="37"/>
  <c r="Q84" i="40"/>
  <c r="Q84" i="44"/>
  <c r="R84" i="37"/>
  <c r="R84" i="44"/>
  <c r="AB84" i="44"/>
  <c r="H49" i="26"/>
  <c r="N14" i="26"/>
  <c r="F7" i="21"/>
  <c r="E7" i="21"/>
  <c r="O14" i="26"/>
  <c r="E6" i="29"/>
  <c r="N15" i="30"/>
  <c r="AJ15" i="30"/>
  <c r="O15" i="30"/>
  <c r="AK15" i="30"/>
  <c r="P15" i="30"/>
  <c r="AL15" i="30"/>
  <c r="Q15" i="30"/>
  <c r="AM15" i="30"/>
  <c r="E6" i="45"/>
  <c r="J6" i="45"/>
  <c r="O6" i="45"/>
  <c r="J5" i="14"/>
  <c r="Y6" i="45"/>
  <c r="O5" i="14"/>
  <c r="J6" i="29"/>
  <c r="P14" i="26"/>
  <c r="Q14" i="26"/>
  <c r="E16" i="76"/>
  <c r="E42" i="76"/>
  <c r="E67" i="76"/>
  <c r="E41" i="76"/>
  <c r="E68" i="76"/>
  <c r="E60" i="76"/>
  <c r="E47" i="76"/>
  <c r="E14" i="76"/>
  <c r="E61" i="76"/>
  <c r="E48" i="76"/>
  <c r="E13" i="76"/>
  <c r="E62" i="76"/>
  <c r="E49" i="76"/>
  <c r="E15" i="76"/>
  <c r="E43" i="76"/>
  <c r="E77" i="76"/>
  <c r="E40" i="76"/>
  <c r="E79" i="76"/>
  <c r="E36" i="76"/>
  <c r="E37" i="76"/>
  <c r="E86" i="76"/>
  <c r="E63" i="76"/>
  <c r="E50" i="76"/>
  <c r="E95" i="76"/>
  <c r="B6" i="77"/>
  <c r="F15" i="26"/>
  <c r="G15" i="26"/>
  <c r="E96" i="76"/>
  <c r="C6" i="77"/>
  <c r="C7" i="13"/>
  <c r="C7" i="29"/>
  <c r="F16" i="30"/>
  <c r="AB16" i="30"/>
  <c r="E71" i="76"/>
  <c r="E72" i="76"/>
  <c r="E73" i="76"/>
  <c r="E111" i="76"/>
  <c r="P6" i="77"/>
  <c r="G16" i="30"/>
  <c r="AC16" i="30"/>
  <c r="E112" i="76"/>
  <c r="Q6" i="77"/>
  <c r="H16" i="30"/>
  <c r="AD16" i="30"/>
  <c r="E113" i="76"/>
  <c r="R6" i="77"/>
  <c r="I16" i="30"/>
  <c r="AE16" i="30"/>
  <c r="C7" i="45"/>
  <c r="H7" i="45"/>
  <c r="M7" i="45"/>
  <c r="H6" i="14"/>
  <c r="W7" i="45"/>
  <c r="M6" i="14"/>
  <c r="H7" i="29"/>
  <c r="H15" i="26"/>
  <c r="I15" i="26"/>
  <c r="D62" i="26"/>
  <c r="Z62" i="26"/>
  <c r="I8" i="31"/>
  <c r="E52" i="76"/>
  <c r="E53" i="76"/>
  <c r="E54" i="76"/>
  <c r="E55" i="76"/>
  <c r="E101" i="76"/>
  <c r="H6" i="77"/>
  <c r="AA15" i="26"/>
  <c r="E102" i="76"/>
  <c r="I6" i="77"/>
  <c r="AB15" i="26"/>
  <c r="AC15" i="26"/>
  <c r="E62" i="26"/>
  <c r="AA62" i="26"/>
  <c r="J8" i="31"/>
  <c r="AX16" i="30"/>
  <c r="K8" i="31"/>
  <c r="AY16" i="30"/>
  <c r="L8" i="31"/>
  <c r="AZ16" i="30"/>
  <c r="M8" i="31"/>
  <c r="BA16" i="30"/>
  <c r="N8" i="31"/>
  <c r="O8" i="31"/>
  <c r="AT8" i="31"/>
  <c r="B47" i="36"/>
  <c r="B47" i="38"/>
  <c r="B47" i="41"/>
  <c r="B47" i="37"/>
  <c r="B47" i="40"/>
  <c r="B47" i="44"/>
  <c r="AU8" i="31"/>
  <c r="C47" i="36"/>
  <c r="C47" i="38"/>
  <c r="C47" i="41"/>
  <c r="C47" i="37"/>
  <c r="C47" i="40"/>
  <c r="C47" i="44"/>
  <c r="E97" i="76"/>
  <c r="D6" i="77"/>
  <c r="E15" i="32"/>
  <c r="F15" i="32"/>
  <c r="G15" i="32"/>
  <c r="D62" i="32"/>
  <c r="U62" i="32"/>
  <c r="E8" i="33"/>
  <c r="E103" i="76"/>
  <c r="J6" i="77"/>
  <c r="V15" i="32"/>
  <c r="W15" i="32"/>
  <c r="X15" i="32"/>
  <c r="E62" i="32"/>
  <c r="V62" i="32"/>
  <c r="F8" i="33"/>
  <c r="G8" i="33"/>
  <c r="V8" i="33"/>
  <c r="H47" i="36"/>
  <c r="H47" i="38"/>
  <c r="H47" i="41"/>
  <c r="H47" i="37"/>
  <c r="H47" i="40"/>
  <c r="H47" i="44"/>
  <c r="W8" i="33"/>
  <c r="I47" i="36"/>
  <c r="I47" i="38"/>
  <c r="I47" i="41"/>
  <c r="I47" i="37"/>
  <c r="I47" i="40"/>
  <c r="I47" i="44"/>
  <c r="E98" i="76"/>
  <c r="E6" i="77"/>
  <c r="E15" i="24"/>
  <c r="V15" i="24"/>
  <c r="C7" i="46"/>
  <c r="H7" i="46"/>
  <c r="M7" i="46"/>
  <c r="R6" i="14"/>
  <c r="W7" i="46"/>
  <c r="W6" i="14"/>
  <c r="AG7" i="46"/>
  <c r="AB6" i="14"/>
  <c r="AQ7" i="46"/>
  <c r="AG6" i="14"/>
  <c r="BA7" i="46"/>
  <c r="AL6" i="14"/>
  <c r="BK7" i="46"/>
  <c r="AQ6" i="14"/>
  <c r="C8" i="64"/>
  <c r="F8" i="64"/>
  <c r="AV6" i="14"/>
  <c r="C8" i="65"/>
  <c r="F8" i="65"/>
  <c r="BF6" i="14"/>
  <c r="M7" i="29"/>
  <c r="AM15" i="24"/>
  <c r="Q8" i="25"/>
  <c r="E88" i="76"/>
  <c r="E89" i="76"/>
  <c r="E126" i="76"/>
  <c r="AA6" i="77"/>
  <c r="E22" i="23"/>
  <c r="V22" i="23"/>
  <c r="AM22" i="23"/>
  <c r="K8" i="25"/>
  <c r="E127" i="76"/>
  <c r="AB6" i="77"/>
  <c r="F22" i="23"/>
  <c r="W22" i="23"/>
  <c r="AN22" i="23"/>
  <c r="L8" i="25"/>
  <c r="G22" i="23"/>
  <c r="X22" i="23"/>
  <c r="AO22" i="23"/>
  <c r="M8" i="25"/>
  <c r="E22" i="22"/>
  <c r="V22" i="22"/>
  <c r="AM22" i="22"/>
  <c r="N8" i="25"/>
  <c r="E82" i="76"/>
  <c r="E81" i="76"/>
  <c r="E119" i="76"/>
  <c r="V6" i="77"/>
  <c r="F22" i="22"/>
  <c r="W22" i="22"/>
  <c r="AN22" i="22"/>
  <c r="O8" i="25"/>
  <c r="E118" i="76"/>
  <c r="U6" i="77"/>
  <c r="G22" i="22"/>
  <c r="X22" i="22"/>
  <c r="AO22" i="22"/>
  <c r="P8" i="25"/>
  <c r="E104" i="76"/>
  <c r="K6" i="77"/>
  <c r="F15" i="24"/>
  <c r="W15" i="24"/>
  <c r="AN15" i="24"/>
  <c r="R8" i="25"/>
  <c r="S8" i="25"/>
  <c r="BL8" i="25"/>
  <c r="P47" i="36"/>
  <c r="BK6" i="14"/>
  <c r="P47" i="38"/>
  <c r="P47" i="41"/>
  <c r="P47" i="37"/>
  <c r="P47" i="40"/>
  <c r="P47" i="44"/>
  <c r="BM8" i="25"/>
  <c r="Q47" i="36"/>
  <c r="Q47" i="38"/>
  <c r="Q47" i="41"/>
  <c r="Q47" i="37"/>
  <c r="Q47" i="40"/>
  <c r="Q47" i="44"/>
  <c r="R47" i="37"/>
  <c r="R47" i="44"/>
  <c r="AB47" i="44"/>
  <c r="J15" i="26"/>
  <c r="I8" i="21"/>
  <c r="D8" i="21"/>
  <c r="K15" i="26"/>
  <c r="D7" i="29"/>
  <c r="J16" i="30"/>
  <c r="AF16" i="30"/>
  <c r="K16" i="30"/>
  <c r="AG16" i="30"/>
  <c r="L16" i="30"/>
  <c r="AH16" i="30"/>
  <c r="M16" i="30"/>
  <c r="AI16" i="30"/>
  <c r="D7" i="45"/>
  <c r="I7" i="45"/>
  <c r="N7" i="45"/>
  <c r="I6" i="14"/>
  <c r="X7" i="45"/>
  <c r="N6" i="14"/>
  <c r="I7" i="29"/>
  <c r="L15" i="26"/>
  <c r="M15" i="26"/>
  <c r="F62" i="26"/>
  <c r="AB62" i="26"/>
  <c r="P8" i="31"/>
  <c r="AD15" i="26"/>
  <c r="AE15" i="26"/>
  <c r="AF15" i="26"/>
  <c r="G62" i="26"/>
  <c r="AC62" i="26"/>
  <c r="Q8" i="31"/>
  <c r="BB16" i="30"/>
  <c r="R8" i="31"/>
  <c r="BC16" i="30"/>
  <c r="S8" i="31"/>
  <c r="BD16" i="30"/>
  <c r="T8" i="31"/>
  <c r="BE16" i="30"/>
  <c r="U8" i="31"/>
  <c r="V8" i="31"/>
  <c r="BA8" i="31"/>
  <c r="B85" i="36"/>
  <c r="B85" i="38"/>
  <c r="B85" i="41"/>
  <c r="B85" i="37"/>
  <c r="B85" i="40"/>
  <c r="B85" i="44"/>
  <c r="BB8" i="31"/>
  <c r="C85" i="36"/>
  <c r="C85" i="38"/>
  <c r="C85" i="41"/>
  <c r="C85" i="37"/>
  <c r="C85" i="40"/>
  <c r="C85" i="44"/>
  <c r="H15" i="32"/>
  <c r="I15" i="32"/>
  <c r="J15" i="32"/>
  <c r="F62" i="32"/>
  <c r="W62" i="32"/>
  <c r="H8" i="33"/>
  <c r="Y15" i="32"/>
  <c r="Z15" i="32"/>
  <c r="AA15" i="32"/>
  <c r="G62" i="32"/>
  <c r="X62" i="32"/>
  <c r="I8" i="33"/>
  <c r="J8" i="33"/>
  <c r="Y8" i="33"/>
  <c r="H85" i="36"/>
  <c r="H85" i="38"/>
  <c r="H85" i="41"/>
  <c r="H85" i="37"/>
  <c r="H85" i="40"/>
  <c r="H85" i="44"/>
  <c r="Z8" i="33"/>
  <c r="I85" i="36"/>
  <c r="I85" i="38"/>
  <c r="I85" i="41"/>
  <c r="I85" i="37"/>
  <c r="I85" i="40"/>
  <c r="I85" i="44"/>
  <c r="H15" i="24"/>
  <c r="Y15" i="24"/>
  <c r="D7" i="46"/>
  <c r="I7" i="46"/>
  <c r="N7" i="46"/>
  <c r="S6" i="14"/>
  <c r="X7" i="46"/>
  <c r="X6" i="14"/>
  <c r="AH7" i="46"/>
  <c r="AC6" i="14"/>
  <c r="AR7" i="46"/>
  <c r="AH6" i="14"/>
  <c r="BB7" i="46"/>
  <c r="AM6" i="14"/>
  <c r="BL7" i="46"/>
  <c r="AR6" i="14"/>
  <c r="G8" i="64"/>
  <c r="AW6" i="14"/>
  <c r="G8" i="65"/>
  <c r="BG6" i="14"/>
  <c r="N7" i="29"/>
  <c r="AP15" i="24"/>
  <c r="Z8" i="25"/>
  <c r="H22" i="23"/>
  <c r="Y22" i="23"/>
  <c r="AP22" i="23"/>
  <c r="T8" i="25"/>
  <c r="I22" i="23"/>
  <c r="Z22" i="23"/>
  <c r="AQ22" i="23"/>
  <c r="U8" i="25"/>
  <c r="J22" i="23"/>
  <c r="AA22" i="23"/>
  <c r="AR22" i="23"/>
  <c r="V8" i="25"/>
  <c r="H22" i="22"/>
  <c r="Y22" i="22"/>
  <c r="AP22" i="22"/>
  <c r="W8" i="25"/>
  <c r="I22" i="22"/>
  <c r="Z22" i="22"/>
  <c r="AQ22" i="22"/>
  <c r="X8" i="25"/>
  <c r="J22" i="22"/>
  <c r="AA22" i="22"/>
  <c r="AR22" i="22"/>
  <c r="Y8" i="25"/>
  <c r="I15" i="24"/>
  <c r="Z15" i="24"/>
  <c r="AQ15" i="24"/>
  <c r="AA8" i="25"/>
  <c r="AB8" i="25"/>
  <c r="BU8" i="25"/>
  <c r="P85" i="36"/>
  <c r="BL6" i="14"/>
  <c r="P85" i="38"/>
  <c r="P85" i="41"/>
  <c r="P85" i="37"/>
  <c r="P85" i="40"/>
  <c r="P85" i="44"/>
  <c r="BV8" i="25"/>
  <c r="Q85" i="36"/>
  <c r="Q85" i="38"/>
  <c r="Q85" i="41"/>
  <c r="Q85" i="37"/>
  <c r="Q85" i="40"/>
  <c r="Q85" i="44"/>
  <c r="R9" i="36"/>
  <c r="R47" i="36"/>
  <c r="R85" i="36"/>
  <c r="S7" i="29"/>
  <c r="R85" i="38"/>
  <c r="R85" i="41"/>
  <c r="R85" i="37"/>
  <c r="R85" i="40"/>
  <c r="R85" i="44"/>
  <c r="AB85" i="44"/>
  <c r="N15" i="26"/>
  <c r="F8" i="21"/>
  <c r="E8" i="21"/>
  <c r="O15" i="26"/>
  <c r="E7" i="29"/>
  <c r="N16" i="30"/>
  <c r="AJ16" i="30"/>
  <c r="O16" i="30"/>
  <c r="AK16" i="30"/>
  <c r="P16" i="30"/>
  <c r="AL16" i="30"/>
  <c r="Q16" i="30"/>
  <c r="AM16" i="30"/>
  <c r="E7" i="45"/>
  <c r="J7" i="45"/>
  <c r="O7" i="45"/>
  <c r="J6" i="14"/>
  <c r="Y7" i="45"/>
  <c r="O6" i="14"/>
  <c r="J7" i="29"/>
  <c r="P15" i="26"/>
  <c r="Q15" i="26"/>
  <c r="O16" i="76"/>
  <c r="O42" i="76"/>
  <c r="O67" i="76"/>
  <c r="O41" i="76"/>
  <c r="O68" i="76"/>
  <c r="O60" i="76"/>
  <c r="O47" i="76"/>
  <c r="O14" i="76"/>
  <c r="O61" i="76"/>
  <c r="O48" i="76"/>
  <c r="O13" i="76"/>
  <c r="O62" i="76"/>
  <c r="O49" i="76"/>
  <c r="O15" i="76"/>
  <c r="O43" i="76"/>
  <c r="O77" i="76"/>
  <c r="O40" i="76"/>
  <c r="O79" i="76"/>
  <c r="O36" i="76"/>
  <c r="O37" i="76"/>
  <c r="O86" i="76"/>
  <c r="O63" i="76"/>
  <c r="O50" i="76"/>
  <c r="O95" i="76"/>
  <c r="B7" i="77"/>
  <c r="F16" i="26"/>
  <c r="G16" i="26"/>
  <c r="O96" i="76"/>
  <c r="C7" i="77"/>
  <c r="C8" i="13"/>
  <c r="C8" i="29"/>
  <c r="F17" i="30"/>
  <c r="AB17" i="30"/>
  <c r="O71" i="76"/>
  <c r="O72" i="76"/>
  <c r="O73" i="76"/>
  <c r="O111" i="76"/>
  <c r="P7" i="77"/>
  <c r="G17" i="30"/>
  <c r="AC17" i="30"/>
  <c r="O112" i="76"/>
  <c r="Q7" i="77"/>
  <c r="H17" i="30"/>
  <c r="AD17" i="30"/>
  <c r="O113" i="76"/>
  <c r="R7" i="77"/>
  <c r="I17" i="30"/>
  <c r="AE17" i="30"/>
  <c r="C8" i="45"/>
  <c r="H8" i="45"/>
  <c r="M8" i="45"/>
  <c r="H7" i="14"/>
  <c r="W8" i="45"/>
  <c r="M7" i="14"/>
  <c r="H8" i="29"/>
  <c r="H16" i="26"/>
  <c r="I16" i="26"/>
  <c r="D63" i="26"/>
  <c r="Z63" i="26"/>
  <c r="I9" i="31"/>
  <c r="O52" i="76"/>
  <c r="O53" i="76"/>
  <c r="O54" i="76"/>
  <c r="O55" i="76"/>
  <c r="O101" i="76"/>
  <c r="H7" i="77"/>
  <c r="AA16" i="26"/>
  <c r="O102" i="76"/>
  <c r="I7" i="77"/>
  <c r="AB16" i="26"/>
  <c r="AC16" i="26"/>
  <c r="E63" i="26"/>
  <c r="AA63" i="26"/>
  <c r="J9" i="31"/>
  <c r="AX17" i="30"/>
  <c r="K9" i="31"/>
  <c r="AY17" i="30"/>
  <c r="L9" i="31"/>
  <c r="AZ17" i="30"/>
  <c r="M9" i="31"/>
  <c r="BA17" i="30"/>
  <c r="N9" i="31"/>
  <c r="O9" i="31"/>
  <c r="AT9" i="31"/>
  <c r="B48" i="36"/>
  <c r="B48" i="38"/>
  <c r="B48" i="41"/>
  <c r="B48" i="37"/>
  <c r="B48" i="40"/>
  <c r="B48" i="44"/>
  <c r="AU9" i="31"/>
  <c r="C48" i="36"/>
  <c r="C48" i="38"/>
  <c r="C48" i="41"/>
  <c r="C48" i="37"/>
  <c r="C48" i="40"/>
  <c r="C48" i="44"/>
  <c r="O97" i="76"/>
  <c r="D7" i="77"/>
  <c r="E16" i="32"/>
  <c r="F16" i="32"/>
  <c r="G16" i="32"/>
  <c r="D63" i="32"/>
  <c r="U63" i="32"/>
  <c r="E9" i="33"/>
  <c r="O103" i="76"/>
  <c r="J7" i="77"/>
  <c r="V16" i="32"/>
  <c r="W16" i="32"/>
  <c r="X16" i="32"/>
  <c r="E63" i="32"/>
  <c r="V63" i="32"/>
  <c r="F9" i="33"/>
  <c r="G9" i="33"/>
  <c r="V9" i="33"/>
  <c r="H48" i="36"/>
  <c r="H48" i="38"/>
  <c r="H48" i="41"/>
  <c r="H48" i="37"/>
  <c r="H48" i="40"/>
  <c r="H48" i="44"/>
  <c r="W9" i="33"/>
  <c r="I48" i="36"/>
  <c r="I48" i="38"/>
  <c r="I48" i="41"/>
  <c r="I48" i="37"/>
  <c r="I48" i="40"/>
  <c r="I48" i="44"/>
  <c r="O98" i="76"/>
  <c r="E7" i="77"/>
  <c r="E16" i="24"/>
  <c r="V16" i="24"/>
  <c r="C8" i="46"/>
  <c r="H8" i="46"/>
  <c r="M8" i="46"/>
  <c r="R7" i="14"/>
  <c r="W8" i="46"/>
  <c r="W7" i="14"/>
  <c r="AG8" i="46"/>
  <c r="AB7" i="14"/>
  <c r="AQ8" i="46"/>
  <c r="AG7" i="14"/>
  <c r="BA8" i="46"/>
  <c r="AL7" i="14"/>
  <c r="BK8" i="46"/>
  <c r="AQ7" i="14"/>
  <c r="C9" i="64"/>
  <c r="F9" i="64"/>
  <c r="AV7" i="14"/>
  <c r="L25" i="53"/>
  <c r="E25" i="53"/>
  <c r="G25" i="53"/>
  <c r="Q25" i="53"/>
  <c r="BA7" i="14"/>
  <c r="C9" i="65"/>
  <c r="F9" i="65"/>
  <c r="BF7" i="14"/>
  <c r="M8" i="29"/>
  <c r="AM16" i="24"/>
  <c r="Q9" i="25"/>
  <c r="O88" i="76"/>
  <c r="O89" i="76"/>
  <c r="O126" i="76"/>
  <c r="AA7" i="77"/>
  <c r="E23" i="23"/>
  <c r="V23" i="23"/>
  <c r="AM23" i="23"/>
  <c r="K9" i="25"/>
  <c r="O127" i="76"/>
  <c r="AB7" i="77"/>
  <c r="F23" i="23"/>
  <c r="W23" i="23"/>
  <c r="AN23" i="23"/>
  <c r="L9" i="25"/>
  <c r="G23" i="23"/>
  <c r="X23" i="23"/>
  <c r="AO23" i="23"/>
  <c r="M9" i="25"/>
  <c r="E23" i="22"/>
  <c r="V23" i="22"/>
  <c r="AM23" i="22"/>
  <c r="N9" i="25"/>
  <c r="O82" i="76"/>
  <c r="O81" i="76"/>
  <c r="O119" i="76"/>
  <c r="V7" i="77"/>
  <c r="F23" i="22"/>
  <c r="W23" i="22"/>
  <c r="AN23" i="22"/>
  <c r="O9" i="25"/>
  <c r="O118" i="76"/>
  <c r="U7" i="77"/>
  <c r="G23" i="22"/>
  <c r="X23" i="22"/>
  <c r="AO23" i="22"/>
  <c r="P9" i="25"/>
  <c r="O104" i="76"/>
  <c r="K7" i="77"/>
  <c r="F16" i="24"/>
  <c r="W16" i="24"/>
  <c r="AN16" i="24"/>
  <c r="R9" i="25"/>
  <c r="S9" i="25"/>
  <c r="BL9" i="25"/>
  <c r="P48" i="36"/>
  <c r="BK7" i="14"/>
  <c r="P48" i="38"/>
  <c r="P48" i="41"/>
  <c r="P48" i="37"/>
  <c r="P48" i="40"/>
  <c r="P48" i="44"/>
  <c r="BM9" i="25"/>
  <c r="Q48" i="36"/>
  <c r="Q48" i="38"/>
  <c r="Q48" i="41"/>
  <c r="Q48" i="37"/>
  <c r="Q48" i="40"/>
  <c r="Q48" i="44"/>
  <c r="R48" i="37"/>
  <c r="R48" i="44"/>
  <c r="AB48" i="44"/>
  <c r="J16" i="26"/>
  <c r="I9" i="21"/>
  <c r="D9" i="21"/>
  <c r="K16" i="26"/>
  <c r="D8" i="29"/>
  <c r="J17" i="30"/>
  <c r="AF17" i="30"/>
  <c r="K17" i="30"/>
  <c r="AG17" i="30"/>
  <c r="L17" i="30"/>
  <c r="AH17" i="30"/>
  <c r="M17" i="30"/>
  <c r="AI17" i="30"/>
  <c r="D8" i="45"/>
  <c r="I8" i="45"/>
  <c r="N8" i="45"/>
  <c r="I7" i="14"/>
  <c r="X8" i="45"/>
  <c r="N7" i="14"/>
  <c r="I8" i="29"/>
  <c r="L16" i="26"/>
  <c r="M16" i="26"/>
  <c r="F63" i="26"/>
  <c r="AB63" i="26"/>
  <c r="P9" i="31"/>
  <c r="AD16" i="26"/>
  <c r="AE16" i="26"/>
  <c r="AF16" i="26"/>
  <c r="G63" i="26"/>
  <c r="AC63" i="26"/>
  <c r="Q9" i="31"/>
  <c r="BB17" i="30"/>
  <c r="R9" i="31"/>
  <c r="BC17" i="30"/>
  <c r="S9" i="31"/>
  <c r="BD17" i="30"/>
  <c r="T9" i="31"/>
  <c r="BE17" i="30"/>
  <c r="U9" i="31"/>
  <c r="V9" i="31"/>
  <c r="BA9" i="31"/>
  <c r="B86" i="36"/>
  <c r="B86" i="38"/>
  <c r="B86" i="41"/>
  <c r="B86" i="37"/>
  <c r="B86" i="40"/>
  <c r="B86" i="44"/>
  <c r="BB9" i="31"/>
  <c r="C86" i="36"/>
  <c r="C86" i="38"/>
  <c r="C86" i="41"/>
  <c r="C86" i="37"/>
  <c r="C86" i="40"/>
  <c r="C86" i="44"/>
  <c r="H16" i="32"/>
  <c r="I16" i="32"/>
  <c r="J16" i="32"/>
  <c r="F63" i="32"/>
  <c r="W63" i="32"/>
  <c r="H9" i="33"/>
  <c r="Y16" i="32"/>
  <c r="Z16" i="32"/>
  <c r="AA16" i="32"/>
  <c r="G63" i="32"/>
  <c r="X63" i="32"/>
  <c r="I9" i="33"/>
  <c r="J9" i="33"/>
  <c r="Y9" i="33"/>
  <c r="H86" i="36"/>
  <c r="H86" i="38"/>
  <c r="H86" i="41"/>
  <c r="H86" i="37"/>
  <c r="H86" i="40"/>
  <c r="H86" i="44"/>
  <c r="Z9" i="33"/>
  <c r="I86" i="36"/>
  <c r="I86" i="38"/>
  <c r="I86" i="41"/>
  <c r="I86" i="37"/>
  <c r="I86" i="40"/>
  <c r="I86" i="44"/>
  <c r="H16" i="24"/>
  <c r="Y16" i="24"/>
  <c r="D8" i="46"/>
  <c r="I8" i="46"/>
  <c r="N8" i="46"/>
  <c r="S7" i="14"/>
  <c r="X8" i="46"/>
  <c r="X7" i="14"/>
  <c r="AH8" i="46"/>
  <c r="AC7" i="14"/>
  <c r="AR8" i="46"/>
  <c r="AH7" i="14"/>
  <c r="BB8" i="46"/>
  <c r="AM7" i="14"/>
  <c r="BL8" i="46"/>
  <c r="AR7" i="14"/>
  <c r="G9" i="64"/>
  <c r="AW7" i="14"/>
  <c r="M25" i="53"/>
  <c r="H25" i="53"/>
  <c r="R25" i="53"/>
  <c r="BB7" i="14"/>
  <c r="G9" i="65"/>
  <c r="BG7" i="14"/>
  <c r="N8" i="29"/>
  <c r="AP16" i="24"/>
  <c r="Z9" i="25"/>
  <c r="H23" i="23"/>
  <c r="Y23" i="23"/>
  <c r="AP23" i="23"/>
  <c r="T9" i="25"/>
  <c r="I23" i="23"/>
  <c r="Z23" i="23"/>
  <c r="AQ23" i="23"/>
  <c r="U9" i="25"/>
  <c r="J23" i="23"/>
  <c r="AA23" i="23"/>
  <c r="AR23" i="23"/>
  <c r="V9" i="25"/>
  <c r="H23" i="22"/>
  <c r="Y23" i="22"/>
  <c r="AP23" i="22"/>
  <c r="W9" i="25"/>
  <c r="I23" i="22"/>
  <c r="Z23" i="22"/>
  <c r="AQ23" i="22"/>
  <c r="X9" i="25"/>
  <c r="J23" i="22"/>
  <c r="AA23" i="22"/>
  <c r="AR23" i="22"/>
  <c r="Y9" i="25"/>
  <c r="I16" i="24"/>
  <c r="Z16" i="24"/>
  <c r="AQ16" i="24"/>
  <c r="AA9" i="25"/>
  <c r="AB9" i="25"/>
  <c r="BU9" i="25"/>
  <c r="P86" i="36"/>
  <c r="BL7" i="14"/>
  <c r="P86" i="38"/>
  <c r="P86" i="41"/>
  <c r="P86" i="37"/>
  <c r="P86" i="40"/>
  <c r="P86" i="44"/>
  <c r="BV9" i="25"/>
  <c r="Q86" i="36"/>
  <c r="Q86" i="38"/>
  <c r="Q86" i="41"/>
  <c r="Q86" i="37"/>
  <c r="Q86" i="40"/>
  <c r="Q86" i="44"/>
  <c r="R86" i="37"/>
  <c r="R86" i="44"/>
  <c r="AB86" i="44"/>
  <c r="N16" i="26"/>
  <c r="F9" i="21"/>
  <c r="E9" i="21"/>
  <c r="O16" i="26"/>
  <c r="E8" i="29"/>
  <c r="N17" i="30"/>
  <c r="AJ17" i="30"/>
  <c r="O17" i="30"/>
  <c r="AK17" i="30"/>
  <c r="P17" i="30"/>
  <c r="AL17" i="30"/>
  <c r="Q17" i="30"/>
  <c r="AM17" i="30"/>
  <c r="E8" i="45"/>
  <c r="J8" i="45"/>
  <c r="O8" i="45"/>
  <c r="J7" i="14"/>
  <c r="Y8" i="45"/>
  <c r="O7" i="14"/>
  <c r="J8" i="29"/>
  <c r="P16" i="26"/>
  <c r="Q16" i="26"/>
  <c r="W16" i="76"/>
  <c r="W42" i="76"/>
  <c r="W67" i="76"/>
  <c r="W41" i="76"/>
  <c r="W68" i="76"/>
  <c r="W60" i="76"/>
  <c r="W47" i="76"/>
  <c r="W14" i="76"/>
  <c r="W61" i="76"/>
  <c r="W48" i="76"/>
  <c r="W13" i="76"/>
  <c r="W62" i="76"/>
  <c r="W49" i="76"/>
  <c r="W15" i="76"/>
  <c r="W43" i="76"/>
  <c r="W77" i="76"/>
  <c r="W40" i="76"/>
  <c r="W79" i="76"/>
  <c r="W36" i="76"/>
  <c r="W37" i="76"/>
  <c r="W86" i="76"/>
  <c r="W63" i="76"/>
  <c r="W50" i="76"/>
  <c r="W95" i="76"/>
  <c r="B8" i="77"/>
  <c r="F17" i="26"/>
  <c r="G17" i="26"/>
  <c r="W96" i="76"/>
  <c r="C8" i="77"/>
  <c r="C9" i="13"/>
  <c r="C9" i="29"/>
  <c r="F18" i="30"/>
  <c r="AB18" i="30"/>
  <c r="W71" i="76"/>
  <c r="W72" i="76"/>
  <c r="W73" i="76"/>
  <c r="W111" i="76"/>
  <c r="P8" i="77"/>
  <c r="G18" i="30"/>
  <c r="AC18" i="30"/>
  <c r="W112" i="76"/>
  <c r="Q8" i="77"/>
  <c r="H18" i="30"/>
  <c r="AD18" i="30"/>
  <c r="W113" i="76"/>
  <c r="R8" i="77"/>
  <c r="I18" i="30"/>
  <c r="AE18" i="30"/>
  <c r="C9" i="45"/>
  <c r="H9" i="45"/>
  <c r="M9" i="45"/>
  <c r="H8" i="14"/>
  <c r="W9" i="45"/>
  <c r="M8" i="14"/>
  <c r="H9" i="29"/>
  <c r="H17" i="26"/>
  <c r="I17" i="26"/>
  <c r="D64" i="26"/>
  <c r="Z64" i="26"/>
  <c r="I10" i="31"/>
  <c r="W52" i="76"/>
  <c r="W53" i="76"/>
  <c r="W54" i="76"/>
  <c r="W55" i="76"/>
  <c r="W101" i="76"/>
  <c r="H8" i="77"/>
  <c r="AA17" i="26"/>
  <c r="W102" i="76"/>
  <c r="I8" i="77"/>
  <c r="AB17" i="26"/>
  <c r="AC17" i="26"/>
  <c r="E64" i="26"/>
  <c r="AA64" i="26"/>
  <c r="J10" i="31"/>
  <c r="AX18" i="30"/>
  <c r="K10" i="31"/>
  <c r="AY18" i="30"/>
  <c r="L10" i="31"/>
  <c r="AZ18" i="30"/>
  <c r="M10" i="31"/>
  <c r="BA18" i="30"/>
  <c r="N10" i="31"/>
  <c r="O10" i="31"/>
  <c r="AT10" i="31"/>
  <c r="B49" i="36"/>
  <c r="B49" i="38"/>
  <c r="B49" i="41"/>
  <c r="B49" i="37"/>
  <c r="B49" i="40"/>
  <c r="B49" i="44"/>
  <c r="AU10" i="31"/>
  <c r="C49" i="36"/>
  <c r="C49" i="38"/>
  <c r="C49" i="41"/>
  <c r="C49" i="37"/>
  <c r="C49" i="40"/>
  <c r="C49" i="44"/>
  <c r="W97" i="76"/>
  <c r="D8" i="77"/>
  <c r="E17" i="32"/>
  <c r="F17" i="32"/>
  <c r="G17" i="32"/>
  <c r="D64" i="32"/>
  <c r="U64" i="32"/>
  <c r="E10" i="33"/>
  <c r="W103" i="76"/>
  <c r="J8" i="77"/>
  <c r="V17" i="32"/>
  <c r="W17" i="32"/>
  <c r="X17" i="32"/>
  <c r="E64" i="32"/>
  <c r="V64" i="32"/>
  <c r="F10" i="33"/>
  <c r="G10" i="33"/>
  <c r="V10" i="33"/>
  <c r="H49" i="36"/>
  <c r="H49" i="38"/>
  <c r="H49" i="41"/>
  <c r="H49" i="37"/>
  <c r="H49" i="40"/>
  <c r="H49" i="44"/>
  <c r="W10" i="33"/>
  <c r="I49" i="36"/>
  <c r="I49" i="38"/>
  <c r="I49" i="41"/>
  <c r="I49" i="37"/>
  <c r="I49" i="40"/>
  <c r="I49" i="44"/>
  <c r="W98" i="76"/>
  <c r="E8" i="77"/>
  <c r="E17" i="24"/>
  <c r="V17" i="24"/>
  <c r="C9" i="46"/>
  <c r="H9" i="46"/>
  <c r="M9" i="46"/>
  <c r="R8" i="14"/>
  <c r="W9" i="46"/>
  <c r="W8" i="14"/>
  <c r="AG9" i="46"/>
  <c r="AB8" i="14"/>
  <c r="AQ9" i="46"/>
  <c r="AG8" i="14"/>
  <c r="BA9" i="46"/>
  <c r="AL8" i="14"/>
  <c r="BK9" i="46"/>
  <c r="AQ8" i="14"/>
  <c r="C10" i="64"/>
  <c r="F10" i="64"/>
  <c r="AV8" i="14"/>
  <c r="C10" i="65"/>
  <c r="F10" i="65"/>
  <c r="BF8" i="14"/>
  <c r="M9" i="29"/>
  <c r="AM17" i="24"/>
  <c r="Q10" i="25"/>
  <c r="W88" i="76"/>
  <c r="W89" i="76"/>
  <c r="W126" i="76"/>
  <c r="AA8" i="77"/>
  <c r="E24" i="23"/>
  <c r="V24" i="23"/>
  <c r="AM24" i="23"/>
  <c r="K10" i="25"/>
  <c r="W127" i="76"/>
  <c r="AB8" i="77"/>
  <c r="F24" i="23"/>
  <c r="W24" i="23"/>
  <c r="AN24" i="23"/>
  <c r="L10" i="25"/>
  <c r="G24" i="23"/>
  <c r="X24" i="23"/>
  <c r="AO24" i="23"/>
  <c r="M10" i="25"/>
  <c r="E24" i="22"/>
  <c r="V24" i="22"/>
  <c r="AM24" i="22"/>
  <c r="N10" i="25"/>
  <c r="W82" i="76"/>
  <c r="W81" i="76"/>
  <c r="W119" i="76"/>
  <c r="V8" i="77"/>
  <c r="F24" i="22"/>
  <c r="W24" i="22"/>
  <c r="AN24" i="22"/>
  <c r="O10" i="25"/>
  <c r="W118" i="76"/>
  <c r="U8" i="77"/>
  <c r="G24" i="22"/>
  <c r="X24" i="22"/>
  <c r="AO24" i="22"/>
  <c r="P10" i="25"/>
  <c r="W104" i="76"/>
  <c r="K8" i="77"/>
  <c r="F17" i="24"/>
  <c r="W17" i="24"/>
  <c r="AN17" i="24"/>
  <c r="R10" i="25"/>
  <c r="S10" i="25"/>
  <c r="BL10" i="25"/>
  <c r="P49" i="36"/>
  <c r="BK8" i="14"/>
  <c r="P49" i="38"/>
  <c r="P49" i="41"/>
  <c r="P49" i="37"/>
  <c r="P49" i="40"/>
  <c r="P49" i="44"/>
  <c r="BM10" i="25"/>
  <c r="Q49" i="36"/>
  <c r="Q49" i="38"/>
  <c r="Q49" i="41"/>
  <c r="Q49" i="37"/>
  <c r="Q49" i="40"/>
  <c r="Q49" i="44"/>
  <c r="R49" i="37"/>
  <c r="R49" i="44"/>
  <c r="AB49" i="44"/>
  <c r="J17" i="26"/>
  <c r="I10" i="21"/>
  <c r="D10" i="21"/>
  <c r="K17" i="26"/>
  <c r="D9" i="29"/>
  <c r="J18" i="30"/>
  <c r="AF18" i="30"/>
  <c r="K18" i="30"/>
  <c r="AG18" i="30"/>
  <c r="L18" i="30"/>
  <c r="AH18" i="30"/>
  <c r="M18" i="30"/>
  <c r="AI18" i="30"/>
  <c r="D9" i="45"/>
  <c r="I9" i="45"/>
  <c r="N9" i="45"/>
  <c r="I8" i="14"/>
  <c r="X9" i="45"/>
  <c r="N8" i="14"/>
  <c r="I9" i="29"/>
  <c r="L17" i="26"/>
  <c r="M17" i="26"/>
  <c r="F64" i="26"/>
  <c r="AB64" i="26"/>
  <c r="P10" i="31"/>
  <c r="AD17" i="26"/>
  <c r="AE17" i="26"/>
  <c r="AF17" i="26"/>
  <c r="G64" i="26"/>
  <c r="AC64" i="26"/>
  <c r="Q10" i="31"/>
  <c r="BB18" i="30"/>
  <c r="R10" i="31"/>
  <c r="BC18" i="30"/>
  <c r="S10" i="31"/>
  <c r="BD18" i="30"/>
  <c r="T10" i="31"/>
  <c r="BE18" i="30"/>
  <c r="U10" i="31"/>
  <c r="V10" i="31"/>
  <c r="BA10" i="31"/>
  <c r="B87" i="36"/>
  <c r="B87" i="38"/>
  <c r="B87" i="41"/>
  <c r="B87" i="37"/>
  <c r="B87" i="40"/>
  <c r="B87" i="44"/>
  <c r="BB10" i="31"/>
  <c r="C87" i="36"/>
  <c r="C87" i="38"/>
  <c r="C87" i="41"/>
  <c r="C87" i="37"/>
  <c r="C87" i="40"/>
  <c r="C87" i="44"/>
  <c r="H17" i="32"/>
  <c r="I17" i="32"/>
  <c r="J17" i="32"/>
  <c r="F64" i="32"/>
  <c r="W64" i="32"/>
  <c r="H10" i="33"/>
  <c r="Y17" i="32"/>
  <c r="Z17" i="32"/>
  <c r="AA17" i="32"/>
  <c r="G64" i="32"/>
  <c r="X64" i="32"/>
  <c r="I10" i="33"/>
  <c r="J10" i="33"/>
  <c r="Y10" i="33"/>
  <c r="H87" i="36"/>
  <c r="H87" i="38"/>
  <c r="H87" i="41"/>
  <c r="H87" i="37"/>
  <c r="H87" i="40"/>
  <c r="H87" i="44"/>
  <c r="Z10" i="33"/>
  <c r="I87" i="36"/>
  <c r="I87" i="38"/>
  <c r="I87" i="41"/>
  <c r="I87" i="37"/>
  <c r="I87" i="40"/>
  <c r="I87" i="44"/>
  <c r="H17" i="24"/>
  <c r="Y17" i="24"/>
  <c r="D9" i="46"/>
  <c r="I9" i="46"/>
  <c r="N9" i="46"/>
  <c r="S8" i="14"/>
  <c r="X9" i="46"/>
  <c r="X8" i="14"/>
  <c r="AH9" i="46"/>
  <c r="AC8" i="14"/>
  <c r="AR9" i="46"/>
  <c r="AH8" i="14"/>
  <c r="BB9" i="46"/>
  <c r="AM8" i="14"/>
  <c r="BL9" i="46"/>
  <c r="AR8" i="14"/>
  <c r="G10" i="64"/>
  <c r="AW8" i="14"/>
  <c r="G10" i="65"/>
  <c r="BG8" i="14"/>
  <c r="N9" i="29"/>
  <c r="AP17" i="24"/>
  <c r="Z10" i="25"/>
  <c r="H24" i="23"/>
  <c r="Y24" i="23"/>
  <c r="AP24" i="23"/>
  <c r="T10" i="25"/>
  <c r="I24" i="23"/>
  <c r="Z24" i="23"/>
  <c r="AQ24" i="23"/>
  <c r="U10" i="25"/>
  <c r="J24" i="23"/>
  <c r="AA24" i="23"/>
  <c r="AR24" i="23"/>
  <c r="V10" i="25"/>
  <c r="H24" i="22"/>
  <c r="Y24" i="22"/>
  <c r="AP24" i="22"/>
  <c r="W10" i="25"/>
  <c r="I24" i="22"/>
  <c r="Z24" i="22"/>
  <c r="AQ24" i="22"/>
  <c r="X10" i="25"/>
  <c r="J24" i="22"/>
  <c r="AA24" i="22"/>
  <c r="AR24" i="22"/>
  <c r="Y10" i="25"/>
  <c r="I17" i="24"/>
  <c r="Z17" i="24"/>
  <c r="AQ17" i="24"/>
  <c r="AA10" i="25"/>
  <c r="AB10" i="25"/>
  <c r="BU10" i="25"/>
  <c r="P87" i="36"/>
  <c r="BL8" i="14"/>
  <c r="P87" i="38"/>
  <c r="P87" i="41"/>
  <c r="P87" i="37"/>
  <c r="P87" i="40"/>
  <c r="P87" i="44"/>
  <c r="BV10" i="25"/>
  <c r="Q87" i="36"/>
  <c r="Q87" i="38"/>
  <c r="Q87" i="41"/>
  <c r="Q87" i="37"/>
  <c r="Q87" i="40"/>
  <c r="Q87" i="44"/>
  <c r="R87" i="37"/>
  <c r="R87" i="44"/>
  <c r="AB87" i="44"/>
  <c r="N17" i="26"/>
  <c r="F10" i="21"/>
  <c r="E10" i="21"/>
  <c r="O17" i="26"/>
  <c r="E9" i="29"/>
  <c r="N18" i="30"/>
  <c r="AJ18" i="30"/>
  <c r="O18" i="30"/>
  <c r="AK18" i="30"/>
  <c r="P18" i="30"/>
  <c r="AL18" i="30"/>
  <c r="Q18" i="30"/>
  <c r="AM18" i="30"/>
  <c r="E9" i="45"/>
  <c r="J9" i="45"/>
  <c r="O9" i="45"/>
  <c r="J8" i="14"/>
  <c r="Y9" i="45"/>
  <c r="O8" i="14"/>
  <c r="J9" i="29"/>
  <c r="P17" i="26"/>
  <c r="Q17" i="26"/>
  <c r="X16" i="76"/>
  <c r="X42" i="76"/>
  <c r="X67" i="76"/>
  <c r="X41" i="76"/>
  <c r="X68" i="76"/>
  <c r="X60" i="76"/>
  <c r="X47" i="76"/>
  <c r="X14" i="76"/>
  <c r="X61" i="76"/>
  <c r="X48" i="76"/>
  <c r="X13" i="76"/>
  <c r="X62" i="76"/>
  <c r="X49" i="76"/>
  <c r="X15" i="76"/>
  <c r="X43" i="76"/>
  <c r="X77" i="76"/>
  <c r="X40" i="76"/>
  <c r="X79" i="76"/>
  <c r="X36" i="76"/>
  <c r="X37" i="76"/>
  <c r="X86" i="76"/>
  <c r="X63" i="76"/>
  <c r="X50" i="76"/>
  <c r="X95" i="76"/>
  <c r="B9" i="77"/>
  <c r="F18" i="26"/>
  <c r="G18" i="26"/>
  <c r="X96" i="76"/>
  <c r="C9" i="77"/>
  <c r="C10" i="13"/>
  <c r="C10" i="29"/>
  <c r="F19" i="30"/>
  <c r="AB19" i="30"/>
  <c r="X71" i="76"/>
  <c r="X72" i="76"/>
  <c r="X73" i="76"/>
  <c r="X111" i="76"/>
  <c r="P9" i="77"/>
  <c r="G19" i="30"/>
  <c r="AC19" i="30"/>
  <c r="X112" i="76"/>
  <c r="Q9" i="77"/>
  <c r="H19" i="30"/>
  <c r="AD19" i="30"/>
  <c r="X113" i="76"/>
  <c r="R9" i="77"/>
  <c r="I19" i="30"/>
  <c r="AE19" i="30"/>
  <c r="C10" i="45"/>
  <c r="H10" i="45"/>
  <c r="M10" i="45"/>
  <c r="H9" i="14"/>
  <c r="W10" i="45"/>
  <c r="M9" i="14"/>
  <c r="H10" i="29"/>
  <c r="H18" i="26"/>
  <c r="I18" i="26"/>
  <c r="D65" i="26"/>
  <c r="Z65" i="26"/>
  <c r="I11" i="31"/>
  <c r="X52" i="76"/>
  <c r="X53" i="76"/>
  <c r="X54" i="76"/>
  <c r="X55" i="76"/>
  <c r="X101" i="76"/>
  <c r="H9" i="77"/>
  <c r="AA18" i="26"/>
  <c r="X102" i="76"/>
  <c r="I9" i="77"/>
  <c r="AB18" i="26"/>
  <c r="AC18" i="26"/>
  <c r="E65" i="26"/>
  <c r="AA65" i="26"/>
  <c r="J11" i="31"/>
  <c r="AX19" i="30"/>
  <c r="K11" i="31"/>
  <c r="AY19" i="30"/>
  <c r="L11" i="31"/>
  <c r="AZ19" i="30"/>
  <c r="M11" i="31"/>
  <c r="BA19" i="30"/>
  <c r="N11" i="31"/>
  <c r="O11" i="31"/>
  <c r="AT11" i="31"/>
  <c r="B50" i="36"/>
  <c r="B50" i="38"/>
  <c r="B50" i="41"/>
  <c r="B50" i="37"/>
  <c r="B50" i="40"/>
  <c r="B50" i="44"/>
  <c r="AU11" i="31"/>
  <c r="C50" i="36"/>
  <c r="C50" i="38"/>
  <c r="C50" i="41"/>
  <c r="C50" i="37"/>
  <c r="C50" i="40"/>
  <c r="C50" i="44"/>
  <c r="X97" i="76"/>
  <c r="D9" i="77"/>
  <c r="E18" i="32"/>
  <c r="F18" i="32"/>
  <c r="G18" i="32"/>
  <c r="D65" i="32"/>
  <c r="U65" i="32"/>
  <c r="E11" i="33"/>
  <c r="X103" i="76"/>
  <c r="J9" i="77"/>
  <c r="V18" i="32"/>
  <c r="W18" i="32"/>
  <c r="X18" i="32"/>
  <c r="E65" i="32"/>
  <c r="V65" i="32"/>
  <c r="F11" i="33"/>
  <c r="G11" i="33"/>
  <c r="V11" i="33"/>
  <c r="H50" i="36"/>
  <c r="H50" i="38"/>
  <c r="H50" i="41"/>
  <c r="H50" i="37"/>
  <c r="H50" i="40"/>
  <c r="H50" i="44"/>
  <c r="W11" i="33"/>
  <c r="I50" i="36"/>
  <c r="I50" i="38"/>
  <c r="I50" i="41"/>
  <c r="I50" i="37"/>
  <c r="I50" i="40"/>
  <c r="I50" i="44"/>
  <c r="X98" i="76"/>
  <c r="E9" i="77"/>
  <c r="E18" i="24"/>
  <c r="V18" i="24"/>
  <c r="C10" i="46"/>
  <c r="H10" i="46"/>
  <c r="M10" i="46"/>
  <c r="R9" i="14"/>
  <c r="W10" i="46"/>
  <c r="W9" i="14"/>
  <c r="AG10" i="46"/>
  <c r="AB9" i="14"/>
  <c r="AQ10" i="46"/>
  <c r="AG9" i="14"/>
  <c r="BA10" i="46"/>
  <c r="AL9" i="14"/>
  <c r="BK10" i="46"/>
  <c r="AQ9" i="14"/>
  <c r="C11" i="64"/>
  <c r="F11" i="64"/>
  <c r="AV9" i="14"/>
  <c r="C11" i="65"/>
  <c r="F11" i="65"/>
  <c r="BF9" i="14"/>
  <c r="M10" i="29"/>
  <c r="AM18" i="24"/>
  <c r="Q11" i="25"/>
  <c r="X88" i="76"/>
  <c r="X89" i="76"/>
  <c r="X126" i="76"/>
  <c r="AA9" i="77"/>
  <c r="E25" i="23"/>
  <c r="V25" i="23"/>
  <c r="AM25" i="23"/>
  <c r="K11" i="25"/>
  <c r="X127" i="76"/>
  <c r="AB9" i="77"/>
  <c r="F25" i="23"/>
  <c r="W25" i="23"/>
  <c r="AN25" i="23"/>
  <c r="L11" i="25"/>
  <c r="G25" i="23"/>
  <c r="X25" i="23"/>
  <c r="AO25" i="23"/>
  <c r="M11" i="25"/>
  <c r="E25" i="22"/>
  <c r="V25" i="22"/>
  <c r="AM25" i="22"/>
  <c r="N11" i="25"/>
  <c r="X82" i="76"/>
  <c r="X81" i="76"/>
  <c r="X119" i="76"/>
  <c r="V9" i="77"/>
  <c r="F25" i="22"/>
  <c r="W25" i="22"/>
  <c r="AN25" i="22"/>
  <c r="O11" i="25"/>
  <c r="X118" i="76"/>
  <c r="U9" i="77"/>
  <c r="G25" i="22"/>
  <c r="X25" i="22"/>
  <c r="AO25" i="22"/>
  <c r="P11" i="25"/>
  <c r="X104" i="76"/>
  <c r="K9" i="77"/>
  <c r="F18" i="24"/>
  <c r="W18" i="24"/>
  <c r="AN18" i="24"/>
  <c r="R11" i="25"/>
  <c r="S11" i="25"/>
  <c r="BL11" i="25"/>
  <c r="P50" i="36"/>
  <c r="BK9" i="14"/>
  <c r="P50" i="38"/>
  <c r="P50" i="41"/>
  <c r="P50" i="37"/>
  <c r="P50" i="40"/>
  <c r="P50" i="44"/>
  <c r="BM11" i="25"/>
  <c r="Q50" i="36"/>
  <c r="Q50" i="38"/>
  <c r="Q50" i="41"/>
  <c r="Q50" i="37"/>
  <c r="Q50" i="40"/>
  <c r="Q50" i="44"/>
  <c r="R50" i="37"/>
  <c r="R50" i="44"/>
  <c r="AB50" i="44"/>
  <c r="J18" i="26"/>
  <c r="I11" i="21"/>
  <c r="D11" i="21"/>
  <c r="K18" i="26"/>
  <c r="D10" i="29"/>
  <c r="J19" i="30"/>
  <c r="AF19" i="30"/>
  <c r="K19" i="30"/>
  <c r="AG19" i="30"/>
  <c r="L19" i="30"/>
  <c r="AH19" i="30"/>
  <c r="M19" i="30"/>
  <c r="AI19" i="30"/>
  <c r="D10" i="45"/>
  <c r="I10" i="45"/>
  <c r="N10" i="45"/>
  <c r="I9" i="14"/>
  <c r="X10" i="45"/>
  <c r="N9" i="14"/>
  <c r="I10" i="29"/>
  <c r="L18" i="26"/>
  <c r="M18" i="26"/>
  <c r="F65" i="26"/>
  <c r="AB65" i="26"/>
  <c r="P11" i="31"/>
  <c r="AD18" i="26"/>
  <c r="AE18" i="26"/>
  <c r="AF18" i="26"/>
  <c r="G65" i="26"/>
  <c r="AC65" i="26"/>
  <c r="Q11" i="31"/>
  <c r="BB19" i="30"/>
  <c r="R11" i="31"/>
  <c r="BC19" i="30"/>
  <c r="S11" i="31"/>
  <c r="BD19" i="30"/>
  <c r="T11" i="31"/>
  <c r="BE19" i="30"/>
  <c r="U11" i="31"/>
  <c r="V11" i="31"/>
  <c r="BA11" i="31"/>
  <c r="B88" i="36"/>
  <c r="B88" i="38"/>
  <c r="B88" i="41"/>
  <c r="B88" i="37"/>
  <c r="B88" i="40"/>
  <c r="B88" i="44"/>
  <c r="BB11" i="31"/>
  <c r="C88" i="36"/>
  <c r="C88" i="38"/>
  <c r="C88" i="41"/>
  <c r="C88" i="37"/>
  <c r="C88" i="40"/>
  <c r="C88" i="44"/>
  <c r="H18" i="32"/>
  <c r="I18" i="32"/>
  <c r="J18" i="32"/>
  <c r="F65" i="32"/>
  <c r="W65" i="32"/>
  <c r="H11" i="33"/>
  <c r="Y18" i="32"/>
  <c r="Z18" i="32"/>
  <c r="AA18" i="32"/>
  <c r="G65" i="32"/>
  <c r="X65" i="32"/>
  <c r="I11" i="33"/>
  <c r="J11" i="33"/>
  <c r="Y11" i="33"/>
  <c r="H88" i="36"/>
  <c r="H88" i="38"/>
  <c r="H88" i="41"/>
  <c r="H88" i="37"/>
  <c r="H88" i="40"/>
  <c r="H88" i="44"/>
  <c r="Z11" i="33"/>
  <c r="I88" i="36"/>
  <c r="I88" i="38"/>
  <c r="I88" i="41"/>
  <c r="I88" i="37"/>
  <c r="I88" i="40"/>
  <c r="I88" i="44"/>
  <c r="H18" i="24"/>
  <c r="Y18" i="24"/>
  <c r="D10" i="46"/>
  <c r="I10" i="46"/>
  <c r="N10" i="46"/>
  <c r="S9" i="14"/>
  <c r="X10" i="46"/>
  <c r="X9" i="14"/>
  <c r="AH10" i="46"/>
  <c r="AC9" i="14"/>
  <c r="AR10" i="46"/>
  <c r="AH9" i="14"/>
  <c r="BB10" i="46"/>
  <c r="AM9" i="14"/>
  <c r="BL10" i="46"/>
  <c r="AR9" i="14"/>
  <c r="G11" i="64"/>
  <c r="AW9" i="14"/>
  <c r="G11" i="65"/>
  <c r="BG9" i="14"/>
  <c r="N10" i="29"/>
  <c r="AP18" i="24"/>
  <c r="Z11" i="25"/>
  <c r="H25" i="23"/>
  <c r="Y25" i="23"/>
  <c r="AP25" i="23"/>
  <c r="T11" i="25"/>
  <c r="I25" i="23"/>
  <c r="Z25" i="23"/>
  <c r="AQ25" i="23"/>
  <c r="U11" i="25"/>
  <c r="J25" i="23"/>
  <c r="AA25" i="23"/>
  <c r="AR25" i="23"/>
  <c r="V11" i="25"/>
  <c r="H25" i="22"/>
  <c r="Y25" i="22"/>
  <c r="AP25" i="22"/>
  <c r="W11" i="25"/>
  <c r="I25" i="22"/>
  <c r="Z25" i="22"/>
  <c r="AQ25" i="22"/>
  <c r="X11" i="25"/>
  <c r="J25" i="22"/>
  <c r="AA25" i="22"/>
  <c r="AR25" i="22"/>
  <c r="Y11" i="25"/>
  <c r="I18" i="24"/>
  <c r="Z18" i="24"/>
  <c r="AQ18" i="24"/>
  <c r="AA11" i="25"/>
  <c r="AB11" i="25"/>
  <c r="BU11" i="25"/>
  <c r="P88" i="36"/>
  <c r="BL9" i="14"/>
  <c r="P88" i="38"/>
  <c r="P88" i="41"/>
  <c r="P88" i="37"/>
  <c r="P88" i="40"/>
  <c r="P88" i="44"/>
  <c r="BV11" i="25"/>
  <c r="Q88" i="36"/>
  <c r="Q88" i="38"/>
  <c r="Q88" i="41"/>
  <c r="Q88" i="37"/>
  <c r="Q88" i="40"/>
  <c r="Q88" i="44"/>
  <c r="R88" i="37"/>
  <c r="R88" i="44"/>
  <c r="AB88" i="44"/>
  <c r="N18" i="26"/>
  <c r="F11" i="21"/>
  <c r="E11" i="21"/>
  <c r="O18" i="26"/>
  <c r="E10" i="29"/>
  <c r="N19" i="30"/>
  <c r="AJ19" i="30"/>
  <c r="O19" i="30"/>
  <c r="AK19" i="30"/>
  <c r="P19" i="30"/>
  <c r="AL19" i="30"/>
  <c r="Q19" i="30"/>
  <c r="AM19" i="30"/>
  <c r="E10" i="45"/>
  <c r="J10" i="45"/>
  <c r="O10" i="45"/>
  <c r="J9" i="14"/>
  <c r="Y10" i="45"/>
  <c r="O9" i="14"/>
  <c r="J10" i="29"/>
  <c r="P18" i="26"/>
  <c r="Q18" i="26"/>
  <c r="AB16" i="76"/>
  <c r="AB42" i="76"/>
  <c r="AB67" i="76"/>
  <c r="AB41" i="76"/>
  <c r="AB68" i="76"/>
  <c r="AB60" i="76"/>
  <c r="AB47" i="76"/>
  <c r="AB14" i="76"/>
  <c r="AB61" i="76"/>
  <c r="AB48" i="76"/>
  <c r="AB13" i="76"/>
  <c r="AB62" i="76"/>
  <c r="AB49" i="76"/>
  <c r="AB15" i="76"/>
  <c r="AB43" i="76"/>
  <c r="AB77" i="76"/>
  <c r="AB40" i="76"/>
  <c r="AB79" i="76"/>
  <c r="AB36" i="76"/>
  <c r="AB37" i="76"/>
  <c r="AB86" i="76"/>
  <c r="AB63" i="76"/>
  <c r="AB50" i="76"/>
  <c r="AB95" i="76"/>
  <c r="B10" i="77"/>
  <c r="F19" i="26"/>
  <c r="G19" i="26"/>
  <c r="AB96" i="76"/>
  <c r="C10" i="77"/>
  <c r="C11" i="13"/>
  <c r="C11" i="29"/>
  <c r="F20" i="30"/>
  <c r="AB20" i="30"/>
  <c r="AB71" i="76"/>
  <c r="AB72" i="76"/>
  <c r="AB73" i="76"/>
  <c r="AB111" i="76"/>
  <c r="P10" i="77"/>
  <c r="G20" i="30"/>
  <c r="AC20" i="30"/>
  <c r="AB112" i="76"/>
  <c r="Q10" i="77"/>
  <c r="H20" i="30"/>
  <c r="AD20" i="30"/>
  <c r="AB113" i="76"/>
  <c r="R10" i="77"/>
  <c r="I20" i="30"/>
  <c r="AE20" i="30"/>
  <c r="C11" i="45"/>
  <c r="H11" i="45"/>
  <c r="M11" i="45"/>
  <c r="H10" i="14"/>
  <c r="W11" i="45"/>
  <c r="M10" i="14"/>
  <c r="H11" i="29"/>
  <c r="H19" i="26"/>
  <c r="I19" i="26"/>
  <c r="D66" i="26"/>
  <c r="Z66" i="26"/>
  <c r="I12" i="31"/>
  <c r="AB52" i="76"/>
  <c r="AB53" i="76"/>
  <c r="AB54" i="76"/>
  <c r="AB55" i="76"/>
  <c r="AB101" i="76"/>
  <c r="H10" i="77"/>
  <c r="AA19" i="26"/>
  <c r="AB102" i="76"/>
  <c r="I10" i="77"/>
  <c r="AB19" i="26"/>
  <c r="AC19" i="26"/>
  <c r="E66" i="26"/>
  <c r="AA66" i="26"/>
  <c r="J12" i="31"/>
  <c r="AX20" i="30"/>
  <c r="K12" i="31"/>
  <c r="AY20" i="30"/>
  <c r="L12" i="31"/>
  <c r="AZ20" i="30"/>
  <c r="M12" i="31"/>
  <c r="BA20" i="30"/>
  <c r="N12" i="31"/>
  <c r="O12" i="31"/>
  <c r="AT12" i="31"/>
  <c r="B51" i="36"/>
  <c r="B51" i="38"/>
  <c r="B51" i="41"/>
  <c r="B51" i="37"/>
  <c r="B51" i="40"/>
  <c r="B51" i="44"/>
  <c r="AU12" i="31"/>
  <c r="C51" i="36"/>
  <c r="C51" i="38"/>
  <c r="C51" i="41"/>
  <c r="C51" i="37"/>
  <c r="C51" i="40"/>
  <c r="C51" i="44"/>
  <c r="AB97" i="76"/>
  <c r="D10" i="77"/>
  <c r="E19" i="32"/>
  <c r="F19" i="32"/>
  <c r="G19" i="32"/>
  <c r="D66" i="32"/>
  <c r="U66" i="32"/>
  <c r="E12" i="33"/>
  <c r="AB103" i="76"/>
  <c r="J10" i="77"/>
  <c r="V19" i="32"/>
  <c r="W19" i="32"/>
  <c r="X19" i="32"/>
  <c r="E66" i="32"/>
  <c r="V66" i="32"/>
  <c r="F12" i="33"/>
  <c r="G12" i="33"/>
  <c r="V12" i="33"/>
  <c r="H51" i="36"/>
  <c r="H51" i="38"/>
  <c r="H51" i="41"/>
  <c r="H51" i="37"/>
  <c r="H51" i="40"/>
  <c r="H51" i="44"/>
  <c r="W12" i="33"/>
  <c r="I51" i="36"/>
  <c r="I51" i="38"/>
  <c r="I51" i="41"/>
  <c r="I51" i="37"/>
  <c r="I51" i="40"/>
  <c r="I51" i="44"/>
  <c r="AB98" i="76"/>
  <c r="E10" i="77"/>
  <c r="E19" i="24"/>
  <c r="V19" i="24"/>
  <c r="C11" i="46"/>
  <c r="H11" i="46"/>
  <c r="M11" i="46"/>
  <c r="R10" i="14"/>
  <c r="W11" i="46"/>
  <c r="W10" i="14"/>
  <c r="AG11" i="46"/>
  <c r="AB10" i="14"/>
  <c r="AQ11" i="46"/>
  <c r="AG10" i="14"/>
  <c r="BA11" i="46"/>
  <c r="AL10" i="14"/>
  <c r="BK11" i="46"/>
  <c r="AQ10" i="14"/>
  <c r="C12" i="64"/>
  <c r="F12" i="64"/>
  <c r="AV10" i="14"/>
  <c r="C12" i="65"/>
  <c r="F12" i="65"/>
  <c r="BF10" i="14"/>
  <c r="M11" i="29"/>
  <c r="AM19" i="24"/>
  <c r="Q12" i="25"/>
  <c r="AB88" i="76"/>
  <c r="AB89" i="76"/>
  <c r="AB126" i="76"/>
  <c r="AA10" i="77"/>
  <c r="E26" i="23"/>
  <c r="V26" i="23"/>
  <c r="AM26" i="23"/>
  <c r="K12" i="25"/>
  <c r="AB127" i="76"/>
  <c r="AB10" i="77"/>
  <c r="F26" i="23"/>
  <c r="W26" i="23"/>
  <c r="AN26" i="23"/>
  <c r="L12" i="25"/>
  <c r="G26" i="23"/>
  <c r="X26" i="23"/>
  <c r="AO26" i="23"/>
  <c r="M12" i="25"/>
  <c r="E26" i="22"/>
  <c r="V26" i="22"/>
  <c r="AM26" i="22"/>
  <c r="N12" i="25"/>
  <c r="AB82" i="76"/>
  <c r="AB81" i="76"/>
  <c r="AB119" i="76"/>
  <c r="V10" i="77"/>
  <c r="F26" i="22"/>
  <c r="W26" i="22"/>
  <c r="AN26" i="22"/>
  <c r="O12" i="25"/>
  <c r="AB118" i="76"/>
  <c r="U10" i="77"/>
  <c r="G26" i="22"/>
  <c r="X26" i="22"/>
  <c r="AO26" i="22"/>
  <c r="P12" i="25"/>
  <c r="AB104" i="76"/>
  <c r="K10" i="77"/>
  <c r="F19" i="24"/>
  <c r="W19" i="24"/>
  <c r="AN19" i="24"/>
  <c r="R12" i="25"/>
  <c r="S12" i="25"/>
  <c r="BL12" i="25"/>
  <c r="P51" i="36"/>
  <c r="BK10" i="14"/>
  <c r="P51" i="38"/>
  <c r="P51" i="41"/>
  <c r="P51" i="37"/>
  <c r="P51" i="40"/>
  <c r="P51" i="44"/>
  <c r="BM12" i="25"/>
  <c r="Q51" i="36"/>
  <c r="Q51" i="38"/>
  <c r="Q51" i="41"/>
  <c r="Q51" i="37"/>
  <c r="Q51" i="40"/>
  <c r="Q51" i="44"/>
  <c r="R51" i="37"/>
  <c r="R51" i="44"/>
  <c r="AB51" i="44"/>
  <c r="J19" i="26"/>
  <c r="I12" i="21"/>
  <c r="D12" i="21"/>
  <c r="K19" i="26"/>
  <c r="D11" i="29"/>
  <c r="J20" i="30"/>
  <c r="AF20" i="30"/>
  <c r="K20" i="30"/>
  <c r="AG20" i="30"/>
  <c r="L20" i="30"/>
  <c r="AH20" i="30"/>
  <c r="M20" i="30"/>
  <c r="AI20" i="30"/>
  <c r="D11" i="45"/>
  <c r="I11" i="45"/>
  <c r="N11" i="45"/>
  <c r="I10" i="14"/>
  <c r="X11" i="45"/>
  <c r="N10" i="14"/>
  <c r="I11" i="29"/>
  <c r="L19" i="26"/>
  <c r="M19" i="26"/>
  <c r="F66" i="26"/>
  <c r="AB66" i="26"/>
  <c r="P12" i="31"/>
  <c r="AD19" i="26"/>
  <c r="AE19" i="26"/>
  <c r="AF19" i="26"/>
  <c r="G66" i="26"/>
  <c r="AC66" i="26"/>
  <c r="Q12" i="31"/>
  <c r="BB20" i="30"/>
  <c r="R12" i="31"/>
  <c r="BC20" i="30"/>
  <c r="S12" i="31"/>
  <c r="BD20" i="30"/>
  <c r="T12" i="31"/>
  <c r="BE20" i="30"/>
  <c r="U12" i="31"/>
  <c r="V12" i="31"/>
  <c r="BA12" i="31"/>
  <c r="B89" i="36"/>
  <c r="B89" i="38"/>
  <c r="B89" i="41"/>
  <c r="B89" i="37"/>
  <c r="B89" i="40"/>
  <c r="B89" i="44"/>
  <c r="BB12" i="31"/>
  <c r="C89" i="36"/>
  <c r="C89" i="38"/>
  <c r="C89" i="41"/>
  <c r="C89" i="37"/>
  <c r="C89" i="40"/>
  <c r="C89" i="44"/>
  <c r="H19" i="32"/>
  <c r="I19" i="32"/>
  <c r="J19" i="32"/>
  <c r="F66" i="32"/>
  <c r="W66" i="32"/>
  <c r="H12" i="33"/>
  <c r="Y19" i="32"/>
  <c r="Z19" i="32"/>
  <c r="AA19" i="32"/>
  <c r="G66" i="32"/>
  <c r="X66" i="32"/>
  <c r="I12" i="33"/>
  <c r="J12" i="33"/>
  <c r="Y12" i="33"/>
  <c r="H89" i="36"/>
  <c r="H89" i="38"/>
  <c r="H89" i="41"/>
  <c r="H89" i="37"/>
  <c r="H89" i="40"/>
  <c r="H89" i="44"/>
  <c r="Z12" i="33"/>
  <c r="I89" i="36"/>
  <c r="I89" i="38"/>
  <c r="I89" i="41"/>
  <c r="I89" i="37"/>
  <c r="I89" i="40"/>
  <c r="I89" i="44"/>
  <c r="H19" i="24"/>
  <c r="Y19" i="24"/>
  <c r="D11" i="46"/>
  <c r="I11" i="46"/>
  <c r="N11" i="46"/>
  <c r="S10" i="14"/>
  <c r="X11" i="46"/>
  <c r="X10" i="14"/>
  <c r="AH11" i="46"/>
  <c r="AC10" i="14"/>
  <c r="AR11" i="46"/>
  <c r="AH10" i="14"/>
  <c r="BB11" i="46"/>
  <c r="AM10" i="14"/>
  <c r="BL11" i="46"/>
  <c r="AR10" i="14"/>
  <c r="G12" i="64"/>
  <c r="AW10" i="14"/>
  <c r="G12" i="65"/>
  <c r="BG10" i="14"/>
  <c r="N11" i="29"/>
  <c r="AP19" i="24"/>
  <c r="Z12" i="25"/>
  <c r="H26" i="23"/>
  <c r="Y26" i="23"/>
  <c r="AP26" i="23"/>
  <c r="T12" i="25"/>
  <c r="I26" i="23"/>
  <c r="Z26" i="23"/>
  <c r="AQ26" i="23"/>
  <c r="U12" i="25"/>
  <c r="J26" i="23"/>
  <c r="AA26" i="23"/>
  <c r="AR26" i="23"/>
  <c r="V12" i="25"/>
  <c r="H26" i="22"/>
  <c r="Y26" i="22"/>
  <c r="AP26" i="22"/>
  <c r="W12" i="25"/>
  <c r="I26" i="22"/>
  <c r="Z26" i="22"/>
  <c r="AQ26" i="22"/>
  <c r="X12" i="25"/>
  <c r="J26" i="22"/>
  <c r="AA26" i="22"/>
  <c r="AR26" i="22"/>
  <c r="Y12" i="25"/>
  <c r="I19" i="24"/>
  <c r="Z19" i="24"/>
  <c r="AQ19" i="24"/>
  <c r="AA12" i="25"/>
  <c r="AB12" i="25"/>
  <c r="BU12" i="25"/>
  <c r="P89" i="36"/>
  <c r="BL10" i="14"/>
  <c r="P89" i="38"/>
  <c r="P89" i="41"/>
  <c r="P89" i="37"/>
  <c r="P89" i="40"/>
  <c r="P89" i="44"/>
  <c r="BV12" i="25"/>
  <c r="Q89" i="36"/>
  <c r="Q89" i="38"/>
  <c r="Q89" i="41"/>
  <c r="Q89" i="37"/>
  <c r="Q89" i="40"/>
  <c r="Q89" i="44"/>
  <c r="R89" i="37"/>
  <c r="R89" i="44"/>
  <c r="AB89" i="44"/>
  <c r="N19" i="26"/>
  <c r="F12" i="21"/>
  <c r="E12" i="21"/>
  <c r="O19" i="26"/>
  <c r="E11" i="29"/>
  <c r="N20" i="30"/>
  <c r="AJ20" i="30"/>
  <c r="O20" i="30"/>
  <c r="AK20" i="30"/>
  <c r="P20" i="30"/>
  <c r="AL20" i="30"/>
  <c r="Q20" i="30"/>
  <c r="AM20" i="30"/>
  <c r="E11" i="45"/>
  <c r="J11" i="45"/>
  <c r="O11" i="45"/>
  <c r="J10" i="14"/>
  <c r="Y11" i="45"/>
  <c r="O10" i="14"/>
  <c r="J11" i="29"/>
  <c r="P19" i="26"/>
  <c r="Q19" i="26"/>
  <c r="B16" i="76"/>
  <c r="B42" i="76"/>
  <c r="B67" i="76"/>
  <c r="B41" i="76"/>
  <c r="B68" i="76"/>
  <c r="B60" i="76"/>
  <c r="B47" i="76"/>
  <c r="B14" i="76"/>
  <c r="B61" i="76"/>
  <c r="B48" i="76"/>
  <c r="B13" i="76"/>
  <c r="B62" i="76"/>
  <c r="B49" i="76"/>
  <c r="B15" i="76"/>
  <c r="B43" i="76"/>
  <c r="B77" i="76"/>
  <c r="B40" i="76"/>
  <c r="B79" i="76"/>
  <c r="B36" i="76"/>
  <c r="B37" i="76"/>
  <c r="B86" i="76"/>
  <c r="B63" i="76"/>
  <c r="B50" i="76"/>
  <c r="B95" i="76"/>
  <c r="B4" i="77"/>
  <c r="F13" i="26"/>
  <c r="G13" i="26"/>
  <c r="B96" i="76"/>
  <c r="C4" i="77"/>
  <c r="C5" i="13"/>
  <c r="C5" i="29"/>
  <c r="F14" i="30"/>
  <c r="AB14" i="30"/>
  <c r="B71" i="76"/>
  <c r="B72" i="76"/>
  <c r="B73" i="76"/>
  <c r="B111" i="76"/>
  <c r="P4" i="77"/>
  <c r="G14" i="30"/>
  <c r="AC14" i="30"/>
  <c r="B112" i="76"/>
  <c r="Q4" i="77"/>
  <c r="H14" i="30"/>
  <c r="AD14" i="30"/>
  <c r="B113" i="76"/>
  <c r="R4" i="77"/>
  <c r="I14" i="30"/>
  <c r="AE14" i="30"/>
  <c r="C5" i="45"/>
  <c r="H5" i="45"/>
  <c r="M5" i="45"/>
  <c r="H4" i="14"/>
  <c r="W5" i="45"/>
  <c r="M4" i="14"/>
  <c r="H5" i="29"/>
  <c r="H13" i="26"/>
  <c r="I13" i="26"/>
  <c r="D60" i="26"/>
  <c r="Z60" i="26"/>
  <c r="I6" i="31"/>
  <c r="B52" i="76"/>
  <c r="B53" i="76"/>
  <c r="B54" i="76"/>
  <c r="B55" i="76"/>
  <c r="B101" i="76"/>
  <c r="H4" i="77"/>
  <c r="AA13" i="26"/>
  <c r="B102" i="76"/>
  <c r="I4" i="77"/>
  <c r="AB13" i="26"/>
  <c r="AC13" i="26"/>
  <c r="E60" i="26"/>
  <c r="AA60" i="26"/>
  <c r="J6" i="31"/>
  <c r="AX14" i="30"/>
  <c r="K6" i="31"/>
  <c r="AY14" i="30"/>
  <c r="L6" i="31"/>
  <c r="AZ14" i="30"/>
  <c r="M6" i="31"/>
  <c r="BA14" i="30"/>
  <c r="N6" i="31"/>
  <c r="O6" i="31"/>
  <c r="AT6" i="31"/>
  <c r="B45" i="36"/>
  <c r="B45" i="38"/>
  <c r="B45" i="41"/>
  <c r="B45" i="37"/>
  <c r="B45" i="40"/>
  <c r="B45" i="44"/>
  <c r="AU6" i="31"/>
  <c r="C45" i="36"/>
  <c r="C45" i="38"/>
  <c r="C45" i="41"/>
  <c r="C45" i="37"/>
  <c r="C45" i="40"/>
  <c r="C45" i="44"/>
  <c r="B97" i="76"/>
  <c r="D4" i="77"/>
  <c r="E13" i="32"/>
  <c r="F13" i="32"/>
  <c r="G13" i="32"/>
  <c r="D60" i="32"/>
  <c r="U60" i="32"/>
  <c r="E6" i="33"/>
  <c r="B103" i="76"/>
  <c r="J4" i="77"/>
  <c r="V13" i="32"/>
  <c r="W13" i="32"/>
  <c r="X13" i="32"/>
  <c r="E60" i="32"/>
  <c r="V60" i="32"/>
  <c r="F6" i="33"/>
  <c r="G6" i="33"/>
  <c r="V6" i="33"/>
  <c r="H45" i="36"/>
  <c r="H45" i="38"/>
  <c r="H45" i="41"/>
  <c r="H45" i="37"/>
  <c r="H45" i="40"/>
  <c r="H45" i="44"/>
  <c r="W6" i="33"/>
  <c r="I45" i="36"/>
  <c r="I45" i="38"/>
  <c r="I45" i="41"/>
  <c r="I45" i="37"/>
  <c r="I45" i="40"/>
  <c r="I45" i="44"/>
  <c r="B98" i="76"/>
  <c r="E4" i="77"/>
  <c r="E13" i="24"/>
  <c r="V13" i="24"/>
  <c r="C5" i="46"/>
  <c r="H5" i="46"/>
  <c r="M5" i="46"/>
  <c r="R4" i="14"/>
  <c r="W5" i="46"/>
  <c r="W4" i="14"/>
  <c r="AG5" i="46"/>
  <c r="AB4" i="14"/>
  <c r="AQ5" i="46"/>
  <c r="AG4" i="14"/>
  <c r="BA5" i="46"/>
  <c r="AL4" i="14"/>
  <c r="BK5" i="46"/>
  <c r="AQ4" i="14"/>
  <c r="C6" i="64"/>
  <c r="F6" i="64"/>
  <c r="AV4" i="14"/>
  <c r="C6" i="65"/>
  <c r="F6" i="65"/>
  <c r="BF4" i="14"/>
  <c r="M5" i="29"/>
  <c r="AM13" i="24"/>
  <c r="Q6" i="25"/>
  <c r="B88" i="76"/>
  <c r="B89" i="76"/>
  <c r="B126" i="76"/>
  <c r="AA4" i="77"/>
  <c r="E20" i="23"/>
  <c r="V20" i="23"/>
  <c r="AM20" i="23"/>
  <c r="K6" i="25"/>
  <c r="B127" i="76"/>
  <c r="AB4" i="77"/>
  <c r="F20" i="23"/>
  <c r="W20" i="23"/>
  <c r="AN20" i="23"/>
  <c r="L6" i="25"/>
  <c r="G20" i="23"/>
  <c r="X20" i="23"/>
  <c r="AO20" i="23"/>
  <c r="M6" i="25"/>
  <c r="E20" i="22"/>
  <c r="V20" i="22"/>
  <c r="AM20" i="22"/>
  <c r="N6" i="25"/>
  <c r="B82" i="76"/>
  <c r="B81" i="76"/>
  <c r="B119" i="76"/>
  <c r="V4" i="77"/>
  <c r="F20" i="22"/>
  <c r="W20" i="22"/>
  <c r="AN20" i="22"/>
  <c r="O6" i="25"/>
  <c r="B118" i="76"/>
  <c r="U4" i="77"/>
  <c r="G20" i="22"/>
  <c r="X20" i="22"/>
  <c r="AO20" i="22"/>
  <c r="P6" i="25"/>
  <c r="B104" i="76"/>
  <c r="K4" i="77"/>
  <c r="F13" i="24"/>
  <c r="W13" i="24"/>
  <c r="AN13" i="24"/>
  <c r="R6" i="25"/>
  <c r="S6" i="25"/>
  <c r="BL6" i="25"/>
  <c r="P45" i="36"/>
  <c r="BK4" i="14"/>
  <c r="P45" i="38"/>
  <c r="P45" i="41"/>
  <c r="P45" i="37"/>
  <c r="P45" i="40"/>
  <c r="P45" i="44"/>
  <c r="BM6" i="25"/>
  <c r="Q45" i="36"/>
  <c r="Q45" i="38"/>
  <c r="Q45" i="41"/>
  <c r="Q45" i="37"/>
  <c r="Q45" i="40"/>
  <c r="Q45" i="44"/>
  <c r="R45" i="37"/>
  <c r="R45" i="44"/>
  <c r="AB45" i="44"/>
  <c r="J13" i="26"/>
  <c r="I6" i="21"/>
  <c r="D6" i="21"/>
  <c r="K13" i="26"/>
  <c r="D5" i="29"/>
  <c r="J14" i="30"/>
  <c r="AF14" i="30"/>
  <c r="K14" i="30"/>
  <c r="AG14" i="30"/>
  <c r="L14" i="30"/>
  <c r="AH14" i="30"/>
  <c r="M14" i="30"/>
  <c r="AI14" i="30"/>
  <c r="D5" i="45"/>
  <c r="I5" i="45"/>
  <c r="N5" i="45"/>
  <c r="I4" i="14"/>
  <c r="X5" i="45"/>
  <c r="N4" i="14"/>
  <c r="I5" i="29"/>
  <c r="L13" i="26"/>
  <c r="M13" i="26"/>
  <c r="F60" i="26"/>
  <c r="AB60" i="26"/>
  <c r="P6" i="31"/>
  <c r="AD13" i="26"/>
  <c r="AE13" i="26"/>
  <c r="AF13" i="26"/>
  <c r="G60" i="26"/>
  <c r="AC60" i="26"/>
  <c r="Q6" i="31"/>
  <c r="BB14" i="30"/>
  <c r="R6" i="31"/>
  <c r="BC14" i="30"/>
  <c r="S6" i="31"/>
  <c r="BD14" i="30"/>
  <c r="T6" i="31"/>
  <c r="BE14" i="30"/>
  <c r="U6" i="31"/>
  <c r="V6" i="31"/>
  <c r="BA6" i="31"/>
  <c r="B83" i="36"/>
  <c r="B83" i="38"/>
  <c r="B83" i="41"/>
  <c r="B83" i="37"/>
  <c r="B83" i="40"/>
  <c r="B83" i="44"/>
  <c r="BB6" i="31"/>
  <c r="C83" i="36"/>
  <c r="C83" i="38"/>
  <c r="C83" i="41"/>
  <c r="C83" i="37"/>
  <c r="C83" i="40"/>
  <c r="C83" i="44"/>
  <c r="H13" i="32"/>
  <c r="I13" i="32"/>
  <c r="J13" i="32"/>
  <c r="F60" i="32"/>
  <c r="W60" i="32"/>
  <c r="H6" i="33"/>
  <c r="Y13" i="32"/>
  <c r="Z13" i="32"/>
  <c r="AA13" i="32"/>
  <c r="G60" i="32"/>
  <c r="X60" i="32"/>
  <c r="I6" i="33"/>
  <c r="J6" i="33"/>
  <c r="Y6" i="33"/>
  <c r="H83" i="36"/>
  <c r="H83" i="38"/>
  <c r="H83" i="41"/>
  <c r="H83" i="37"/>
  <c r="H83" i="40"/>
  <c r="H83" i="44"/>
  <c r="Z6" i="33"/>
  <c r="I83" i="36"/>
  <c r="I83" i="38"/>
  <c r="I83" i="41"/>
  <c r="I83" i="37"/>
  <c r="I83" i="40"/>
  <c r="I83" i="44"/>
  <c r="H13" i="24"/>
  <c r="Y13" i="24"/>
  <c r="D5" i="46"/>
  <c r="I5" i="46"/>
  <c r="N5" i="46"/>
  <c r="S4" i="14"/>
  <c r="X5" i="46"/>
  <c r="X4" i="14"/>
  <c r="AH5" i="46"/>
  <c r="AC4" i="14"/>
  <c r="AR5" i="46"/>
  <c r="AH4" i="14"/>
  <c r="BB5" i="46"/>
  <c r="AM4" i="14"/>
  <c r="BL5" i="46"/>
  <c r="AR4" i="14"/>
  <c r="G6" i="64"/>
  <c r="AW4" i="14"/>
  <c r="G6" i="65"/>
  <c r="BG4" i="14"/>
  <c r="N5" i="29"/>
  <c r="AP13" i="24"/>
  <c r="Z6" i="25"/>
  <c r="H20" i="23"/>
  <c r="Y20" i="23"/>
  <c r="AP20" i="23"/>
  <c r="T6" i="25"/>
  <c r="I20" i="23"/>
  <c r="Z20" i="23"/>
  <c r="AQ20" i="23"/>
  <c r="U6" i="25"/>
  <c r="J20" i="23"/>
  <c r="AA20" i="23"/>
  <c r="AR20" i="23"/>
  <c r="V6" i="25"/>
  <c r="H20" i="22"/>
  <c r="Y20" i="22"/>
  <c r="AP20" i="22"/>
  <c r="W6" i="25"/>
  <c r="I20" i="22"/>
  <c r="Z20" i="22"/>
  <c r="AQ20" i="22"/>
  <c r="X6" i="25"/>
  <c r="J20" i="22"/>
  <c r="AA20" i="22"/>
  <c r="AR20" i="22"/>
  <c r="Y6" i="25"/>
  <c r="I13" i="24"/>
  <c r="Z13" i="24"/>
  <c r="AQ13" i="24"/>
  <c r="AA6" i="25"/>
  <c r="AB6" i="25"/>
  <c r="BU6" i="25"/>
  <c r="P83" i="36"/>
  <c r="BL4" i="14"/>
  <c r="P83" i="38"/>
  <c r="P83" i="41"/>
  <c r="P83" i="37"/>
  <c r="P83" i="40"/>
  <c r="P83" i="44"/>
  <c r="BV6" i="25"/>
  <c r="Q83" i="36"/>
  <c r="Q83" i="38"/>
  <c r="Q83" i="41"/>
  <c r="Q83" i="37"/>
  <c r="Q83" i="40"/>
  <c r="Q83" i="44"/>
  <c r="R83" i="37"/>
  <c r="R83" i="44"/>
  <c r="AB83" i="44"/>
  <c r="N13" i="26"/>
  <c r="F6" i="21"/>
  <c r="E6" i="21"/>
  <c r="O13" i="26"/>
  <c r="N14" i="30"/>
  <c r="AJ14" i="30"/>
  <c r="O14" i="30"/>
  <c r="AK14" i="30"/>
  <c r="P14" i="30"/>
  <c r="AL14" i="30"/>
  <c r="Q14" i="30"/>
  <c r="AM14" i="30"/>
  <c r="E5" i="45"/>
  <c r="J5" i="45"/>
  <c r="O5" i="45"/>
  <c r="J4" i="14"/>
  <c r="Y5" i="45"/>
  <c r="O4" i="14"/>
  <c r="P13" i="26"/>
  <c r="Q13" i="26"/>
  <c r="AB13" i="30"/>
  <c r="AB12" i="30"/>
  <c r="C4" i="29"/>
  <c r="C3" i="29"/>
  <c r="AX12" i="30"/>
  <c r="K4" i="31"/>
  <c r="D59" i="26"/>
  <c r="D58" i="26"/>
  <c r="Z58" i="26"/>
  <c r="I4" i="31"/>
  <c r="E59" i="26"/>
  <c r="E58" i="26"/>
  <c r="AA58" i="26"/>
  <c r="J4" i="31"/>
  <c r="AC13" i="30"/>
  <c r="AC12" i="30"/>
  <c r="AY12" i="30"/>
  <c r="L4" i="31"/>
  <c r="AD13" i="30"/>
  <c r="AD12" i="30"/>
  <c r="AZ12" i="30"/>
  <c r="M4" i="31"/>
  <c r="AE13" i="30"/>
  <c r="AE12" i="30"/>
  <c r="BA12" i="30"/>
  <c r="N4" i="31"/>
  <c r="O4" i="31"/>
  <c r="AV4" i="31"/>
  <c r="D43" i="36"/>
  <c r="D45" i="38"/>
  <c r="D46" i="38"/>
  <c r="D47" i="38"/>
  <c r="D48" i="38"/>
  <c r="D49" i="38"/>
  <c r="D50" i="38"/>
  <c r="D51" i="38"/>
  <c r="D44" i="38"/>
  <c r="D53" i="38"/>
  <c r="D54" i="38"/>
  <c r="D55" i="38"/>
  <c r="D56" i="38"/>
  <c r="D57" i="38"/>
  <c r="D58" i="38"/>
  <c r="D59" i="38"/>
  <c r="D60" i="38"/>
  <c r="D61" i="38"/>
  <c r="D52" i="38"/>
  <c r="D63" i="38"/>
  <c r="D64" i="38"/>
  <c r="D65" i="38"/>
  <c r="D66" i="38"/>
  <c r="D62" i="38"/>
  <c r="D68" i="38"/>
  <c r="D69" i="38"/>
  <c r="D70" i="38"/>
  <c r="D67" i="38"/>
  <c r="D72" i="38"/>
  <c r="D73" i="38"/>
  <c r="D74" i="38"/>
  <c r="D75" i="38"/>
  <c r="D71" i="38"/>
  <c r="D43" i="38"/>
  <c r="D43" i="41"/>
  <c r="D45" i="37"/>
  <c r="D46" i="37"/>
  <c r="D47" i="37"/>
  <c r="D48" i="37"/>
  <c r="D49" i="37"/>
  <c r="D50" i="37"/>
  <c r="D51" i="37"/>
  <c r="D44" i="37"/>
  <c r="D53" i="37"/>
  <c r="D54" i="37"/>
  <c r="D55" i="37"/>
  <c r="D56" i="37"/>
  <c r="D57" i="37"/>
  <c r="D58" i="37"/>
  <c r="D59" i="37"/>
  <c r="D60" i="37"/>
  <c r="D61" i="37"/>
  <c r="D52" i="37"/>
  <c r="D63" i="37"/>
  <c r="D64" i="37"/>
  <c r="D65" i="37"/>
  <c r="D66" i="37"/>
  <c r="D62" i="37"/>
  <c r="D68" i="37"/>
  <c r="D69" i="37"/>
  <c r="D70" i="37"/>
  <c r="D67" i="37"/>
  <c r="D72" i="37"/>
  <c r="D73" i="37"/>
  <c r="D74" i="37"/>
  <c r="D75" i="37"/>
  <c r="D71" i="37"/>
  <c r="D43" i="37"/>
  <c r="D43" i="40"/>
  <c r="D43" i="44"/>
  <c r="AW4" i="31"/>
  <c r="E43" i="36"/>
  <c r="E45" i="38"/>
  <c r="E46" i="38"/>
  <c r="E47" i="38"/>
  <c r="E48" i="38"/>
  <c r="E49" i="38"/>
  <c r="E50" i="38"/>
  <c r="E51" i="38"/>
  <c r="E44" i="38"/>
  <c r="E53" i="38"/>
  <c r="E54" i="38"/>
  <c r="E55" i="38"/>
  <c r="E56" i="38"/>
  <c r="E57" i="38"/>
  <c r="E58" i="38"/>
  <c r="E59" i="38"/>
  <c r="E60" i="38"/>
  <c r="E61" i="38"/>
  <c r="E52" i="38"/>
  <c r="E63" i="38"/>
  <c r="E64" i="38"/>
  <c r="E65" i="38"/>
  <c r="E66" i="38"/>
  <c r="E62" i="38"/>
  <c r="E68" i="38"/>
  <c r="E69" i="38"/>
  <c r="E70" i="38"/>
  <c r="E67" i="38"/>
  <c r="E72" i="38"/>
  <c r="E73" i="38"/>
  <c r="E74" i="38"/>
  <c r="E75" i="38"/>
  <c r="E71" i="38"/>
  <c r="E43" i="38"/>
  <c r="E43" i="41"/>
  <c r="E45" i="37"/>
  <c r="E46" i="37"/>
  <c r="E47" i="37"/>
  <c r="E48" i="37"/>
  <c r="E49" i="37"/>
  <c r="E50" i="37"/>
  <c r="E51" i="37"/>
  <c r="E44" i="37"/>
  <c r="E53" i="37"/>
  <c r="E54" i="37"/>
  <c r="E55" i="37"/>
  <c r="E56" i="37"/>
  <c r="E57" i="37"/>
  <c r="E58" i="37"/>
  <c r="E59" i="37"/>
  <c r="E60" i="37"/>
  <c r="E61" i="37"/>
  <c r="E52" i="37"/>
  <c r="E63" i="37"/>
  <c r="E64" i="37"/>
  <c r="E65" i="37"/>
  <c r="E66" i="37"/>
  <c r="E62" i="37"/>
  <c r="E68" i="37"/>
  <c r="E69" i="37"/>
  <c r="E70" i="37"/>
  <c r="E67" i="37"/>
  <c r="E72" i="37"/>
  <c r="E73" i="37"/>
  <c r="E74" i="37"/>
  <c r="E75" i="37"/>
  <c r="E71" i="37"/>
  <c r="E43" i="37"/>
  <c r="E43" i="40"/>
  <c r="E43" i="44"/>
  <c r="AX4" i="31"/>
  <c r="F43" i="36"/>
  <c r="F45" i="38"/>
  <c r="F46" i="38"/>
  <c r="F47" i="38"/>
  <c r="F48" i="38"/>
  <c r="F49" i="38"/>
  <c r="F50" i="38"/>
  <c r="F51" i="38"/>
  <c r="F44" i="38"/>
  <c r="F53" i="38"/>
  <c r="F54" i="38"/>
  <c r="F55" i="38"/>
  <c r="F56" i="38"/>
  <c r="F57" i="38"/>
  <c r="F58" i="38"/>
  <c r="F59" i="38"/>
  <c r="F60" i="38"/>
  <c r="F61" i="38"/>
  <c r="F52" i="38"/>
  <c r="F63" i="38"/>
  <c r="F64" i="38"/>
  <c r="F65" i="38"/>
  <c r="F66" i="38"/>
  <c r="F62" i="38"/>
  <c r="F68" i="38"/>
  <c r="F69" i="38"/>
  <c r="F70" i="38"/>
  <c r="F67" i="38"/>
  <c r="F72" i="38"/>
  <c r="F73" i="38"/>
  <c r="F74" i="38"/>
  <c r="F75" i="38"/>
  <c r="F71" i="38"/>
  <c r="F43" i="38"/>
  <c r="F43" i="41"/>
  <c r="F45" i="37"/>
  <c r="F46" i="37"/>
  <c r="F47" i="37"/>
  <c r="F48" i="37"/>
  <c r="F49" i="37"/>
  <c r="F50" i="37"/>
  <c r="F51" i="37"/>
  <c r="F44" i="37"/>
  <c r="F53" i="37"/>
  <c r="F54" i="37"/>
  <c r="F55" i="37"/>
  <c r="F56" i="37"/>
  <c r="F57" i="37"/>
  <c r="F58" i="37"/>
  <c r="F59" i="37"/>
  <c r="F60" i="37"/>
  <c r="F61" i="37"/>
  <c r="F52" i="37"/>
  <c r="F63" i="37"/>
  <c r="F64" i="37"/>
  <c r="F65" i="37"/>
  <c r="F66" i="37"/>
  <c r="F62" i="37"/>
  <c r="F68" i="37"/>
  <c r="F69" i="37"/>
  <c r="F70" i="37"/>
  <c r="F67" i="37"/>
  <c r="F72" i="37"/>
  <c r="F73" i="37"/>
  <c r="F74" i="37"/>
  <c r="F75" i="37"/>
  <c r="F71" i="37"/>
  <c r="F43" i="37"/>
  <c r="F43" i="40"/>
  <c r="F43" i="44"/>
  <c r="AY4" i="31"/>
  <c r="G43" i="36"/>
  <c r="G45" i="38"/>
  <c r="G46" i="38"/>
  <c r="G47" i="38"/>
  <c r="G48" i="38"/>
  <c r="G49" i="38"/>
  <c r="G50" i="38"/>
  <c r="G51" i="38"/>
  <c r="G44" i="38"/>
  <c r="G53" i="38"/>
  <c r="G54" i="38"/>
  <c r="G55" i="38"/>
  <c r="G56" i="38"/>
  <c r="G57" i="38"/>
  <c r="G58" i="38"/>
  <c r="G59" i="38"/>
  <c r="G60" i="38"/>
  <c r="G61" i="38"/>
  <c r="G52" i="38"/>
  <c r="G63" i="38"/>
  <c r="G64" i="38"/>
  <c r="G65" i="38"/>
  <c r="G66" i="38"/>
  <c r="G62" i="38"/>
  <c r="G68" i="38"/>
  <c r="G69" i="38"/>
  <c r="G70" i="38"/>
  <c r="G67" i="38"/>
  <c r="G72" i="38"/>
  <c r="G73" i="38"/>
  <c r="G74" i="38"/>
  <c r="G75" i="38"/>
  <c r="G71" i="38"/>
  <c r="G43" i="38"/>
  <c r="G43" i="41"/>
  <c r="G45" i="37"/>
  <c r="G46" i="37"/>
  <c r="G47" i="37"/>
  <c r="G48" i="37"/>
  <c r="G49" i="37"/>
  <c r="G50" i="37"/>
  <c r="G51" i="37"/>
  <c r="G44" i="37"/>
  <c r="G53" i="37"/>
  <c r="G54" i="37"/>
  <c r="G55" i="37"/>
  <c r="G56" i="37"/>
  <c r="G57" i="37"/>
  <c r="G58" i="37"/>
  <c r="G59" i="37"/>
  <c r="G60" i="37"/>
  <c r="G61" i="37"/>
  <c r="G52" i="37"/>
  <c r="G63" i="37"/>
  <c r="G64" i="37"/>
  <c r="G65" i="37"/>
  <c r="G66" i="37"/>
  <c r="G62" i="37"/>
  <c r="G68" i="37"/>
  <c r="G69" i="37"/>
  <c r="G70" i="37"/>
  <c r="G67" i="37"/>
  <c r="G72" i="37"/>
  <c r="G73" i="37"/>
  <c r="G74" i="37"/>
  <c r="G75" i="37"/>
  <c r="G71" i="37"/>
  <c r="G43" i="37"/>
  <c r="G43" i="40"/>
  <c r="G43" i="44"/>
  <c r="AC43" i="44"/>
  <c r="AF13" i="30"/>
  <c r="AF12" i="30"/>
  <c r="D4" i="29"/>
  <c r="D3" i="29"/>
  <c r="BB12" i="30"/>
  <c r="R4" i="31"/>
  <c r="F59" i="26"/>
  <c r="F58" i="26"/>
  <c r="AB58" i="26"/>
  <c r="P4" i="31"/>
  <c r="G59" i="26"/>
  <c r="G58" i="26"/>
  <c r="AC58" i="26"/>
  <c r="Q4" i="31"/>
  <c r="AG13" i="30"/>
  <c r="AG12" i="30"/>
  <c r="BC12" i="30"/>
  <c r="S4" i="31"/>
  <c r="AH13" i="30"/>
  <c r="AH12" i="30"/>
  <c r="BD12" i="30"/>
  <c r="T4" i="31"/>
  <c r="AI13" i="30"/>
  <c r="AI12" i="30"/>
  <c r="BE12" i="30"/>
  <c r="U4" i="31"/>
  <c r="V4" i="31"/>
  <c r="BC4" i="31"/>
  <c r="D81" i="36"/>
  <c r="D83" i="38"/>
  <c r="D84" i="38"/>
  <c r="D85" i="38"/>
  <c r="D86" i="38"/>
  <c r="D87" i="38"/>
  <c r="D88" i="38"/>
  <c r="D89" i="38"/>
  <c r="D82" i="38"/>
  <c r="D91" i="38"/>
  <c r="D92" i="38"/>
  <c r="D93" i="38"/>
  <c r="D94" i="38"/>
  <c r="D95" i="38"/>
  <c r="D96" i="38"/>
  <c r="D97" i="38"/>
  <c r="D98" i="38"/>
  <c r="D99" i="38"/>
  <c r="D90" i="38"/>
  <c r="D101" i="38"/>
  <c r="D102" i="38"/>
  <c r="D103" i="38"/>
  <c r="D104" i="38"/>
  <c r="D100" i="38"/>
  <c r="D106" i="38"/>
  <c r="D107" i="38"/>
  <c r="D108" i="38"/>
  <c r="D105" i="38"/>
  <c r="D110" i="38"/>
  <c r="D111" i="38"/>
  <c r="D112" i="38"/>
  <c r="D113" i="38"/>
  <c r="D109" i="38"/>
  <c r="D81" i="38"/>
  <c r="D81" i="41"/>
  <c r="D83" i="37"/>
  <c r="D84" i="37"/>
  <c r="D85" i="37"/>
  <c r="D86" i="37"/>
  <c r="D87" i="37"/>
  <c r="D88" i="37"/>
  <c r="D89" i="37"/>
  <c r="D82" i="37"/>
  <c r="D91" i="37"/>
  <c r="D92" i="37"/>
  <c r="D93" i="37"/>
  <c r="D94" i="37"/>
  <c r="D95" i="37"/>
  <c r="D96" i="37"/>
  <c r="D97" i="37"/>
  <c r="D98" i="37"/>
  <c r="D99" i="37"/>
  <c r="D90" i="37"/>
  <c r="D101" i="37"/>
  <c r="D102" i="37"/>
  <c r="D103" i="37"/>
  <c r="D104" i="37"/>
  <c r="D100" i="37"/>
  <c r="D106" i="37"/>
  <c r="D107" i="37"/>
  <c r="D108" i="37"/>
  <c r="D105" i="37"/>
  <c r="D110" i="37"/>
  <c r="D111" i="37"/>
  <c r="D112" i="37"/>
  <c r="D113" i="37"/>
  <c r="D109" i="37"/>
  <c r="D81" i="37"/>
  <c r="D81" i="40"/>
  <c r="D81" i="44"/>
  <c r="BD4" i="31"/>
  <c r="E81" i="36"/>
  <c r="E83" i="38"/>
  <c r="E84" i="38"/>
  <c r="E85" i="38"/>
  <c r="E86" i="38"/>
  <c r="E87" i="38"/>
  <c r="E88" i="38"/>
  <c r="E89" i="38"/>
  <c r="E82" i="38"/>
  <c r="E91" i="38"/>
  <c r="E92" i="38"/>
  <c r="E93" i="38"/>
  <c r="E94" i="38"/>
  <c r="E95" i="38"/>
  <c r="E96" i="38"/>
  <c r="E97" i="38"/>
  <c r="E98" i="38"/>
  <c r="E99" i="38"/>
  <c r="E90" i="38"/>
  <c r="E101" i="38"/>
  <c r="E102" i="38"/>
  <c r="E103" i="38"/>
  <c r="E104" i="38"/>
  <c r="E100" i="38"/>
  <c r="E106" i="38"/>
  <c r="E107" i="38"/>
  <c r="E108" i="38"/>
  <c r="E105" i="38"/>
  <c r="E110" i="38"/>
  <c r="E111" i="38"/>
  <c r="E112" i="38"/>
  <c r="E113" i="38"/>
  <c r="E109" i="38"/>
  <c r="E81" i="38"/>
  <c r="E81" i="41"/>
  <c r="E83" i="37"/>
  <c r="E84" i="37"/>
  <c r="E85" i="37"/>
  <c r="E86" i="37"/>
  <c r="E87" i="37"/>
  <c r="E88" i="37"/>
  <c r="E89" i="37"/>
  <c r="E82" i="37"/>
  <c r="E91" i="37"/>
  <c r="E92" i="37"/>
  <c r="E93" i="37"/>
  <c r="E94" i="37"/>
  <c r="E95" i="37"/>
  <c r="E96" i="37"/>
  <c r="E97" i="37"/>
  <c r="E98" i="37"/>
  <c r="E99" i="37"/>
  <c r="E90" i="37"/>
  <c r="E101" i="37"/>
  <c r="E102" i="37"/>
  <c r="E103" i="37"/>
  <c r="E104" i="37"/>
  <c r="E100" i="37"/>
  <c r="E106" i="37"/>
  <c r="E107" i="37"/>
  <c r="E108" i="37"/>
  <c r="E105" i="37"/>
  <c r="E110" i="37"/>
  <c r="E111" i="37"/>
  <c r="E112" i="37"/>
  <c r="E113" i="37"/>
  <c r="E109" i="37"/>
  <c r="E81" i="37"/>
  <c r="E81" i="40"/>
  <c r="E81" i="44"/>
  <c r="BE4" i="31"/>
  <c r="F81" i="36"/>
  <c r="F83" i="38"/>
  <c r="F84" i="38"/>
  <c r="F85" i="38"/>
  <c r="F86" i="38"/>
  <c r="F87" i="38"/>
  <c r="F88" i="38"/>
  <c r="F89" i="38"/>
  <c r="F82" i="38"/>
  <c r="F91" i="38"/>
  <c r="F92" i="38"/>
  <c r="F93" i="38"/>
  <c r="F94" i="38"/>
  <c r="F95" i="38"/>
  <c r="F96" i="38"/>
  <c r="F97" i="38"/>
  <c r="F98" i="38"/>
  <c r="F99" i="38"/>
  <c r="F90" i="38"/>
  <c r="F101" i="38"/>
  <c r="F102" i="38"/>
  <c r="F103" i="38"/>
  <c r="F104" i="38"/>
  <c r="F100" i="38"/>
  <c r="F106" i="38"/>
  <c r="F107" i="38"/>
  <c r="F108" i="38"/>
  <c r="F105" i="38"/>
  <c r="F110" i="38"/>
  <c r="F111" i="38"/>
  <c r="F112" i="38"/>
  <c r="F113" i="38"/>
  <c r="F109" i="38"/>
  <c r="F81" i="38"/>
  <c r="F81" i="41"/>
  <c r="F83" i="37"/>
  <c r="F84" i="37"/>
  <c r="F85" i="37"/>
  <c r="F86" i="37"/>
  <c r="F87" i="37"/>
  <c r="F88" i="37"/>
  <c r="F89" i="37"/>
  <c r="F82" i="37"/>
  <c r="F91" i="37"/>
  <c r="F92" i="37"/>
  <c r="F93" i="37"/>
  <c r="F94" i="37"/>
  <c r="F95" i="37"/>
  <c r="F96" i="37"/>
  <c r="F97" i="37"/>
  <c r="F98" i="37"/>
  <c r="F99" i="37"/>
  <c r="F90" i="37"/>
  <c r="F101" i="37"/>
  <c r="F102" i="37"/>
  <c r="F103" i="37"/>
  <c r="F104" i="37"/>
  <c r="F100" i="37"/>
  <c r="F106" i="37"/>
  <c r="F107" i="37"/>
  <c r="F108" i="37"/>
  <c r="F105" i="37"/>
  <c r="F110" i="37"/>
  <c r="F111" i="37"/>
  <c r="F112" i="37"/>
  <c r="F113" i="37"/>
  <c r="F109" i="37"/>
  <c r="F81" i="37"/>
  <c r="F81" i="40"/>
  <c r="F81" i="44"/>
  <c r="BF4" i="31"/>
  <c r="G81" i="36"/>
  <c r="G83" i="38"/>
  <c r="G84" i="38"/>
  <c r="G85" i="38"/>
  <c r="G86" i="38"/>
  <c r="G87" i="38"/>
  <c r="G88" i="38"/>
  <c r="G89" i="38"/>
  <c r="G82" i="38"/>
  <c r="G91" i="38"/>
  <c r="G92" i="38"/>
  <c r="G93" i="38"/>
  <c r="G94" i="38"/>
  <c r="G95" i="38"/>
  <c r="G96" i="38"/>
  <c r="G97" i="38"/>
  <c r="G98" i="38"/>
  <c r="G99" i="38"/>
  <c r="G90" i="38"/>
  <c r="G101" i="38"/>
  <c r="G102" i="38"/>
  <c r="G103" i="38"/>
  <c r="G104" i="38"/>
  <c r="G100" i="38"/>
  <c r="G106" i="38"/>
  <c r="G107" i="38"/>
  <c r="G108" i="38"/>
  <c r="G105" i="38"/>
  <c r="G110" i="38"/>
  <c r="G111" i="38"/>
  <c r="G112" i="38"/>
  <c r="G113" i="38"/>
  <c r="G109" i="38"/>
  <c r="G81" i="38"/>
  <c r="G81" i="41"/>
  <c r="G83" i="37"/>
  <c r="G84" i="37"/>
  <c r="G85" i="37"/>
  <c r="G86" i="37"/>
  <c r="G87" i="37"/>
  <c r="G88" i="37"/>
  <c r="G89" i="37"/>
  <c r="G82" i="37"/>
  <c r="G91" i="37"/>
  <c r="G92" i="37"/>
  <c r="G93" i="37"/>
  <c r="G94" i="37"/>
  <c r="G95" i="37"/>
  <c r="G96" i="37"/>
  <c r="G97" i="37"/>
  <c r="G98" i="37"/>
  <c r="G99" i="37"/>
  <c r="G90" i="37"/>
  <c r="G101" i="37"/>
  <c r="G102" i="37"/>
  <c r="G103" i="37"/>
  <c r="G104" i="37"/>
  <c r="G100" i="37"/>
  <c r="G106" i="37"/>
  <c r="G107" i="37"/>
  <c r="G108" i="37"/>
  <c r="G105" i="37"/>
  <c r="G110" i="37"/>
  <c r="G111" i="37"/>
  <c r="G112" i="37"/>
  <c r="G113" i="37"/>
  <c r="G109" i="37"/>
  <c r="G81" i="37"/>
  <c r="G81" i="40"/>
  <c r="G81" i="44"/>
  <c r="AC81" i="44"/>
  <c r="AJ13" i="30"/>
  <c r="AJ21" i="30"/>
  <c r="AJ31" i="30"/>
  <c r="AJ36" i="30"/>
  <c r="AJ40" i="30"/>
  <c r="AJ12" i="30"/>
  <c r="E4" i="29"/>
  <c r="E12" i="29"/>
  <c r="E22" i="29"/>
  <c r="E27" i="29"/>
  <c r="E31" i="29"/>
  <c r="E3" i="29"/>
  <c r="BF12" i="30"/>
  <c r="Y4" i="31"/>
  <c r="V19" i="23"/>
  <c r="V18" i="23"/>
  <c r="M4" i="29"/>
  <c r="M3" i="29"/>
  <c r="AM18" i="23"/>
  <c r="K4" i="25"/>
  <c r="W19" i="23"/>
  <c r="W18" i="23"/>
  <c r="AN18" i="23"/>
  <c r="L4" i="25"/>
  <c r="X19" i="23"/>
  <c r="X18" i="23"/>
  <c r="AO18" i="23"/>
  <c r="M4" i="25"/>
  <c r="V19" i="22"/>
  <c r="V18" i="22"/>
  <c r="AM18" i="22"/>
  <c r="N4" i="25"/>
  <c r="W19" i="22"/>
  <c r="W18" i="22"/>
  <c r="AN18" i="22"/>
  <c r="O4" i="25"/>
  <c r="X19" i="22"/>
  <c r="X18" i="22"/>
  <c r="AO18" i="22"/>
  <c r="P4" i="25"/>
  <c r="V12" i="24"/>
  <c r="V11" i="24"/>
  <c r="AM11" i="24"/>
  <c r="Q4" i="25"/>
  <c r="W12" i="24"/>
  <c r="W11" i="24"/>
  <c r="AN11" i="24"/>
  <c r="R4" i="25"/>
  <c r="S4" i="25"/>
  <c r="BF4" i="25"/>
  <c r="J43" i="36"/>
  <c r="J45" i="38"/>
  <c r="J46" i="38"/>
  <c r="J47" i="38"/>
  <c r="J48" i="38"/>
  <c r="J49" i="38"/>
  <c r="J50" i="38"/>
  <c r="J51" i="38"/>
  <c r="J44" i="38"/>
  <c r="J53" i="38"/>
  <c r="J54" i="38"/>
  <c r="J55" i="38"/>
  <c r="J56" i="38"/>
  <c r="J57" i="38"/>
  <c r="J58" i="38"/>
  <c r="J59" i="38"/>
  <c r="J60" i="38"/>
  <c r="J61" i="38"/>
  <c r="J52" i="38"/>
  <c r="J63" i="38"/>
  <c r="J64" i="38"/>
  <c r="J65" i="38"/>
  <c r="J66" i="38"/>
  <c r="J62" i="38"/>
  <c r="J68" i="38"/>
  <c r="J69" i="38"/>
  <c r="J70" i="38"/>
  <c r="J67" i="38"/>
  <c r="J72" i="38"/>
  <c r="J73" i="38"/>
  <c r="J74" i="38"/>
  <c r="J75" i="38"/>
  <c r="J71" i="38"/>
  <c r="J43" i="38"/>
  <c r="J43" i="41"/>
  <c r="J45" i="37"/>
  <c r="J46" i="37"/>
  <c r="J47" i="37"/>
  <c r="J48" i="37"/>
  <c r="J49" i="37"/>
  <c r="J50" i="37"/>
  <c r="J51" i="37"/>
  <c r="J44" i="37"/>
  <c r="J53" i="37"/>
  <c r="J54" i="37"/>
  <c r="J55" i="37"/>
  <c r="J56" i="37"/>
  <c r="J57" i="37"/>
  <c r="J58" i="37"/>
  <c r="J59" i="37"/>
  <c r="J60" i="37"/>
  <c r="J61" i="37"/>
  <c r="J52" i="37"/>
  <c r="J63" i="37"/>
  <c r="J64" i="37"/>
  <c r="J65" i="37"/>
  <c r="J66" i="37"/>
  <c r="J62" i="37"/>
  <c r="J68" i="37"/>
  <c r="J69" i="37"/>
  <c r="J70" i="37"/>
  <c r="J67" i="37"/>
  <c r="J72" i="37"/>
  <c r="J73" i="37"/>
  <c r="J74" i="37"/>
  <c r="J75" i="37"/>
  <c r="J71" i="37"/>
  <c r="J43" i="37"/>
  <c r="J43" i="40"/>
  <c r="J43" i="44"/>
  <c r="BG4" i="25"/>
  <c r="K43" i="36"/>
  <c r="K45" i="38"/>
  <c r="K46" i="38"/>
  <c r="K47" i="38"/>
  <c r="K48" i="38"/>
  <c r="K49" i="38"/>
  <c r="K50" i="38"/>
  <c r="K51" i="38"/>
  <c r="K44" i="38"/>
  <c r="K53" i="38"/>
  <c r="K54" i="38"/>
  <c r="K55" i="38"/>
  <c r="K56" i="38"/>
  <c r="K57" i="38"/>
  <c r="K58" i="38"/>
  <c r="K59" i="38"/>
  <c r="K60" i="38"/>
  <c r="K61" i="38"/>
  <c r="K52" i="38"/>
  <c r="K63" i="38"/>
  <c r="K64" i="38"/>
  <c r="K65" i="38"/>
  <c r="K66" i="38"/>
  <c r="K62" i="38"/>
  <c r="K68" i="38"/>
  <c r="K69" i="38"/>
  <c r="K70" i="38"/>
  <c r="K67" i="38"/>
  <c r="K72" i="38"/>
  <c r="K73" i="38"/>
  <c r="K74" i="38"/>
  <c r="K75" i="38"/>
  <c r="K71" i="38"/>
  <c r="K43" i="38"/>
  <c r="K43" i="41"/>
  <c r="K45" i="37"/>
  <c r="K46" i="37"/>
  <c r="K47" i="37"/>
  <c r="K48" i="37"/>
  <c r="K49" i="37"/>
  <c r="K50" i="37"/>
  <c r="K51" i="37"/>
  <c r="K44" i="37"/>
  <c r="K53" i="37"/>
  <c r="K54" i="37"/>
  <c r="K55" i="37"/>
  <c r="K56" i="37"/>
  <c r="K57" i="37"/>
  <c r="K58" i="37"/>
  <c r="K59" i="37"/>
  <c r="K60" i="37"/>
  <c r="K61" i="37"/>
  <c r="K52" i="37"/>
  <c r="K63" i="37"/>
  <c r="K64" i="37"/>
  <c r="K65" i="37"/>
  <c r="K66" i="37"/>
  <c r="K62" i="37"/>
  <c r="K68" i="37"/>
  <c r="K69" i="37"/>
  <c r="K70" i="37"/>
  <c r="K67" i="37"/>
  <c r="K72" i="37"/>
  <c r="K73" i="37"/>
  <c r="K74" i="37"/>
  <c r="K75" i="37"/>
  <c r="K71" i="37"/>
  <c r="K43" i="37"/>
  <c r="K43" i="40"/>
  <c r="K43" i="44"/>
  <c r="BH4" i="25"/>
  <c r="L43" i="36"/>
  <c r="L45" i="38"/>
  <c r="L46" i="38"/>
  <c r="L47" i="38"/>
  <c r="L48" i="38"/>
  <c r="L49" i="38"/>
  <c r="L50" i="38"/>
  <c r="L51" i="38"/>
  <c r="L44" i="38"/>
  <c r="L53" i="38"/>
  <c r="L54" i="38"/>
  <c r="L55" i="38"/>
  <c r="L56" i="38"/>
  <c r="L57" i="38"/>
  <c r="L58" i="38"/>
  <c r="L59" i="38"/>
  <c r="L60" i="38"/>
  <c r="L61" i="38"/>
  <c r="L52" i="38"/>
  <c r="L63" i="38"/>
  <c r="L64" i="38"/>
  <c r="L65" i="38"/>
  <c r="L66" i="38"/>
  <c r="L62" i="38"/>
  <c r="L68" i="38"/>
  <c r="L69" i="38"/>
  <c r="L70" i="38"/>
  <c r="L67" i="38"/>
  <c r="L72" i="38"/>
  <c r="L73" i="38"/>
  <c r="L74" i="38"/>
  <c r="L75" i="38"/>
  <c r="L71" i="38"/>
  <c r="L43" i="38"/>
  <c r="L43" i="41"/>
  <c r="L45" i="37"/>
  <c r="L46" i="37"/>
  <c r="L47" i="37"/>
  <c r="L48" i="37"/>
  <c r="L49" i="37"/>
  <c r="L50" i="37"/>
  <c r="L51" i="37"/>
  <c r="L44" i="37"/>
  <c r="L53" i="37"/>
  <c r="L54" i="37"/>
  <c r="L55" i="37"/>
  <c r="L56" i="37"/>
  <c r="L57" i="37"/>
  <c r="L58" i="37"/>
  <c r="L59" i="37"/>
  <c r="L60" i="37"/>
  <c r="L61" i="37"/>
  <c r="L52" i="37"/>
  <c r="L63" i="37"/>
  <c r="L64" i="37"/>
  <c r="L65" i="37"/>
  <c r="L66" i="37"/>
  <c r="L62" i="37"/>
  <c r="L68" i="37"/>
  <c r="L69" i="37"/>
  <c r="L70" i="37"/>
  <c r="L67" i="37"/>
  <c r="L72" i="37"/>
  <c r="L73" i="37"/>
  <c r="L74" i="37"/>
  <c r="L75" i="37"/>
  <c r="L71" i="37"/>
  <c r="L43" i="37"/>
  <c r="L43" i="40"/>
  <c r="L43" i="44"/>
  <c r="AD43" i="44"/>
  <c r="Y19" i="23"/>
  <c r="Y18" i="23"/>
  <c r="N4" i="29"/>
  <c r="N3" i="29"/>
  <c r="AP18" i="23"/>
  <c r="T4" i="25"/>
  <c r="Z19" i="23"/>
  <c r="Z18" i="23"/>
  <c r="AQ18" i="23"/>
  <c r="U4" i="25"/>
  <c r="AA19" i="23"/>
  <c r="AA18" i="23"/>
  <c r="AR18" i="23"/>
  <c r="V4" i="25"/>
  <c r="Y19" i="22"/>
  <c r="Y18" i="22"/>
  <c r="AP18" i="22"/>
  <c r="W4" i="25"/>
  <c r="Z19" i="22"/>
  <c r="Z18" i="22"/>
  <c r="AQ18" i="22"/>
  <c r="X4" i="25"/>
  <c r="AA19" i="22"/>
  <c r="AA18" i="22"/>
  <c r="AR18" i="22"/>
  <c r="Y4" i="25"/>
  <c r="Y12" i="24"/>
  <c r="Y11" i="24"/>
  <c r="AP11" i="24"/>
  <c r="Z4" i="25"/>
  <c r="Z12" i="24"/>
  <c r="Z11" i="24"/>
  <c r="AQ11" i="24"/>
  <c r="AA4" i="25"/>
  <c r="AB4" i="25"/>
  <c r="BO4" i="25"/>
  <c r="J81" i="36"/>
  <c r="J83" i="38"/>
  <c r="J84" i="38"/>
  <c r="J85" i="38"/>
  <c r="J86" i="38"/>
  <c r="J87" i="38"/>
  <c r="J88" i="38"/>
  <c r="J89" i="38"/>
  <c r="J82" i="38"/>
  <c r="J91" i="38"/>
  <c r="J92" i="38"/>
  <c r="J93" i="38"/>
  <c r="J94" i="38"/>
  <c r="J95" i="38"/>
  <c r="J96" i="38"/>
  <c r="J97" i="38"/>
  <c r="J98" i="38"/>
  <c r="J99" i="38"/>
  <c r="J90" i="38"/>
  <c r="J101" i="38"/>
  <c r="J102" i="38"/>
  <c r="J103" i="38"/>
  <c r="J104" i="38"/>
  <c r="J100" i="38"/>
  <c r="J106" i="38"/>
  <c r="J107" i="38"/>
  <c r="J108" i="38"/>
  <c r="J105" i="38"/>
  <c r="J110" i="38"/>
  <c r="J111" i="38"/>
  <c r="J112" i="38"/>
  <c r="J113" i="38"/>
  <c r="J109" i="38"/>
  <c r="J81" i="38"/>
  <c r="J81" i="41"/>
  <c r="J83" i="37"/>
  <c r="J84" i="37"/>
  <c r="J85" i="37"/>
  <c r="J86" i="37"/>
  <c r="J87" i="37"/>
  <c r="J88" i="37"/>
  <c r="J89" i="37"/>
  <c r="J82" i="37"/>
  <c r="J91" i="37"/>
  <c r="J92" i="37"/>
  <c r="J93" i="37"/>
  <c r="J94" i="37"/>
  <c r="J95" i="37"/>
  <c r="J96" i="37"/>
  <c r="J97" i="37"/>
  <c r="J98" i="37"/>
  <c r="J99" i="37"/>
  <c r="J90" i="37"/>
  <c r="J101" i="37"/>
  <c r="J102" i="37"/>
  <c r="J103" i="37"/>
  <c r="J104" i="37"/>
  <c r="J100" i="37"/>
  <c r="J106" i="37"/>
  <c r="J107" i="37"/>
  <c r="J108" i="37"/>
  <c r="J105" i="37"/>
  <c r="J110" i="37"/>
  <c r="J111" i="37"/>
  <c r="J112" i="37"/>
  <c r="J113" i="37"/>
  <c r="J109" i="37"/>
  <c r="J81" i="37"/>
  <c r="J81" i="40"/>
  <c r="J81" i="44"/>
  <c r="BP4" i="25"/>
  <c r="K81" i="36"/>
  <c r="K83" i="38"/>
  <c r="K84" i="38"/>
  <c r="K85" i="38"/>
  <c r="K86" i="38"/>
  <c r="K87" i="38"/>
  <c r="K88" i="38"/>
  <c r="K89" i="38"/>
  <c r="K82" i="38"/>
  <c r="K91" i="38"/>
  <c r="K92" i="38"/>
  <c r="K93" i="38"/>
  <c r="K94" i="38"/>
  <c r="K95" i="38"/>
  <c r="K96" i="38"/>
  <c r="K97" i="38"/>
  <c r="K98" i="38"/>
  <c r="K99" i="38"/>
  <c r="K90" i="38"/>
  <c r="K101" i="38"/>
  <c r="K102" i="38"/>
  <c r="K103" i="38"/>
  <c r="K104" i="38"/>
  <c r="K100" i="38"/>
  <c r="K106" i="38"/>
  <c r="K107" i="38"/>
  <c r="K108" i="38"/>
  <c r="K105" i="38"/>
  <c r="K110" i="38"/>
  <c r="K111" i="38"/>
  <c r="K112" i="38"/>
  <c r="K113" i="38"/>
  <c r="K109" i="38"/>
  <c r="K81" i="38"/>
  <c r="K81" i="41"/>
  <c r="K83" i="37"/>
  <c r="K84" i="37"/>
  <c r="K85" i="37"/>
  <c r="K86" i="37"/>
  <c r="K87" i="37"/>
  <c r="K88" i="37"/>
  <c r="K89" i="37"/>
  <c r="K82" i="37"/>
  <c r="K91" i="37"/>
  <c r="K92" i="37"/>
  <c r="K93" i="37"/>
  <c r="K94" i="37"/>
  <c r="K95" i="37"/>
  <c r="K96" i="37"/>
  <c r="K97" i="37"/>
  <c r="K98" i="37"/>
  <c r="K99" i="37"/>
  <c r="K90" i="37"/>
  <c r="K101" i="37"/>
  <c r="K102" i="37"/>
  <c r="K103" i="37"/>
  <c r="K104" i="37"/>
  <c r="K100" i="37"/>
  <c r="K106" i="37"/>
  <c r="K107" i="37"/>
  <c r="K108" i="37"/>
  <c r="K105" i="37"/>
  <c r="K110" i="37"/>
  <c r="K111" i="37"/>
  <c r="K112" i="37"/>
  <c r="K113" i="37"/>
  <c r="K109" i="37"/>
  <c r="K81" i="37"/>
  <c r="K81" i="40"/>
  <c r="K81" i="44"/>
  <c r="BQ4" i="25"/>
  <c r="L81" i="36"/>
  <c r="L83" i="38"/>
  <c r="L84" i="38"/>
  <c r="L85" i="38"/>
  <c r="L86" i="38"/>
  <c r="L87" i="38"/>
  <c r="L88" i="38"/>
  <c r="L89" i="38"/>
  <c r="L82" i="38"/>
  <c r="L91" i="38"/>
  <c r="L92" i="38"/>
  <c r="L93" i="38"/>
  <c r="L94" i="38"/>
  <c r="L95" i="38"/>
  <c r="L96" i="38"/>
  <c r="L97" i="38"/>
  <c r="L98" i="38"/>
  <c r="L99" i="38"/>
  <c r="L90" i="38"/>
  <c r="L101" i="38"/>
  <c r="L102" i="38"/>
  <c r="L103" i="38"/>
  <c r="L104" i="38"/>
  <c r="L100" i="38"/>
  <c r="L106" i="38"/>
  <c r="L107" i="38"/>
  <c r="L108" i="38"/>
  <c r="L105" i="38"/>
  <c r="L110" i="38"/>
  <c r="L111" i="38"/>
  <c r="L112" i="38"/>
  <c r="L113" i="38"/>
  <c r="L109" i="38"/>
  <c r="L81" i="38"/>
  <c r="L81" i="41"/>
  <c r="L83" i="37"/>
  <c r="L84" i="37"/>
  <c r="L85" i="37"/>
  <c r="L86" i="37"/>
  <c r="L87" i="37"/>
  <c r="L88" i="37"/>
  <c r="L89" i="37"/>
  <c r="L82" i="37"/>
  <c r="L91" i="37"/>
  <c r="L92" i="37"/>
  <c r="L93" i="37"/>
  <c r="L94" i="37"/>
  <c r="L95" i="37"/>
  <c r="L96" i="37"/>
  <c r="L97" i="37"/>
  <c r="L98" i="37"/>
  <c r="L99" i="37"/>
  <c r="L90" i="37"/>
  <c r="L101" i="37"/>
  <c r="L102" i="37"/>
  <c r="L103" i="37"/>
  <c r="L104" i="37"/>
  <c r="L100" i="37"/>
  <c r="L106" i="37"/>
  <c r="L107" i="37"/>
  <c r="L108" i="37"/>
  <c r="L105" i="37"/>
  <c r="L110" i="37"/>
  <c r="L111" i="37"/>
  <c r="L112" i="37"/>
  <c r="L113" i="37"/>
  <c r="L109" i="37"/>
  <c r="L81" i="37"/>
  <c r="L81" i="40"/>
  <c r="L81" i="44"/>
  <c r="AD81" i="44"/>
  <c r="K9" i="23"/>
  <c r="K20" i="23"/>
  <c r="E17" i="27"/>
  <c r="K17" i="23"/>
  <c r="AB20" i="23"/>
  <c r="K21" i="23"/>
  <c r="AB21" i="23"/>
  <c r="K22" i="23"/>
  <c r="AB22" i="23"/>
  <c r="K23" i="23"/>
  <c r="AB23" i="23"/>
  <c r="K24" i="23"/>
  <c r="AB24" i="23"/>
  <c r="K25" i="23"/>
  <c r="AB25" i="23"/>
  <c r="K26" i="23"/>
  <c r="AB26" i="23"/>
  <c r="AB19" i="23"/>
  <c r="K10" i="23"/>
  <c r="K28" i="23"/>
  <c r="AB28" i="23"/>
  <c r="K29" i="23"/>
  <c r="AB29" i="23"/>
  <c r="K30" i="23"/>
  <c r="AB30" i="23"/>
  <c r="K31" i="23"/>
  <c r="AB31" i="23"/>
  <c r="K32" i="23"/>
  <c r="AB32" i="23"/>
  <c r="K33" i="23"/>
  <c r="AB33" i="23"/>
  <c r="K34" i="23"/>
  <c r="AB34" i="23"/>
  <c r="K35" i="23"/>
  <c r="AB35" i="23"/>
  <c r="K36" i="23"/>
  <c r="AB36" i="23"/>
  <c r="AB27" i="23"/>
  <c r="K11" i="23"/>
  <c r="K38" i="23"/>
  <c r="AB38" i="23"/>
  <c r="K12" i="23"/>
  <c r="K39" i="23"/>
  <c r="AB39" i="23"/>
  <c r="K13" i="23"/>
  <c r="K40" i="23"/>
  <c r="AB40" i="23"/>
  <c r="K14" i="23"/>
  <c r="K41" i="23"/>
  <c r="AB41" i="23"/>
  <c r="AB37" i="23"/>
  <c r="K15" i="23"/>
  <c r="K43" i="23"/>
  <c r="AB43" i="23"/>
  <c r="K44" i="23"/>
  <c r="AB44" i="23"/>
  <c r="K45" i="23"/>
  <c r="AB45" i="23"/>
  <c r="AB42" i="23"/>
  <c r="K16" i="23"/>
  <c r="K47" i="23"/>
  <c r="AB47" i="23"/>
  <c r="K48" i="23"/>
  <c r="AB48" i="23"/>
  <c r="K49" i="23"/>
  <c r="AB49" i="23"/>
  <c r="K50" i="23"/>
  <c r="AB50" i="23"/>
  <c r="AB46" i="23"/>
  <c r="AB18" i="23"/>
  <c r="E5" i="46"/>
  <c r="O4" i="13"/>
  <c r="O12" i="13"/>
  <c r="O22" i="13"/>
  <c r="O27" i="13"/>
  <c r="O31" i="13"/>
  <c r="O3" i="13"/>
  <c r="E3" i="46"/>
  <c r="J5" i="46"/>
  <c r="T3" i="46"/>
  <c r="T4" i="14"/>
  <c r="Y4" i="14"/>
  <c r="AD4" i="14"/>
  <c r="AI4" i="14"/>
  <c r="AN4" i="14"/>
  <c r="AS4" i="14"/>
  <c r="H6" i="64"/>
  <c r="AX4" i="14"/>
  <c r="N3" i="65"/>
  <c r="H6" i="65"/>
  <c r="BH4" i="14"/>
  <c r="O5" i="29"/>
  <c r="E6" i="46"/>
  <c r="J6" i="46"/>
  <c r="O6" i="46"/>
  <c r="T5" i="14"/>
  <c r="Y6" i="46"/>
  <c r="Y5" i="14"/>
  <c r="AI6" i="46"/>
  <c r="AD5" i="14"/>
  <c r="AS6" i="46"/>
  <c r="AI5" i="14"/>
  <c r="BC6" i="46"/>
  <c r="AN5" i="14"/>
  <c r="BM6" i="46"/>
  <c r="AS5" i="14"/>
  <c r="H7" i="64"/>
  <c r="AX5" i="14"/>
  <c r="H7" i="65"/>
  <c r="BH5" i="14"/>
  <c r="O6" i="29"/>
  <c r="E7" i="46"/>
  <c r="J7" i="46"/>
  <c r="O7" i="46"/>
  <c r="T6" i="14"/>
  <c r="Y7" i="46"/>
  <c r="Y6" i="14"/>
  <c r="AI7" i="46"/>
  <c r="AD6" i="14"/>
  <c r="AS7" i="46"/>
  <c r="AI6" i="14"/>
  <c r="BC7" i="46"/>
  <c r="AN6" i="14"/>
  <c r="BM7" i="46"/>
  <c r="AS6" i="14"/>
  <c r="H8" i="64"/>
  <c r="AX6" i="14"/>
  <c r="H8" i="65"/>
  <c r="BH6" i="14"/>
  <c r="O7" i="29"/>
  <c r="E8" i="46"/>
  <c r="J8" i="46"/>
  <c r="O8" i="46"/>
  <c r="T7" i="14"/>
  <c r="Y8" i="46"/>
  <c r="Y7" i="14"/>
  <c r="AI8" i="46"/>
  <c r="AD7" i="14"/>
  <c r="AS8" i="46"/>
  <c r="AI7" i="14"/>
  <c r="BC8" i="46"/>
  <c r="AN7" i="14"/>
  <c r="BM8" i="46"/>
  <c r="AS7" i="14"/>
  <c r="H9" i="64"/>
  <c r="AX7" i="14"/>
  <c r="N25" i="53"/>
  <c r="I7" i="53"/>
  <c r="I8" i="53"/>
  <c r="I9" i="53"/>
  <c r="I11" i="53"/>
  <c r="I13" i="53"/>
  <c r="I14" i="53"/>
  <c r="I16" i="53"/>
  <c r="I17" i="53"/>
  <c r="I20" i="53"/>
  <c r="I22" i="53"/>
  <c r="I27" i="53"/>
  <c r="S2" i="53"/>
  <c r="L2" i="53"/>
  <c r="I25" i="53"/>
  <c r="S25" i="53"/>
  <c r="BC7" i="14"/>
  <c r="H9" i="65"/>
  <c r="BH7" i="14"/>
  <c r="O8" i="29"/>
  <c r="E9" i="46"/>
  <c r="J9" i="46"/>
  <c r="O9" i="46"/>
  <c r="T8" i="14"/>
  <c r="Y9" i="46"/>
  <c r="Y8" i="14"/>
  <c r="AI9" i="46"/>
  <c r="AD8" i="14"/>
  <c r="AS9" i="46"/>
  <c r="AI8" i="14"/>
  <c r="BC9" i="46"/>
  <c r="AN8" i="14"/>
  <c r="BM9" i="46"/>
  <c r="AS8" i="14"/>
  <c r="H10" i="64"/>
  <c r="AX8" i="14"/>
  <c r="H10" i="65"/>
  <c r="BH8" i="14"/>
  <c r="O9" i="29"/>
  <c r="E10" i="46"/>
  <c r="J10" i="46"/>
  <c r="O10" i="46"/>
  <c r="T9" i="14"/>
  <c r="Y10" i="46"/>
  <c r="Y9" i="14"/>
  <c r="AI10" i="46"/>
  <c r="AD9" i="14"/>
  <c r="AS10" i="46"/>
  <c r="AI9" i="14"/>
  <c r="BC10" i="46"/>
  <c r="AN9" i="14"/>
  <c r="BM10" i="46"/>
  <c r="AS9" i="14"/>
  <c r="H11" i="64"/>
  <c r="AX9" i="14"/>
  <c r="H11" i="65"/>
  <c r="BH9" i="14"/>
  <c r="O10" i="29"/>
  <c r="E11" i="46"/>
  <c r="J11" i="46"/>
  <c r="O11" i="46"/>
  <c r="T10" i="14"/>
  <c r="Y11" i="46"/>
  <c r="Y10" i="14"/>
  <c r="AI11" i="46"/>
  <c r="AD10" i="14"/>
  <c r="AS11" i="46"/>
  <c r="AI10" i="14"/>
  <c r="BC11" i="46"/>
  <c r="AN10" i="14"/>
  <c r="BM11" i="46"/>
  <c r="AS10" i="14"/>
  <c r="H12" i="64"/>
  <c r="AX10" i="14"/>
  <c r="H12" i="65"/>
  <c r="BH10" i="14"/>
  <c r="O11" i="29"/>
  <c r="O4" i="29"/>
  <c r="E13" i="46"/>
  <c r="J13" i="46"/>
  <c r="O13" i="46"/>
  <c r="T12" i="14"/>
  <c r="Y13" i="46"/>
  <c r="Y12" i="14"/>
  <c r="AI13" i="46"/>
  <c r="AD12" i="14"/>
  <c r="AS13" i="46"/>
  <c r="AI12" i="14"/>
  <c r="BC13" i="46"/>
  <c r="AN12" i="14"/>
  <c r="BM13" i="46"/>
  <c r="AS12" i="14"/>
  <c r="H14" i="64"/>
  <c r="AX12" i="14"/>
  <c r="N22" i="53"/>
  <c r="S22" i="53"/>
  <c r="BC12" i="14"/>
  <c r="H14" i="65"/>
  <c r="BH12" i="14"/>
  <c r="O13" i="29"/>
  <c r="E14" i="46"/>
  <c r="J14" i="46"/>
  <c r="O14" i="46"/>
  <c r="T13" i="14"/>
  <c r="Y14" i="46"/>
  <c r="Y13" i="14"/>
  <c r="AI14" i="46"/>
  <c r="AD13" i="14"/>
  <c r="AS14" i="46"/>
  <c r="AI13" i="14"/>
  <c r="BC14" i="46"/>
  <c r="AN13" i="14"/>
  <c r="BM14" i="46"/>
  <c r="AS13" i="14"/>
  <c r="H15" i="64"/>
  <c r="AX13" i="14"/>
  <c r="N11" i="53"/>
  <c r="S11" i="53"/>
  <c r="BC13" i="14"/>
  <c r="H15" i="65"/>
  <c r="BH13" i="14"/>
  <c r="O14" i="29"/>
  <c r="E15" i="46"/>
  <c r="J15" i="46"/>
  <c r="O15" i="46"/>
  <c r="T14" i="14"/>
  <c r="Y15" i="46"/>
  <c r="Y14" i="14"/>
  <c r="AI15" i="46"/>
  <c r="AD14" i="14"/>
  <c r="AS15" i="46"/>
  <c r="AI14" i="14"/>
  <c r="BC15" i="46"/>
  <c r="AN14" i="14"/>
  <c r="BM15" i="46"/>
  <c r="AS14" i="14"/>
  <c r="H16" i="64"/>
  <c r="AX14" i="14"/>
  <c r="N20" i="53"/>
  <c r="S20" i="53"/>
  <c r="BC14" i="14"/>
  <c r="H16" i="65"/>
  <c r="BH14" i="14"/>
  <c r="O15" i="29"/>
  <c r="E16" i="46"/>
  <c r="J16" i="46"/>
  <c r="O16" i="46"/>
  <c r="T15" i="14"/>
  <c r="Y16" i="46"/>
  <c r="Y15" i="14"/>
  <c r="AI16" i="46"/>
  <c r="AD15" i="14"/>
  <c r="AS16" i="46"/>
  <c r="AI15" i="14"/>
  <c r="BC16" i="46"/>
  <c r="AN15" i="14"/>
  <c r="BM16" i="46"/>
  <c r="AS15" i="14"/>
  <c r="H17" i="64"/>
  <c r="AX15" i="14"/>
  <c r="N18" i="53"/>
  <c r="I18" i="53"/>
  <c r="S18" i="53"/>
  <c r="BC15" i="14"/>
  <c r="H17" i="65"/>
  <c r="BH15" i="14"/>
  <c r="O16" i="29"/>
  <c r="E17" i="46"/>
  <c r="J17" i="46"/>
  <c r="O17" i="46"/>
  <c r="T16" i="14"/>
  <c r="Y17" i="46"/>
  <c r="Y16" i="14"/>
  <c r="AI17" i="46"/>
  <c r="AD16" i="14"/>
  <c r="AS17" i="46"/>
  <c r="AI16" i="14"/>
  <c r="BC17" i="46"/>
  <c r="AN16" i="14"/>
  <c r="BM17" i="46"/>
  <c r="AS16" i="14"/>
  <c r="H18" i="64"/>
  <c r="AX16" i="14"/>
  <c r="N23" i="53"/>
  <c r="I23" i="53"/>
  <c r="S23" i="53"/>
  <c r="BC16" i="14"/>
  <c r="H18" i="65"/>
  <c r="BH16" i="14"/>
  <c r="O17" i="29"/>
  <c r="E18" i="46"/>
  <c r="J18" i="46"/>
  <c r="O18" i="46"/>
  <c r="T17" i="14"/>
  <c r="Y18" i="46"/>
  <c r="Y17" i="14"/>
  <c r="AI18" i="46"/>
  <c r="AD17" i="14"/>
  <c r="AS18" i="46"/>
  <c r="AI17" i="14"/>
  <c r="BC18" i="46"/>
  <c r="AN17" i="14"/>
  <c r="BM18" i="46"/>
  <c r="AS17" i="14"/>
  <c r="H19" i="64"/>
  <c r="AX17" i="14"/>
  <c r="N24" i="53"/>
  <c r="I24" i="53"/>
  <c r="S24" i="53"/>
  <c r="BC17" i="14"/>
  <c r="H19" i="65"/>
  <c r="BH17" i="14"/>
  <c r="O18" i="29"/>
  <c r="E19" i="46"/>
  <c r="J19" i="46"/>
  <c r="O19" i="46"/>
  <c r="T18" i="14"/>
  <c r="Y19" i="46"/>
  <c r="Y18" i="14"/>
  <c r="AI19" i="46"/>
  <c r="AD18" i="14"/>
  <c r="AS19" i="46"/>
  <c r="AI18" i="14"/>
  <c r="BC19" i="46"/>
  <c r="AN18" i="14"/>
  <c r="BM19" i="46"/>
  <c r="AS18" i="14"/>
  <c r="H20" i="64"/>
  <c r="AX18" i="14"/>
  <c r="N19" i="53"/>
  <c r="I19" i="53"/>
  <c r="S19" i="53"/>
  <c r="BC18" i="14"/>
  <c r="H20" i="65"/>
  <c r="BH18" i="14"/>
  <c r="O19" i="29"/>
  <c r="E20" i="46"/>
  <c r="J20" i="46"/>
  <c r="O20" i="46"/>
  <c r="T19" i="14"/>
  <c r="Y20" i="46"/>
  <c r="Y19" i="14"/>
  <c r="AI20" i="46"/>
  <c r="AD19" i="14"/>
  <c r="AS20" i="46"/>
  <c r="AI19" i="14"/>
  <c r="BC20" i="46"/>
  <c r="AN19" i="14"/>
  <c r="BM20" i="46"/>
  <c r="AS19" i="14"/>
  <c r="H21" i="64"/>
  <c r="AX19" i="14"/>
  <c r="N21" i="53"/>
  <c r="I21" i="53"/>
  <c r="S21" i="53"/>
  <c r="BC19" i="14"/>
  <c r="H21" i="65"/>
  <c r="BH19" i="14"/>
  <c r="O20" i="29"/>
  <c r="E21" i="46"/>
  <c r="J21" i="46"/>
  <c r="O21" i="46"/>
  <c r="T20" i="14"/>
  <c r="Y21" i="46"/>
  <c r="Y20" i="14"/>
  <c r="AI21" i="46"/>
  <c r="AD20" i="14"/>
  <c r="AS21" i="46"/>
  <c r="AI20" i="14"/>
  <c r="BC21" i="46"/>
  <c r="AN20" i="14"/>
  <c r="BM21" i="46"/>
  <c r="AS20" i="14"/>
  <c r="H22" i="64"/>
  <c r="AX20" i="14"/>
  <c r="N12" i="53"/>
  <c r="I12" i="53"/>
  <c r="S12" i="53"/>
  <c r="BC20" i="14"/>
  <c r="H22" i="65"/>
  <c r="BH20" i="14"/>
  <c r="O21" i="29"/>
  <c r="O12" i="29"/>
  <c r="E23" i="46"/>
  <c r="J23" i="46"/>
  <c r="O23" i="46"/>
  <c r="T22" i="14"/>
  <c r="Y23" i="46"/>
  <c r="Y22" i="14"/>
  <c r="AI23" i="46"/>
  <c r="AD22" i="14"/>
  <c r="AS23" i="46"/>
  <c r="AI22" i="14"/>
  <c r="BC23" i="46"/>
  <c r="AN22" i="14"/>
  <c r="BM23" i="46"/>
  <c r="AS22" i="14"/>
  <c r="H24" i="64"/>
  <c r="AX22" i="14"/>
  <c r="N13" i="53"/>
  <c r="S13" i="53"/>
  <c r="BC22" i="14"/>
  <c r="H24" i="65"/>
  <c r="BH22" i="14"/>
  <c r="O23" i="29"/>
  <c r="E24" i="46"/>
  <c r="J24" i="46"/>
  <c r="O24" i="46"/>
  <c r="T23" i="14"/>
  <c r="Y24" i="46"/>
  <c r="Y23" i="14"/>
  <c r="AI24" i="46"/>
  <c r="AD23" i="14"/>
  <c r="AS24" i="46"/>
  <c r="AI23" i="14"/>
  <c r="BC24" i="46"/>
  <c r="AN23" i="14"/>
  <c r="BM24" i="46"/>
  <c r="AS23" i="14"/>
  <c r="H25" i="64"/>
  <c r="AX23" i="14"/>
  <c r="N8" i="53"/>
  <c r="S8" i="53"/>
  <c r="BC23" i="14"/>
  <c r="H25" i="65"/>
  <c r="BH23" i="14"/>
  <c r="O24" i="29"/>
  <c r="E25" i="46"/>
  <c r="J25" i="46"/>
  <c r="O25" i="46"/>
  <c r="T24" i="14"/>
  <c r="Y25" i="46"/>
  <c r="Y24" i="14"/>
  <c r="AI25" i="46"/>
  <c r="AD24" i="14"/>
  <c r="AS25" i="46"/>
  <c r="AI24" i="14"/>
  <c r="BC25" i="46"/>
  <c r="AN24" i="14"/>
  <c r="BM25" i="46"/>
  <c r="AS24" i="14"/>
  <c r="H26" i="64"/>
  <c r="AX24" i="14"/>
  <c r="N14" i="53"/>
  <c r="S14" i="53"/>
  <c r="BC24" i="14"/>
  <c r="H26" i="65"/>
  <c r="BH24" i="14"/>
  <c r="O25" i="29"/>
  <c r="E26" i="46"/>
  <c r="J26" i="46"/>
  <c r="O26" i="46"/>
  <c r="T25" i="14"/>
  <c r="Y26" i="46"/>
  <c r="Y25" i="14"/>
  <c r="AI26" i="46"/>
  <c r="AD25" i="14"/>
  <c r="AS26" i="46"/>
  <c r="AI25" i="14"/>
  <c r="BC26" i="46"/>
  <c r="AN25" i="14"/>
  <c r="BM26" i="46"/>
  <c r="AS25" i="14"/>
  <c r="H27" i="64"/>
  <c r="AX25" i="14"/>
  <c r="N7" i="53"/>
  <c r="S7" i="53"/>
  <c r="BC25" i="14"/>
  <c r="H27" i="65"/>
  <c r="BH25" i="14"/>
  <c r="O26" i="29"/>
  <c r="O22" i="29"/>
  <c r="E28" i="46"/>
  <c r="J28" i="46"/>
  <c r="O28" i="46"/>
  <c r="T27" i="14"/>
  <c r="Y28" i="46"/>
  <c r="Y27" i="14"/>
  <c r="AI28" i="46"/>
  <c r="AD27" i="14"/>
  <c r="AS28" i="46"/>
  <c r="AI27" i="14"/>
  <c r="BC28" i="46"/>
  <c r="AN27" i="14"/>
  <c r="BM28" i="46"/>
  <c r="AS27" i="14"/>
  <c r="H29" i="64"/>
  <c r="AX27" i="14"/>
  <c r="N17" i="53"/>
  <c r="S17" i="53"/>
  <c r="BC27" i="14"/>
  <c r="H29" i="65"/>
  <c r="BH27" i="14"/>
  <c r="O28" i="29"/>
  <c r="E29" i="46"/>
  <c r="J29" i="46"/>
  <c r="O29" i="46"/>
  <c r="T28" i="14"/>
  <c r="Y29" i="46"/>
  <c r="Y28" i="14"/>
  <c r="AI29" i="46"/>
  <c r="AD28" i="14"/>
  <c r="AS29" i="46"/>
  <c r="AI28" i="14"/>
  <c r="BC29" i="46"/>
  <c r="AN28" i="14"/>
  <c r="BM29" i="46"/>
  <c r="AS28" i="14"/>
  <c r="H30" i="64"/>
  <c r="AX28" i="14"/>
  <c r="N16" i="53"/>
  <c r="S16" i="53"/>
  <c r="BC28" i="14"/>
  <c r="H30" i="65"/>
  <c r="BH28" i="14"/>
  <c r="O29" i="29"/>
  <c r="E30" i="46"/>
  <c r="J30" i="46"/>
  <c r="O30" i="46"/>
  <c r="T29" i="14"/>
  <c r="Y30" i="46"/>
  <c r="Y29" i="14"/>
  <c r="AI30" i="46"/>
  <c r="AD29" i="14"/>
  <c r="AS30" i="46"/>
  <c r="AI29" i="14"/>
  <c r="BC30" i="46"/>
  <c r="AN29" i="14"/>
  <c r="BM30" i="46"/>
  <c r="AS29" i="14"/>
  <c r="H31" i="64"/>
  <c r="AX29" i="14"/>
  <c r="N15" i="53"/>
  <c r="I15" i="53"/>
  <c r="S15" i="53"/>
  <c r="BC29" i="14"/>
  <c r="H31" i="65"/>
  <c r="BH29" i="14"/>
  <c r="O30" i="29"/>
  <c r="O27" i="29"/>
  <c r="E32" i="46"/>
  <c r="J32" i="46"/>
  <c r="O32" i="46"/>
  <c r="T31" i="14"/>
  <c r="Y32" i="46"/>
  <c r="Y31" i="14"/>
  <c r="AI32" i="46"/>
  <c r="AD31" i="14"/>
  <c r="AS32" i="46"/>
  <c r="AI31" i="14"/>
  <c r="BC32" i="46"/>
  <c r="AN31" i="14"/>
  <c r="BM32" i="46"/>
  <c r="AS31" i="14"/>
  <c r="H33" i="64"/>
  <c r="AX31" i="14"/>
  <c r="N10" i="53"/>
  <c r="I10" i="53"/>
  <c r="S10" i="53"/>
  <c r="BC31" i="14"/>
  <c r="H33" i="65"/>
  <c r="BH31" i="14"/>
  <c r="O32" i="29"/>
  <c r="E33" i="46"/>
  <c r="J33" i="46"/>
  <c r="O33" i="46"/>
  <c r="T32" i="14"/>
  <c r="Y33" i="46"/>
  <c r="Y32" i="14"/>
  <c r="AI33" i="46"/>
  <c r="AD32" i="14"/>
  <c r="AS33" i="46"/>
  <c r="AI32" i="14"/>
  <c r="BC33" i="46"/>
  <c r="AN32" i="14"/>
  <c r="BM33" i="46"/>
  <c r="AS32" i="14"/>
  <c r="H34" i="64"/>
  <c r="AX32" i="14"/>
  <c r="N9" i="53"/>
  <c r="S9" i="53"/>
  <c r="BC32" i="14"/>
  <c r="H34" i="65"/>
  <c r="BH32" i="14"/>
  <c r="O33" i="29"/>
  <c r="E34" i="46"/>
  <c r="J34" i="46"/>
  <c r="O34" i="46"/>
  <c r="T33" i="14"/>
  <c r="Y34" i="46"/>
  <c r="Y33" i="14"/>
  <c r="AI34" i="46"/>
  <c r="AD33" i="14"/>
  <c r="AS34" i="46"/>
  <c r="AI33" i="14"/>
  <c r="BC34" i="46"/>
  <c r="AN33" i="14"/>
  <c r="BM34" i="46"/>
  <c r="AS33" i="14"/>
  <c r="H35" i="64"/>
  <c r="AX33" i="14"/>
  <c r="N27" i="53"/>
  <c r="S27" i="53"/>
  <c r="BC33" i="14"/>
  <c r="H35" i="65"/>
  <c r="BH33" i="14"/>
  <c r="O34" i="29"/>
  <c r="E35" i="46"/>
  <c r="J35" i="46"/>
  <c r="O35" i="46"/>
  <c r="T34" i="14"/>
  <c r="Y35" i="46"/>
  <c r="Y34" i="14"/>
  <c r="AI35" i="46"/>
  <c r="AD34" i="14"/>
  <c r="AS35" i="46"/>
  <c r="AI34" i="14"/>
  <c r="BC35" i="46"/>
  <c r="AN34" i="14"/>
  <c r="BM35" i="46"/>
  <c r="AS34" i="14"/>
  <c r="H36" i="64"/>
  <c r="AX34" i="14"/>
  <c r="N26" i="53"/>
  <c r="I26" i="53"/>
  <c r="S26" i="53"/>
  <c r="BC34" i="14"/>
  <c r="H36" i="65"/>
  <c r="BH34" i="14"/>
  <c r="O35" i="29"/>
  <c r="O31" i="29"/>
  <c r="O3" i="29"/>
  <c r="AS18" i="23"/>
  <c r="AC4" i="25"/>
  <c r="L9" i="23"/>
  <c r="L20" i="23"/>
  <c r="E18" i="27"/>
  <c r="L17" i="23"/>
  <c r="AC20" i="23"/>
  <c r="L21" i="23"/>
  <c r="AC21" i="23"/>
  <c r="L22" i="23"/>
  <c r="AC22" i="23"/>
  <c r="L23" i="23"/>
  <c r="AC23" i="23"/>
  <c r="L24" i="23"/>
  <c r="AC24" i="23"/>
  <c r="L25" i="23"/>
  <c r="AC25" i="23"/>
  <c r="L26" i="23"/>
  <c r="AC26" i="23"/>
  <c r="AC19" i="23"/>
  <c r="L10" i="23"/>
  <c r="L28" i="23"/>
  <c r="AC28" i="23"/>
  <c r="L29" i="23"/>
  <c r="AC29" i="23"/>
  <c r="L30" i="23"/>
  <c r="AC30" i="23"/>
  <c r="L31" i="23"/>
  <c r="AC31" i="23"/>
  <c r="L32" i="23"/>
  <c r="AC32" i="23"/>
  <c r="L33" i="23"/>
  <c r="AC33" i="23"/>
  <c r="L34" i="23"/>
  <c r="AC34" i="23"/>
  <c r="L35" i="23"/>
  <c r="AC35" i="23"/>
  <c r="L36" i="23"/>
  <c r="AC36" i="23"/>
  <c r="AC27" i="23"/>
  <c r="L11" i="23"/>
  <c r="L38" i="23"/>
  <c r="AC38" i="23"/>
  <c r="L12" i="23"/>
  <c r="L39" i="23"/>
  <c r="AC39" i="23"/>
  <c r="L13" i="23"/>
  <c r="L40" i="23"/>
  <c r="AC40" i="23"/>
  <c r="L14" i="23"/>
  <c r="L41" i="23"/>
  <c r="AC41" i="23"/>
  <c r="AC37" i="23"/>
  <c r="L15" i="23"/>
  <c r="L43" i="23"/>
  <c r="AC43" i="23"/>
  <c r="L44" i="23"/>
  <c r="AC44" i="23"/>
  <c r="L45" i="23"/>
  <c r="AC45" i="23"/>
  <c r="AC42" i="23"/>
  <c r="L16" i="23"/>
  <c r="L47" i="23"/>
  <c r="AC47" i="23"/>
  <c r="L48" i="23"/>
  <c r="AC48" i="23"/>
  <c r="L49" i="23"/>
  <c r="AC49" i="23"/>
  <c r="L50" i="23"/>
  <c r="AC50" i="23"/>
  <c r="AC46" i="23"/>
  <c r="AC18" i="23"/>
  <c r="AT18" i="23"/>
  <c r="AD4" i="25"/>
  <c r="M9" i="23"/>
  <c r="M20" i="23"/>
  <c r="E19" i="27"/>
  <c r="M17" i="23"/>
  <c r="AD20" i="23"/>
  <c r="M21" i="23"/>
  <c r="AD21" i="23"/>
  <c r="M22" i="23"/>
  <c r="AD22" i="23"/>
  <c r="M23" i="23"/>
  <c r="AD23" i="23"/>
  <c r="M24" i="23"/>
  <c r="AD24" i="23"/>
  <c r="M25" i="23"/>
  <c r="AD25" i="23"/>
  <c r="M26" i="23"/>
  <c r="AD26" i="23"/>
  <c r="AD19" i="23"/>
  <c r="M10" i="23"/>
  <c r="M28" i="23"/>
  <c r="AD28" i="23"/>
  <c r="M29" i="23"/>
  <c r="AD29" i="23"/>
  <c r="M30" i="23"/>
  <c r="AD30" i="23"/>
  <c r="M31" i="23"/>
  <c r="AD31" i="23"/>
  <c r="M32" i="23"/>
  <c r="AD32" i="23"/>
  <c r="M33" i="23"/>
  <c r="AD33" i="23"/>
  <c r="M34" i="23"/>
  <c r="AD34" i="23"/>
  <c r="M35" i="23"/>
  <c r="AD35" i="23"/>
  <c r="M36" i="23"/>
  <c r="AD36" i="23"/>
  <c r="AD27" i="23"/>
  <c r="M11" i="23"/>
  <c r="M38" i="23"/>
  <c r="AD38" i="23"/>
  <c r="M12" i="23"/>
  <c r="M39" i="23"/>
  <c r="AD39" i="23"/>
  <c r="M13" i="23"/>
  <c r="M40" i="23"/>
  <c r="AD40" i="23"/>
  <c r="M14" i="23"/>
  <c r="M41" i="23"/>
  <c r="AD41" i="23"/>
  <c r="AD37" i="23"/>
  <c r="M15" i="23"/>
  <c r="M43" i="23"/>
  <c r="AD43" i="23"/>
  <c r="M44" i="23"/>
  <c r="AD44" i="23"/>
  <c r="M45" i="23"/>
  <c r="AD45" i="23"/>
  <c r="AD42" i="23"/>
  <c r="M16" i="23"/>
  <c r="M47" i="23"/>
  <c r="AD47" i="23"/>
  <c r="M48" i="23"/>
  <c r="AD48" i="23"/>
  <c r="M49" i="23"/>
  <c r="AD49" i="23"/>
  <c r="M50" i="23"/>
  <c r="AD50" i="23"/>
  <c r="AD46" i="23"/>
  <c r="AD18" i="23"/>
  <c r="AU18" i="23"/>
  <c r="AE4" i="25"/>
  <c r="K9" i="22"/>
  <c r="K20" i="22"/>
  <c r="E20" i="27"/>
  <c r="K17" i="22"/>
  <c r="AB20" i="22"/>
  <c r="K21" i="22"/>
  <c r="AB21" i="22"/>
  <c r="K22" i="22"/>
  <c r="AB22" i="22"/>
  <c r="K23" i="22"/>
  <c r="AB23" i="22"/>
  <c r="K24" i="22"/>
  <c r="AB24" i="22"/>
  <c r="K25" i="22"/>
  <c r="AB25" i="22"/>
  <c r="K26" i="22"/>
  <c r="AB26" i="22"/>
  <c r="AB19" i="22"/>
  <c r="K10" i="22"/>
  <c r="K28" i="22"/>
  <c r="AB28" i="22"/>
  <c r="K29" i="22"/>
  <c r="AB29" i="22"/>
  <c r="K30" i="22"/>
  <c r="AB30" i="22"/>
  <c r="K31" i="22"/>
  <c r="AB31" i="22"/>
  <c r="K32" i="22"/>
  <c r="AB32" i="22"/>
  <c r="K33" i="22"/>
  <c r="AB33" i="22"/>
  <c r="K34" i="22"/>
  <c r="AB34" i="22"/>
  <c r="K35" i="22"/>
  <c r="AB35" i="22"/>
  <c r="K36" i="22"/>
  <c r="AB36" i="22"/>
  <c r="AB27" i="22"/>
  <c r="K11" i="22"/>
  <c r="K38" i="22"/>
  <c r="AB38" i="22"/>
  <c r="K12" i="22"/>
  <c r="K39" i="22"/>
  <c r="AB39" i="22"/>
  <c r="K13" i="22"/>
  <c r="K40" i="22"/>
  <c r="AB40" i="22"/>
  <c r="K14" i="22"/>
  <c r="K41" i="22"/>
  <c r="AB41" i="22"/>
  <c r="AB37" i="22"/>
  <c r="K15" i="22"/>
  <c r="K43" i="22"/>
  <c r="AB43" i="22"/>
  <c r="K44" i="22"/>
  <c r="AB44" i="22"/>
  <c r="K45" i="22"/>
  <c r="AB45" i="22"/>
  <c r="AB42" i="22"/>
  <c r="K16" i="22"/>
  <c r="K47" i="22"/>
  <c r="AB47" i="22"/>
  <c r="K48" i="22"/>
  <c r="AB48" i="22"/>
  <c r="K49" i="22"/>
  <c r="AB49" i="22"/>
  <c r="K50" i="22"/>
  <c r="AB50" i="22"/>
  <c r="AB46" i="22"/>
  <c r="AB18" i="22"/>
  <c r="AS18" i="22"/>
  <c r="AF4" i="25"/>
  <c r="L9" i="22"/>
  <c r="L20" i="22"/>
  <c r="E21" i="27"/>
  <c r="L17" i="22"/>
  <c r="AC20" i="22"/>
  <c r="L21" i="22"/>
  <c r="AC21" i="22"/>
  <c r="L22" i="22"/>
  <c r="AC22" i="22"/>
  <c r="L23" i="22"/>
  <c r="AC23" i="22"/>
  <c r="L24" i="22"/>
  <c r="AC24" i="22"/>
  <c r="L25" i="22"/>
  <c r="AC25" i="22"/>
  <c r="L26" i="22"/>
  <c r="AC26" i="22"/>
  <c r="AC19" i="22"/>
  <c r="L10" i="22"/>
  <c r="L28" i="22"/>
  <c r="AC28" i="22"/>
  <c r="L29" i="22"/>
  <c r="AC29" i="22"/>
  <c r="L30" i="22"/>
  <c r="AC30" i="22"/>
  <c r="L31" i="22"/>
  <c r="AC31" i="22"/>
  <c r="L32" i="22"/>
  <c r="AC32" i="22"/>
  <c r="L33" i="22"/>
  <c r="AC33" i="22"/>
  <c r="L34" i="22"/>
  <c r="AC34" i="22"/>
  <c r="L35" i="22"/>
  <c r="AC35" i="22"/>
  <c r="L36" i="22"/>
  <c r="AC36" i="22"/>
  <c r="AC27" i="22"/>
  <c r="L11" i="22"/>
  <c r="L38" i="22"/>
  <c r="AC38" i="22"/>
  <c r="L12" i="22"/>
  <c r="L39" i="22"/>
  <c r="AC39" i="22"/>
  <c r="L13" i="22"/>
  <c r="L40" i="22"/>
  <c r="AC40" i="22"/>
  <c r="L14" i="22"/>
  <c r="L41" i="22"/>
  <c r="AC41" i="22"/>
  <c r="AC37" i="22"/>
  <c r="L15" i="22"/>
  <c r="L43" i="22"/>
  <c r="AC43" i="22"/>
  <c r="L44" i="22"/>
  <c r="AC44" i="22"/>
  <c r="L45" i="22"/>
  <c r="AC45" i="22"/>
  <c r="AC42" i="22"/>
  <c r="L16" i="22"/>
  <c r="L47" i="22"/>
  <c r="AC47" i="22"/>
  <c r="L48" i="22"/>
  <c r="AC48" i="22"/>
  <c r="L49" i="22"/>
  <c r="AC49" i="22"/>
  <c r="L50" i="22"/>
  <c r="AC50" i="22"/>
  <c r="AC46" i="22"/>
  <c r="AC18" i="22"/>
  <c r="AT18" i="22"/>
  <c r="AG4" i="25"/>
  <c r="M9" i="22"/>
  <c r="M20" i="22"/>
  <c r="E22" i="27"/>
  <c r="M17" i="22"/>
  <c r="AD20" i="22"/>
  <c r="M21" i="22"/>
  <c r="AD21" i="22"/>
  <c r="M22" i="22"/>
  <c r="AD22" i="22"/>
  <c r="M23" i="22"/>
  <c r="AD23" i="22"/>
  <c r="M24" i="22"/>
  <c r="AD24" i="22"/>
  <c r="M25" i="22"/>
  <c r="AD25" i="22"/>
  <c r="M26" i="22"/>
  <c r="AD26" i="22"/>
  <c r="AD19" i="22"/>
  <c r="M10" i="22"/>
  <c r="M28" i="22"/>
  <c r="AD28" i="22"/>
  <c r="M29" i="22"/>
  <c r="AD29" i="22"/>
  <c r="M30" i="22"/>
  <c r="AD30" i="22"/>
  <c r="M31" i="22"/>
  <c r="AD31" i="22"/>
  <c r="M32" i="22"/>
  <c r="AD32" i="22"/>
  <c r="M33" i="22"/>
  <c r="AD33" i="22"/>
  <c r="M34" i="22"/>
  <c r="AD34" i="22"/>
  <c r="M35" i="22"/>
  <c r="AD35" i="22"/>
  <c r="M36" i="22"/>
  <c r="AD36" i="22"/>
  <c r="AD27" i="22"/>
  <c r="M11" i="22"/>
  <c r="M38" i="22"/>
  <c r="AD38" i="22"/>
  <c r="M12" i="22"/>
  <c r="M39" i="22"/>
  <c r="AD39" i="22"/>
  <c r="M13" i="22"/>
  <c r="M40" i="22"/>
  <c r="AD40" i="22"/>
  <c r="M14" i="22"/>
  <c r="M41" i="22"/>
  <c r="AD41" i="22"/>
  <c r="AD37" i="22"/>
  <c r="M15" i="22"/>
  <c r="M43" i="22"/>
  <c r="AD43" i="22"/>
  <c r="M44" i="22"/>
  <c r="AD44" i="22"/>
  <c r="M45" i="22"/>
  <c r="AD45" i="22"/>
  <c r="AD42" i="22"/>
  <c r="M16" i="22"/>
  <c r="M47" i="22"/>
  <c r="AD47" i="22"/>
  <c r="M48" i="22"/>
  <c r="AD48" i="22"/>
  <c r="M49" i="22"/>
  <c r="AD49" i="22"/>
  <c r="M50" i="22"/>
  <c r="AD50" i="22"/>
  <c r="AD46" i="22"/>
  <c r="AD18" i="22"/>
  <c r="AU18" i="22"/>
  <c r="AH4" i="25"/>
  <c r="K9" i="24"/>
  <c r="K13" i="24"/>
  <c r="L9" i="24"/>
  <c r="L13" i="24"/>
  <c r="BI4" i="25"/>
  <c r="M43" i="36"/>
  <c r="M45" i="38"/>
  <c r="M46" i="38"/>
  <c r="M47" i="38"/>
  <c r="M48" i="38"/>
  <c r="M49" i="38"/>
  <c r="M50" i="38"/>
  <c r="M51" i="38"/>
  <c r="M44" i="38"/>
  <c r="M53" i="38"/>
  <c r="M54" i="38"/>
  <c r="M55" i="38"/>
  <c r="M56" i="38"/>
  <c r="M57" i="38"/>
  <c r="M58" i="38"/>
  <c r="M59" i="38"/>
  <c r="M60" i="38"/>
  <c r="M61" i="38"/>
  <c r="M52" i="38"/>
  <c r="M63" i="38"/>
  <c r="M64" i="38"/>
  <c r="M65" i="38"/>
  <c r="M66" i="38"/>
  <c r="M62" i="38"/>
  <c r="M68" i="38"/>
  <c r="M69" i="38"/>
  <c r="M70" i="38"/>
  <c r="M67" i="38"/>
  <c r="M72" i="38"/>
  <c r="M73" i="38"/>
  <c r="M74" i="38"/>
  <c r="M75" i="38"/>
  <c r="M71" i="38"/>
  <c r="M43" i="38"/>
  <c r="M43" i="41"/>
  <c r="M45" i="37"/>
  <c r="M46" i="37"/>
  <c r="M47" i="37"/>
  <c r="M48" i="37"/>
  <c r="M49" i="37"/>
  <c r="M50" i="37"/>
  <c r="M51" i="37"/>
  <c r="M44" i="37"/>
  <c r="M53" i="37"/>
  <c r="M54" i="37"/>
  <c r="M55" i="37"/>
  <c r="M56" i="37"/>
  <c r="M57" i="37"/>
  <c r="M58" i="37"/>
  <c r="M59" i="37"/>
  <c r="M60" i="37"/>
  <c r="M61" i="37"/>
  <c r="M52" i="37"/>
  <c r="M63" i="37"/>
  <c r="M64" i="37"/>
  <c r="M65" i="37"/>
  <c r="M66" i="37"/>
  <c r="M62" i="37"/>
  <c r="M68" i="37"/>
  <c r="M69" i="37"/>
  <c r="M70" i="37"/>
  <c r="M67" i="37"/>
  <c r="M72" i="37"/>
  <c r="M73" i="37"/>
  <c r="M74" i="37"/>
  <c r="M75" i="37"/>
  <c r="M71" i="37"/>
  <c r="M43" i="37"/>
  <c r="M43" i="40"/>
  <c r="M43" i="44"/>
  <c r="BJ4" i="25"/>
  <c r="N43" i="36"/>
  <c r="N45" i="38"/>
  <c r="N46" i="38"/>
  <c r="N47" i="38"/>
  <c r="N48" i="38"/>
  <c r="N49" i="38"/>
  <c r="N50" i="38"/>
  <c r="N51" i="38"/>
  <c r="N44" i="38"/>
  <c r="N53" i="38"/>
  <c r="N54" i="38"/>
  <c r="N55" i="38"/>
  <c r="N56" i="38"/>
  <c r="N57" i="38"/>
  <c r="N58" i="38"/>
  <c r="N59" i="38"/>
  <c r="N60" i="38"/>
  <c r="N61" i="38"/>
  <c r="N52" i="38"/>
  <c r="N63" i="38"/>
  <c r="N64" i="38"/>
  <c r="N65" i="38"/>
  <c r="N66" i="38"/>
  <c r="N62" i="38"/>
  <c r="N68" i="38"/>
  <c r="N69" i="38"/>
  <c r="N70" i="38"/>
  <c r="N67" i="38"/>
  <c r="N72" i="38"/>
  <c r="N73" i="38"/>
  <c r="N74" i="38"/>
  <c r="N75" i="38"/>
  <c r="N71" i="38"/>
  <c r="N43" i="38"/>
  <c r="N43" i="41"/>
  <c r="N45" i="37"/>
  <c r="N46" i="37"/>
  <c r="N47" i="37"/>
  <c r="N48" i="37"/>
  <c r="N49" i="37"/>
  <c r="N50" i="37"/>
  <c r="N51" i="37"/>
  <c r="N44" i="37"/>
  <c r="N53" i="37"/>
  <c r="N54" i="37"/>
  <c r="N55" i="37"/>
  <c r="N56" i="37"/>
  <c r="N57" i="37"/>
  <c r="N58" i="37"/>
  <c r="N59" i="37"/>
  <c r="N60" i="37"/>
  <c r="N61" i="37"/>
  <c r="N52" i="37"/>
  <c r="N63" i="37"/>
  <c r="N64" i="37"/>
  <c r="N65" i="37"/>
  <c r="N66" i="37"/>
  <c r="N62" i="37"/>
  <c r="N68" i="37"/>
  <c r="N69" i="37"/>
  <c r="N70" i="37"/>
  <c r="N67" i="37"/>
  <c r="N72" i="37"/>
  <c r="N73" i="37"/>
  <c r="N74" i="37"/>
  <c r="N75" i="37"/>
  <c r="N71" i="37"/>
  <c r="N43" i="37"/>
  <c r="N43" i="40"/>
  <c r="N43" i="44"/>
  <c r="BK4" i="25"/>
  <c r="O43" i="36"/>
  <c r="O45" i="38"/>
  <c r="O46" i="38"/>
  <c r="O47" i="38"/>
  <c r="O48" i="38"/>
  <c r="O49" i="38"/>
  <c r="O50" i="38"/>
  <c r="O51" i="38"/>
  <c r="O44" i="38"/>
  <c r="O53" i="38"/>
  <c r="O54" i="38"/>
  <c r="O55" i="38"/>
  <c r="O56" i="38"/>
  <c r="O57" i="38"/>
  <c r="O58" i="38"/>
  <c r="O59" i="38"/>
  <c r="O60" i="38"/>
  <c r="O61" i="38"/>
  <c r="O52" i="38"/>
  <c r="O63" i="38"/>
  <c r="O64" i="38"/>
  <c r="O65" i="38"/>
  <c r="O66" i="38"/>
  <c r="O62" i="38"/>
  <c r="O68" i="38"/>
  <c r="O69" i="38"/>
  <c r="O70" i="38"/>
  <c r="O67" i="38"/>
  <c r="O72" i="38"/>
  <c r="O73" i="38"/>
  <c r="O74" i="38"/>
  <c r="O75" i="38"/>
  <c r="O71" i="38"/>
  <c r="O43" i="38"/>
  <c r="O43" i="41"/>
  <c r="O45" i="37"/>
  <c r="O46" i="37"/>
  <c r="O47" i="37"/>
  <c r="O48" i="37"/>
  <c r="O49" i="37"/>
  <c r="O50" i="37"/>
  <c r="O51" i="37"/>
  <c r="O44" i="37"/>
  <c r="O53" i="37"/>
  <c r="O54" i="37"/>
  <c r="O55" i="37"/>
  <c r="O56" i="37"/>
  <c r="O57" i="37"/>
  <c r="O58" i="37"/>
  <c r="O59" i="37"/>
  <c r="O60" i="37"/>
  <c r="O61" i="37"/>
  <c r="O52" i="37"/>
  <c r="O63" i="37"/>
  <c r="O64" i="37"/>
  <c r="O65" i="37"/>
  <c r="O66" i="37"/>
  <c r="O62" i="37"/>
  <c r="O68" i="37"/>
  <c r="O69" i="37"/>
  <c r="O70" i="37"/>
  <c r="O67" i="37"/>
  <c r="O72" i="37"/>
  <c r="O73" i="37"/>
  <c r="O74" i="37"/>
  <c r="O75" i="37"/>
  <c r="O71" i="37"/>
  <c r="O43" i="37"/>
  <c r="O43" i="40"/>
  <c r="O43" i="44"/>
  <c r="AE43" i="44"/>
  <c r="BR4" i="25"/>
  <c r="M81" i="36"/>
  <c r="M83" i="38"/>
  <c r="M84" i="38"/>
  <c r="M85" i="38"/>
  <c r="M86" i="38"/>
  <c r="M87" i="38"/>
  <c r="M88" i="38"/>
  <c r="M89" i="38"/>
  <c r="M82" i="38"/>
  <c r="M91" i="38"/>
  <c r="M92" i="38"/>
  <c r="M93" i="38"/>
  <c r="M94" i="38"/>
  <c r="M95" i="38"/>
  <c r="M96" i="38"/>
  <c r="M97" i="38"/>
  <c r="M98" i="38"/>
  <c r="M99" i="38"/>
  <c r="M90" i="38"/>
  <c r="M101" i="38"/>
  <c r="M102" i="38"/>
  <c r="M103" i="38"/>
  <c r="M104" i="38"/>
  <c r="M100" i="38"/>
  <c r="M106" i="38"/>
  <c r="M107" i="38"/>
  <c r="M108" i="38"/>
  <c r="M105" i="38"/>
  <c r="M110" i="38"/>
  <c r="M111" i="38"/>
  <c r="M112" i="38"/>
  <c r="M113" i="38"/>
  <c r="M109" i="38"/>
  <c r="M81" i="38"/>
  <c r="M81" i="41"/>
  <c r="M83" i="37"/>
  <c r="M84" i="37"/>
  <c r="M85" i="37"/>
  <c r="M86" i="37"/>
  <c r="M87" i="37"/>
  <c r="M88" i="37"/>
  <c r="M89" i="37"/>
  <c r="M82" i="37"/>
  <c r="M91" i="37"/>
  <c r="M92" i="37"/>
  <c r="M93" i="37"/>
  <c r="M94" i="37"/>
  <c r="M95" i="37"/>
  <c r="M96" i="37"/>
  <c r="M97" i="37"/>
  <c r="M98" i="37"/>
  <c r="M99" i="37"/>
  <c r="M90" i="37"/>
  <c r="M101" i="37"/>
  <c r="M102" i="37"/>
  <c r="M103" i="37"/>
  <c r="M104" i="37"/>
  <c r="M100" i="37"/>
  <c r="M106" i="37"/>
  <c r="M107" i="37"/>
  <c r="M108" i="37"/>
  <c r="M105" i="37"/>
  <c r="M110" i="37"/>
  <c r="M111" i="37"/>
  <c r="M112" i="37"/>
  <c r="M113" i="37"/>
  <c r="M109" i="37"/>
  <c r="M81" i="37"/>
  <c r="M81" i="40"/>
  <c r="M81" i="44"/>
  <c r="BS4" i="25"/>
  <c r="N81" i="36"/>
  <c r="N83" i="38"/>
  <c r="N84" i="38"/>
  <c r="N85" i="38"/>
  <c r="N86" i="38"/>
  <c r="N87" i="38"/>
  <c r="N88" i="38"/>
  <c r="N89" i="38"/>
  <c r="N82" i="38"/>
  <c r="N91" i="38"/>
  <c r="N92" i="38"/>
  <c r="N93" i="38"/>
  <c r="N94" i="38"/>
  <c r="N95" i="38"/>
  <c r="N96" i="38"/>
  <c r="N97" i="38"/>
  <c r="N98" i="38"/>
  <c r="N99" i="38"/>
  <c r="N90" i="38"/>
  <c r="N101" i="38"/>
  <c r="N102" i="38"/>
  <c r="N103" i="38"/>
  <c r="N104" i="38"/>
  <c r="N100" i="38"/>
  <c r="N106" i="38"/>
  <c r="N107" i="38"/>
  <c r="N108" i="38"/>
  <c r="N105" i="38"/>
  <c r="N110" i="38"/>
  <c r="N111" i="38"/>
  <c r="N112" i="38"/>
  <c r="N113" i="38"/>
  <c r="N109" i="38"/>
  <c r="N81" i="38"/>
  <c r="N81" i="41"/>
  <c r="N83" i="37"/>
  <c r="N84" i="37"/>
  <c r="N85" i="37"/>
  <c r="N86" i="37"/>
  <c r="N87" i="37"/>
  <c r="N88" i="37"/>
  <c r="N89" i="37"/>
  <c r="N82" i="37"/>
  <c r="N91" i="37"/>
  <c r="N92" i="37"/>
  <c r="N93" i="37"/>
  <c r="N94" i="37"/>
  <c r="N95" i="37"/>
  <c r="N96" i="37"/>
  <c r="N97" i="37"/>
  <c r="N98" i="37"/>
  <c r="N99" i="37"/>
  <c r="N90" i="37"/>
  <c r="N101" i="37"/>
  <c r="N102" i="37"/>
  <c r="N103" i="37"/>
  <c r="N104" i="37"/>
  <c r="N100" i="37"/>
  <c r="N106" i="37"/>
  <c r="N107" i="37"/>
  <c r="N108" i="37"/>
  <c r="N105" i="37"/>
  <c r="N110" i="37"/>
  <c r="N111" i="37"/>
  <c r="N112" i="37"/>
  <c r="N113" i="37"/>
  <c r="N109" i="37"/>
  <c r="N81" i="37"/>
  <c r="N81" i="40"/>
  <c r="N81" i="44"/>
  <c r="BT4" i="25"/>
  <c r="O81" i="36"/>
  <c r="O83" i="38"/>
  <c r="O84" i="38"/>
  <c r="O85" i="38"/>
  <c r="O86" i="38"/>
  <c r="O87" i="38"/>
  <c r="O88" i="38"/>
  <c r="O89" i="38"/>
  <c r="O82" i="38"/>
  <c r="O91" i="38"/>
  <c r="O92" i="38"/>
  <c r="O93" i="38"/>
  <c r="O94" i="38"/>
  <c r="O95" i="38"/>
  <c r="O96" i="38"/>
  <c r="O97" i="38"/>
  <c r="O98" i="38"/>
  <c r="O99" i="38"/>
  <c r="O90" i="38"/>
  <c r="O101" i="38"/>
  <c r="O102" i="38"/>
  <c r="O103" i="38"/>
  <c r="O104" i="38"/>
  <c r="O100" i="38"/>
  <c r="O106" i="38"/>
  <c r="O107" i="38"/>
  <c r="O108" i="38"/>
  <c r="O105" i="38"/>
  <c r="O110" i="38"/>
  <c r="O111" i="38"/>
  <c r="O112" i="38"/>
  <c r="O113" i="38"/>
  <c r="O109" i="38"/>
  <c r="O81" i="38"/>
  <c r="O81" i="41"/>
  <c r="O83" i="37"/>
  <c r="O84" i="37"/>
  <c r="O85" i="37"/>
  <c r="O86" i="37"/>
  <c r="O87" i="37"/>
  <c r="O88" i="37"/>
  <c r="O89" i="37"/>
  <c r="O82" i="37"/>
  <c r="O91" i="37"/>
  <c r="O92" i="37"/>
  <c r="O93" i="37"/>
  <c r="O94" i="37"/>
  <c r="O95" i="37"/>
  <c r="O96" i="37"/>
  <c r="O97" i="37"/>
  <c r="O98" i="37"/>
  <c r="O99" i="37"/>
  <c r="O90" i="37"/>
  <c r="O101" i="37"/>
  <c r="O102" i="37"/>
  <c r="O103" i="37"/>
  <c r="O104" i="37"/>
  <c r="O100" i="37"/>
  <c r="O106" i="37"/>
  <c r="O107" i="37"/>
  <c r="O108" i="37"/>
  <c r="O105" i="37"/>
  <c r="O110" i="37"/>
  <c r="O111" i="37"/>
  <c r="O112" i="37"/>
  <c r="O113" i="37"/>
  <c r="O109" i="37"/>
  <c r="O81" i="37"/>
  <c r="O81" i="40"/>
  <c r="O81" i="44"/>
  <c r="AE81" i="44"/>
  <c r="AX13" i="30"/>
  <c r="K5" i="31"/>
  <c r="Z59" i="26"/>
  <c r="I5" i="31"/>
  <c r="AA59" i="26"/>
  <c r="J5" i="31"/>
  <c r="AY13" i="30"/>
  <c r="L5" i="31"/>
  <c r="AZ13" i="30"/>
  <c r="M5" i="31"/>
  <c r="BA13" i="30"/>
  <c r="N5" i="31"/>
  <c r="O5" i="31"/>
  <c r="AV5" i="31"/>
  <c r="D44" i="36"/>
  <c r="D44" i="41"/>
  <c r="D44" i="40"/>
  <c r="D44" i="44"/>
  <c r="AW5" i="31"/>
  <c r="E44" i="36"/>
  <c r="E44" i="41"/>
  <c r="E44" i="40"/>
  <c r="E44" i="44"/>
  <c r="AX5" i="31"/>
  <c r="F44" i="36"/>
  <c r="F44" i="41"/>
  <c r="F44" i="40"/>
  <c r="F44" i="44"/>
  <c r="AY5" i="31"/>
  <c r="G44" i="36"/>
  <c r="G44" i="41"/>
  <c r="G44" i="40"/>
  <c r="G44" i="44"/>
  <c r="AC44" i="44"/>
  <c r="BB13" i="30"/>
  <c r="R5" i="31"/>
  <c r="AB59" i="26"/>
  <c r="P5" i="31"/>
  <c r="AC59" i="26"/>
  <c r="Q5" i="31"/>
  <c r="BC13" i="30"/>
  <c r="S5" i="31"/>
  <c r="BD13" i="30"/>
  <c r="T5" i="31"/>
  <c r="BE13" i="30"/>
  <c r="U5" i="31"/>
  <c r="V5" i="31"/>
  <c r="BC5" i="31"/>
  <c r="D82" i="36"/>
  <c r="D82" i="41"/>
  <c r="D82" i="40"/>
  <c r="D82" i="44"/>
  <c r="BD5" i="31"/>
  <c r="E82" i="36"/>
  <c r="E82" i="41"/>
  <c r="E82" i="40"/>
  <c r="E82" i="44"/>
  <c r="BE5" i="31"/>
  <c r="F82" i="36"/>
  <c r="F82" i="41"/>
  <c r="F82" i="40"/>
  <c r="F82" i="44"/>
  <c r="BF5" i="31"/>
  <c r="G82" i="36"/>
  <c r="G82" i="41"/>
  <c r="G82" i="40"/>
  <c r="G82" i="44"/>
  <c r="AC82" i="44"/>
  <c r="BF13" i="30"/>
  <c r="Y5" i="31"/>
  <c r="AM19" i="23"/>
  <c r="K5" i="25"/>
  <c r="AN19" i="23"/>
  <c r="L5" i="25"/>
  <c r="AO19" i="23"/>
  <c r="M5" i="25"/>
  <c r="AM19" i="22"/>
  <c r="N5" i="25"/>
  <c r="AN19" i="22"/>
  <c r="O5" i="25"/>
  <c r="AO19" i="22"/>
  <c r="P5" i="25"/>
  <c r="AM12" i="24"/>
  <c r="Q5" i="25"/>
  <c r="AN12" i="24"/>
  <c r="R5" i="25"/>
  <c r="S5" i="25"/>
  <c r="BF5" i="25"/>
  <c r="J44" i="36"/>
  <c r="J44" i="41"/>
  <c r="J44" i="40"/>
  <c r="J44" i="44"/>
  <c r="BG5" i="25"/>
  <c r="K44" i="36"/>
  <c r="K44" i="41"/>
  <c r="K44" i="40"/>
  <c r="K44" i="44"/>
  <c r="BH5" i="25"/>
  <c r="L44" i="36"/>
  <c r="L44" i="41"/>
  <c r="L44" i="40"/>
  <c r="L44" i="44"/>
  <c r="AD44" i="44"/>
  <c r="AP19" i="23"/>
  <c r="T5" i="25"/>
  <c r="AQ19" i="23"/>
  <c r="U5" i="25"/>
  <c r="AR19" i="23"/>
  <c r="V5" i="25"/>
  <c r="AP19" i="22"/>
  <c r="W5" i="25"/>
  <c r="AQ19" i="22"/>
  <c r="X5" i="25"/>
  <c r="AR19" i="22"/>
  <c r="Y5" i="25"/>
  <c r="AP12" i="24"/>
  <c r="Z5" i="25"/>
  <c r="AQ12" i="24"/>
  <c r="AA5" i="25"/>
  <c r="AB5" i="25"/>
  <c r="BO5" i="25"/>
  <c r="J82" i="36"/>
  <c r="J82" i="41"/>
  <c r="J82" i="40"/>
  <c r="J82" i="44"/>
  <c r="BP5" i="25"/>
  <c r="K82" i="36"/>
  <c r="K82" i="41"/>
  <c r="K82" i="40"/>
  <c r="K82" i="44"/>
  <c r="BQ5" i="25"/>
  <c r="L82" i="36"/>
  <c r="L82" i="41"/>
  <c r="L82" i="40"/>
  <c r="L82" i="44"/>
  <c r="AD82" i="44"/>
  <c r="AS19" i="23"/>
  <c r="AC5" i="25"/>
  <c r="AT19" i="23"/>
  <c r="AD5" i="25"/>
  <c r="AU19" i="23"/>
  <c r="AE5" i="25"/>
  <c r="AS19" i="22"/>
  <c r="AF5" i="25"/>
  <c r="AT19" i="22"/>
  <c r="AG5" i="25"/>
  <c r="AU19" i="22"/>
  <c r="AH5" i="25"/>
  <c r="BI5" i="25"/>
  <c r="M44" i="36"/>
  <c r="M44" i="41"/>
  <c r="M44" i="40"/>
  <c r="M44" i="44"/>
  <c r="BJ5" i="25"/>
  <c r="N44" i="36"/>
  <c r="N44" i="41"/>
  <c r="N44" i="40"/>
  <c r="N44" i="44"/>
  <c r="BK5" i="25"/>
  <c r="O44" i="36"/>
  <c r="O44" i="41"/>
  <c r="O44" i="40"/>
  <c r="O44" i="44"/>
  <c r="AE44" i="44"/>
  <c r="BR5" i="25"/>
  <c r="M82" i="36"/>
  <c r="M82" i="41"/>
  <c r="M82" i="40"/>
  <c r="M82" i="44"/>
  <c r="BS5" i="25"/>
  <c r="N82" i="36"/>
  <c r="N82" i="41"/>
  <c r="N82" i="40"/>
  <c r="N82" i="44"/>
  <c r="BT5" i="25"/>
  <c r="O82" i="36"/>
  <c r="O82" i="41"/>
  <c r="O82" i="40"/>
  <c r="O82" i="44"/>
  <c r="AE82" i="44"/>
  <c r="AV6" i="31"/>
  <c r="D45" i="36"/>
  <c r="D45" i="41"/>
  <c r="D45" i="40"/>
  <c r="D45" i="44"/>
  <c r="AW6" i="31"/>
  <c r="E45" i="36"/>
  <c r="E45" i="41"/>
  <c r="E45" i="40"/>
  <c r="E45" i="44"/>
  <c r="AX6" i="31"/>
  <c r="F45" i="36"/>
  <c r="F45" i="41"/>
  <c r="F45" i="40"/>
  <c r="F45" i="44"/>
  <c r="AY6" i="31"/>
  <c r="G45" i="36"/>
  <c r="G45" i="41"/>
  <c r="G45" i="40"/>
  <c r="G45" i="44"/>
  <c r="AC45" i="44"/>
  <c r="BC6" i="31"/>
  <c r="D83" i="36"/>
  <c r="D83" i="41"/>
  <c r="D83" i="40"/>
  <c r="D83" i="44"/>
  <c r="BD6" i="31"/>
  <c r="E83" i="36"/>
  <c r="E83" i="41"/>
  <c r="E83" i="40"/>
  <c r="E83" i="44"/>
  <c r="BE6" i="31"/>
  <c r="F83" i="36"/>
  <c r="F83" i="41"/>
  <c r="F83" i="40"/>
  <c r="F83" i="44"/>
  <c r="BF6" i="31"/>
  <c r="G83" i="36"/>
  <c r="G83" i="41"/>
  <c r="G83" i="40"/>
  <c r="G83" i="44"/>
  <c r="AC83" i="44"/>
  <c r="BF14" i="30"/>
  <c r="Y6" i="31"/>
  <c r="BF6" i="25"/>
  <c r="J45" i="36"/>
  <c r="J45" i="41"/>
  <c r="J45" i="40"/>
  <c r="J45" i="44"/>
  <c r="BG6" i="25"/>
  <c r="K45" i="36"/>
  <c r="K45" i="41"/>
  <c r="K45" i="40"/>
  <c r="K45" i="44"/>
  <c r="BH6" i="25"/>
  <c r="L45" i="36"/>
  <c r="L45" i="41"/>
  <c r="L45" i="40"/>
  <c r="L45" i="44"/>
  <c r="AD45" i="44"/>
  <c r="BO6" i="25"/>
  <c r="J83" i="36"/>
  <c r="J83" i="41"/>
  <c r="J83" i="40"/>
  <c r="J83" i="44"/>
  <c r="BP6" i="25"/>
  <c r="K83" i="36"/>
  <c r="K83" i="41"/>
  <c r="K83" i="40"/>
  <c r="K83" i="44"/>
  <c r="BQ6" i="25"/>
  <c r="L83" i="36"/>
  <c r="L83" i="41"/>
  <c r="L83" i="40"/>
  <c r="L83" i="44"/>
  <c r="AD83" i="44"/>
  <c r="AS20" i="23"/>
  <c r="AC6" i="25"/>
  <c r="AT20" i="23"/>
  <c r="AD6" i="25"/>
  <c r="AU20" i="23"/>
  <c r="AE6" i="25"/>
  <c r="AS20" i="22"/>
  <c r="AF6" i="25"/>
  <c r="AT20" i="22"/>
  <c r="AG6" i="25"/>
  <c r="AU20" i="22"/>
  <c r="AH6" i="25"/>
  <c r="BI6" i="25"/>
  <c r="M45" i="36"/>
  <c r="M45" i="41"/>
  <c r="M45" i="40"/>
  <c r="M45" i="44"/>
  <c r="BJ6" i="25"/>
  <c r="N45" i="36"/>
  <c r="N45" i="41"/>
  <c r="N45" i="40"/>
  <c r="N45" i="44"/>
  <c r="BK6" i="25"/>
  <c r="O45" i="36"/>
  <c r="O45" i="41"/>
  <c r="O45" i="40"/>
  <c r="O45" i="44"/>
  <c r="AE45" i="44"/>
  <c r="BR6" i="25"/>
  <c r="M83" i="36"/>
  <c r="M83" i="41"/>
  <c r="M83" i="40"/>
  <c r="M83" i="44"/>
  <c r="BS6" i="25"/>
  <c r="N83" i="36"/>
  <c r="N83" i="41"/>
  <c r="N83" i="40"/>
  <c r="N83" i="44"/>
  <c r="BT6" i="25"/>
  <c r="O83" i="36"/>
  <c r="O83" i="41"/>
  <c r="O83" i="40"/>
  <c r="O83" i="44"/>
  <c r="AE83" i="44"/>
  <c r="AV7" i="31"/>
  <c r="D46" i="36"/>
  <c r="D46" i="41"/>
  <c r="D46" i="40"/>
  <c r="D46" i="44"/>
  <c r="AW7" i="31"/>
  <c r="E46" i="36"/>
  <c r="E46" i="41"/>
  <c r="E46" i="40"/>
  <c r="E46" i="44"/>
  <c r="AX7" i="31"/>
  <c r="F46" i="36"/>
  <c r="F46" i="41"/>
  <c r="F46" i="40"/>
  <c r="F46" i="44"/>
  <c r="AY7" i="31"/>
  <c r="G46" i="36"/>
  <c r="G46" i="41"/>
  <c r="G46" i="40"/>
  <c r="G46" i="44"/>
  <c r="AC46" i="44"/>
  <c r="BC7" i="31"/>
  <c r="D84" i="36"/>
  <c r="D84" i="41"/>
  <c r="D84" i="40"/>
  <c r="D84" i="44"/>
  <c r="BD7" i="31"/>
  <c r="E84" i="36"/>
  <c r="E84" i="41"/>
  <c r="E84" i="40"/>
  <c r="E84" i="44"/>
  <c r="BE7" i="31"/>
  <c r="F84" i="36"/>
  <c r="F84" i="41"/>
  <c r="F84" i="40"/>
  <c r="F84" i="44"/>
  <c r="BF7" i="31"/>
  <c r="G84" i="36"/>
  <c r="G84" i="41"/>
  <c r="G84" i="40"/>
  <c r="G84" i="44"/>
  <c r="AC84" i="44"/>
  <c r="BF15" i="30"/>
  <c r="Y7" i="31"/>
  <c r="BF7" i="25"/>
  <c r="J46" i="36"/>
  <c r="J46" i="41"/>
  <c r="J46" i="40"/>
  <c r="J46" i="44"/>
  <c r="BG7" i="25"/>
  <c r="K46" i="36"/>
  <c r="K46" i="41"/>
  <c r="K46" i="40"/>
  <c r="K46" i="44"/>
  <c r="BH7" i="25"/>
  <c r="L46" i="36"/>
  <c r="L46" i="41"/>
  <c r="L46" i="40"/>
  <c r="L46" i="44"/>
  <c r="AD46" i="44"/>
  <c r="BO7" i="25"/>
  <c r="J84" i="36"/>
  <c r="J84" i="41"/>
  <c r="J84" i="40"/>
  <c r="J84" i="44"/>
  <c r="BP7" i="25"/>
  <c r="K84" i="36"/>
  <c r="K84" i="41"/>
  <c r="K84" i="40"/>
  <c r="K84" i="44"/>
  <c r="BQ7" i="25"/>
  <c r="L84" i="36"/>
  <c r="L84" i="41"/>
  <c r="L84" i="40"/>
  <c r="L84" i="44"/>
  <c r="AD84" i="44"/>
  <c r="AS21" i="23"/>
  <c r="AC7" i="25"/>
  <c r="AT21" i="23"/>
  <c r="AD7" i="25"/>
  <c r="AU21" i="23"/>
  <c r="AE7" i="25"/>
  <c r="AS21" i="22"/>
  <c r="AF7" i="25"/>
  <c r="AT21" i="22"/>
  <c r="AG7" i="25"/>
  <c r="AU21" i="22"/>
  <c r="AH7" i="25"/>
  <c r="K14" i="24"/>
  <c r="L14" i="24"/>
  <c r="BI7" i="25"/>
  <c r="M46" i="36"/>
  <c r="M46" i="41"/>
  <c r="M46" i="40"/>
  <c r="M46" i="44"/>
  <c r="BJ7" i="25"/>
  <c r="N46" i="36"/>
  <c r="N46" i="41"/>
  <c r="N46" i="40"/>
  <c r="N46" i="44"/>
  <c r="BK7" i="25"/>
  <c r="O46" i="36"/>
  <c r="O46" i="41"/>
  <c r="O46" i="40"/>
  <c r="O46" i="44"/>
  <c r="AE46" i="44"/>
  <c r="BR7" i="25"/>
  <c r="M84" i="36"/>
  <c r="M84" i="41"/>
  <c r="M84" i="40"/>
  <c r="M84" i="44"/>
  <c r="BS7" i="25"/>
  <c r="N84" i="36"/>
  <c r="N84" i="41"/>
  <c r="N84" i="40"/>
  <c r="N84" i="44"/>
  <c r="BT7" i="25"/>
  <c r="O84" i="36"/>
  <c r="O84" i="41"/>
  <c r="O84" i="40"/>
  <c r="O84" i="44"/>
  <c r="AE84" i="44"/>
  <c r="AV8" i="31"/>
  <c r="D47" i="36"/>
  <c r="D47" i="41"/>
  <c r="D47" i="40"/>
  <c r="D47" i="44"/>
  <c r="AW8" i="31"/>
  <c r="E47" i="36"/>
  <c r="E47" i="41"/>
  <c r="E47" i="40"/>
  <c r="E47" i="44"/>
  <c r="AX8" i="31"/>
  <c r="F47" i="36"/>
  <c r="F47" i="41"/>
  <c r="F47" i="40"/>
  <c r="F47" i="44"/>
  <c r="AY8" i="31"/>
  <c r="G47" i="36"/>
  <c r="G47" i="41"/>
  <c r="G47" i="40"/>
  <c r="G47" i="44"/>
  <c r="AC47" i="44"/>
  <c r="BC8" i="31"/>
  <c r="D85" i="36"/>
  <c r="D85" i="41"/>
  <c r="D85" i="40"/>
  <c r="D85" i="44"/>
  <c r="BD8" i="31"/>
  <c r="E85" i="36"/>
  <c r="E85" i="41"/>
  <c r="E85" i="40"/>
  <c r="E85" i="44"/>
  <c r="BE8" i="31"/>
  <c r="F85" i="36"/>
  <c r="F85" i="41"/>
  <c r="F85" i="40"/>
  <c r="F85" i="44"/>
  <c r="BF8" i="31"/>
  <c r="G85" i="36"/>
  <c r="G85" i="41"/>
  <c r="G85" i="40"/>
  <c r="G85" i="44"/>
  <c r="AC85" i="44"/>
  <c r="BF16" i="30"/>
  <c r="Y8" i="31"/>
  <c r="BF8" i="25"/>
  <c r="J47" i="36"/>
  <c r="J47" i="41"/>
  <c r="J47" i="40"/>
  <c r="J47" i="44"/>
  <c r="BG8" i="25"/>
  <c r="K47" i="36"/>
  <c r="K47" i="41"/>
  <c r="K47" i="40"/>
  <c r="K47" i="44"/>
  <c r="BH8" i="25"/>
  <c r="L47" i="36"/>
  <c r="L47" i="41"/>
  <c r="L47" i="40"/>
  <c r="L47" i="44"/>
  <c r="AD47" i="44"/>
  <c r="BO8" i="25"/>
  <c r="J85" i="36"/>
  <c r="J85" i="41"/>
  <c r="J85" i="40"/>
  <c r="J85" i="44"/>
  <c r="BP8" i="25"/>
  <c r="K85" i="36"/>
  <c r="K85" i="41"/>
  <c r="K85" i="40"/>
  <c r="K85" i="44"/>
  <c r="BQ8" i="25"/>
  <c r="L85" i="36"/>
  <c r="L85" i="41"/>
  <c r="L85" i="40"/>
  <c r="L85" i="44"/>
  <c r="AD85" i="44"/>
  <c r="AS22" i="23"/>
  <c r="AC8" i="25"/>
  <c r="AT22" i="23"/>
  <c r="AD8" i="25"/>
  <c r="AU22" i="23"/>
  <c r="AE8" i="25"/>
  <c r="AS22" i="22"/>
  <c r="AF8" i="25"/>
  <c r="AT22" i="22"/>
  <c r="AG8" i="25"/>
  <c r="AU22" i="22"/>
  <c r="AH8" i="25"/>
  <c r="K15" i="24"/>
  <c r="L15" i="24"/>
  <c r="BI8" i="25"/>
  <c r="M47" i="36"/>
  <c r="M47" i="41"/>
  <c r="M47" i="40"/>
  <c r="M47" i="44"/>
  <c r="BJ8" i="25"/>
  <c r="N47" i="36"/>
  <c r="N47" i="41"/>
  <c r="N47" i="40"/>
  <c r="N47" i="44"/>
  <c r="BK8" i="25"/>
  <c r="O47" i="36"/>
  <c r="O47" i="41"/>
  <c r="O47" i="40"/>
  <c r="O47" i="44"/>
  <c r="AE47" i="44"/>
  <c r="BR8" i="25"/>
  <c r="M85" i="36"/>
  <c r="M85" i="41"/>
  <c r="M85" i="40"/>
  <c r="M85" i="44"/>
  <c r="BS8" i="25"/>
  <c r="N85" i="36"/>
  <c r="N85" i="41"/>
  <c r="N85" i="40"/>
  <c r="N85" i="44"/>
  <c r="BT8" i="25"/>
  <c r="O85" i="36"/>
  <c r="O85" i="41"/>
  <c r="O85" i="40"/>
  <c r="O85" i="44"/>
  <c r="AE85" i="44"/>
  <c r="AV9" i="31"/>
  <c r="D48" i="36"/>
  <c r="D48" i="41"/>
  <c r="D48" i="40"/>
  <c r="D48" i="44"/>
  <c r="AW9" i="31"/>
  <c r="E48" i="36"/>
  <c r="E48" i="41"/>
  <c r="E48" i="40"/>
  <c r="E48" i="44"/>
  <c r="AX9" i="31"/>
  <c r="F48" i="36"/>
  <c r="F48" i="41"/>
  <c r="F48" i="40"/>
  <c r="F48" i="44"/>
  <c r="AY9" i="31"/>
  <c r="G48" i="36"/>
  <c r="G48" i="41"/>
  <c r="G48" i="40"/>
  <c r="G48" i="44"/>
  <c r="AC48" i="44"/>
  <c r="BC9" i="31"/>
  <c r="D86" i="36"/>
  <c r="D86" i="41"/>
  <c r="D86" i="40"/>
  <c r="D86" i="44"/>
  <c r="BD9" i="31"/>
  <c r="E86" i="36"/>
  <c r="E86" i="41"/>
  <c r="E86" i="40"/>
  <c r="E86" i="44"/>
  <c r="BE9" i="31"/>
  <c r="F86" i="36"/>
  <c r="F86" i="41"/>
  <c r="F86" i="40"/>
  <c r="F86" i="44"/>
  <c r="BF9" i="31"/>
  <c r="G86" i="36"/>
  <c r="G86" i="41"/>
  <c r="G86" i="40"/>
  <c r="G86" i="44"/>
  <c r="AC86" i="44"/>
  <c r="BF17" i="30"/>
  <c r="Y9" i="31"/>
  <c r="BF9" i="25"/>
  <c r="J48" i="36"/>
  <c r="J48" i="41"/>
  <c r="J48" i="40"/>
  <c r="J48" i="44"/>
  <c r="BG9" i="25"/>
  <c r="K48" i="36"/>
  <c r="K48" i="41"/>
  <c r="K48" i="40"/>
  <c r="K48" i="44"/>
  <c r="BH9" i="25"/>
  <c r="L48" i="36"/>
  <c r="L48" i="41"/>
  <c r="L48" i="40"/>
  <c r="L48" i="44"/>
  <c r="AD48" i="44"/>
  <c r="BO9" i="25"/>
  <c r="J86" i="36"/>
  <c r="J86" i="41"/>
  <c r="J86" i="40"/>
  <c r="J86" i="44"/>
  <c r="BP9" i="25"/>
  <c r="K86" i="36"/>
  <c r="K86" i="41"/>
  <c r="K86" i="40"/>
  <c r="K86" i="44"/>
  <c r="BQ9" i="25"/>
  <c r="L86" i="36"/>
  <c r="L86" i="41"/>
  <c r="L86" i="40"/>
  <c r="L86" i="44"/>
  <c r="AD86" i="44"/>
  <c r="AS23" i="23"/>
  <c r="AC9" i="25"/>
  <c r="AT23" i="23"/>
  <c r="AD9" i="25"/>
  <c r="AU23" i="23"/>
  <c r="AE9" i="25"/>
  <c r="AS23" i="22"/>
  <c r="AF9" i="25"/>
  <c r="AT23" i="22"/>
  <c r="AG9" i="25"/>
  <c r="AU23" i="22"/>
  <c r="AH9" i="25"/>
  <c r="K16" i="24"/>
  <c r="L16" i="24"/>
  <c r="BI9" i="25"/>
  <c r="M48" i="36"/>
  <c r="M48" i="41"/>
  <c r="M48" i="40"/>
  <c r="M48" i="44"/>
  <c r="BJ9" i="25"/>
  <c r="N48" i="36"/>
  <c r="N48" i="41"/>
  <c r="N48" i="40"/>
  <c r="N48" i="44"/>
  <c r="BK9" i="25"/>
  <c r="O48" i="36"/>
  <c r="O48" i="41"/>
  <c r="O48" i="40"/>
  <c r="O48" i="44"/>
  <c r="AE48" i="44"/>
  <c r="BR9" i="25"/>
  <c r="M86" i="36"/>
  <c r="M86" i="41"/>
  <c r="M86" i="40"/>
  <c r="M86" i="44"/>
  <c r="BS9" i="25"/>
  <c r="N86" i="36"/>
  <c r="N86" i="41"/>
  <c r="N86" i="40"/>
  <c r="N86" i="44"/>
  <c r="BT9" i="25"/>
  <c r="O86" i="36"/>
  <c r="O86" i="41"/>
  <c r="O86" i="40"/>
  <c r="O86" i="44"/>
  <c r="AE86" i="44"/>
  <c r="AV10" i="31"/>
  <c r="D49" i="36"/>
  <c r="D49" i="41"/>
  <c r="D49" i="40"/>
  <c r="D49" i="44"/>
  <c r="AW10" i="31"/>
  <c r="E49" i="36"/>
  <c r="E49" i="41"/>
  <c r="E49" i="40"/>
  <c r="E49" i="44"/>
  <c r="AX10" i="31"/>
  <c r="F49" i="36"/>
  <c r="F49" i="41"/>
  <c r="F49" i="40"/>
  <c r="F49" i="44"/>
  <c r="AY10" i="31"/>
  <c r="G49" i="36"/>
  <c r="G49" i="41"/>
  <c r="G49" i="40"/>
  <c r="G49" i="44"/>
  <c r="AC49" i="44"/>
  <c r="BC10" i="31"/>
  <c r="D87" i="36"/>
  <c r="D87" i="41"/>
  <c r="D87" i="40"/>
  <c r="D87" i="44"/>
  <c r="BD10" i="31"/>
  <c r="E87" i="36"/>
  <c r="E87" i="41"/>
  <c r="E87" i="40"/>
  <c r="E87" i="44"/>
  <c r="BE10" i="31"/>
  <c r="F87" i="36"/>
  <c r="F87" i="41"/>
  <c r="F87" i="40"/>
  <c r="F87" i="44"/>
  <c r="BF10" i="31"/>
  <c r="G87" i="36"/>
  <c r="G87" i="41"/>
  <c r="G87" i="40"/>
  <c r="G87" i="44"/>
  <c r="AC87" i="44"/>
  <c r="BF18" i="30"/>
  <c r="Y10" i="31"/>
  <c r="BF10" i="25"/>
  <c r="J49" i="36"/>
  <c r="J49" i="41"/>
  <c r="J49" i="40"/>
  <c r="J49" i="44"/>
  <c r="BG10" i="25"/>
  <c r="K49" i="36"/>
  <c r="K49" i="41"/>
  <c r="K49" i="40"/>
  <c r="K49" i="44"/>
  <c r="BH10" i="25"/>
  <c r="L49" i="36"/>
  <c r="L49" i="41"/>
  <c r="L49" i="40"/>
  <c r="L49" i="44"/>
  <c r="AD49" i="44"/>
  <c r="BO10" i="25"/>
  <c r="J87" i="36"/>
  <c r="J87" i="41"/>
  <c r="J87" i="40"/>
  <c r="J87" i="44"/>
  <c r="BP10" i="25"/>
  <c r="K87" i="36"/>
  <c r="K87" i="41"/>
  <c r="K87" i="40"/>
  <c r="K87" i="44"/>
  <c r="BQ10" i="25"/>
  <c r="L87" i="36"/>
  <c r="L87" i="41"/>
  <c r="L87" i="40"/>
  <c r="L87" i="44"/>
  <c r="AD87" i="44"/>
  <c r="AS24" i="23"/>
  <c r="AC10" i="25"/>
  <c r="AT24" i="23"/>
  <c r="AD10" i="25"/>
  <c r="AU24" i="23"/>
  <c r="AE10" i="25"/>
  <c r="AS24" i="22"/>
  <c r="AF10" i="25"/>
  <c r="AT24" i="22"/>
  <c r="AG10" i="25"/>
  <c r="AU24" i="22"/>
  <c r="AH10" i="25"/>
  <c r="K17" i="24"/>
  <c r="L17" i="24"/>
  <c r="BI10" i="25"/>
  <c r="M49" i="36"/>
  <c r="M49" i="41"/>
  <c r="M49" i="40"/>
  <c r="M49" i="44"/>
  <c r="BJ10" i="25"/>
  <c r="N49" i="36"/>
  <c r="N49" i="41"/>
  <c r="N49" i="40"/>
  <c r="N49" i="44"/>
  <c r="BK10" i="25"/>
  <c r="O49" i="36"/>
  <c r="O49" i="41"/>
  <c r="O49" i="40"/>
  <c r="O49" i="44"/>
  <c r="AE49" i="44"/>
  <c r="BR10" i="25"/>
  <c r="M87" i="36"/>
  <c r="M87" i="41"/>
  <c r="M87" i="40"/>
  <c r="M87" i="44"/>
  <c r="BS10" i="25"/>
  <c r="N87" i="36"/>
  <c r="N87" i="41"/>
  <c r="N87" i="40"/>
  <c r="N87" i="44"/>
  <c r="BT10" i="25"/>
  <c r="O87" i="36"/>
  <c r="O87" i="41"/>
  <c r="O87" i="40"/>
  <c r="O87" i="44"/>
  <c r="AE87" i="44"/>
  <c r="AV11" i="31"/>
  <c r="D50" i="36"/>
  <c r="D50" i="41"/>
  <c r="D50" i="40"/>
  <c r="D50" i="44"/>
  <c r="AW11" i="31"/>
  <c r="E50" i="36"/>
  <c r="E50" i="41"/>
  <c r="E50" i="40"/>
  <c r="E50" i="44"/>
  <c r="AX11" i="31"/>
  <c r="F50" i="36"/>
  <c r="F50" i="41"/>
  <c r="F50" i="40"/>
  <c r="F50" i="44"/>
  <c r="AY11" i="31"/>
  <c r="G50" i="36"/>
  <c r="G50" i="41"/>
  <c r="G50" i="40"/>
  <c r="G50" i="44"/>
  <c r="AC50" i="44"/>
  <c r="BC11" i="31"/>
  <c r="D88" i="36"/>
  <c r="D88" i="41"/>
  <c r="D88" i="40"/>
  <c r="D88" i="44"/>
  <c r="BD11" i="31"/>
  <c r="E88" i="36"/>
  <c r="E88" i="41"/>
  <c r="E88" i="40"/>
  <c r="E88" i="44"/>
  <c r="BE11" i="31"/>
  <c r="F88" i="36"/>
  <c r="F88" i="41"/>
  <c r="F88" i="40"/>
  <c r="F88" i="44"/>
  <c r="BF11" i="31"/>
  <c r="G88" i="36"/>
  <c r="G88" i="41"/>
  <c r="G88" i="40"/>
  <c r="G88" i="44"/>
  <c r="AC88" i="44"/>
  <c r="BF19" i="30"/>
  <c r="Y11" i="31"/>
  <c r="BF11" i="25"/>
  <c r="J50" i="36"/>
  <c r="J50" i="41"/>
  <c r="J50" i="40"/>
  <c r="J50" i="44"/>
  <c r="BG11" i="25"/>
  <c r="K50" i="36"/>
  <c r="K50" i="41"/>
  <c r="K50" i="40"/>
  <c r="K50" i="44"/>
  <c r="BH11" i="25"/>
  <c r="L50" i="36"/>
  <c r="L50" i="41"/>
  <c r="L50" i="40"/>
  <c r="L50" i="44"/>
  <c r="AD50" i="44"/>
  <c r="BO11" i="25"/>
  <c r="J88" i="36"/>
  <c r="J88" i="41"/>
  <c r="J88" i="40"/>
  <c r="J88" i="44"/>
  <c r="BP11" i="25"/>
  <c r="K88" i="36"/>
  <c r="K88" i="41"/>
  <c r="K88" i="40"/>
  <c r="K88" i="44"/>
  <c r="BQ11" i="25"/>
  <c r="L88" i="36"/>
  <c r="L88" i="41"/>
  <c r="L88" i="40"/>
  <c r="L88" i="44"/>
  <c r="AD88" i="44"/>
  <c r="AS25" i="23"/>
  <c r="AC11" i="25"/>
  <c r="AT25" i="23"/>
  <c r="AD11" i="25"/>
  <c r="AU25" i="23"/>
  <c r="AE11" i="25"/>
  <c r="AS25" i="22"/>
  <c r="AF11" i="25"/>
  <c r="AT25" i="22"/>
  <c r="AG11" i="25"/>
  <c r="AU25" i="22"/>
  <c r="AH11" i="25"/>
  <c r="K18" i="24"/>
  <c r="L18" i="24"/>
  <c r="BI11" i="25"/>
  <c r="M50" i="36"/>
  <c r="M50" i="41"/>
  <c r="M50" i="40"/>
  <c r="M50" i="44"/>
  <c r="BJ11" i="25"/>
  <c r="N50" i="36"/>
  <c r="N50" i="41"/>
  <c r="N50" i="40"/>
  <c r="N50" i="44"/>
  <c r="BK11" i="25"/>
  <c r="O50" i="36"/>
  <c r="O50" i="41"/>
  <c r="O50" i="40"/>
  <c r="O50" i="44"/>
  <c r="AE50" i="44"/>
  <c r="BR11" i="25"/>
  <c r="M88" i="36"/>
  <c r="M88" i="41"/>
  <c r="M88" i="40"/>
  <c r="M88" i="44"/>
  <c r="BS11" i="25"/>
  <c r="N88" i="36"/>
  <c r="N88" i="41"/>
  <c r="N88" i="40"/>
  <c r="N88" i="44"/>
  <c r="BT11" i="25"/>
  <c r="O88" i="36"/>
  <c r="O88" i="41"/>
  <c r="O88" i="40"/>
  <c r="O88" i="44"/>
  <c r="AE88" i="44"/>
  <c r="AV12" i="31"/>
  <c r="D51" i="36"/>
  <c r="D51" i="41"/>
  <c r="D51" i="40"/>
  <c r="D51" i="44"/>
  <c r="AW12" i="31"/>
  <c r="E51" i="36"/>
  <c r="E51" i="41"/>
  <c r="E51" i="40"/>
  <c r="E51" i="44"/>
  <c r="AX12" i="31"/>
  <c r="F51" i="36"/>
  <c r="F51" i="41"/>
  <c r="F51" i="40"/>
  <c r="F51" i="44"/>
  <c r="AY12" i="31"/>
  <c r="G51" i="36"/>
  <c r="G51" i="41"/>
  <c r="G51" i="40"/>
  <c r="G51" i="44"/>
  <c r="AC51" i="44"/>
  <c r="BC12" i="31"/>
  <c r="D89" i="36"/>
  <c r="D89" i="41"/>
  <c r="D89" i="40"/>
  <c r="D89" i="44"/>
  <c r="BD12" i="31"/>
  <c r="E89" i="36"/>
  <c r="E89" i="41"/>
  <c r="E89" i="40"/>
  <c r="E89" i="44"/>
  <c r="BE12" i="31"/>
  <c r="F89" i="36"/>
  <c r="F89" i="41"/>
  <c r="F89" i="40"/>
  <c r="F89" i="44"/>
  <c r="BF12" i="31"/>
  <c r="G89" i="36"/>
  <c r="G89" i="41"/>
  <c r="G89" i="40"/>
  <c r="G89" i="44"/>
  <c r="AC89" i="44"/>
  <c r="BF20" i="30"/>
  <c r="Y12" i="31"/>
  <c r="BF12" i="25"/>
  <c r="J51" i="36"/>
  <c r="J51" i="41"/>
  <c r="J51" i="40"/>
  <c r="J51" i="44"/>
  <c r="BG12" i="25"/>
  <c r="K51" i="36"/>
  <c r="K51" i="41"/>
  <c r="K51" i="40"/>
  <c r="K51" i="44"/>
  <c r="BH12" i="25"/>
  <c r="L51" i="36"/>
  <c r="L51" i="41"/>
  <c r="L51" i="40"/>
  <c r="L51" i="44"/>
  <c r="AD51" i="44"/>
  <c r="BO12" i="25"/>
  <c r="J89" i="36"/>
  <c r="J89" i="41"/>
  <c r="J89" i="40"/>
  <c r="J89" i="44"/>
  <c r="BP12" i="25"/>
  <c r="K89" i="36"/>
  <c r="K89" i="41"/>
  <c r="K89" i="40"/>
  <c r="K89" i="44"/>
  <c r="BQ12" i="25"/>
  <c r="L89" i="36"/>
  <c r="L89" i="41"/>
  <c r="L89" i="40"/>
  <c r="L89" i="44"/>
  <c r="AD89" i="44"/>
  <c r="AS26" i="23"/>
  <c r="AC12" i="25"/>
  <c r="AT26" i="23"/>
  <c r="AD12" i="25"/>
  <c r="AU26" i="23"/>
  <c r="AE12" i="25"/>
  <c r="AS26" i="22"/>
  <c r="AF12" i="25"/>
  <c r="AT26" i="22"/>
  <c r="AG12" i="25"/>
  <c r="AU26" i="22"/>
  <c r="AH12" i="25"/>
  <c r="K19" i="24"/>
  <c r="L19" i="24"/>
  <c r="BI12" i="25"/>
  <c r="M51" i="36"/>
  <c r="M51" i="41"/>
  <c r="M51" i="40"/>
  <c r="M51" i="44"/>
  <c r="BJ12" i="25"/>
  <c r="N51" i="36"/>
  <c r="N51" i="41"/>
  <c r="N51" i="40"/>
  <c r="N51" i="44"/>
  <c r="BK12" i="25"/>
  <c r="O51" i="36"/>
  <c r="O51" i="41"/>
  <c r="O51" i="40"/>
  <c r="O51" i="44"/>
  <c r="AE51" i="44"/>
  <c r="BR12" i="25"/>
  <c r="M89" i="36"/>
  <c r="M89" i="41"/>
  <c r="M89" i="40"/>
  <c r="M89" i="44"/>
  <c r="BS12" i="25"/>
  <c r="N89" i="36"/>
  <c r="N89" i="41"/>
  <c r="N89" i="40"/>
  <c r="N89" i="44"/>
  <c r="BT12" i="25"/>
  <c r="O89" i="36"/>
  <c r="O89" i="41"/>
  <c r="O89" i="40"/>
  <c r="O89" i="44"/>
  <c r="AE89" i="44"/>
  <c r="AV13" i="31"/>
  <c r="D52" i="36"/>
  <c r="D52" i="41"/>
  <c r="D52" i="40"/>
  <c r="D52" i="44"/>
  <c r="AW13" i="31"/>
  <c r="E52" i="36"/>
  <c r="E52" i="41"/>
  <c r="E52" i="40"/>
  <c r="E52" i="44"/>
  <c r="AX13" i="31"/>
  <c r="F52" i="36"/>
  <c r="F52" i="41"/>
  <c r="F52" i="40"/>
  <c r="F52" i="44"/>
  <c r="AY13" i="31"/>
  <c r="G52" i="36"/>
  <c r="G52" i="41"/>
  <c r="G52" i="40"/>
  <c r="G52" i="44"/>
  <c r="AC52" i="44"/>
  <c r="BC13" i="31"/>
  <c r="D90" i="36"/>
  <c r="D90" i="41"/>
  <c r="D90" i="40"/>
  <c r="D90" i="44"/>
  <c r="BD13" i="31"/>
  <c r="E90" i="36"/>
  <c r="E90" i="41"/>
  <c r="E90" i="40"/>
  <c r="E90" i="44"/>
  <c r="BE13" i="31"/>
  <c r="F90" i="36"/>
  <c r="F90" i="41"/>
  <c r="F90" i="40"/>
  <c r="F90" i="44"/>
  <c r="BF13" i="31"/>
  <c r="G90" i="36"/>
  <c r="G90" i="41"/>
  <c r="G90" i="40"/>
  <c r="G90" i="44"/>
  <c r="AC90" i="44"/>
  <c r="BF21" i="30"/>
  <c r="Y13" i="31"/>
  <c r="BF13" i="25"/>
  <c r="J52" i="36"/>
  <c r="J52" i="41"/>
  <c r="J52" i="40"/>
  <c r="J52" i="44"/>
  <c r="BG13" i="25"/>
  <c r="K52" i="36"/>
  <c r="K52" i="41"/>
  <c r="K52" i="40"/>
  <c r="K52" i="44"/>
  <c r="BH13" i="25"/>
  <c r="L52" i="36"/>
  <c r="L52" i="41"/>
  <c r="L52" i="40"/>
  <c r="L52" i="44"/>
  <c r="AD52" i="44"/>
  <c r="BO13" i="25"/>
  <c r="J90" i="36"/>
  <c r="J90" i="41"/>
  <c r="J90" i="40"/>
  <c r="J90" i="44"/>
  <c r="BP13" i="25"/>
  <c r="K90" i="36"/>
  <c r="K90" i="41"/>
  <c r="K90" i="40"/>
  <c r="K90" i="44"/>
  <c r="BQ13" i="25"/>
  <c r="L90" i="36"/>
  <c r="L90" i="41"/>
  <c r="L90" i="40"/>
  <c r="L90" i="44"/>
  <c r="AD90" i="44"/>
  <c r="AS27" i="23"/>
  <c r="AC13" i="25"/>
  <c r="AT27" i="23"/>
  <c r="AD13" i="25"/>
  <c r="AU27" i="23"/>
  <c r="AE13" i="25"/>
  <c r="AS27" i="22"/>
  <c r="AF13" i="25"/>
  <c r="AT27" i="22"/>
  <c r="AG13" i="25"/>
  <c r="AU27" i="22"/>
  <c r="AH13" i="25"/>
  <c r="K21" i="24"/>
  <c r="L21" i="24"/>
  <c r="BI13" i="25"/>
  <c r="M52" i="36"/>
  <c r="M52" i="41"/>
  <c r="M52" i="40"/>
  <c r="M52" i="44"/>
  <c r="BJ13" i="25"/>
  <c r="N52" i="36"/>
  <c r="N52" i="41"/>
  <c r="N52" i="40"/>
  <c r="N52" i="44"/>
  <c r="BK13" i="25"/>
  <c r="O52" i="36"/>
  <c r="O52" i="41"/>
  <c r="O52" i="40"/>
  <c r="O52" i="44"/>
  <c r="AE52" i="44"/>
  <c r="BR13" i="25"/>
  <c r="M90" i="36"/>
  <c r="M90" i="41"/>
  <c r="M90" i="40"/>
  <c r="M90" i="44"/>
  <c r="BS13" i="25"/>
  <c r="N90" i="36"/>
  <c r="N90" i="41"/>
  <c r="N90" i="40"/>
  <c r="N90" i="44"/>
  <c r="BT13" i="25"/>
  <c r="O90" i="36"/>
  <c r="O90" i="41"/>
  <c r="O90" i="40"/>
  <c r="O90" i="44"/>
  <c r="AE90" i="44"/>
  <c r="AV14" i="31"/>
  <c r="D53" i="36"/>
  <c r="D53" i="41"/>
  <c r="D53" i="40"/>
  <c r="D53" i="44"/>
  <c r="AW14" i="31"/>
  <c r="E53" i="36"/>
  <c r="E53" i="41"/>
  <c r="E53" i="40"/>
  <c r="E53" i="44"/>
  <c r="AX14" i="31"/>
  <c r="F53" i="36"/>
  <c r="F53" i="41"/>
  <c r="F53" i="40"/>
  <c r="F53" i="44"/>
  <c r="AY14" i="31"/>
  <c r="G53" i="36"/>
  <c r="G53" i="41"/>
  <c r="G53" i="40"/>
  <c r="G53" i="44"/>
  <c r="AC53" i="44"/>
  <c r="BC14" i="31"/>
  <c r="D91" i="36"/>
  <c r="D91" i="41"/>
  <c r="D91" i="40"/>
  <c r="D91" i="44"/>
  <c r="BD14" i="31"/>
  <c r="E91" i="36"/>
  <c r="E91" i="41"/>
  <c r="E91" i="40"/>
  <c r="E91" i="44"/>
  <c r="BE14" i="31"/>
  <c r="F91" i="36"/>
  <c r="F91" i="41"/>
  <c r="F91" i="40"/>
  <c r="F91" i="44"/>
  <c r="BF14" i="31"/>
  <c r="G91" i="36"/>
  <c r="G91" i="41"/>
  <c r="G91" i="40"/>
  <c r="G91" i="44"/>
  <c r="AC91" i="44"/>
  <c r="BF22" i="30"/>
  <c r="Y14" i="31"/>
  <c r="BF14" i="25"/>
  <c r="J53" i="36"/>
  <c r="J53" i="41"/>
  <c r="J53" i="40"/>
  <c r="J53" i="44"/>
  <c r="BG14" i="25"/>
  <c r="K53" i="36"/>
  <c r="K53" i="41"/>
  <c r="K53" i="40"/>
  <c r="K53" i="44"/>
  <c r="BH14" i="25"/>
  <c r="L53" i="36"/>
  <c r="L53" i="41"/>
  <c r="L53" i="40"/>
  <c r="L53" i="44"/>
  <c r="AD53" i="44"/>
  <c r="BO14" i="25"/>
  <c r="J91" i="36"/>
  <c r="J91" i="41"/>
  <c r="J91" i="40"/>
  <c r="J91" i="44"/>
  <c r="BP14" i="25"/>
  <c r="K91" i="36"/>
  <c r="K91" i="41"/>
  <c r="K91" i="40"/>
  <c r="K91" i="44"/>
  <c r="BQ14" i="25"/>
  <c r="L91" i="36"/>
  <c r="L91" i="41"/>
  <c r="L91" i="40"/>
  <c r="L91" i="44"/>
  <c r="AD91" i="44"/>
  <c r="AS28" i="23"/>
  <c r="AC14" i="25"/>
  <c r="AT28" i="23"/>
  <c r="AD14" i="25"/>
  <c r="AU28" i="23"/>
  <c r="AE14" i="25"/>
  <c r="AS28" i="22"/>
  <c r="AF14" i="25"/>
  <c r="AT28" i="22"/>
  <c r="AG14" i="25"/>
  <c r="AU28" i="22"/>
  <c r="AH14" i="25"/>
  <c r="BI14" i="25"/>
  <c r="M53" i="36"/>
  <c r="M53" i="41"/>
  <c r="M53" i="40"/>
  <c r="M53" i="44"/>
  <c r="BJ14" i="25"/>
  <c r="N53" i="36"/>
  <c r="N53" i="41"/>
  <c r="N53" i="40"/>
  <c r="N53" i="44"/>
  <c r="BK14" i="25"/>
  <c r="O53" i="36"/>
  <c r="O53" i="41"/>
  <c r="O53" i="40"/>
  <c r="O53" i="44"/>
  <c r="AE53" i="44"/>
  <c r="BR14" i="25"/>
  <c r="M91" i="36"/>
  <c r="M91" i="41"/>
  <c r="M91" i="40"/>
  <c r="M91" i="44"/>
  <c r="BS14" i="25"/>
  <c r="N91" i="36"/>
  <c r="N91" i="41"/>
  <c r="N91" i="40"/>
  <c r="N91" i="44"/>
  <c r="BT14" i="25"/>
  <c r="O91" i="36"/>
  <c r="O91" i="41"/>
  <c r="O91" i="40"/>
  <c r="O91" i="44"/>
  <c r="AE91" i="44"/>
  <c r="AV15" i="31"/>
  <c r="D54" i="36"/>
  <c r="D54" i="41"/>
  <c r="D54" i="40"/>
  <c r="D54" i="44"/>
  <c r="AW15" i="31"/>
  <c r="E54" i="36"/>
  <c r="E54" i="41"/>
  <c r="E54" i="40"/>
  <c r="E54" i="44"/>
  <c r="AX15" i="31"/>
  <c r="F54" i="36"/>
  <c r="F54" i="41"/>
  <c r="F54" i="40"/>
  <c r="F54" i="44"/>
  <c r="AY15" i="31"/>
  <c r="G54" i="36"/>
  <c r="G54" i="41"/>
  <c r="G54" i="40"/>
  <c r="G54" i="44"/>
  <c r="AC54" i="44"/>
  <c r="BC15" i="31"/>
  <c r="D92" i="36"/>
  <c r="D92" i="41"/>
  <c r="D92" i="40"/>
  <c r="D92" i="44"/>
  <c r="BD15" i="31"/>
  <c r="E92" i="36"/>
  <c r="E92" i="41"/>
  <c r="E92" i="40"/>
  <c r="E92" i="44"/>
  <c r="BE15" i="31"/>
  <c r="F92" i="36"/>
  <c r="F92" i="41"/>
  <c r="F92" i="40"/>
  <c r="F92" i="44"/>
  <c r="BF15" i="31"/>
  <c r="G92" i="36"/>
  <c r="G92" i="41"/>
  <c r="G92" i="40"/>
  <c r="G92" i="44"/>
  <c r="AC92" i="44"/>
  <c r="BF23" i="30"/>
  <c r="Y15" i="31"/>
  <c r="BF15" i="25"/>
  <c r="J54" i="36"/>
  <c r="J54" i="41"/>
  <c r="J54" i="40"/>
  <c r="J54" i="44"/>
  <c r="BG15" i="25"/>
  <c r="K54" i="36"/>
  <c r="K54" i="41"/>
  <c r="K54" i="40"/>
  <c r="K54" i="44"/>
  <c r="BH15" i="25"/>
  <c r="L54" i="36"/>
  <c r="L54" i="41"/>
  <c r="L54" i="40"/>
  <c r="L54" i="44"/>
  <c r="AD54" i="44"/>
  <c r="BO15" i="25"/>
  <c r="J92" i="36"/>
  <c r="J92" i="41"/>
  <c r="J92" i="40"/>
  <c r="J92" i="44"/>
  <c r="BP15" i="25"/>
  <c r="K92" i="36"/>
  <c r="K92" i="41"/>
  <c r="K92" i="40"/>
  <c r="K92" i="44"/>
  <c r="BQ15" i="25"/>
  <c r="L92" i="36"/>
  <c r="L92" i="41"/>
  <c r="L92" i="40"/>
  <c r="L92" i="44"/>
  <c r="AD92" i="44"/>
  <c r="AS29" i="23"/>
  <c r="AC15" i="25"/>
  <c r="AT29" i="23"/>
  <c r="AD15" i="25"/>
  <c r="AU29" i="23"/>
  <c r="AE15" i="25"/>
  <c r="AS29" i="22"/>
  <c r="AF15" i="25"/>
  <c r="AT29" i="22"/>
  <c r="AG15" i="25"/>
  <c r="AU29" i="22"/>
  <c r="AH15" i="25"/>
  <c r="K22" i="24"/>
  <c r="L22" i="24"/>
  <c r="BI15" i="25"/>
  <c r="M54" i="36"/>
  <c r="M54" i="41"/>
  <c r="M54" i="40"/>
  <c r="M54" i="44"/>
  <c r="BJ15" i="25"/>
  <c r="N54" i="36"/>
  <c r="N54" i="41"/>
  <c r="N54" i="40"/>
  <c r="N54" i="44"/>
  <c r="BK15" i="25"/>
  <c r="O54" i="36"/>
  <c r="O54" i="41"/>
  <c r="O54" i="40"/>
  <c r="O54" i="44"/>
  <c r="AE54" i="44"/>
  <c r="BR15" i="25"/>
  <c r="M92" i="36"/>
  <c r="M92" i="41"/>
  <c r="M92" i="40"/>
  <c r="M92" i="44"/>
  <c r="BS15" i="25"/>
  <c r="N92" i="36"/>
  <c r="N92" i="41"/>
  <c r="N92" i="40"/>
  <c r="N92" i="44"/>
  <c r="BT15" i="25"/>
  <c r="O92" i="36"/>
  <c r="O92" i="41"/>
  <c r="O92" i="40"/>
  <c r="O92" i="44"/>
  <c r="AE92" i="44"/>
  <c r="AV16" i="31"/>
  <c r="D55" i="36"/>
  <c r="D55" i="41"/>
  <c r="D55" i="40"/>
  <c r="D55" i="44"/>
  <c r="AW16" i="31"/>
  <c r="E55" i="36"/>
  <c r="E55" i="41"/>
  <c r="E55" i="40"/>
  <c r="E55" i="44"/>
  <c r="AX16" i="31"/>
  <c r="F55" i="36"/>
  <c r="F55" i="41"/>
  <c r="F55" i="40"/>
  <c r="F55" i="44"/>
  <c r="AY16" i="31"/>
  <c r="G55" i="36"/>
  <c r="G55" i="41"/>
  <c r="G55" i="40"/>
  <c r="G55" i="44"/>
  <c r="AC55" i="44"/>
  <c r="BC16" i="31"/>
  <c r="D93" i="36"/>
  <c r="D93" i="41"/>
  <c r="D93" i="40"/>
  <c r="D93" i="44"/>
  <c r="BD16" i="31"/>
  <c r="E93" i="36"/>
  <c r="E93" i="41"/>
  <c r="E93" i="40"/>
  <c r="E93" i="44"/>
  <c r="BE16" i="31"/>
  <c r="F93" i="36"/>
  <c r="F93" i="41"/>
  <c r="F93" i="40"/>
  <c r="F93" i="44"/>
  <c r="BF16" i="31"/>
  <c r="G93" i="36"/>
  <c r="G93" i="41"/>
  <c r="G93" i="40"/>
  <c r="G93" i="44"/>
  <c r="AC93" i="44"/>
  <c r="BF24" i="30"/>
  <c r="Y16" i="31"/>
  <c r="BF16" i="25"/>
  <c r="J55" i="36"/>
  <c r="J55" i="41"/>
  <c r="J55" i="40"/>
  <c r="J55" i="44"/>
  <c r="BG16" i="25"/>
  <c r="K55" i="36"/>
  <c r="K55" i="41"/>
  <c r="K55" i="40"/>
  <c r="K55" i="44"/>
  <c r="BH16" i="25"/>
  <c r="L55" i="36"/>
  <c r="L55" i="41"/>
  <c r="L55" i="40"/>
  <c r="L55" i="44"/>
  <c r="AD55" i="44"/>
  <c r="BO16" i="25"/>
  <c r="J93" i="36"/>
  <c r="J93" i="41"/>
  <c r="J93" i="40"/>
  <c r="J93" i="44"/>
  <c r="BP16" i="25"/>
  <c r="K93" i="36"/>
  <c r="K93" i="41"/>
  <c r="K93" i="40"/>
  <c r="K93" i="44"/>
  <c r="BQ16" i="25"/>
  <c r="L93" i="36"/>
  <c r="L93" i="41"/>
  <c r="L93" i="40"/>
  <c r="L93" i="44"/>
  <c r="AD93" i="44"/>
  <c r="AS30" i="23"/>
  <c r="AC16" i="25"/>
  <c r="AT30" i="23"/>
  <c r="AD16" i="25"/>
  <c r="AU30" i="23"/>
  <c r="AE16" i="25"/>
  <c r="AS30" i="22"/>
  <c r="AF16" i="25"/>
  <c r="AT30" i="22"/>
  <c r="AG16" i="25"/>
  <c r="AU30" i="22"/>
  <c r="AH16" i="25"/>
  <c r="K23" i="24"/>
  <c r="L23" i="24"/>
  <c r="BI16" i="25"/>
  <c r="M55" i="36"/>
  <c r="M55" i="41"/>
  <c r="M55" i="40"/>
  <c r="M55" i="44"/>
  <c r="BJ16" i="25"/>
  <c r="N55" i="36"/>
  <c r="N55" i="41"/>
  <c r="N55" i="40"/>
  <c r="N55" i="44"/>
  <c r="BK16" i="25"/>
  <c r="O55" i="36"/>
  <c r="O55" i="41"/>
  <c r="O55" i="40"/>
  <c r="O55" i="44"/>
  <c r="AE55" i="44"/>
  <c r="BR16" i="25"/>
  <c r="M93" i="36"/>
  <c r="M93" i="41"/>
  <c r="M93" i="40"/>
  <c r="M93" i="44"/>
  <c r="BS16" i="25"/>
  <c r="N93" i="36"/>
  <c r="N93" i="41"/>
  <c r="N93" i="40"/>
  <c r="N93" i="44"/>
  <c r="BT16" i="25"/>
  <c r="O93" i="36"/>
  <c r="O93" i="41"/>
  <c r="O93" i="40"/>
  <c r="O93" i="44"/>
  <c r="AE93" i="44"/>
  <c r="AV17" i="31"/>
  <c r="D56" i="36"/>
  <c r="D56" i="41"/>
  <c r="D56" i="40"/>
  <c r="D56" i="44"/>
  <c r="AW17" i="31"/>
  <c r="E56" i="36"/>
  <c r="E56" i="41"/>
  <c r="E56" i="40"/>
  <c r="E56" i="44"/>
  <c r="AX17" i="31"/>
  <c r="F56" i="36"/>
  <c r="F56" i="41"/>
  <c r="F56" i="40"/>
  <c r="F56" i="44"/>
  <c r="AY17" i="31"/>
  <c r="G56" i="36"/>
  <c r="G56" i="41"/>
  <c r="G56" i="40"/>
  <c r="G56" i="44"/>
  <c r="AC56" i="44"/>
  <c r="BC17" i="31"/>
  <c r="D94" i="36"/>
  <c r="D94" i="41"/>
  <c r="D94" i="40"/>
  <c r="D94" i="44"/>
  <c r="BD17" i="31"/>
  <c r="E94" i="36"/>
  <c r="E94" i="41"/>
  <c r="E94" i="40"/>
  <c r="E94" i="44"/>
  <c r="BE17" i="31"/>
  <c r="F94" i="36"/>
  <c r="F94" i="41"/>
  <c r="F94" i="40"/>
  <c r="F94" i="44"/>
  <c r="BF17" i="31"/>
  <c r="G94" i="36"/>
  <c r="G94" i="41"/>
  <c r="G94" i="40"/>
  <c r="G94" i="44"/>
  <c r="AC94" i="44"/>
  <c r="BF25" i="30"/>
  <c r="Y17" i="31"/>
  <c r="BF17" i="25"/>
  <c r="J56" i="36"/>
  <c r="J56" i="41"/>
  <c r="J56" i="40"/>
  <c r="J56" i="44"/>
  <c r="BG17" i="25"/>
  <c r="K56" i="36"/>
  <c r="K56" i="41"/>
  <c r="K56" i="40"/>
  <c r="K56" i="44"/>
  <c r="BH17" i="25"/>
  <c r="L56" i="36"/>
  <c r="L56" i="41"/>
  <c r="L56" i="40"/>
  <c r="L56" i="44"/>
  <c r="AD56" i="44"/>
  <c r="BO17" i="25"/>
  <c r="J94" i="36"/>
  <c r="J94" i="41"/>
  <c r="J94" i="40"/>
  <c r="J94" i="44"/>
  <c r="BP17" i="25"/>
  <c r="K94" i="36"/>
  <c r="K94" i="41"/>
  <c r="K94" i="40"/>
  <c r="K94" i="44"/>
  <c r="BQ17" i="25"/>
  <c r="L94" i="36"/>
  <c r="L94" i="41"/>
  <c r="L94" i="40"/>
  <c r="L94" i="44"/>
  <c r="AD94" i="44"/>
  <c r="AS31" i="23"/>
  <c r="AC17" i="25"/>
  <c r="AT31" i="23"/>
  <c r="AD17" i="25"/>
  <c r="AU31" i="23"/>
  <c r="AE17" i="25"/>
  <c r="AS31" i="22"/>
  <c r="AF17" i="25"/>
  <c r="AT31" i="22"/>
  <c r="AG17" i="25"/>
  <c r="AU31" i="22"/>
  <c r="AH17" i="25"/>
  <c r="K24" i="24"/>
  <c r="L24" i="24"/>
  <c r="BI17" i="25"/>
  <c r="M56" i="36"/>
  <c r="M56" i="41"/>
  <c r="M56" i="40"/>
  <c r="M56" i="44"/>
  <c r="BJ17" i="25"/>
  <c r="N56" i="36"/>
  <c r="N56" i="41"/>
  <c r="N56" i="40"/>
  <c r="N56" i="44"/>
  <c r="BK17" i="25"/>
  <c r="O56" i="36"/>
  <c r="O56" i="41"/>
  <c r="O56" i="40"/>
  <c r="O56" i="44"/>
  <c r="AE56" i="44"/>
  <c r="BR17" i="25"/>
  <c r="M94" i="36"/>
  <c r="M94" i="41"/>
  <c r="M94" i="40"/>
  <c r="M94" i="44"/>
  <c r="BS17" i="25"/>
  <c r="N94" i="36"/>
  <c r="N94" i="41"/>
  <c r="N94" i="40"/>
  <c r="N94" i="44"/>
  <c r="BT17" i="25"/>
  <c r="O94" i="36"/>
  <c r="O94" i="41"/>
  <c r="O94" i="40"/>
  <c r="O94" i="44"/>
  <c r="AE94" i="44"/>
  <c r="AV18" i="31"/>
  <c r="D57" i="36"/>
  <c r="D57" i="41"/>
  <c r="D57" i="40"/>
  <c r="D57" i="44"/>
  <c r="AW18" i="31"/>
  <c r="E57" i="36"/>
  <c r="E57" i="41"/>
  <c r="E57" i="40"/>
  <c r="E57" i="44"/>
  <c r="AX18" i="31"/>
  <c r="F57" i="36"/>
  <c r="F57" i="41"/>
  <c r="F57" i="40"/>
  <c r="F57" i="44"/>
  <c r="AY18" i="31"/>
  <c r="G57" i="36"/>
  <c r="G57" i="41"/>
  <c r="G57" i="40"/>
  <c r="G57" i="44"/>
  <c r="AC57" i="44"/>
  <c r="BC18" i="31"/>
  <c r="D95" i="36"/>
  <c r="D95" i="41"/>
  <c r="D95" i="40"/>
  <c r="D95" i="44"/>
  <c r="BD18" i="31"/>
  <c r="E95" i="36"/>
  <c r="E95" i="41"/>
  <c r="E95" i="40"/>
  <c r="E95" i="44"/>
  <c r="BE18" i="31"/>
  <c r="F95" i="36"/>
  <c r="F95" i="41"/>
  <c r="F95" i="40"/>
  <c r="F95" i="44"/>
  <c r="BF18" i="31"/>
  <c r="G95" i="36"/>
  <c r="G95" i="41"/>
  <c r="G95" i="40"/>
  <c r="G95" i="44"/>
  <c r="AC95" i="44"/>
  <c r="BF26" i="30"/>
  <c r="Y18" i="31"/>
  <c r="BF18" i="25"/>
  <c r="J57" i="36"/>
  <c r="J57" i="41"/>
  <c r="J57" i="40"/>
  <c r="J57" i="44"/>
  <c r="BG18" i="25"/>
  <c r="K57" i="36"/>
  <c r="K57" i="41"/>
  <c r="K57" i="40"/>
  <c r="K57" i="44"/>
  <c r="BH18" i="25"/>
  <c r="L57" i="36"/>
  <c r="L57" i="41"/>
  <c r="L57" i="40"/>
  <c r="L57" i="44"/>
  <c r="AD57" i="44"/>
  <c r="BO18" i="25"/>
  <c r="J95" i="36"/>
  <c r="J95" i="41"/>
  <c r="J95" i="40"/>
  <c r="J95" i="44"/>
  <c r="BP18" i="25"/>
  <c r="K95" i="36"/>
  <c r="K95" i="41"/>
  <c r="K95" i="40"/>
  <c r="K95" i="44"/>
  <c r="BQ18" i="25"/>
  <c r="L95" i="36"/>
  <c r="L95" i="41"/>
  <c r="L95" i="40"/>
  <c r="L95" i="44"/>
  <c r="AD95" i="44"/>
  <c r="AS32" i="23"/>
  <c r="AC18" i="25"/>
  <c r="AT32" i="23"/>
  <c r="AD18" i="25"/>
  <c r="AU32" i="23"/>
  <c r="AE18" i="25"/>
  <c r="AS32" i="22"/>
  <c r="AF18" i="25"/>
  <c r="AT32" i="22"/>
  <c r="AG18" i="25"/>
  <c r="AU32" i="22"/>
  <c r="AH18" i="25"/>
  <c r="K25" i="24"/>
  <c r="L25" i="24"/>
  <c r="BI18" i="25"/>
  <c r="M57" i="36"/>
  <c r="M57" i="41"/>
  <c r="M57" i="40"/>
  <c r="M57" i="44"/>
  <c r="BJ18" i="25"/>
  <c r="N57" i="36"/>
  <c r="N57" i="41"/>
  <c r="N57" i="40"/>
  <c r="N57" i="44"/>
  <c r="BK18" i="25"/>
  <c r="O57" i="36"/>
  <c r="O57" i="41"/>
  <c r="O57" i="40"/>
  <c r="O57" i="44"/>
  <c r="AE57" i="44"/>
  <c r="BR18" i="25"/>
  <c r="M95" i="36"/>
  <c r="M95" i="41"/>
  <c r="M95" i="40"/>
  <c r="M95" i="44"/>
  <c r="BS18" i="25"/>
  <c r="N95" i="36"/>
  <c r="N95" i="41"/>
  <c r="N95" i="40"/>
  <c r="N95" i="44"/>
  <c r="BT18" i="25"/>
  <c r="O95" i="36"/>
  <c r="O95" i="41"/>
  <c r="O95" i="40"/>
  <c r="O95" i="44"/>
  <c r="AE95" i="44"/>
  <c r="AV19" i="31"/>
  <c r="D58" i="36"/>
  <c r="D58" i="41"/>
  <c r="D58" i="40"/>
  <c r="D58" i="44"/>
  <c r="AW19" i="31"/>
  <c r="E58" i="36"/>
  <c r="E58" i="41"/>
  <c r="E58" i="40"/>
  <c r="E58" i="44"/>
  <c r="AX19" i="31"/>
  <c r="F58" i="36"/>
  <c r="F58" i="41"/>
  <c r="F58" i="40"/>
  <c r="F58" i="44"/>
  <c r="AY19" i="31"/>
  <c r="G58" i="36"/>
  <c r="G58" i="41"/>
  <c r="G58" i="40"/>
  <c r="G58" i="44"/>
  <c r="AC58" i="44"/>
  <c r="BC19" i="31"/>
  <c r="D96" i="36"/>
  <c r="D96" i="41"/>
  <c r="D96" i="40"/>
  <c r="D96" i="44"/>
  <c r="BD19" i="31"/>
  <c r="E96" i="36"/>
  <c r="E96" i="41"/>
  <c r="E96" i="40"/>
  <c r="E96" i="44"/>
  <c r="BE19" i="31"/>
  <c r="F96" i="36"/>
  <c r="F96" i="41"/>
  <c r="F96" i="40"/>
  <c r="F96" i="44"/>
  <c r="BF19" i="31"/>
  <c r="G96" i="36"/>
  <c r="G96" i="41"/>
  <c r="G96" i="40"/>
  <c r="G96" i="44"/>
  <c r="AC96" i="44"/>
  <c r="BF27" i="30"/>
  <c r="Y19" i="31"/>
  <c r="BF19" i="25"/>
  <c r="J58" i="36"/>
  <c r="J58" i="41"/>
  <c r="J58" i="40"/>
  <c r="J58" i="44"/>
  <c r="BG19" i="25"/>
  <c r="K58" i="36"/>
  <c r="K58" i="41"/>
  <c r="K58" i="40"/>
  <c r="K58" i="44"/>
  <c r="BH19" i="25"/>
  <c r="L58" i="36"/>
  <c r="L58" i="41"/>
  <c r="L58" i="40"/>
  <c r="L58" i="44"/>
  <c r="AD58" i="44"/>
  <c r="BO19" i="25"/>
  <c r="J96" i="36"/>
  <c r="J96" i="41"/>
  <c r="J96" i="40"/>
  <c r="J96" i="44"/>
  <c r="BP19" i="25"/>
  <c r="K96" i="36"/>
  <c r="K96" i="41"/>
  <c r="K96" i="40"/>
  <c r="K96" i="44"/>
  <c r="BQ19" i="25"/>
  <c r="L96" i="36"/>
  <c r="L96" i="41"/>
  <c r="L96" i="40"/>
  <c r="L96" i="44"/>
  <c r="AD96" i="44"/>
  <c r="AS33" i="23"/>
  <c r="AC19" i="25"/>
  <c r="AT33" i="23"/>
  <c r="AD19" i="25"/>
  <c r="AU33" i="23"/>
  <c r="AE19" i="25"/>
  <c r="AS33" i="22"/>
  <c r="AF19" i="25"/>
  <c r="AT33" i="22"/>
  <c r="AG19" i="25"/>
  <c r="AU33" i="22"/>
  <c r="AH19" i="25"/>
  <c r="K26" i="24"/>
  <c r="L26" i="24"/>
  <c r="BI19" i="25"/>
  <c r="M58" i="36"/>
  <c r="M58" i="41"/>
  <c r="M58" i="40"/>
  <c r="M58" i="44"/>
  <c r="BJ19" i="25"/>
  <c r="N58" i="36"/>
  <c r="N58" i="41"/>
  <c r="N58" i="40"/>
  <c r="N58" i="44"/>
  <c r="BK19" i="25"/>
  <c r="O58" i="36"/>
  <c r="O58" i="41"/>
  <c r="O58" i="40"/>
  <c r="O58" i="44"/>
  <c r="AE58" i="44"/>
  <c r="BR19" i="25"/>
  <c r="M96" i="36"/>
  <c r="M96" i="41"/>
  <c r="M96" i="40"/>
  <c r="M96" i="44"/>
  <c r="BS19" i="25"/>
  <c r="N96" i="36"/>
  <c r="N96" i="41"/>
  <c r="N96" i="40"/>
  <c r="N96" i="44"/>
  <c r="BT19" i="25"/>
  <c r="O96" i="36"/>
  <c r="O96" i="41"/>
  <c r="O96" i="40"/>
  <c r="O96" i="44"/>
  <c r="AE96" i="44"/>
  <c r="AV20" i="31"/>
  <c r="D59" i="36"/>
  <c r="D59" i="41"/>
  <c r="D59" i="40"/>
  <c r="D59" i="44"/>
  <c r="AW20" i="31"/>
  <c r="E59" i="36"/>
  <c r="E59" i="41"/>
  <c r="E59" i="40"/>
  <c r="E59" i="44"/>
  <c r="AX20" i="31"/>
  <c r="F59" i="36"/>
  <c r="F59" i="41"/>
  <c r="F59" i="40"/>
  <c r="F59" i="44"/>
  <c r="AY20" i="31"/>
  <c r="G59" i="36"/>
  <c r="G59" i="41"/>
  <c r="G59" i="40"/>
  <c r="G59" i="44"/>
  <c r="AC59" i="44"/>
  <c r="BC20" i="31"/>
  <c r="D97" i="36"/>
  <c r="D97" i="41"/>
  <c r="D97" i="40"/>
  <c r="D97" i="44"/>
  <c r="BD20" i="31"/>
  <c r="E97" i="36"/>
  <c r="E97" i="41"/>
  <c r="E97" i="40"/>
  <c r="E97" i="44"/>
  <c r="BE20" i="31"/>
  <c r="F97" i="36"/>
  <c r="F97" i="41"/>
  <c r="F97" i="40"/>
  <c r="F97" i="44"/>
  <c r="BF20" i="31"/>
  <c r="G97" i="36"/>
  <c r="G97" i="41"/>
  <c r="G97" i="40"/>
  <c r="G97" i="44"/>
  <c r="AC97" i="44"/>
  <c r="BF28" i="30"/>
  <c r="Y20" i="31"/>
  <c r="BF20" i="25"/>
  <c r="J59" i="36"/>
  <c r="J59" i="41"/>
  <c r="J59" i="40"/>
  <c r="J59" i="44"/>
  <c r="BG20" i="25"/>
  <c r="K59" i="36"/>
  <c r="K59" i="41"/>
  <c r="K59" i="40"/>
  <c r="K59" i="44"/>
  <c r="BH20" i="25"/>
  <c r="L59" i="36"/>
  <c r="L59" i="41"/>
  <c r="L59" i="40"/>
  <c r="L59" i="44"/>
  <c r="AD59" i="44"/>
  <c r="BO20" i="25"/>
  <c r="J97" i="36"/>
  <c r="J97" i="41"/>
  <c r="J97" i="40"/>
  <c r="J97" i="44"/>
  <c r="BP20" i="25"/>
  <c r="K97" i="36"/>
  <c r="K97" i="41"/>
  <c r="K97" i="40"/>
  <c r="K97" i="44"/>
  <c r="BQ20" i="25"/>
  <c r="L97" i="36"/>
  <c r="L97" i="41"/>
  <c r="L97" i="40"/>
  <c r="L97" i="44"/>
  <c r="AD97" i="44"/>
  <c r="AS34" i="23"/>
  <c r="AC20" i="25"/>
  <c r="AT34" i="23"/>
  <c r="AD20" i="25"/>
  <c r="AU34" i="23"/>
  <c r="AE20" i="25"/>
  <c r="AS34" i="22"/>
  <c r="AF20" i="25"/>
  <c r="AT34" i="22"/>
  <c r="AG20" i="25"/>
  <c r="AU34" i="22"/>
  <c r="AH20" i="25"/>
  <c r="K27" i="24"/>
  <c r="L27" i="24"/>
  <c r="BI20" i="25"/>
  <c r="M59" i="36"/>
  <c r="M59" i="41"/>
  <c r="M59" i="40"/>
  <c r="M59" i="44"/>
  <c r="BJ20" i="25"/>
  <c r="N59" i="36"/>
  <c r="N59" i="41"/>
  <c r="N59" i="40"/>
  <c r="N59" i="44"/>
  <c r="BK20" i="25"/>
  <c r="O59" i="36"/>
  <c r="O59" i="41"/>
  <c r="O59" i="40"/>
  <c r="O59" i="44"/>
  <c r="AE59" i="44"/>
  <c r="BR20" i="25"/>
  <c r="M97" i="36"/>
  <c r="M97" i="41"/>
  <c r="M97" i="40"/>
  <c r="M97" i="44"/>
  <c r="BS20" i="25"/>
  <c r="N97" i="36"/>
  <c r="N97" i="41"/>
  <c r="N97" i="40"/>
  <c r="N97" i="44"/>
  <c r="BT20" i="25"/>
  <c r="O97" i="36"/>
  <c r="O97" i="41"/>
  <c r="O97" i="40"/>
  <c r="O97" i="44"/>
  <c r="AE97" i="44"/>
  <c r="AV21" i="31"/>
  <c r="D60" i="36"/>
  <c r="D60" i="41"/>
  <c r="D60" i="40"/>
  <c r="D60" i="44"/>
  <c r="AW21" i="31"/>
  <c r="E60" i="36"/>
  <c r="E60" i="41"/>
  <c r="E60" i="40"/>
  <c r="E60" i="44"/>
  <c r="AX21" i="31"/>
  <c r="F60" i="36"/>
  <c r="F60" i="41"/>
  <c r="F60" i="40"/>
  <c r="F60" i="44"/>
  <c r="AY21" i="31"/>
  <c r="G60" i="36"/>
  <c r="G60" i="41"/>
  <c r="G60" i="40"/>
  <c r="G60" i="44"/>
  <c r="AC60" i="44"/>
  <c r="BC21" i="31"/>
  <c r="D98" i="36"/>
  <c r="D98" i="41"/>
  <c r="D98" i="40"/>
  <c r="D98" i="44"/>
  <c r="BD21" i="31"/>
  <c r="E98" i="36"/>
  <c r="E98" i="41"/>
  <c r="E98" i="40"/>
  <c r="E98" i="44"/>
  <c r="BE21" i="31"/>
  <c r="F98" i="36"/>
  <c r="F98" i="41"/>
  <c r="F98" i="40"/>
  <c r="F98" i="44"/>
  <c r="BF21" i="31"/>
  <c r="G98" i="36"/>
  <c r="G98" i="41"/>
  <c r="G98" i="40"/>
  <c r="G98" i="44"/>
  <c r="AC98" i="44"/>
  <c r="BF29" i="30"/>
  <c r="Y21" i="31"/>
  <c r="BF21" i="25"/>
  <c r="J60" i="36"/>
  <c r="J60" i="41"/>
  <c r="J60" i="40"/>
  <c r="J60" i="44"/>
  <c r="BG21" i="25"/>
  <c r="K60" i="36"/>
  <c r="K60" i="41"/>
  <c r="K60" i="40"/>
  <c r="K60" i="44"/>
  <c r="BH21" i="25"/>
  <c r="L60" i="36"/>
  <c r="L60" i="41"/>
  <c r="L60" i="40"/>
  <c r="L60" i="44"/>
  <c r="AD60" i="44"/>
  <c r="BO21" i="25"/>
  <c r="J98" i="36"/>
  <c r="J98" i="41"/>
  <c r="J98" i="40"/>
  <c r="J98" i="44"/>
  <c r="BP21" i="25"/>
  <c r="K98" i="36"/>
  <c r="K98" i="41"/>
  <c r="K98" i="40"/>
  <c r="K98" i="44"/>
  <c r="BQ21" i="25"/>
  <c r="L98" i="36"/>
  <c r="L98" i="41"/>
  <c r="L98" i="40"/>
  <c r="L98" i="44"/>
  <c r="AD98" i="44"/>
  <c r="AS35" i="23"/>
  <c r="AC21" i="25"/>
  <c r="AT35" i="23"/>
  <c r="AD21" i="25"/>
  <c r="AU35" i="23"/>
  <c r="AE21" i="25"/>
  <c r="AS35" i="22"/>
  <c r="AF21" i="25"/>
  <c r="AT35" i="22"/>
  <c r="AG21" i="25"/>
  <c r="AU35" i="22"/>
  <c r="AH21" i="25"/>
  <c r="K28" i="24"/>
  <c r="L28" i="24"/>
  <c r="BI21" i="25"/>
  <c r="M60" i="36"/>
  <c r="M60" i="41"/>
  <c r="M60" i="40"/>
  <c r="M60" i="44"/>
  <c r="BJ21" i="25"/>
  <c r="N60" i="36"/>
  <c r="N60" i="41"/>
  <c r="N60" i="40"/>
  <c r="N60" i="44"/>
  <c r="BK21" i="25"/>
  <c r="O60" i="36"/>
  <c r="O60" i="41"/>
  <c r="O60" i="40"/>
  <c r="O60" i="44"/>
  <c r="AE60" i="44"/>
  <c r="BR21" i="25"/>
  <c r="M98" i="36"/>
  <c r="M98" i="41"/>
  <c r="M98" i="40"/>
  <c r="M98" i="44"/>
  <c r="BS21" i="25"/>
  <c r="N98" i="36"/>
  <c r="N98" i="41"/>
  <c r="N98" i="40"/>
  <c r="N98" i="44"/>
  <c r="BT21" i="25"/>
  <c r="O98" i="36"/>
  <c r="O98" i="41"/>
  <c r="O98" i="40"/>
  <c r="O98" i="44"/>
  <c r="AE98" i="44"/>
  <c r="AV22" i="31"/>
  <c r="D61" i="36"/>
  <c r="D61" i="41"/>
  <c r="D61" i="40"/>
  <c r="D61" i="44"/>
  <c r="AW22" i="31"/>
  <c r="E61" i="36"/>
  <c r="E61" i="41"/>
  <c r="E61" i="40"/>
  <c r="E61" i="44"/>
  <c r="AX22" i="31"/>
  <c r="F61" i="36"/>
  <c r="F61" i="41"/>
  <c r="F61" i="40"/>
  <c r="F61" i="44"/>
  <c r="AY22" i="31"/>
  <c r="G61" i="36"/>
  <c r="G61" i="41"/>
  <c r="G61" i="40"/>
  <c r="G61" i="44"/>
  <c r="AC61" i="44"/>
  <c r="BC22" i="31"/>
  <c r="D99" i="36"/>
  <c r="D99" i="41"/>
  <c r="D99" i="40"/>
  <c r="D99" i="44"/>
  <c r="BD22" i="31"/>
  <c r="E99" i="36"/>
  <c r="E99" i="41"/>
  <c r="E99" i="40"/>
  <c r="E99" i="44"/>
  <c r="BE22" i="31"/>
  <c r="F99" i="36"/>
  <c r="F99" i="41"/>
  <c r="F99" i="40"/>
  <c r="F99" i="44"/>
  <c r="BF22" i="31"/>
  <c r="G99" i="36"/>
  <c r="G99" i="41"/>
  <c r="G99" i="40"/>
  <c r="G99" i="44"/>
  <c r="AC99" i="44"/>
  <c r="BF30" i="30"/>
  <c r="Y22" i="31"/>
  <c r="BF22" i="25"/>
  <c r="J61" i="36"/>
  <c r="J61" i="41"/>
  <c r="J61" i="40"/>
  <c r="J61" i="44"/>
  <c r="BG22" i="25"/>
  <c r="K61" i="36"/>
  <c r="K61" i="41"/>
  <c r="K61" i="40"/>
  <c r="K61" i="44"/>
  <c r="BH22" i="25"/>
  <c r="L61" i="36"/>
  <c r="L61" i="41"/>
  <c r="L61" i="40"/>
  <c r="L61" i="44"/>
  <c r="AD61" i="44"/>
  <c r="BO22" i="25"/>
  <c r="J99" i="36"/>
  <c r="J99" i="41"/>
  <c r="J99" i="40"/>
  <c r="J99" i="44"/>
  <c r="BP22" i="25"/>
  <c r="K99" i="36"/>
  <c r="K99" i="41"/>
  <c r="K99" i="40"/>
  <c r="K99" i="44"/>
  <c r="BQ22" i="25"/>
  <c r="L99" i="36"/>
  <c r="L99" i="41"/>
  <c r="L99" i="40"/>
  <c r="L99" i="44"/>
  <c r="AD99" i="44"/>
  <c r="AS36" i="23"/>
  <c r="AC22" i="25"/>
  <c r="AT36" i="23"/>
  <c r="AD22" i="25"/>
  <c r="AU36" i="23"/>
  <c r="AE22" i="25"/>
  <c r="AS36" i="22"/>
  <c r="AF22" i="25"/>
  <c r="AT36" i="22"/>
  <c r="AG22" i="25"/>
  <c r="AU36" i="22"/>
  <c r="AH22" i="25"/>
  <c r="K29" i="24"/>
  <c r="L29" i="24"/>
  <c r="BI22" i="25"/>
  <c r="M61" i="36"/>
  <c r="M61" i="41"/>
  <c r="M61" i="40"/>
  <c r="M61" i="44"/>
  <c r="BJ22" i="25"/>
  <c r="N61" i="36"/>
  <c r="N61" i="41"/>
  <c r="N61" i="40"/>
  <c r="N61" i="44"/>
  <c r="BK22" i="25"/>
  <c r="O61" i="36"/>
  <c r="O61" i="41"/>
  <c r="O61" i="40"/>
  <c r="O61" i="44"/>
  <c r="AE61" i="44"/>
  <c r="BR22" i="25"/>
  <c r="M99" i="36"/>
  <c r="M99" i="41"/>
  <c r="M99" i="40"/>
  <c r="M99" i="44"/>
  <c r="BS22" i="25"/>
  <c r="N99" i="36"/>
  <c r="N99" i="41"/>
  <c r="N99" i="40"/>
  <c r="N99" i="44"/>
  <c r="BT22" i="25"/>
  <c r="O99" i="36"/>
  <c r="O99" i="41"/>
  <c r="O99" i="40"/>
  <c r="O99" i="44"/>
  <c r="AE99" i="44"/>
  <c r="AV23" i="31"/>
  <c r="D62" i="36"/>
  <c r="D62" i="41"/>
  <c r="D62" i="40"/>
  <c r="D62" i="44"/>
  <c r="AW23" i="31"/>
  <c r="E62" i="36"/>
  <c r="E62" i="41"/>
  <c r="E62" i="40"/>
  <c r="E62" i="44"/>
  <c r="AX23" i="31"/>
  <c r="F62" i="36"/>
  <c r="F62" i="41"/>
  <c r="F62" i="40"/>
  <c r="F62" i="44"/>
  <c r="AY23" i="31"/>
  <c r="G62" i="36"/>
  <c r="G62" i="41"/>
  <c r="G62" i="40"/>
  <c r="G62" i="44"/>
  <c r="AC62" i="44"/>
  <c r="BC23" i="31"/>
  <c r="D100" i="36"/>
  <c r="D100" i="41"/>
  <c r="D100" i="40"/>
  <c r="D100" i="44"/>
  <c r="BD23" i="31"/>
  <c r="E100" i="36"/>
  <c r="E100" i="41"/>
  <c r="E100" i="40"/>
  <c r="E100" i="44"/>
  <c r="BE23" i="31"/>
  <c r="F100" i="36"/>
  <c r="F100" i="41"/>
  <c r="F100" i="40"/>
  <c r="F100" i="44"/>
  <c r="BF23" i="31"/>
  <c r="G100" i="36"/>
  <c r="G100" i="41"/>
  <c r="G100" i="40"/>
  <c r="G100" i="44"/>
  <c r="AC100" i="44"/>
  <c r="BF31" i="30"/>
  <c r="Y23" i="31"/>
  <c r="BF23" i="25"/>
  <c r="J62" i="36"/>
  <c r="J62" i="41"/>
  <c r="J62" i="40"/>
  <c r="J62" i="44"/>
  <c r="BG23" i="25"/>
  <c r="K62" i="36"/>
  <c r="K62" i="41"/>
  <c r="K62" i="40"/>
  <c r="K62" i="44"/>
  <c r="BH23" i="25"/>
  <c r="L62" i="36"/>
  <c r="L62" i="41"/>
  <c r="L62" i="40"/>
  <c r="L62" i="44"/>
  <c r="AD62" i="44"/>
  <c r="BO23" i="25"/>
  <c r="J100" i="36"/>
  <c r="J100" i="41"/>
  <c r="J100" i="40"/>
  <c r="J100" i="44"/>
  <c r="BP23" i="25"/>
  <c r="K100" i="36"/>
  <c r="K100" i="41"/>
  <c r="K100" i="40"/>
  <c r="K100" i="44"/>
  <c r="BQ23" i="25"/>
  <c r="L100" i="36"/>
  <c r="L100" i="41"/>
  <c r="L100" i="40"/>
  <c r="L100" i="44"/>
  <c r="AD100" i="44"/>
  <c r="AS37" i="23"/>
  <c r="AC23" i="25"/>
  <c r="AT37" i="23"/>
  <c r="AD23" i="25"/>
  <c r="AU37" i="23"/>
  <c r="AE23" i="25"/>
  <c r="AS37" i="22"/>
  <c r="AF23" i="25"/>
  <c r="AT37" i="22"/>
  <c r="AG23" i="25"/>
  <c r="AU37" i="22"/>
  <c r="AH23" i="25"/>
  <c r="K31" i="24"/>
  <c r="L31" i="24"/>
  <c r="BI23" i="25"/>
  <c r="M62" i="36"/>
  <c r="M62" i="41"/>
  <c r="M62" i="40"/>
  <c r="M62" i="44"/>
  <c r="BJ23" i="25"/>
  <c r="N62" i="36"/>
  <c r="N62" i="41"/>
  <c r="N62" i="40"/>
  <c r="N62" i="44"/>
  <c r="BK23" i="25"/>
  <c r="O62" i="36"/>
  <c r="O62" i="41"/>
  <c r="O62" i="40"/>
  <c r="O62" i="44"/>
  <c r="AE62" i="44"/>
  <c r="BR23" i="25"/>
  <c r="M100" i="36"/>
  <c r="M100" i="41"/>
  <c r="M100" i="40"/>
  <c r="M100" i="44"/>
  <c r="BS23" i="25"/>
  <c r="N100" i="36"/>
  <c r="N100" i="41"/>
  <c r="N100" i="40"/>
  <c r="N100" i="44"/>
  <c r="BT23" i="25"/>
  <c r="O100" i="36"/>
  <c r="O100" i="41"/>
  <c r="O100" i="40"/>
  <c r="O100" i="44"/>
  <c r="AE100" i="44"/>
  <c r="AV24" i="31"/>
  <c r="D63" i="36"/>
  <c r="D63" i="41"/>
  <c r="D63" i="40"/>
  <c r="D63" i="44"/>
  <c r="AW24" i="31"/>
  <c r="E63" i="36"/>
  <c r="E63" i="41"/>
  <c r="E63" i="40"/>
  <c r="E63" i="44"/>
  <c r="AX24" i="31"/>
  <c r="F63" i="36"/>
  <c r="F63" i="41"/>
  <c r="F63" i="40"/>
  <c r="F63" i="44"/>
  <c r="AY24" i="31"/>
  <c r="G63" i="36"/>
  <c r="G63" i="41"/>
  <c r="G63" i="40"/>
  <c r="G63" i="44"/>
  <c r="AC63" i="44"/>
  <c r="BC24" i="31"/>
  <c r="D101" i="36"/>
  <c r="D101" i="41"/>
  <c r="D101" i="40"/>
  <c r="D101" i="44"/>
  <c r="BD24" i="31"/>
  <c r="E101" i="36"/>
  <c r="E101" i="41"/>
  <c r="E101" i="40"/>
  <c r="E101" i="44"/>
  <c r="BE24" i="31"/>
  <c r="F101" i="36"/>
  <c r="F101" i="41"/>
  <c r="F101" i="40"/>
  <c r="F101" i="44"/>
  <c r="BF24" i="31"/>
  <c r="G101" i="36"/>
  <c r="G101" i="41"/>
  <c r="G101" i="40"/>
  <c r="G101" i="44"/>
  <c r="AC101" i="44"/>
  <c r="BF32" i="30"/>
  <c r="Y24" i="31"/>
  <c r="BF24" i="25"/>
  <c r="J63" i="36"/>
  <c r="J63" i="41"/>
  <c r="J63" i="40"/>
  <c r="J63" i="44"/>
  <c r="BG24" i="25"/>
  <c r="K63" i="36"/>
  <c r="K63" i="41"/>
  <c r="K63" i="40"/>
  <c r="K63" i="44"/>
  <c r="BH24" i="25"/>
  <c r="L63" i="36"/>
  <c r="L63" i="41"/>
  <c r="L63" i="40"/>
  <c r="L63" i="44"/>
  <c r="AD63" i="44"/>
  <c r="BO24" i="25"/>
  <c r="J101" i="36"/>
  <c r="J101" i="41"/>
  <c r="J101" i="40"/>
  <c r="J101" i="44"/>
  <c r="BP24" i="25"/>
  <c r="K101" i="36"/>
  <c r="K101" i="41"/>
  <c r="K101" i="40"/>
  <c r="K101" i="44"/>
  <c r="BQ24" i="25"/>
  <c r="L101" i="36"/>
  <c r="L101" i="41"/>
  <c r="L101" i="40"/>
  <c r="L101" i="44"/>
  <c r="AD101" i="44"/>
  <c r="AS38" i="23"/>
  <c r="AC24" i="25"/>
  <c r="AT38" i="23"/>
  <c r="AD24" i="25"/>
  <c r="AU38" i="23"/>
  <c r="AE24" i="25"/>
  <c r="AS38" i="22"/>
  <c r="AF24" i="25"/>
  <c r="AT38" i="22"/>
  <c r="AG24" i="25"/>
  <c r="AU38" i="22"/>
  <c r="AH24" i="25"/>
  <c r="BI24" i="25"/>
  <c r="M63" i="36"/>
  <c r="M63" i="41"/>
  <c r="M63" i="40"/>
  <c r="M63" i="44"/>
  <c r="BJ24" i="25"/>
  <c r="N63" i="36"/>
  <c r="N63" i="41"/>
  <c r="N63" i="40"/>
  <c r="N63" i="44"/>
  <c r="BK24" i="25"/>
  <c r="O63" i="36"/>
  <c r="O63" i="41"/>
  <c r="O63" i="40"/>
  <c r="O63" i="44"/>
  <c r="AE63" i="44"/>
  <c r="BR24" i="25"/>
  <c r="M101" i="36"/>
  <c r="M101" i="41"/>
  <c r="M101" i="40"/>
  <c r="M101" i="44"/>
  <c r="BS24" i="25"/>
  <c r="N101" i="36"/>
  <c r="N101" i="41"/>
  <c r="N101" i="40"/>
  <c r="N101" i="44"/>
  <c r="BT24" i="25"/>
  <c r="O101" i="36"/>
  <c r="O101" i="41"/>
  <c r="O101" i="40"/>
  <c r="O101" i="44"/>
  <c r="AE101" i="44"/>
  <c r="AV25" i="31"/>
  <c r="D64" i="36"/>
  <c r="D64" i="41"/>
  <c r="D64" i="40"/>
  <c r="D64" i="44"/>
  <c r="AW25" i="31"/>
  <c r="E64" i="36"/>
  <c r="E64" i="41"/>
  <c r="E64" i="40"/>
  <c r="E64" i="44"/>
  <c r="AX25" i="31"/>
  <c r="F64" i="36"/>
  <c r="F64" i="41"/>
  <c r="F64" i="40"/>
  <c r="F64" i="44"/>
  <c r="AY25" i="31"/>
  <c r="G64" i="36"/>
  <c r="G64" i="41"/>
  <c r="G64" i="40"/>
  <c r="G64" i="44"/>
  <c r="AC64" i="44"/>
  <c r="BC25" i="31"/>
  <c r="D102" i="36"/>
  <c r="D102" i="41"/>
  <c r="D102" i="40"/>
  <c r="D102" i="44"/>
  <c r="BD25" i="31"/>
  <c r="E102" i="36"/>
  <c r="E102" i="41"/>
  <c r="E102" i="40"/>
  <c r="E102" i="44"/>
  <c r="BE25" i="31"/>
  <c r="F102" i="36"/>
  <c r="F102" i="41"/>
  <c r="F102" i="40"/>
  <c r="F102" i="44"/>
  <c r="BF25" i="31"/>
  <c r="G102" i="36"/>
  <c r="G102" i="41"/>
  <c r="G102" i="40"/>
  <c r="G102" i="44"/>
  <c r="AC102" i="44"/>
  <c r="BF33" i="30"/>
  <c r="Y25" i="31"/>
  <c r="BF25" i="25"/>
  <c r="J64" i="36"/>
  <c r="J64" i="41"/>
  <c r="J64" i="40"/>
  <c r="J64" i="44"/>
  <c r="BG25" i="25"/>
  <c r="K64" i="36"/>
  <c r="K64" i="41"/>
  <c r="K64" i="40"/>
  <c r="K64" i="44"/>
  <c r="BH25" i="25"/>
  <c r="L64" i="36"/>
  <c r="L64" i="41"/>
  <c r="L64" i="40"/>
  <c r="L64" i="44"/>
  <c r="AD64" i="44"/>
  <c r="BO25" i="25"/>
  <c r="J102" i="36"/>
  <c r="J102" i="41"/>
  <c r="J102" i="40"/>
  <c r="J102" i="44"/>
  <c r="BP25" i="25"/>
  <c r="K102" i="36"/>
  <c r="K102" i="41"/>
  <c r="K102" i="40"/>
  <c r="K102" i="44"/>
  <c r="BQ25" i="25"/>
  <c r="L102" i="36"/>
  <c r="L102" i="41"/>
  <c r="L102" i="40"/>
  <c r="L102" i="44"/>
  <c r="AD102" i="44"/>
  <c r="AS39" i="23"/>
  <c r="AC25" i="25"/>
  <c r="AT39" i="23"/>
  <c r="AD25" i="25"/>
  <c r="AU39" i="23"/>
  <c r="AE25" i="25"/>
  <c r="AS39" i="22"/>
  <c r="AF25" i="25"/>
  <c r="AT39" i="22"/>
  <c r="AG25" i="25"/>
  <c r="AU39" i="22"/>
  <c r="AH25" i="25"/>
  <c r="K32" i="24"/>
  <c r="L32" i="24"/>
  <c r="BI25" i="25"/>
  <c r="M64" i="36"/>
  <c r="M64" i="41"/>
  <c r="M64" i="40"/>
  <c r="M64" i="44"/>
  <c r="BJ25" i="25"/>
  <c r="N64" i="36"/>
  <c r="N64" i="41"/>
  <c r="N64" i="40"/>
  <c r="N64" i="44"/>
  <c r="BK25" i="25"/>
  <c r="O64" i="36"/>
  <c r="O64" i="41"/>
  <c r="O64" i="40"/>
  <c r="O64" i="44"/>
  <c r="AE64" i="44"/>
  <c r="BR25" i="25"/>
  <c r="M102" i="36"/>
  <c r="M102" i="41"/>
  <c r="M102" i="40"/>
  <c r="M102" i="44"/>
  <c r="BS25" i="25"/>
  <c r="N102" i="36"/>
  <c r="N102" i="41"/>
  <c r="N102" i="40"/>
  <c r="N102" i="44"/>
  <c r="BT25" i="25"/>
  <c r="O102" i="36"/>
  <c r="O102" i="41"/>
  <c r="O102" i="40"/>
  <c r="O102" i="44"/>
  <c r="AE102" i="44"/>
  <c r="AV26" i="31"/>
  <c r="D65" i="36"/>
  <c r="D65" i="41"/>
  <c r="D65" i="40"/>
  <c r="D65" i="44"/>
  <c r="AW26" i="31"/>
  <c r="E65" i="36"/>
  <c r="E65" i="41"/>
  <c r="E65" i="40"/>
  <c r="E65" i="44"/>
  <c r="AX26" i="31"/>
  <c r="F65" i="36"/>
  <c r="F65" i="41"/>
  <c r="F65" i="40"/>
  <c r="F65" i="44"/>
  <c r="AY26" i="31"/>
  <c r="G65" i="36"/>
  <c r="G65" i="41"/>
  <c r="G65" i="40"/>
  <c r="G65" i="44"/>
  <c r="AC65" i="44"/>
  <c r="BC26" i="31"/>
  <c r="D103" i="36"/>
  <c r="D103" i="41"/>
  <c r="D103" i="40"/>
  <c r="D103" i="44"/>
  <c r="BD26" i="31"/>
  <c r="E103" i="36"/>
  <c r="E103" i="41"/>
  <c r="E103" i="40"/>
  <c r="E103" i="44"/>
  <c r="BE26" i="31"/>
  <c r="F103" i="36"/>
  <c r="F103" i="41"/>
  <c r="F103" i="40"/>
  <c r="F103" i="44"/>
  <c r="BF26" i="31"/>
  <c r="G103" i="36"/>
  <c r="G103" i="41"/>
  <c r="G103" i="40"/>
  <c r="G103" i="44"/>
  <c r="AC103" i="44"/>
  <c r="BF34" i="30"/>
  <c r="Y26" i="31"/>
  <c r="BF26" i="25"/>
  <c r="J65" i="36"/>
  <c r="J65" i="41"/>
  <c r="J65" i="40"/>
  <c r="J65" i="44"/>
  <c r="BG26" i="25"/>
  <c r="K65" i="36"/>
  <c r="K65" i="41"/>
  <c r="K65" i="40"/>
  <c r="K65" i="44"/>
  <c r="BH26" i="25"/>
  <c r="L65" i="36"/>
  <c r="L65" i="41"/>
  <c r="L65" i="40"/>
  <c r="L65" i="44"/>
  <c r="AD65" i="44"/>
  <c r="BO26" i="25"/>
  <c r="J103" i="36"/>
  <c r="J103" i="41"/>
  <c r="J103" i="40"/>
  <c r="J103" i="44"/>
  <c r="BP26" i="25"/>
  <c r="K103" i="36"/>
  <c r="K103" i="41"/>
  <c r="K103" i="40"/>
  <c r="K103" i="44"/>
  <c r="BQ26" i="25"/>
  <c r="L103" i="36"/>
  <c r="L103" i="41"/>
  <c r="L103" i="40"/>
  <c r="L103" i="44"/>
  <c r="AD103" i="44"/>
  <c r="AS40" i="23"/>
  <c r="AC26" i="25"/>
  <c r="AT40" i="23"/>
  <c r="AD26" i="25"/>
  <c r="AU40" i="23"/>
  <c r="AE26" i="25"/>
  <c r="AS40" i="22"/>
  <c r="AF26" i="25"/>
  <c r="AT40" i="22"/>
  <c r="AG26" i="25"/>
  <c r="AU40" i="22"/>
  <c r="AH26" i="25"/>
  <c r="K33" i="24"/>
  <c r="L33" i="24"/>
  <c r="BI26" i="25"/>
  <c r="M65" i="36"/>
  <c r="M65" i="41"/>
  <c r="M65" i="40"/>
  <c r="M65" i="44"/>
  <c r="BJ26" i="25"/>
  <c r="N65" i="36"/>
  <c r="N65" i="41"/>
  <c r="N65" i="40"/>
  <c r="N65" i="44"/>
  <c r="BK26" i="25"/>
  <c r="O65" i="36"/>
  <c r="O65" i="41"/>
  <c r="O65" i="40"/>
  <c r="O65" i="44"/>
  <c r="AE65" i="44"/>
  <c r="BR26" i="25"/>
  <c r="M103" i="36"/>
  <c r="M103" i="41"/>
  <c r="M103" i="40"/>
  <c r="M103" i="44"/>
  <c r="BS26" i="25"/>
  <c r="N103" i="36"/>
  <c r="N103" i="41"/>
  <c r="N103" i="40"/>
  <c r="N103" i="44"/>
  <c r="BT26" i="25"/>
  <c r="O103" i="36"/>
  <c r="O103" i="41"/>
  <c r="O103" i="40"/>
  <c r="O103" i="44"/>
  <c r="AE103" i="44"/>
  <c r="AV27" i="31"/>
  <c r="D66" i="36"/>
  <c r="D66" i="41"/>
  <c r="D66" i="40"/>
  <c r="D66" i="44"/>
  <c r="AW27" i="31"/>
  <c r="E66" i="36"/>
  <c r="E66" i="41"/>
  <c r="E66" i="40"/>
  <c r="E66" i="44"/>
  <c r="AX27" i="31"/>
  <c r="F66" i="36"/>
  <c r="F66" i="41"/>
  <c r="F66" i="40"/>
  <c r="F66" i="44"/>
  <c r="AY27" i="31"/>
  <c r="G66" i="36"/>
  <c r="G66" i="41"/>
  <c r="G66" i="40"/>
  <c r="G66" i="44"/>
  <c r="AC66" i="44"/>
  <c r="BC27" i="31"/>
  <c r="D104" i="36"/>
  <c r="D104" i="41"/>
  <c r="D104" i="40"/>
  <c r="D104" i="44"/>
  <c r="BD27" i="31"/>
  <c r="E104" i="36"/>
  <c r="E104" i="41"/>
  <c r="E104" i="40"/>
  <c r="E104" i="44"/>
  <c r="BE27" i="31"/>
  <c r="F104" i="36"/>
  <c r="F104" i="41"/>
  <c r="F104" i="40"/>
  <c r="F104" i="44"/>
  <c r="BF27" i="31"/>
  <c r="G104" i="36"/>
  <c r="G104" i="41"/>
  <c r="G104" i="40"/>
  <c r="G104" i="44"/>
  <c r="AC104" i="44"/>
  <c r="BF35" i="30"/>
  <c r="Y27" i="31"/>
  <c r="BF27" i="25"/>
  <c r="J66" i="36"/>
  <c r="J66" i="41"/>
  <c r="J66" i="40"/>
  <c r="J66" i="44"/>
  <c r="BG27" i="25"/>
  <c r="K66" i="36"/>
  <c r="K66" i="41"/>
  <c r="K66" i="40"/>
  <c r="K66" i="44"/>
  <c r="BH27" i="25"/>
  <c r="L66" i="36"/>
  <c r="L66" i="41"/>
  <c r="L66" i="40"/>
  <c r="L66" i="44"/>
  <c r="AD66" i="44"/>
  <c r="BO27" i="25"/>
  <c r="J104" i="36"/>
  <c r="J104" i="41"/>
  <c r="J104" i="40"/>
  <c r="J104" i="44"/>
  <c r="BP27" i="25"/>
  <c r="K104" i="36"/>
  <c r="K104" i="41"/>
  <c r="K104" i="40"/>
  <c r="K104" i="44"/>
  <c r="BQ27" i="25"/>
  <c r="L104" i="36"/>
  <c r="L104" i="41"/>
  <c r="L104" i="40"/>
  <c r="L104" i="44"/>
  <c r="AD104" i="44"/>
  <c r="AS41" i="23"/>
  <c r="AC27" i="25"/>
  <c r="AT41" i="23"/>
  <c r="AD27" i="25"/>
  <c r="AU41" i="23"/>
  <c r="AE27" i="25"/>
  <c r="AS41" i="22"/>
  <c r="AF27" i="25"/>
  <c r="AT41" i="22"/>
  <c r="AG27" i="25"/>
  <c r="AU41" i="22"/>
  <c r="AH27" i="25"/>
  <c r="K34" i="24"/>
  <c r="L34" i="24"/>
  <c r="BI27" i="25"/>
  <c r="M66" i="36"/>
  <c r="M66" i="41"/>
  <c r="M66" i="40"/>
  <c r="M66" i="44"/>
  <c r="BJ27" i="25"/>
  <c r="N66" i="36"/>
  <c r="N66" i="41"/>
  <c r="N66" i="40"/>
  <c r="N66" i="44"/>
  <c r="BK27" i="25"/>
  <c r="O66" i="36"/>
  <c r="O66" i="41"/>
  <c r="O66" i="40"/>
  <c r="O66" i="44"/>
  <c r="AE66" i="44"/>
  <c r="BR27" i="25"/>
  <c r="M104" i="36"/>
  <c r="M104" i="41"/>
  <c r="M104" i="40"/>
  <c r="M104" i="44"/>
  <c r="BS27" i="25"/>
  <c r="N104" i="36"/>
  <c r="N104" i="41"/>
  <c r="N104" i="40"/>
  <c r="N104" i="44"/>
  <c r="BT27" i="25"/>
  <c r="O104" i="36"/>
  <c r="O104" i="41"/>
  <c r="O104" i="40"/>
  <c r="O104" i="44"/>
  <c r="AE104" i="44"/>
  <c r="AV28" i="31"/>
  <c r="D67" i="36"/>
  <c r="D67" i="41"/>
  <c r="D67" i="40"/>
  <c r="D67" i="44"/>
  <c r="AW28" i="31"/>
  <c r="E67" i="36"/>
  <c r="E67" i="41"/>
  <c r="E67" i="40"/>
  <c r="E67" i="44"/>
  <c r="AX28" i="31"/>
  <c r="F67" i="36"/>
  <c r="F67" i="41"/>
  <c r="F67" i="40"/>
  <c r="F67" i="44"/>
  <c r="AY28" i="31"/>
  <c r="G67" i="36"/>
  <c r="G67" i="41"/>
  <c r="G67" i="40"/>
  <c r="G67" i="44"/>
  <c r="AC67" i="44"/>
  <c r="BC28" i="31"/>
  <c r="D105" i="36"/>
  <c r="D105" i="41"/>
  <c r="D105" i="40"/>
  <c r="D105" i="44"/>
  <c r="BD28" i="31"/>
  <c r="E105" i="36"/>
  <c r="E105" i="41"/>
  <c r="E105" i="40"/>
  <c r="E105" i="44"/>
  <c r="BE28" i="31"/>
  <c r="F105" i="36"/>
  <c r="F105" i="41"/>
  <c r="F105" i="40"/>
  <c r="F105" i="44"/>
  <c r="BF28" i="31"/>
  <c r="G105" i="36"/>
  <c r="G105" i="41"/>
  <c r="G105" i="40"/>
  <c r="G105" i="44"/>
  <c r="AC105" i="44"/>
  <c r="BF36" i="30"/>
  <c r="Y28" i="31"/>
  <c r="BF28" i="25"/>
  <c r="J67" i="36"/>
  <c r="J67" i="41"/>
  <c r="J67" i="40"/>
  <c r="J67" i="44"/>
  <c r="BG28" i="25"/>
  <c r="K67" i="36"/>
  <c r="K67" i="41"/>
  <c r="K67" i="40"/>
  <c r="K67" i="44"/>
  <c r="BH28" i="25"/>
  <c r="L67" i="36"/>
  <c r="L67" i="41"/>
  <c r="L67" i="40"/>
  <c r="L67" i="44"/>
  <c r="AD67" i="44"/>
  <c r="BO28" i="25"/>
  <c r="J105" i="36"/>
  <c r="J105" i="41"/>
  <c r="J105" i="40"/>
  <c r="J105" i="44"/>
  <c r="BP28" i="25"/>
  <c r="K105" i="36"/>
  <c r="K105" i="41"/>
  <c r="K105" i="40"/>
  <c r="K105" i="44"/>
  <c r="BQ28" i="25"/>
  <c r="L105" i="36"/>
  <c r="L105" i="41"/>
  <c r="L105" i="40"/>
  <c r="L105" i="44"/>
  <c r="AD105" i="44"/>
  <c r="AS42" i="23"/>
  <c r="AC28" i="25"/>
  <c r="AT42" i="23"/>
  <c r="AD28" i="25"/>
  <c r="AU42" i="23"/>
  <c r="AE28" i="25"/>
  <c r="AS42" i="22"/>
  <c r="AF28" i="25"/>
  <c r="AT42" i="22"/>
  <c r="AG28" i="25"/>
  <c r="AU42" i="22"/>
  <c r="AH28" i="25"/>
  <c r="K36" i="24"/>
  <c r="L36" i="24"/>
  <c r="BI28" i="25"/>
  <c r="M67" i="36"/>
  <c r="M67" i="41"/>
  <c r="M67" i="40"/>
  <c r="M67" i="44"/>
  <c r="BJ28" i="25"/>
  <c r="N67" i="36"/>
  <c r="N67" i="41"/>
  <c r="N67" i="40"/>
  <c r="N67" i="44"/>
  <c r="BK28" i="25"/>
  <c r="O67" i="36"/>
  <c r="O67" i="41"/>
  <c r="O67" i="40"/>
  <c r="O67" i="44"/>
  <c r="AE67" i="44"/>
  <c r="BR28" i="25"/>
  <c r="M105" i="36"/>
  <c r="M105" i="41"/>
  <c r="M105" i="40"/>
  <c r="M105" i="44"/>
  <c r="BS28" i="25"/>
  <c r="N105" i="36"/>
  <c r="N105" i="41"/>
  <c r="N105" i="40"/>
  <c r="N105" i="44"/>
  <c r="BT28" i="25"/>
  <c r="O105" i="36"/>
  <c r="O105" i="41"/>
  <c r="O105" i="40"/>
  <c r="O105" i="44"/>
  <c r="AE105" i="44"/>
  <c r="AV29" i="31"/>
  <c r="D68" i="36"/>
  <c r="D68" i="41"/>
  <c r="D68" i="40"/>
  <c r="D68" i="44"/>
  <c r="AW29" i="31"/>
  <c r="E68" i="36"/>
  <c r="E68" i="41"/>
  <c r="E68" i="40"/>
  <c r="E68" i="44"/>
  <c r="AX29" i="31"/>
  <c r="F68" i="36"/>
  <c r="F68" i="41"/>
  <c r="F68" i="40"/>
  <c r="F68" i="44"/>
  <c r="AY29" i="31"/>
  <c r="G68" i="36"/>
  <c r="G68" i="41"/>
  <c r="G68" i="40"/>
  <c r="G68" i="44"/>
  <c r="AC68" i="44"/>
  <c r="BC29" i="31"/>
  <c r="D106" i="36"/>
  <c r="D106" i="41"/>
  <c r="D106" i="40"/>
  <c r="D106" i="44"/>
  <c r="BD29" i="31"/>
  <c r="E106" i="36"/>
  <c r="E106" i="41"/>
  <c r="E106" i="40"/>
  <c r="E106" i="44"/>
  <c r="BE29" i="31"/>
  <c r="F106" i="36"/>
  <c r="F106" i="41"/>
  <c r="F106" i="40"/>
  <c r="F106" i="44"/>
  <c r="BF29" i="31"/>
  <c r="G106" i="36"/>
  <c r="G106" i="41"/>
  <c r="G106" i="40"/>
  <c r="G106" i="44"/>
  <c r="AC106" i="44"/>
  <c r="BF37" i="30"/>
  <c r="Y29" i="31"/>
  <c r="BF29" i="25"/>
  <c r="J68" i="36"/>
  <c r="J68" i="41"/>
  <c r="J68" i="40"/>
  <c r="J68" i="44"/>
  <c r="BG29" i="25"/>
  <c r="K68" i="36"/>
  <c r="K68" i="41"/>
  <c r="K68" i="40"/>
  <c r="K68" i="44"/>
  <c r="BH29" i="25"/>
  <c r="L68" i="36"/>
  <c r="L68" i="41"/>
  <c r="L68" i="40"/>
  <c r="L68" i="44"/>
  <c r="AD68" i="44"/>
  <c r="BO29" i="25"/>
  <c r="J106" i="36"/>
  <c r="J106" i="41"/>
  <c r="J106" i="40"/>
  <c r="J106" i="44"/>
  <c r="BP29" i="25"/>
  <c r="K106" i="36"/>
  <c r="K106" i="41"/>
  <c r="K106" i="40"/>
  <c r="K106" i="44"/>
  <c r="BQ29" i="25"/>
  <c r="L106" i="36"/>
  <c r="L106" i="41"/>
  <c r="L106" i="40"/>
  <c r="L106" i="44"/>
  <c r="AD106" i="44"/>
  <c r="AS43" i="23"/>
  <c r="AC29" i="25"/>
  <c r="AT43" i="23"/>
  <c r="AD29" i="25"/>
  <c r="AU43" i="23"/>
  <c r="AE29" i="25"/>
  <c r="AS43" i="22"/>
  <c r="AF29" i="25"/>
  <c r="AT43" i="22"/>
  <c r="AG29" i="25"/>
  <c r="AU43" i="22"/>
  <c r="AH29" i="25"/>
  <c r="BI29" i="25"/>
  <c r="M68" i="36"/>
  <c r="M68" i="41"/>
  <c r="M68" i="40"/>
  <c r="M68" i="44"/>
  <c r="BJ29" i="25"/>
  <c r="N68" i="36"/>
  <c r="N68" i="41"/>
  <c r="N68" i="40"/>
  <c r="N68" i="44"/>
  <c r="BK29" i="25"/>
  <c r="O68" i="36"/>
  <c r="O68" i="41"/>
  <c r="O68" i="40"/>
  <c r="O68" i="44"/>
  <c r="AE68" i="44"/>
  <c r="BR29" i="25"/>
  <c r="M106" i="36"/>
  <c r="M106" i="41"/>
  <c r="M106" i="40"/>
  <c r="M106" i="44"/>
  <c r="BS29" i="25"/>
  <c r="N106" i="36"/>
  <c r="N106" i="41"/>
  <c r="N106" i="40"/>
  <c r="N106" i="44"/>
  <c r="BT29" i="25"/>
  <c r="O106" i="36"/>
  <c r="O106" i="41"/>
  <c r="O106" i="40"/>
  <c r="O106" i="44"/>
  <c r="AE106" i="44"/>
  <c r="AV30" i="31"/>
  <c r="D69" i="36"/>
  <c r="D69" i="41"/>
  <c r="D69" i="40"/>
  <c r="D69" i="44"/>
  <c r="AW30" i="31"/>
  <c r="E69" i="36"/>
  <c r="E69" i="41"/>
  <c r="E69" i="40"/>
  <c r="E69" i="44"/>
  <c r="AX30" i="31"/>
  <c r="F69" i="36"/>
  <c r="F69" i="41"/>
  <c r="F69" i="40"/>
  <c r="F69" i="44"/>
  <c r="AY30" i="31"/>
  <c r="G69" i="36"/>
  <c r="G69" i="41"/>
  <c r="G69" i="40"/>
  <c r="G69" i="44"/>
  <c r="AC69" i="44"/>
  <c r="BC30" i="31"/>
  <c r="D107" i="36"/>
  <c r="D107" i="41"/>
  <c r="D107" i="40"/>
  <c r="D107" i="44"/>
  <c r="BD30" i="31"/>
  <c r="E107" i="36"/>
  <c r="E107" i="41"/>
  <c r="E107" i="40"/>
  <c r="E107" i="44"/>
  <c r="BE30" i="31"/>
  <c r="F107" i="36"/>
  <c r="F107" i="41"/>
  <c r="F107" i="40"/>
  <c r="F107" i="44"/>
  <c r="BF30" i="31"/>
  <c r="G107" i="36"/>
  <c r="G107" i="41"/>
  <c r="G107" i="40"/>
  <c r="G107" i="44"/>
  <c r="AC107" i="44"/>
  <c r="BF38" i="30"/>
  <c r="Y30" i="31"/>
  <c r="BF30" i="25"/>
  <c r="J69" i="36"/>
  <c r="J69" i="41"/>
  <c r="J69" i="40"/>
  <c r="J69" i="44"/>
  <c r="BG30" i="25"/>
  <c r="K69" i="36"/>
  <c r="K69" i="41"/>
  <c r="K69" i="40"/>
  <c r="K69" i="44"/>
  <c r="BH30" i="25"/>
  <c r="L69" i="36"/>
  <c r="L69" i="41"/>
  <c r="L69" i="40"/>
  <c r="L69" i="44"/>
  <c r="AD69" i="44"/>
  <c r="BO30" i="25"/>
  <c r="J107" i="36"/>
  <c r="J107" i="41"/>
  <c r="J107" i="40"/>
  <c r="J107" i="44"/>
  <c r="BP30" i="25"/>
  <c r="K107" i="36"/>
  <c r="K107" i="41"/>
  <c r="K107" i="40"/>
  <c r="K107" i="44"/>
  <c r="BQ30" i="25"/>
  <c r="L107" i="36"/>
  <c r="L107" i="41"/>
  <c r="L107" i="40"/>
  <c r="L107" i="44"/>
  <c r="AD107" i="44"/>
  <c r="AS44" i="23"/>
  <c r="AC30" i="25"/>
  <c r="AT44" i="23"/>
  <c r="AD30" i="25"/>
  <c r="AU44" i="23"/>
  <c r="AE30" i="25"/>
  <c r="AS44" i="22"/>
  <c r="AF30" i="25"/>
  <c r="AT44" i="22"/>
  <c r="AG30" i="25"/>
  <c r="AU44" i="22"/>
  <c r="AH30" i="25"/>
  <c r="K37" i="24"/>
  <c r="L37" i="24"/>
  <c r="BI30" i="25"/>
  <c r="M69" i="36"/>
  <c r="M69" i="41"/>
  <c r="M69" i="40"/>
  <c r="M69" i="44"/>
  <c r="BJ30" i="25"/>
  <c r="N69" i="36"/>
  <c r="N69" i="41"/>
  <c r="N69" i="40"/>
  <c r="N69" i="44"/>
  <c r="BK30" i="25"/>
  <c r="O69" i="36"/>
  <c r="O69" i="41"/>
  <c r="O69" i="40"/>
  <c r="O69" i="44"/>
  <c r="AE69" i="44"/>
  <c r="BR30" i="25"/>
  <c r="M107" i="36"/>
  <c r="M107" i="41"/>
  <c r="M107" i="40"/>
  <c r="M107" i="44"/>
  <c r="BS30" i="25"/>
  <c r="N107" i="36"/>
  <c r="N107" i="41"/>
  <c r="N107" i="40"/>
  <c r="N107" i="44"/>
  <c r="BT30" i="25"/>
  <c r="O107" i="36"/>
  <c r="O107" i="41"/>
  <c r="O107" i="40"/>
  <c r="O107" i="44"/>
  <c r="AE107" i="44"/>
  <c r="AV31" i="31"/>
  <c r="D70" i="36"/>
  <c r="D70" i="41"/>
  <c r="D70" i="40"/>
  <c r="D70" i="44"/>
  <c r="AW31" i="31"/>
  <c r="E70" i="36"/>
  <c r="E70" i="41"/>
  <c r="E70" i="40"/>
  <c r="E70" i="44"/>
  <c r="AX31" i="31"/>
  <c r="F70" i="36"/>
  <c r="F70" i="41"/>
  <c r="F70" i="40"/>
  <c r="F70" i="44"/>
  <c r="AY31" i="31"/>
  <c r="G70" i="36"/>
  <c r="G70" i="41"/>
  <c r="G70" i="40"/>
  <c r="G70" i="44"/>
  <c r="AC70" i="44"/>
  <c r="BC31" i="31"/>
  <c r="D108" i="36"/>
  <c r="D108" i="41"/>
  <c r="D108" i="40"/>
  <c r="D108" i="44"/>
  <c r="BD31" i="31"/>
  <c r="E108" i="36"/>
  <c r="E108" i="41"/>
  <c r="E108" i="40"/>
  <c r="E108" i="44"/>
  <c r="BE31" i="31"/>
  <c r="F108" i="36"/>
  <c r="F108" i="41"/>
  <c r="F108" i="40"/>
  <c r="F108" i="44"/>
  <c r="BF31" i="31"/>
  <c r="G108" i="36"/>
  <c r="G108" i="41"/>
  <c r="G108" i="40"/>
  <c r="G108" i="44"/>
  <c r="AC108" i="44"/>
  <c r="BF39" i="30"/>
  <c r="Y31" i="31"/>
  <c r="BF31" i="25"/>
  <c r="J70" i="36"/>
  <c r="J70" i="41"/>
  <c r="J70" i="40"/>
  <c r="J70" i="44"/>
  <c r="BG31" i="25"/>
  <c r="K70" i="36"/>
  <c r="K70" i="41"/>
  <c r="K70" i="40"/>
  <c r="K70" i="44"/>
  <c r="BH31" i="25"/>
  <c r="L70" i="36"/>
  <c r="L70" i="41"/>
  <c r="L70" i="40"/>
  <c r="L70" i="44"/>
  <c r="AD70" i="44"/>
  <c r="BO31" i="25"/>
  <c r="J108" i="36"/>
  <c r="J108" i="41"/>
  <c r="J108" i="40"/>
  <c r="J108" i="44"/>
  <c r="BP31" i="25"/>
  <c r="K108" i="36"/>
  <c r="K108" i="41"/>
  <c r="K108" i="40"/>
  <c r="K108" i="44"/>
  <c r="BQ31" i="25"/>
  <c r="L108" i="36"/>
  <c r="L108" i="41"/>
  <c r="L108" i="40"/>
  <c r="L108" i="44"/>
  <c r="AD108" i="44"/>
  <c r="AS45" i="23"/>
  <c r="AC31" i="25"/>
  <c r="AT45" i="23"/>
  <c r="AD31" i="25"/>
  <c r="AU45" i="23"/>
  <c r="AE31" i="25"/>
  <c r="AS45" i="22"/>
  <c r="AF31" i="25"/>
  <c r="AT45" i="22"/>
  <c r="AG31" i="25"/>
  <c r="AU45" i="22"/>
  <c r="AH31" i="25"/>
  <c r="K38" i="24"/>
  <c r="L38" i="24"/>
  <c r="BI31" i="25"/>
  <c r="M70" i="36"/>
  <c r="M70" i="41"/>
  <c r="M70" i="40"/>
  <c r="M70" i="44"/>
  <c r="BJ31" i="25"/>
  <c r="N70" i="36"/>
  <c r="N70" i="41"/>
  <c r="N70" i="40"/>
  <c r="N70" i="44"/>
  <c r="BK31" i="25"/>
  <c r="O70" i="36"/>
  <c r="O70" i="41"/>
  <c r="O70" i="40"/>
  <c r="O70" i="44"/>
  <c r="AE70" i="44"/>
  <c r="BR31" i="25"/>
  <c r="M108" i="36"/>
  <c r="M108" i="41"/>
  <c r="M108" i="40"/>
  <c r="M108" i="44"/>
  <c r="BS31" i="25"/>
  <c r="N108" i="36"/>
  <c r="N108" i="41"/>
  <c r="N108" i="40"/>
  <c r="N108" i="44"/>
  <c r="BT31" i="25"/>
  <c r="O108" i="36"/>
  <c r="O108" i="41"/>
  <c r="O108" i="40"/>
  <c r="O108" i="44"/>
  <c r="AE108" i="44"/>
  <c r="AV32" i="31"/>
  <c r="D71" i="36"/>
  <c r="D71" i="41"/>
  <c r="D71" i="40"/>
  <c r="D71" i="44"/>
  <c r="AW32" i="31"/>
  <c r="E71" i="36"/>
  <c r="E71" i="41"/>
  <c r="E71" i="40"/>
  <c r="E71" i="44"/>
  <c r="AX32" i="31"/>
  <c r="F71" i="36"/>
  <c r="F71" i="41"/>
  <c r="F71" i="40"/>
  <c r="F71" i="44"/>
  <c r="AY32" i="31"/>
  <c r="G71" i="36"/>
  <c r="G71" i="41"/>
  <c r="G71" i="40"/>
  <c r="G71" i="44"/>
  <c r="AC71" i="44"/>
  <c r="BC32" i="31"/>
  <c r="D109" i="36"/>
  <c r="D109" i="41"/>
  <c r="D109" i="40"/>
  <c r="D109" i="44"/>
  <c r="BD32" i="31"/>
  <c r="E109" i="36"/>
  <c r="E109" i="41"/>
  <c r="E109" i="40"/>
  <c r="E109" i="44"/>
  <c r="BE32" i="31"/>
  <c r="F109" i="36"/>
  <c r="F109" i="41"/>
  <c r="F109" i="40"/>
  <c r="F109" i="44"/>
  <c r="BF32" i="31"/>
  <c r="G109" i="36"/>
  <c r="G109" i="41"/>
  <c r="G109" i="40"/>
  <c r="G109" i="44"/>
  <c r="AC109" i="44"/>
  <c r="BF40" i="30"/>
  <c r="Y32" i="31"/>
  <c r="BF32" i="25"/>
  <c r="J71" i="36"/>
  <c r="J71" i="41"/>
  <c r="J71" i="40"/>
  <c r="J71" i="44"/>
  <c r="BG32" i="25"/>
  <c r="K71" i="36"/>
  <c r="K71" i="41"/>
  <c r="K71" i="40"/>
  <c r="K71" i="44"/>
  <c r="BH32" i="25"/>
  <c r="L71" i="36"/>
  <c r="L71" i="41"/>
  <c r="L71" i="40"/>
  <c r="L71" i="44"/>
  <c r="AD71" i="44"/>
  <c r="BO32" i="25"/>
  <c r="J109" i="36"/>
  <c r="J109" i="41"/>
  <c r="J109" i="40"/>
  <c r="J109" i="44"/>
  <c r="BP32" i="25"/>
  <c r="K109" i="36"/>
  <c r="K109" i="41"/>
  <c r="K109" i="40"/>
  <c r="K109" i="44"/>
  <c r="BQ32" i="25"/>
  <c r="L109" i="36"/>
  <c r="L109" i="41"/>
  <c r="L109" i="40"/>
  <c r="L109" i="44"/>
  <c r="AD109" i="44"/>
  <c r="AS46" i="23"/>
  <c r="AC32" i="25"/>
  <c r="AT46" i="23"/>
  <c r="AD32" i="25"/>
  <c r="AU46" i="23"/>
  <c r="AE32" i="25"/>
  <c r="AS46" i="22"/>
  <c r="AF32" i="25"/>
  <c r="AT46" i="22"/>
  <c r="AG32" i="25"/>
  <c r="AU46" i="22"/>
  <c r="AH32" i="25"/>
  <c r="K40" i="24"/>
  <c r="L40" i="24"/>
  <c r="BI32" i="25"/>
  <c r="M71" i="36"/>
  <c r="M71" i="41"/>
  <c r="M71" i="40"/>
  <c r="M71" i="44"/>
  <c r="BJ32" i="25"/>
  <c r="N71" i="36"/>
  <c r="N71" i="41"/>
  <c r="N71" i="40"/>
  <c r="N71" i="44"/>
  <c r="BK32" i="25"/>
  <c r="O71" i="36"/>
  <c r="O71" i="41"/>
  <c r="O71" i="40"/>
  <c r="O71" i="44"/>
  <c r="AE71" i="44"/>
  <c r="BR32" i="25"/>
  <c r="M109" i="36"/>
  <c r="M109" i="41"/>
  <c r="M109" i="40"/>
  <c r="M109" i="44"/>
  <c r="BS32" i="25"/>
  <c r="N109" i="36"/>
  <c r="N109" i="41"/>
  <c r="N109" i="40"/>
  <c r="N109" i="44"/>
  <c r="BT32" i="25"/>
  <c r="O109" i="36"/>
  <c r="O109" i="41"/>
  <c r="O109" i="40"/>
  <c r="O109" i="44"/>
  <c r="AE109" i="44"/>
  <c r="AV33" i="31"/>
  <c r="D72" i="36"/>
  <c r="D72" i="41"/>
  <c r="D72" i="40"/>
  <c r="D72" i="44"/>
  <c r="AW33" i="31"/>
  <c r="E72" i="36"/>
  <c r="E72" i="41"/>
  <c r="E72" i="40"/>
  <c r="E72" i="44"/>
  <c r="AX33" i="31"/>
  <c r="F72" i="36"/>
  <c r="F72" i="41"/>
  <c r="F72" i="40"/>
  <c r="F72" i="44"/>
  <c r="AY33" i="31"/>
  <c r="G72" i="36"/>
  <c r="G72" i="41"/>
  <c r="G72" i="40"/>
  <c r="G72" i="44"/>
  <c r="AC72" i="44"/>
  <c r="BC33" i="31"/>
  <c r="D110" i="36"/>
  <c r="D110" i="41"/>
  <c r="D110" i="40"/>
  <c r="D110" i="44"/>
  <c r="BD33" i="31"/>
  <c r="E110" i="36"/>
  <c r="E110" i="41"/>
  <c r="E110" i="40"/>
  <c r="E110" i="44"/>
  <c r="BE33" i="31"/>
  <c r="F110" i="36"/>
  <c r="F110" i="41"/>
  <c r="F110" i="40"/>
  <c r="F110" i="44"/>
  <c r="BF33" i="31"/>
  <c r="G110" i="36"/>
  <c r="G110" i="41"/>
  <c r="G110" i="40"/>
  <c r="G110" i="44"/>
  <c r="AC110" i="44"/>
  <c r="BF41" i="30"/>
  <c r="Y33" i="31"/>
  <c r="BF33" i="25"/>
  <c r="J72" i="36"/>
  <c r="J72" i="41"/>
  <c r="J72" i="40"/>
  <c r="J72" i="44"/>
  <c r="BG33" i="25"/>
  <c r="K72" i="36"/>
  <c r="K72" i="41"/>
  <c r="K72" i="40"/>
  <c r="K72" i="44"/>
  <c r="BH33" i="25"/>
  <c r="L72" i="36"/>
  <c r="L72" i="41"/>
  <c r="L72" i="40"/>
  <c r="L72" i="44"/>
  <c r="AD72" i="44"/>
  <c r="BO33" i="25"/>
  <c r="J110" i="36"/>
  <c r="J110" i="41"/>
  <c r="J110" i="40"/>
  <c r="J110" i="44"/>
  <c r="BP33" i="25"/>
  <c r="K110" i="36"/>
  <c r="K110" i="41"/>
  <c r="K110" i="40"/>
  <c r="K110" i="44"/>
  <c r="BQ33" i="25"/>
  <c r="L110" i="36"/>
  <c r="L110" i="41"/>
  <c r="L110" i="40"/>
  <c r="L110" i="44"/>
  <c r="AD110" i="44"/>
  <c r="AS47" i="23"/>
  <c r="AC33" i="25"/>
  <c r="AT47" i="23"/>
  <c r="AD33" i="25"/>
  <c r="AU47" i="23"/>
  <c r="AE33" i="25"/>
  <c r="AS47" i="22"/>
  <c r="AF33" i="25"/>
  <c r="AT47" i="22"/>
  <c r="AG33" i="25"/>
  <c r="AU47" i="22"/>
  <c r="AH33" i="25"/>
  <c r="BI33" i="25"/>
  <c r="M72" i="36"/>
  <c r="M72" i="41"/>
  <c r="M72" i="40"/>
  <c r="M72" i="44"/>
  <c r="BJ33" i="25"/>
  <c r="N72" i="36"/>
  <c r="N72" i="41"/>
  <c r="N72" i="40"/>
  <c r="N72" i="44"/>
  <c r="BK33" i="25"/>
  <c r="O72" i="36"/>
  <c r="O72" i="41"/>
  <c r="O72" i="40"/>
  <c r="O72" i="44"/>
  <c r="AE72" i="44"/>
  <c r="BR33" i="25"/>
  <c r="M110" i="36"/>
  <c r="M110" i="41"/>
  <c r="M110" i="40"/>
  <c r="M110" i="44"/>
  <c r="BS33" i="25"/>
  <c r="N110" i="36"/>
  <c r="N110" i="41"/>
  <c r="N110" i="40"/>
  <c r="N110" i="44"/>
  <c r="BT33" i="25"/>
  <c r="O110" i="36"/>
  <c r="O110" i="41"/>
  <c r="O110" i="40"/>
  <c r="O110" i="44"/>
  <c r="AE110" i="44"/>
  <c r="AV34" i="31"/>
  <c r="D73" i="36"/>
  <c r="D73" i="41"/>
  <c r="D73" i="40"/>
  <c r="D73" i="44"/>
  <c r="AW34" i="31"/>
  <c r="E73" i="36"/>
  <c r="E73" i="41"/>
  <c r="E73" i="40"/>
  <c r="E73" i="44"/>
  <c r="AX34" i="31"/>
  <c r="F73" i="36"/>
  <c r="F73" i="41"/>
  <c r="F73" i="40"/>
  <c r="F73" i="44"/>
  <c r="AY34" i="31"/>
  <c r="G73" i="36"/>
  <c r="G73" i="41"/>
  <c r="G73" i="40"/>
  <c r="G73" i="44"/>
  <c r="AC73" i="44"/>
  <c r="BC34" i="31"/>
  <c r="D111" i="36"/>
  <c r="D111" i="41"/>
  <c r="D111" i="40"/>
  <c r="D111" i="44"/>
  <c r="BD34" i="31"/>
  <c r="E111" i="36"/>
  <c r="E111" i="41"/>
  <c r="E111" i="40"/>
  <c r="E111" i="44"/>
  <c r="BE34" i="31"/>
  <c r="F111" i="36"/>
  <c r="F111" i="41"/>
  <c r="F111" i="40"/>
  <c r="F111" i="44"/>
  <c r="BF34" i="31"/>
  <c r="G111" i="36"/>
  <c r="G111" i="41"/>
  <c r="G111" i="40"/>
  <c r="G111" i="44"/>
  <c r="AC111" i="44"/>
  <c r="BF42" i="30"/>
  <c r="Y34" i="31"/>
  <c r="BF34" i="25"/>
  <c r="J73" i="36"/>
  <c r="J73" i="41"/>
  <c r="J73" i="40"/>
  <c r="J73" i="44"/>
  <c r="BG34" i="25"/>
  <c r="K73" i="36"/>
  <c r="K73" i="41"/>
  <c r="K73" i="40"/>
  <c r="K73" i="44"/>
  <c r="BH34" i="25"/>
  <c r="L73" i="36"/>
  <c r="L73" i="41"/>
  <c r="L73" i="40"/>
  <c r="L73" i="44"/>
  <c r="AD73" i="44"/>
  <c r="BO34" i="25"/>
  <c r="J111" i="36"/>
  <c r="J111" i="41"/>
  <c r="J111" i="40"/>
  <c r="J111" i="44"/>
  <c r="BP34" i="25"/>
  <c r="K111" i="36"/>
  <c r="K111" i="41"/>
  <c r="K111" i="40"/>
  <c r="K111" i="44"/>
  <c r="BQ34" i="25"/>
  <c r="L111" i="36"/>
  <c r="L111" i="41"/>
  <c r="L111" i="40"/>
  <c r="L111" i="44"/>
  <c r="AD111" i="44"/>
  <c r="AS48" i="23"/>
  <c r="AC34" i="25"/>
  <c r="AT48" i="23"/>
  <c r="AD34" i="25"/>
  <c r="AU48" i="23"/>
  <c r="AE34" i="25"/>
  <c r="AS48" i="22"/>
  <c r="AF34" i="25"/>
  <c r="AT48" i="22"/>
  <c r="AG34" i="25"/>
  <c r="AU48" i="22"/>
  <c r="AH34" i="25"/>
  <c r="K41" i="24"/>
  <c r="L41" i="24"/>
  <c r="BI34" i="25"/>
  <c r="M73" i="36"/>
  <c r="M73" i="41"/>
  <c r="M73" i="40"/>
  <c r="M73" i="44"/>
  <c r="BJ34" i="25"/>
  <c r="N73" i="36"/>
  <c r="N73" i="41"/>
  <c r="N73" i="40"/>
  <c r="N73" i="44"/>
  <c r="BK34" i="25"/>
  <c r="O73" i="36"/>
  <c r="O73" i="41"/>
  <c r="O73" i="40"/>
  <c r="O73" i="44"/>
  <c r="AE73" i="44"/>
  <c r="BR34" i="25"/>
  <c r="M111" i="36"/>
  <c r="M111" i="41"/>
  <c r="M111" i="40"/>
  <c r="M111" i="44"/>
  <c r="BS34" i="25"/>
  <c r="N111" i="36"/>
  <c r="N111" i="41"/>
  <c r="N111" i="40"/>
  <c r="N111" i="44"/>
  <c r="BT34" i="25"/>
  <c r="O111" i="36"/>
  <c r="O111" i="41"/>
  <c r="O111" i="40"/>
  <c r="O111" i="44"/>
  <c r="AE111" i="44"/>
  <c r="AV35" i="31"/>
  <c r="D74" i="36"/>
  <c r="D74" i="41"/>
  <c r="D74" i="40"/>
  <c r="D74" i="44"/>
  <c r="AW35" i="31"/>
  <c r="E74" i="36"/>
  <c r="E74" i="41"/>
  <c r="E74" i="40"/>
  <c r="E74" i="44"/>
  <c r="AX35" i="31"/>
  <c r="F74" i="36"/>
  <c r="F74" i="41"/>
  <c r="F74" i="40"/>
  <c r="F74" i="44"/>
  <c r="AY35" i="31"/>
  <c r="G74" i="36"/>
  <c r="G74" i="41"/>
  <c r="G74" i="40"/>
  <c r="G74" i="44"/>
  <c r="AC74" i="44"/>
  <c r="BC35" i="31"/>
  <c r="D112" i="36"/>
  <c r="D112" i="41"/>
  <c r="D112" i="40"/>
  <c r="D112" i="44"/>
  <c r="BD35" i="31"/>
  <c r="E112" i="36"/>
  <c r="E112" i="41"/>
  <c r="E112" i="40"/>
  <c r="E112" i="44"/>
  <c r="BE35" i="31"/>
  <c r="F112" i="36"/>
  <c r="F112" i="41"/>
  <c r="F112" i="40"/>
  <c r="F112" i="44"/>
  <c r="BF35" i="31"/>
  <c r="G112" i="36"/>
  <c r="G112" i="41"/>
  <c r="G112" i="40"/>
  <c r="G112" i="44"/>
  <c r="AC112" i="44"/>
  <c r="BF43" i="30"/>
  <c r="Y35" i="31"/>
  <c r="BF35" i="25"/>
  <c r="J74" i="36"/>
  <c r="J74" i="41"/>
  <c r="J74" i="40"/>
  <c r="J74" i="44"/>
  <c r="BG35" i="25"/>
  <c r="K74" i="36"/>
  <c r="K74" i="41"/>
  <c r="K74" i="40"/>
  <c r="K74" i="44"/>
  <c r="BH35" i="25"/>
  <c r="L74" i="36"/>
  <c r="L74" i="41"/>
  <c r="L74" i="40"/>
  <c r="L74" i="44"/>
  <c r="AD74" i="44"/>
  <c r="BO35" i="25"/>
  <c r="J112" i="36"/>
  <c r="J112" i="41"/>
  <c r="J112" i="40"/>
  <c r="J112" i="44"/>
  <c r="BP35" i="25"/>
  <c r="K112" i="36"/>
  <c r="K112" i="41"/>
  <c r="K112" i="40"/>
  <c r="K112" i="44"/>
  <c r="BQ35" i="25"/>
  <c r="L112" i="36"/>
  <c r="L112" i="41"/>
  <c r="L112" i="40"/>
  <c r="L112" i="44"/>
  <c r="AD112" i="44"/>
  <c r="AS49" i="23"/>
  <c r="AC35" i="25"/>
  <c r="AT49" i="23"/>
  <c r="AD35" i="25"/>
  <c r="AU49" i="23"/>
  <c r="AE35" i="25"/>
  <c r="AS49" i="22"/>
  <c r="AF35" i="25"/>
  <c r="AT49" i="22"/>
  <c r="AG35" i="25"/>
  <c r="AU49" i="22"/>
  <c r="AH35" i="25"/>
  <c r="K42" i="24"/>
  <c r="L42" i="24"/>
  <c r="BI35" i="25"/>
  <c r="M74" i="36"/>
  <c r="M74" i="41"/>
  <c r="M74" i="40"/>
  <c r="M74" i="44"/>
  <c r="BJ35" i="25"/>
  <c r="N74" i="36"/>
  <c r="N74" i="41"/>
  <c r="N74" i="40"/>
  <c r="N74" i="44"/>
  <c r="BK35" i="25"/>
  <c r="O74" i="36"/>
  <c r="O74" i="41"/>
  <c r="O74" i="40"/>
  <c r="O74" i="44"/>
  <c r="AE74" i="44"/>
  <c r="BR35" i="25"/>
  <c r="M112" i="36"/>
  <c r="M112" i="41"/>
  <c r="M112" i="40"/>
  <c r="M112" i="44"/>
  <c r="BS35" i="25"/>
  <c r="N112" i="36"/>
  <c r="N112" i="41"/>
  <c r="N112" i="40"/>
  <c r="N112" i="44"/>
  <c r="BT35" i="25"/>
  <c r="O112" i="36"/>
  <c r="O112" i="41"/>
  <c r="O112" i="40"/>
  <c r="O112" i="44"/>
  <c r="AE112" i="44"/>
  <c r="AV36" i="31"/>
  <c r="D75" i="36"/>
  <c r="D75" i="41"/>
  <c r="D75" i="40"/>
  <c r="D75" i="44"/>
  <c r="AW36" i="31"/>
  <c r="E75" i="36"/>
  <c r="E75" i="41"/>
  <c r="E75" i="40"/>
  <c r="E75" i="44"/>
  <c r="AX36" i="31"/>
  <c r="F75" i="36"/>
  <c r="F75" i="41"/>
  <c r="F75" i="40"/>
  <c r="F75" i="44"/>
  <c r="AY36" i="31"/>
  <c r="G75" i="36"/>
  <c r="G75" i="41"/>
  <c r="G75" i="40"/>
  <c r="G75" i="44"/>
  <c r="AC75" i="44"/>
  <c r="BC36" i="31"/>
  <c r="D113" i="36"/>
  <c r="D113" i="41"/>
  <c r="D113" i="40"/>
  <c r="D113" i="44"/>
  <c r="BD36" i="31"/>
  <c r="E113" i="36"/>
  <c r="E113" i="41"/>
  <c r="E113" i="40"/>
  <c r="E113" i="44"/>
  <c r="BE36" i="31"/>
  <c r="F113" i="36"/>
  <c r="F113" i="41"/>
  <c r="F113" i="40"/>
  <c r="F113" i="44"/>
  <c r="BF36" i="31"/>
  <c r="G113" i="36"/>
  <c r="G113" i="41"/>
  <c r="G113" i="40"/>
  <c r="G113" i="44"/>
  <c r="AC113" i="44"/>
  <c r="BF44" i="30"/>
  <c r="Y36" i="31"/>
  <c r="BF36" i="25"/>
  <c r="J75" i="36"/>
  <c r="J75" i="41"/>
  <c r="J75" i="40"/>
  <c r="J75" i="44"/>
  <c r="BG36" i="25"/>
  <c r="K75" i="36"/>
  <c r="K75" i="41"/>
  <c r="K75" i="40"/>
  <c r="K75" i="44"/>
  <c r="BH36" i="25"/>
  <c r="L75" i="36"/>
  <c r="L75" i="41"/>
  <c r="L75" i="40"/>
  <c r="L75" i="44"/>
  <c r="AD75" i="44"/>
  <c r="BO36" i="25"/>
  <c r="J113" i="36"/>
  <c r="J113" i="41"/>
  <c r="J113" i="40"/>
  <c r="J113" i="44"/>
  <c r="BP36" i="25"/>
  <c r="K113" i="36"/>
  <c r="K113" i="41"/>
  <c r="K113" i="40"/>
  <c r="K113" i="44"/>
  <c r="BQ36" i="25"/>
  <c r="L113" i="36"/>
  <c r="L113" i="41"/>
  <c r="L113" i="40"/>
  <c r="L113" i="44"/>
  <c r="AD113" i="44"/>
  <c r="AS50" i="23"/>
  <c r="AC36" i="25"/>
  <c r="AT50" i="23"/>
  <c r="AD36" i="25"/>
  <c r="AU50" i="23"/>
  <c r="AE36" i="25"/>
  <c r="AS50" i="22"/>
  <c r="AF36" i="25"/>
  <c r="AT50" i="22"/>
  <c r="AG36" i="25"/>
  <c r="AU50" i="22"/>
  <c r="AH36" i="25"/>
  <c r="K43" i="24"/>
  <c r="L43" i="24"/>
  <c r="BI36" i="25"/>
  <c r="M75" i="36"/>
  <c r="M75" i="41"/>
  <c r="M75" i="40"/>
  <c r="M75" i="44"/>
  <c r="BJ36" i="25"/>
  <c r="N75" i="36"/>
  <c r="N75" i="41"/>
  <c r="N75" i="40"/>
  <c r="N75" i="44"/>
  <c r="BK36" i="25"/>
  <c r="O75" i="36"/>
  <c r="O75" i="41"/>
  <c r="O75" i="40"/>
  <c r="O75" i="44"/>
  <c r="AE75" i="44"/>
  <c r="BR36" i="25"/>
  <c r="M113" i="36"/>
  <c r="M113" i="41"/>
  <c r="M113" i="40"/>
  <c r="M113" i="44"/>
  <c r="BS36" i="25"/>
  <c r="N113" i="36"/>
  <c r="N113" i="41"/>
  <c r="N113" i="40"/>
  <c r="N113" i="44"/>
  <c r="BT36" i="25"/>
  <c r="O113" i="36"/>
  <c r="O113" i="41"/>
  <c r="O113" i="40"/>
  <c r="O113" i="44"/>
  <c r="AE113" i="44"/>
  <c r="AT5" i="31"/>
  <c r="B44" i="36"/>
  <c r="B44" i="38"/>
  <c r="B44" i="41"/>
  <c r="B44" i="37"/>
  <c r="B44" i="40"/>
  <c r="B44" i="44"/>
  <c r="AU5" i="31"/>
  <c r="C44" i="36"/>
  <c r="C44" i="38"/>
  <c r="C44" i="41"/>
  <c r="C44" i="37"/>
  <c r="C44" i="40"/>
  <c r="C44" i="44"/>
  <c r="D59" i="32"/>
  <c r="H4" i="29"/>
  <c r="U59" i="32"/>
  <c r="E5" i="33"/>
  <c r="E59" i="32"/>
  <c r="V59" i="32"/>
  <c r="F5" i="33"/>
  <c r="G5" i="33"/>
  <c r="V5" i="33"/>
  <c r="H44" i="36"/>
  <c r="H44" i="38"/>
  <c r="H44" i="41"/>
  <c r="H44" i="37"/>
  <c r="H44" i="40"/>
  <c r="H44" i="44"/>
  <c r="W5" i="33"/>
  <c r="I44" i="36"/>
  <c r="I44" i="38"/>
  <c r="I44" i="41"/>
  <c r="I44" i="37"/>
  <c r="I44" i="40"/>
  <c r="I44" i="44"/>
  <c r="BL5" i="25"/>
  <c r="P44" i="36"/>
  <c r="P44" i="38"/>
  <c r="P44" i="41"/>
  <c r="P44" i="37"/>
  <c r="P44" i="40"/>
  <c r="P44" i="44"/>
  <c r="BM5" i="25"/>
  <c r="Q44" i="36"/>
  <c r="Q44" i="38"/>
  <c r="Q44" i="41"/>
  <c r="Q44" i="37"/>
  <c r="Q44" i="40"/>
  <c r="Q44" i="44"/>
  <c r="R44" i="37"/>
  <c r="R44" i="44"/>
  <c r="AB44" i="44"/>
  <c r="BA5" i="31"/>
  <c r="B82" i="36"/>
  <c r="B82" i="38"/>
  <c r="B82" i="41"/>
  <c r="B82" i="37"/>
  <c r="B82" i="40"/>
  <c r="B82" i="44"/>
  <c r="BB5" i="31"/>
  <c r="C82" i="36"/>
  <c r="C82" i="38"/>
  <c r="C82" i="41"/>
  <c r="C82" i="37"/>
  <c r="C82" i="40"/>
  <c r="C82" i="44"/>
  <c r="F59" i="32"/>
  <c r="I4" i="29"/>
  <c r="W59" i="32"/>
  <c r="H5" i="33"/>
  <c r="G59" i="32"/>
  <c r="X59" i="32"/>
  <c r="I5" i="33"/>
  <c r="J5" i="33"/>
  <c r="Y5" i="33"/>
  <c r="H82" i="36"/>
  <c r="H82" i="38"/>
  <c r="H82" i="41"/>
  <c r="H82" i="37"/>
  <c r="H82" i="40"/>
  <c r="H82" i="44"/>
  <c r="Z5" i="33"/>
  <c r="I82" i="36"/>
  <c r="I82" i="38"/>
  <c r="I82" i="41"/>
  <c r="I82" i="37"/>
  <c r="I82" i="40"/>
  <c r="I82" i="44"/>
  <c r="BU5" i="25"/>
  <c r="P82" i="36"/>
  <c r="P82" i="38"/>
  <c r="P82" i="41"/>
  <c r="P82" i="37"/>
  <c r="P82" i="40"/>
  <c r="P82" i="44"/>
  <c r="BV5" i="25"/>
  <c r="Q82" i="36"/>
  <c r="Q82" i="38"/>
  <c r="Q82" i="41"/>
  <c r="Q82" i="37"/>
  <c r="Q82" i="40"/>
  <c r="Q82" i="44"/>
  <c r="R6" i="36"/>
  <c r="R44" i="36"/>
  <c r="R82" i="36"/>
  <c r="S5" i="13"/>
  <c r="S5" i="29"/>
  <c r="R83" i="38"/>
  <c r="S6" i="13"/>
  <c r="S6" i="29"/>
  <c r="R84" i="38"/>
  <c r="S8" i="13"/>
  <c r="S8" i="29"/>
  <c r="R86" i="38"/>
  <c r="S9" i="13"/>
  <c r="S9" i="29"/>
  <c r="R87" i="38"/>
  <c r="S10" i="13"/>
  <c r="S10" i="29"/>
  <c r="R88" i="38"/>
  <c r="S11" i="13"/>
  <c r="S11" i="29"/>
  <c r="R89" i="38"/>
  <c r="R82" i="38"/>
  <c r="R82" i="41"/>
  <c r="R82" i="37"/>
  <c r="R82" i="40"/>
  <c r="R82" i="44"/>
  <c r="AB82" i="44"/>
  <c r="AT4" i="31"/>
  <c r="B43" i="36"/>
  <c r="B43" i="38"/>
  <c r="B43" i="41"/>
  <c r="B43" i="37"/>
  <c r="B43" i="40"/>
  <c r="B43" i="44"/>
  <c r="AU4" i="31"/>
  <c r="C43" i="36"/>
  <c r="C43" i="38"/>
  <c r="C43" i="41"/>
  <c r="C43" i="37"/>
  <c r="C43" i="40"/>
  <c r="C43" i="44"/>
  <c r="D58" i="32"/>
  <c r="H3" i="29"/>
  <c r="U58" i="32"/>
  <c r="E4" i="33"/>
  <c r="E58" i="32"/>
  <c r="V58" i="32"/>
  <c r="F4" i="33"/>
  <c r="G4" i="33"/>
  <c r="V4" i="33"/>
  <c r="H43" i="36"/>
  <c r="H43" i="38"/>
  <c r="H43" i="41"/>
  <c r="H43" i="37"/>
  <c r="H43" i="40"/>
  <c r="H43" i="44"/>
  <c r="W4" i="33"/>
  <c r="I43" i="36"/>
  <c r="I43" i="38"/>
  <c r="I43" i="41"/>
  <c r="I43" i="37"/>
  <c r="I43" i="40"/>
  <c r="I43" i="44"/>
  <c r="BL4" i="25"/>
  <c r="P43" i="36"/>
  <c r="P43" i="38"/>
  <c r="P43" i="41"/>
  <c r="P43" i="37"/>
  <c r="P43" i="40"/>
  <c r="P43" i="44"/>
  <c r="BM4" i="25"/>
  <c r="Q43" i="36"/>
  <c r="Q43" i="38"/>
  <c r="Q43" i="41"/>
  <c r="Q43" i="37"/>
  <c r="Q43" i="40"/>
  <c r="Q43" i="44"/>
  <c r="R5" i="36"/>
  <c r="R43" i="36"/>
  <c r="R5" i="29"/>
  <c r="R45" i="38"/>
  <c r="R6" i="29"/>
  <c r="R46" i="38"/>
  <c r="R7" i="29"/>
  <c r="R47" i="38"/>
  <c r="R8" i="29"/>
  <c r="R48" i="38"/>
  <c r="R9" i="29"/>
  <c r="R49" i="38"/>
  <c r="R10" i="29"/>
  <c r="R50" i="38"/>
  <c r="R11" i="29"/>
  <c r="R51" i="38"/>
  <c r="R44" i="38"/>
  <c r="R43" i="38"/>
  <c r="R43" i="41"/>
  <c r="R43" i="37"/>
  <c r="R43" i="40"/>
  <c r="R43" i="44"/>
  <c r="AB43" i="44"/>
  <c r="BA4" i="31"/>
  <c r="B81" i="36"/>
  <c r="B81" i="38"/>
  <c r="B81" i="41"/>
  <c r="B81" i="37"/>
  <c r="B81" i="40"/>
  <c r="B81" i="44"/>
  <c r="BB4" i="31"/>
  <c r="C81" i="36"/>
  <c r="C81" i="38"/>
  <c r="C81" i="41"/>
  <c r="C81" i="37"/>
  <c r="C81" i="40"/>
  <c r="C81" i="44"/>
  <c r="F58" i="32"/>
  <c r="I3" i="29"/>
  <c r="W58" i="32"/>
  <c r="H4" i="33"/>
  <c r="G58" i="32"/>
  <c r="X58" i="32"/>
  <c r="I4" i="33"/>
  <c r="J4" i="33"/>
  <c r="Y4" i="33"/>
  <c r="H81" i="36"/>
  <c r="H81" i="38"/>
  <c r="H81" i="41"/>
  <c r="H81" i="37"/>
  <c r="H81" i="40"/>
  <c r="H81" i="44"/>
  <c r="Z4" i="33"/>
  <c r="I81" i="36"/>
  <c r="I81" i="38"/>
  <c r="I81" i="41"/>
  <c r="I81" i="37"/>
  <c r="I81" i="40"/>
  <c r="I81" i="44"/>
  <c r="BU4" i="25"/>
  <c r="P81" i="36"/>
  <c r="P81" i="38"/>
  <c r="P81" i="41"/>
  <c r="P81" i="37"/>
  <c r="P81" i="40"/>
  <c r="P81" i="44"/>
  <c r="BV4" i="25"/>
  <c r="Q81" i="36"/>
  <c r="Q81" i="38"/>
  <c r="Q81" i="41"/>
  <c r="Q81" i="37"/>
  <c r="Q81" i="40"/>
  <c r="Q81" i="44"/>
  <c r="R81" i="36"/>
  <c r="R81" i="38"/>
  <c r="R81" i="41"/>
  <c r="R81" i="37"/>
  <c r="R81" i="40"/>
  <c r="R81" i="44"/>
  <c r="AB81" i="44"/>
  <c r="S44" i="44"/>
  <c r="AG44" i="44"/>
  <c r="S82" i="44"/>
  <c r="AG82" i="44"/>
  <c r="AH44" i="44"/>
  <c r="AH82" i="44"/>
  <c r="AI44" i="44"/>
  <c r="AI82" i="44"/>
  <c r="AJ44" i="44"/>
  <c r="AJ82" i="44"/>
  <c r="S45" i="44"/>
  <c r="AG45" i="44"/>
  <c r="S83" i="44"/>
  <c r="AG83" i="44"/>
  <c r="AH45" i="44"/>
  <c r="AH83" i="44"/>
  <c r="AI45" i="44"/>
  <c r="AI83" i="44"/>
  <c r="AJ45" i="44"/>
  <c r="AJ83" i="44"/>
  <c r="S46" i="44"/>
  <c r="AG46" i="44"/>
  <c r="S84" i="44"/>
  <c r="AG84" i="44"/>
  <c r="AH46" i="44"/>
  <c r="AH84" i="44"/>
  <c r="AI46" i="44"/>
  <c r="AI84" i="44"/>
  <c r="AJ46" i="44"/>
  <c r="AJ84" i="44"/>
  <c r="S47" i="44"/>
  <c r="AG47" i="44"/>
  <c r="S85" i="44"/>
  <c r="AG85" i="44"/>
  <c r="AH47" i="44"/>
  <c r="AH85" i="44"/>
  <c r="AI47" i="44"/>
  <c r="AI85" i="44"/>
  <c r="AJ47" i="44"/>
  <c r="AJ85" i="44"/>
  <c r="S48" i="44"/>
  <c r="AG48" i="44"/>
  <c r="S86" i="44"/>
  <c r="AG86" i="44"/>
  <c r="AH48" i="44"/>
  <c r="AH86" i="44"/>
  <c r="AI48" i="44"/>
  <c r="AI86" i="44"/>
  <c r="AJ48" i="44"/>
  <c r="AJ86" i="44"/>
  <c r="S49" i="44"/>
  <c r="AG49" i="44"/>
  <c r="S87" i="44"/>
  <c r="AG87" i="44"/>
  <c r="AH49" i="44"/>
  <c r="AH87" i="44"/>
  <c r="AI49" i="44"/>
  <c r="AI87" i="44"/>
  <c r="AJ49" i="44"/>
  <c r="AJ87" i="44"/>
  <c r="S50" i="44"/>
  <c r="AG50" i="44"/>
  <c r="S88" i="44"/>
  <c r="AG88" i="44"/>
  <c r="AH50" i="44"/>
  <c r="AH88" i="44"/>
  <c r="AI50" i="44"/>
  <c r="AI88" i="44"/>
  <c r="AJ50" i="44"/>
  <c r="AJ88" i="44"/>
  <c r="S51" i="44"/>
  <c r="AG51" i="44"/>
  <c r="S89" i="44"/>
  <c r="AG89" i="44"/>
  <c r="AH51" i="44"/>
  <c r="AH89" i="44"/>
  <c r="AI51" i="44"/>
  <c r="AI89" i="44"/>
  <c r="AJ51" i="44"/>
  <c r="AJ89" i="44"/>
  <c r="S52" i="44"/>
  <c r="AG52" i="44"/>
  <c r="S90" i="44"/>
  <c r="AG90" i="44"/>
  <c r="AH52" i="44"/>
  <c r="AH90" i="44"/>
  <c r="AI52" i="44"/>
  <c r="AI90" i="44"/>
  <c r="AJ52" i="44"/>
  <c r="AJ90" i="44"/>
  <c r="S53" i="44"/>
  <c r="AG53" i="44"/>
  <c r="S91" i="44"/>
  <c r="AG91" i="44"/>
  <c r="AH53" i="44"/>
  <c r="AH91" i="44"/>
  <c r="AI53" i="44"/>
  <c r="AI91" i="44"/>
  <c r="AJ53" i="44"/>
  <c r="AJ91" i="44"/>
  <c r="S54" i="44"/>
  <c r="AG54" i="44"/>
  <c r="S92" i="44"/>
  <c r="AG92" i="44"/>
  <c r="AH54" i="44"/>
  <c r="AH92" i="44"/>
  <c r="AI54" i="44"/>
  <c r="AI92" i="44"/>
  <c r="AJ54" i="44"/>
  <c r="AJ92" i="44"/>
  <c r="S55" i="44"/>
  <c r="AG55" i="44"/>
  <c r="S93" i="44"/>
  <c r="AG93" i="44"/>
  <c r="AH55" i="44"/>
  <c r="AH93" i="44"/>
  <c r="AI55" i="44"/>
  <c r="AI93" i="44"/>
  <c r="AJ55" i="44"/>
  <c r="AJ93" i="44"/>
  <c r="S56" i="44"/>
  <c r="AG56" i="44"/>
  <c r="S94" i="44"/>
  <c r="AG94" i="44"/>
  <c r="AH56" i="44"/>
  <c r="AH94" i="44"/>
  <c r="AI56" i="44"/>
  <c r="AI94" i="44"/>
  <c r="AJ56" i="44"/>
  <c r="AJ94" i="44"/>
  <c r="S57" i="44"/>
  <c r="AG57" i="44"/>
  <c r="S95" i="44"/>
  <c r="AG95" i="44"/>
  <c r="AH57" i="44"/>
  <c r="AH95" i="44"/>
  <c r="AI57" i="44"/>
  <c r="AI95" i="44"/>
  <c r="AJ57" i="44"/>
  <c r="AJ95" i="44"/>
  <c r="S58" i="44"/>
  <c r="AG58" i="44"/>
  <c r="S96" i="44"/>
  <c r="AG96" i="44"/>
  <c r="AH58" i="44"/>
  <c r="AH96" i="44"/>
  <c r="AI58" i="44"/>
  <c r="AI96" i="44"/>
  <c r="AJ58" i="44"/>
  <c r="AJ96" i="44"/>
  <c r="S59" i="44"/>
  <c r="AG59" i="44"/>
  <c r="S97" i="44"/>
  <c r="AG97" i="44"/>
  <c r="AH59" i="44"/>
  <c r="AH97" i="44"/>
  <c r="AI59" i="44"/>
  <c r="AI97" i="44"/>
  <c r="AJ59" i="44"/>
  <c r="AJ97" i="44"/>
  <c r="S60" i="44"/>
  <c r="AG60" i="44"/>
  <c r="S98" i="44"/>
  <c r="AG98" i="44"/>
  <c r="AH60" i="44"/>
  <c r="AH98" i="44"/>
  <c r="AI60" i="44"/>
  <c r="AI98" i="44"/>
  <c r="AJ60" i="44"/>
  <c r="AJ98" i="44"/>
  <c r="S61" i="44"/>
  <c r="AG61" i="44"/>
  <c r="S99" i="44"/>
  <c r="AG99" i="44"/>
  <c r="AH61" i="44"/>
  <c r="AH99" i="44"/>
  <c r="AI61" i="44"/>
  <c r="AI99" i="44"/>
  <c r="AJ61" i="44"/>
  <c r="AJ99" i="44"/>
  <c r="S62" i="44"/>
  <c r="AG62" i="44"/>
  <c r="S100" i="44"/>
  <c r="AG100" i="44"/>
  <c r="AH62" i="44"/>
  <c r="AH100" i="44"/>
  <c r="AI62" i="44"/>
  <c r="AI100" i="44"/>
  <c r="AJ62" i="44"/>
  <c r="AJ100" i="44"/>
  <c r="S63" i="44"/>
  <c r="AG63" i="44"/>
  <c r="S101" i="44"/>
  <c r="AG101" i="44"/>
  <c r="AH63" i="44"/>
  <c r="AH101" i="44"/>
  <c r="AI63" i="44"/>
  <c r="AI101" i="44"/>
  <c r="AJ63" i="44"/>
  <c r="AJ101" i="44"/>
  <c r="S64" i="44"/>
  <c r="AG64" i="44"/>
  <c r="S102" i="44"/>
  <c r="AG102" i="44"/>
  <c r="AH64" i="44"/>
  <c r="AH102" i="44"/>
  <c r="AI64" i="44"/>
  <c r="AI102" i="44"/>
  <c r="AJ64" i="44"/>
  <c r="AJ102" i="44"/>
  <c r="S65" i="44"/>
  <c r="AG65" i="44"/>
  <c r="S103" i="44"/>
  <c r="AG103" i="44"/>
  <c r="AH65" i="44"/>
  <c r="AH103" i="44"/>
  <c r="AI65" i="44"/>
  <c r="AI103" i="44"/>
  <c r="AJ65" i="44"/>
  <c r="AJ103" i="44"/>
  <c r="S66" i="44"/>
  <c r="AG66" i="44"/>
  <c r="S104" i="44"/>
  <c r="AG104" i="44"/>
  <c r="AH66" i="44"/>
  <c r="AH104" i="44"/>
  <c r="AI66" i="44"/>
  <c r="AI104" i="44"/>
  <c r="AJ66" i="44"/>
  <c r="AJ104" i="44"/>
  <c r="S67" i="44"/>
  <c r="AG67" i="44"/>
  <c r="S105" i="44"/>
  <c r="AG105" i="44"/>
  <c r="AH67" i="44"/>
  <c r="AH105" i="44"/>
  <c r="AI67" i="44"/>
  <c r="AI105" i="44"/>
  <c r="AJ67" i="44"/>
  <c r="AJ105" i="44"/>
  <c r="S68" i="44"/>
  <c r="AG68" i="44"/>
  <c r="S106" i="44"/>
  <c r="AG106" i="44"/>
  <c r="AH68" i="44"/>
  <c r="AH106" i="44"/>
  <c r="AI68" i="44"/>
  <c r="AI106" i="44"/>
  <c r="AJ68" i="44"/>
  <c r="AJ106" i="44"/>
  <c r="S69" i="44"/>
  <c r="AG69" i="44"/>
  <c r="S107" i="44"/>
  <c r="AG107" i="44"/>
  <c r="AH69" i="44"/>
  <c r="AH107" i="44"/>
  <c r="AI69" i="44"/>
  <c r="AI107" i="44"/>
  <c r="AJ69" i="44"/>
  <c r="AJ107" i="44"/>
  <c r="S70" i="44"/>
  <c r="AG70" i="44"/>
  <c r="S108" i="44"/>
  <c r="AG108" i="44"/>
  <c r="AH70" i="44"/>
  <c r="AH108" i="44"/>
  <c r="AI70" i="44"/>
  <c r="AI108" i="44"/>
  <c r="AJ70" i="44"/>
  <c r="AJ108" i="44"/>
  <c r="S71" i="44"/>
  <c r="AG71" i="44"/>
  <c r="S109" i="44"/>
  <c r="AG109" i="44"/>
  <c r="AH71" i="44"/>
  <c r="AH109" i="44"/>
  <c r="AI71" i="44"/>
  <c r="AI109" i="44"/>
  <c r="AJ71" i="44"/>
  <c r="AJ109" i="44"/>
  <c r="S72" i="44"/>
  <c r="AG72" i="44"/>
  <c r="S110" i="44"/>
  <c r="AG110" i="44"/>
  <c r="AH72" i="44"/>
  <c r="AH110" i="44"/>
  <c r="AI72" i="44"/>
  <c r="AI110" i="44"/>
  <c r="AJ72" i="44"/>
  <c r="AJ110" i="44"/>
  <c r="S73" i="44"/>
  <c r="AG73" i="44"/>
  <c r="S111" i="44"/>
  <c r="AG111" i="44"/>
  <c r="AH73" i="44"/>
  <c r="AH111" i="44"/>
  <c r="AI73" i="44"/>
  <c r="AI111" i="44"/>
  <c r="AJ73" i="44"/>
  <c r="AJ111" i="44"/>
  <c r="S74" i="44"/>
  <c r="AG74" i="44"/>
  <c r="S112" i="44"/>
  <c r="AG112" i="44"/>
  <c r="AH74" i="44"/>
  <c r="AH112" i="44"/>
  <c r="AI74" i="44"/>
  <c r="AI112" i="44"/>
  <c r="AJ74" i="44"/>
  <c r="AJ112" i="44"/>
  <c r="S75" i="44"/>
  <c r="AG75" i="44"/>
  <c r="S113" i="44"/>
  <c r="AG113" i="44"/>
  <c r="AH75" i="44"/>
  <c r="AH113" i="44"/>
  <c r="AI75" i="44"/>
  <c r="AI113" i="44"/>
  <c r="AJ75" i="44"/>
  <c r="AJ113" i="44"/>
  <c r="S43" i="44"/>
  <c r="AH43" i="44"/>
  <c r="S81" i="44"/>
  <c r="AH81" i="44"/>
  <c r="AI43" i="44"/>
  <c r="AI81" i="44"/>
  <c r="AJ43" i="44"/>
  <c r="AJ81" i="44"/>
  <c r="AG43" i="44"/>
  <c r="AG81" i="44"/>
  <c r="B13" i="26"/>
  <c r="C13" i="26"/>
  <c r="B5" i="29"/>
  <c r="B14" i="30"/>
  <c r="B10" i="30"/>
  <c r="B7" i="27"/>
  <c r="B11" i="30"/>
  <c r="X14" i="30"/>
  <c r="C14" i="30"/>
  <c r="C10" i="30"/>
  <c r="B8" i="27"/>
  <c r="C11" i="30"/>
  <c r="Y14" i="30"/>
  <c r="D14" i="30"/>
  <c r="D10" i="30"/>
  <c r="B9" i="27"/>
  <c r="D11" i="30"/>
  <c r="Z14" i="30"/>
  <c r="E14" i="30"/>
  <c r="E10" i="30"/>
  <c r="B10" i="27"/>
  <c r="E11" i="30"/>
  <c r="AA14" i="30"/>
  <c r="G5" i="13"/>
  <c r="B5" i="45"/>
  <c r="G6" i="13"/>
  <c r="G7" i="13"/>
  <c r="G8" i="13"/>
  <c r="G9" i="13"/>
  <c r="G10" i="13"/>
  <c r="G11" i="13"/>
  <c r="G4" i="13"/>
  <c r="G13" i="13"/>
  <c r="G14" i="13"/>
  <c r="G15" i="13"/>
  <c r="G16" i="13"/>
  <c r="G17" i="13"/>
  <c r="G18" i="13"/>
  <c r="G19" i="13"/>
  <c r="G20" i="13"/>
  <c r="G21" i="13"/>
  <c r="G12" i="13"/>
  <c r="G23" i="13"/>
  <c r="G24" i="13"/>
  <c r="G25" i="13"/>
  <c r="G26" i="13"/>
  <c r="G22" i="13"/>
  <c r="G28" i="13"/>
  <c r="G29" i="13"/>
  <c r="G30" i="13"/>
  <c r="G27" i="13"/>
  <c r="G32" i="13"/>
  <c r="G33" i="13"/>
  <c r="G34" i="13"/>
  <c r="G35" i="13"/>
  <c r="G31" i="13"/>
  <c r="G3" i="13"/>
  <c r="B3" i="45"/>
  <c r="G5" i="45"/>
  <c r="L5" i="45"/>
  <c r="G4" i="14"/>
  <c r="V3" i="45"/>
  <c r="V5" i="45"/>
  <c r="L4" i="14"/>
  <c r="G5" i="29"/>
  <c r="D13" i="26"/>
  <c r="E13" i="26"/>
  <c r="B5" i="27"/>
  <c r="B57" i="26"/>
  <c r="B60" i="26"/>
  <c r="B14" i="26"/>
  <c r="C14" i="26"/>
  <c r="B6" i="29"/>
  <c r="B15" i="30"/>
  <c r="X15" i="30"/>
  <c r="C15" i="30"/>
  <c r="Y15" i="30"/>
  <c r="D15" i="30"/>
  <c r="Z15" i="30"/>
  <c r="E15" i="30"/>
  <c r="AA15" i="30"/>
  <c r="B6" i="45"/>
  <c r="G6" i="45"/>
  <c r="L6" i="45"/>
  <c r="G5" i="14"/>
  <c r="V6" i="45"/>
  <c r="L5" i="14"/>
  <c r="G6" i="29"/>
  <c r="D14" i="26"/>
  <c r="E14" i="26"/>
  <c r="B61" i="26"/>
  <c r="B15" i="26"/>
  <c r="C15" i="26"/>
  <c r="B7" i="29"/>
  <c r="B16" i="30"/>
  <c r="X16" i="30"/>
  <c r="C16" i="30"/>
  <c r="Y16" i="30"/>
  <c r="D16" i="30"/>
  <c r="Z16" i="30"/>
  <c r="E16" i="30"/>
  <c r="AA16" i="30"/>
  <c r="B7" i="45"/>
  <c r="G7" i="45"/>
  <c r="L7" i="45"/>
  <c r="G6" i="14"/>
  <c r="V7" i="45"/>
  <c r="L6" i="14"/>
  <c r="G7" i="29"/>
  <c r="D15" i="26"/>
  <c r="E15" i="26"/>
  <c r="B62" i="26"/>
  <c r="B16" i="26"/>
  <c r="C16" i="26"/>
  <c r="B8" i="29"/>
  <c r="B17" i="30"/>
  <c r="X17" i="30"/>
  <c r="C17" i="30"/>
  <c r="Y17" i="30"/>
  <c r="D17" i="30"/>
  <c r="Z17" i="30"/>
  <c r="E17" i="30"/>
  <c r="AA17" i="30"/>
  <c r="B8" i="45"/>
  <c r="G8" i="45"/>
  <c r="L8" i="45"/>
  <c r="G7" i="14"/>
  <c r="V8" i="45"/>
  <c r="L7" i="14"/>
  <c r="G8" i="29"/>
  <c r="D16" i="26"/>
  <c r="E16" i="26"/>
  <c r="B63" i="26"/>
  <c r="B17" i="26"/>
  <c r="C17" i="26"/>
  <c r="B9" i="29"/>
  <c r="B18" i="30"/>
  <c r="X18" i="30"/>
  <c r="C18" i="30"/>
  <c r="Y18" i="30"/>
  <c r="D18" i="30"/>
  <c r="Z18" i="30"/>
  <c r="E18" i="30"/>
  <c r="AA18" i="30"/>
  <c r="B9" i="45"/>
  <c r="G9" i="45"/>
  <c r="L9" i="45"/>
  <c r="G8" i="14"/>
  <c r="V9" i="45"/>
  <c r="L8" i="14"/>
  <c r="G9" i="29"/>
  <c r="D17" i="26"/>
  <c r="E17" i="26"/>
  <c r="B64" i="26"/>
  <c r="B18" i="26"/>
  <c r="C18" i="26"/>
  <c r="B10" i="29"/>
  <c r="B19" i="30"/>
  <c r="X19" i="30"/>
  <c r="C19" i="30"/>
  <c r="Y19" i="30"/>
  <c r="D19" i="30"/>
  <c r="Z19" i="30"/>
  <c r="E19" i="30"/>
  <c r="AA19" i="30"/>
  <c r="B10" i="45"/>
  <c r="G10" i="45"/>
  <c r="L10" i="45"/>
  <c r="G9" i="14"/>
  <c r="V10" i="45"/>
  <c r="L9" i="14"/>
  <c r="G10" i="29"/>
  <c r="D18" i="26"/>
  <c r="E18" i="26"/>
  <c r="B65" i="26"/>
  <c r="B19" i="26"/>
  <c r="C19" i="26"/>
  <c r="B11" i="29"/>
  <c r="B20" i="30"/>
  <c r="X20" i="30"/>
  <c r="C20" i="30"/>
  <c r="Y20" i="30"/>
  <c r="D20" i="30"/>
  <c r="Z20" i="30"/>
  <c r="E20" i="30"/>
  <c r="AA20" i="30"/>
  <c r="B11" i="45"/>
  <c r="G11" i="45"/>
  <c r="L11" i="45"/>
  <c r="G10" i="14"/>
  <c r="V11" i="45"/>
  <c r="L10" i="14"/>
  <c r="G11" i="29"/>
  <c r="D19" i="26"/>
  <c r="E19" i="26"/>
  <c r="B66" i="26"/>
  <c r="B59" i="26"/>
  <c r="B21" i="26"/>
  <c r="C21" i="26"/>
  <c r="B13" i="29"/>
  <c r="B22" i="30"/>
  <c r="X22" i="30"/>
  <c r="C22" i="30"/>
  <c r="Y22" i="30"/>
  <c r="D22" i="30"/>
  <c r="Z22" i="30"/>
  <c r="E22" i="30"/>
  <c r="AA22" i="30"/>
  <c r="B13" i="45"/>
  <c r="G13" i="45"/>
  <c r="L13" i="45"/>
  <c r="G12" i="14"/>
  <c r="V13" i="45"/>
  <c r="L12" i="14"/>
  <c r="G13" i="29"/>
  <c r="D21" i="26"/>
  <c r="E21" i="26"/>
  <c r="B68" i="26"/>
  <c r="B22" i="26"/>
  <c r="C22" i="26"/>
  <c r="B14" i="29"/>
  <c r="B23" i="30"/>
  <c r="X23" i="30"/>
  <c r="C23" i="30"/>
  <c r="Y23" i="30"/>
  <c r="D23" i="30"/>
  <c r="Z23" i="30"/>
  <c r="E23" i="30"/>
  <c r="AA23" i="30"/>
  <c r="B14" i="45"/>
  <c r="G14" i="45"/>
  <c r="L14" i="45"/>
  <c r="G13" i="14"/>
  <c r="V14" i="45"/>
  <c r="L13" i="14"/>
  <c r="G14" i="29"/>
  <c r="D22" i="26"/>
  <c r="E22" i="26"/>
  <c r="B69" i="26"/>
  <c r="B23" i="26"/>
  <c r="C23" i="26"/>
  <c r="B15" i="29"/>
  <c r="B24" i="30"/>
  <c r="X24" i="30"/>
  <c r="C24" i="30"/>
  <c r="Y24" i="30"/>
  <c r="D24" i="30"/>
  <c r="Z24" i="30"/>
  <c r="E24" i="30"/>
  <c r="AA24" i="30"/>
  <c r="B15" i="45"/>
  <c r="G15" i="45"/>
  <c r="L15" i="45"/>
  <c r="G14" i="14"/>
  <c r="V15" i="45"/>
  <c r="L14" i="14"/>
  <c r="G15" i="29"/>
  <c r="D23" i="26"/>
  <c r="E23" i="26"/>
  <c r="B70" i="26"/>
  <c r="B24" i="26"/>
  <c r="C24" i="26"/>
  <c r="B16" i="29"/>
  <c r="B25" i="30"/>
  <c r="X25" i="30"/>
  <c r="C25" i="30"/>
  <c r="Y25" i="30"/>
  <c r="D25" i="30"/>
  <c r="Z25" i="30"/>
  <c r="E25" i="30"/>
  <c r="AA25" i="30"/>
  <c r="B16" i="45"/>
  <c r="G16" i="45"/>
  <c r="L16" i="45"/>
  <c r="G15" i="14"/>
  <c r="V16" i="45"/>
  <c r="L15" i="14"/>
  <c r="G16" i="29"/>
  <c r="D24" i="26"/>
  <c r="E24" i="26"/>
  <c r="B71" i="26"/>
  <c r="B25" i="26"/>
  <c r="C25" i="26"/>
  <c r="B17" i="29"/>
  <c r="B26" i="30"/>
  <c r="X26" i="30"/>
  <c r="C26" i="30"/>
  <c r="Y26" i="30"/>
  <c r="D26" i="30"/>
  <c r="Z26" i="30"/>
  <c r="E26" i="30"/>
  <c r="AA26" i="30"/>
  <c r="B17" i="45"/>
  <c r="G17" i="45"/>
  <c r="L17" i="45"/>
  <c r="G16" i="14"/>
  <c r="V17" i="45"/>
  <c r="L16" i="14"/>
  <c r="G17" i="29"/>
  <c r="D25" i="26"/>
  <c r="E25" i="26"/>
  <c r="B72" i="26"/>
  <c r="B26" i="26"/>
  <c r="C26" i="26"/>
  <c r="B18" i="29"/>
  <c r="B27" i="30"/>
  <c r="X27" i="30"/>
  <c r="C27" i="30"/>
  <c r="Y27" i="30"/>
  <c r="D27" i="30"/>
  <c r="Z27" i="30"/>
  <c r="E27" i="30"/>
  <c r="AA27" i="30"/>
  <c r="B18" i="45"/>
  <c r="G18" i="45"/>
  <c r="L18" i="45"/>
  <c r="G17" i="14"/>
  <c r="V18" i="45"/>
  <c r="L17" i="14"/>
  <c r="G18" i="29"/>
  <c r="D26" i="26"/>
  <c r="E26" i="26"/>
  <c r="B73" i="26"/>
  <c r="B27" i="26"/>
  <c r="C27" i="26"/>
  <c r="B19" i="29"/>
  <c r="B28" i="30"/>
  <c r="X28" i="30"/>
  <c r="C28" i="30"/>
  <c r="Y28" i="30"/>
  <c r="D28" i="30"/>
  <c r="Z28" i="30"/>
  <c r="E28" i="30"/>
  <c r="AA28" i="30"/>
  <c r="B19" i="45"/>
  <c r="G19" i="45"/>
  <c r="L19" i="45"/>
  <c r="G18" i="14"/>
  <c r="V19" i="45"/>
  <c r="L18" i="14"/>
  <c r="G19" i="29"/>
  <c r="D27" i="26"/>
  <c r="E27" i="26"/>
  <c r="B74" i="26"/>
  <c r="B28" i="26"/>
  <c r="C28" i="26"/>
  <c r="B20" i="29"/>
  <c r="B29" i="30"/>
  <c r="X29" i="30"/>
  <c r="C29" i="30"/>
  <c r="Y29" i="30"/>
  <c r="D29" i="30"/>
  <c r="Z29" i="30"/>
  <c r="E29" i="30"/>
  <c r="AA29" i="30"/>
  <c r="B20" i="45"/>
  <c r="G20" i="45"/>
  <c r="L20" i="45"/>
  <c r="G19" i="14"/>
  <c r="V20" i="45"/>
  <c r="L19" i="14"/>
  <c r="G20" i="29"/>
  <c r="D28" i="26"/>
  <c r="E28" i="26"/>
  <c r="B75" i="26"/>
  <c r="B29" i="26"/>
  <c r="C29" i="26"/>
  <c r="B21" i="29"/>
  <c r="B30" i="30"/>
  <c r="X30" i="30"/>
  <c r="C30" i="30"/>
  <c r="Y30" i="30"/>
  <c r="D30" i="30"/>
  <c r="Z30" i="30"/>
  <c r="E30" i="30"/>
  <c r="AA30" i="30"/>
  <c r="B21" i="45"/>
  <c r="G21" i="45"/>
  <c r="L21" i="45"/>
  <c r="G20" i="14"/>
  <c r="V21" i="45"/>
  <c r="L20" i="14"/>
  <c r="G21" i="29"/>
  <c r="D29" i="26"/>
  <c r="E29" i="26"/>
  <c r="B76" i="26"/>
  <c r="B67" i="26"/>
  <c r="B31" i="26"/>
  <c r="C31" i="26"/>
  <c r="B23" i="29"/>
  <c r="B32" i="30"/>
  <c r="X32" i="30"/>
  <c r="C32" i="30"/>
  <c r="Y32" i="30"/>
  <c r="D32" i="30"/>
  <c r="Z32" i="30"/>
  <c r="E32" i="30"/>
  <c r="AA32" i="30"/>
  <c r="B23" i="45"/>
  <c r="G23" i="45"/>
  <c r="L23" i="45"/>
  <c r="G22" i="14"/>
  <c r="V23" i="45"/>
  <c r="L22" i="14"/>
  <c r="G23" i="29"/>
  <c r="D31" i="26"/>
  <c r="E31" i="26"/>
  <c r="B78" i="26"/>
  <c r="B32" i="26"/>
  <c r="C32" i="26"/>
  <c r="B24" i="29"/>
  <c r="B33" i="30"/>
  <c r="X33" i="30"/>
  <c r="C33" i="30"/>
  <c r="Y33" i="30"/>
  <c r="D33" i="30"/>
  <c r="Z33" i="30"/>
  <c r="E33" i="30"/>
  <c r="AA33" i="30"/>
  <c r="B24" i="45"/>
  <c r="G24" i="45"/>
  <c r="L24" i="45"/>
  <c r="G23" i="14"/>
  <c r="V24" i="45"/>
  <c r="L23" i="14"/>
  <c r="G24" i="29"/>
  <c r="D32" i="26"/>
  <c r="E32" i="26"/>
  <c r="B79" i="26"/>
  <c r="B33" i="26"/>
  <c r="C33" i="26"/>
  <c r="B25" i="29"/>
  <c r="B34" i="30"/>
  <c r="X34" i="30"/>
  <c r="C34" i="30"/>
  <c r="Y34" i="30"/>
  <c r="D34" i="30"/>
  <c r="Z34" i="30"/>
  <c r="E34" i="30"/>
  <c r="AA34" i="30"/>
  <c r="B25" i="45"/>
  <c r="G25" i="45"/>
  <c r="L25" i="45"/>
  <c r="G24" i="14"/>
  <c r="V25" i="45"/>
  <c r="L24" i="14"/>
  <c r="G25" i="29"/>
  <c r="D33" i="26"/>
  <c r="E33" i="26"/>
  <c r="B80" i="26"/>
  <c r="B34" i="26"/>
  <c r="C34" i="26"/>
  <c r="B26" i="29"/>
  <c r="B35" i="30"/>
  <c r="X35" i="30"/>
  <c r="C35" i="30"/>
  <c r="Y35" i="30"/>
  <c r="D35" i="30"/>
  <c r="Z35" i="30"/>
  <c r="E35" i="30"/>
  <c r="AA35" i="30"/>
  <c r="B26" i="45"/>
  <c r="G26" i="45"/>
  <c r="L26" i="45"/>
  <c r="G25" i="14"/>
  <c r="V26" i="45"/>
  <c r="L25" i="14"/>
  <c r="G26" i="29"/>
  <c r="D34" i="26"/>
  <c r="E34" i="26"/>
  <c r="B81" i="26"/>
  <c r="B77" i="26"/>
  <c r="B36" i="26"/>
  <c r="C36" i="26"/>
  <c r="B28" i="29"/>
  <c r="B37" i="30"/>
  <c r="X37" i="30"/>
  <c r="C37" i="30"/>
  <c r="Y37" i="30"/>
  <c r="D37" i="30"/>
  <c r="Z37" i="30"/>
  <c r="E37" i="30"/>
  <c r="AA37" i="30"/>
  <c r="B28" i="45"/>
  <c r="G28" i="45"/>
  <c r="L28" i="45"/>
  <c r="G27" i="14"/>
  <c r="V28" i="45"/>
  <c r="L27" i="14"/>
  <c r="G28" i="29"/>
  <c r="D36" i="26"/>
  <c r="E36" i="26"/>
  <c r="B83" i="26"/>
  <c r="B37" i="26"/>
  <c r="C37" i="26"/>
  <c r="B29" i="29"/>
  <c r="B38" i="30"/>
  <c r="X38" i="30"/>
  <c r="C38" i="30"/>
  <c r="Y38" i="30"/>
  <c r="D38" i="30"/>
  <c r="Z38" i="30"/>
  <c r="E38" i="30"/>
  <c r="AA38" i="30"/>
  <c r="B29" i="45"/>
  <c r="G29" i="45"/>
  <c r="L29" i="45"/>
  <c r="G28" i="14"/>
  <c r="V29" i="45"/>
  <c r="L28" i="14"/>
  <c r="G29" i="29"/>
  <c r="D37" i="26"/>
  <c r="E37" i="26"/>
  <c r="B84" i="26"/>
  <c r="B38" i="26"/>
  <c r="C38" i="26"/>
  <c r="B30" i="29"/>
  <c r="B39" i="30"/>
  <c r="X39" i="30"/>
  <c r="C39" i="30"/>
  <c r="Y39" i="30"/>
  <c r="D39" i="30"/>
  <c r="Z39" i="30"/>
  <c r="E39" i="30"/>
  <c r="AA39" i="30"/>
  <c r="B30" i="45"/>
  <c r="G30" i="45"/>
  <c r="L30" i="45"/>
  <c r="G29" i="14"/>
  <c r="V30" i="45"/>
  <c r="L29" i="14"/>
  <c r="G30" i="29"/>
  <c r="D38" i="26"/>
  <c r="E38" i="26"/>
  <c r="B85" i="26"/>
  <c r="B82" i="26"/>
  <c r="B40" i="26"/>
  <c r="C40" i="26"/>
  <c r="B32" i="29"/>
  <c r="B41" i="30"/>
  <c r="X41" i="30"/>
  <c r="C41" i="30"/>
  <c r="Y41" i="30"/>
  <c r="D41" i="30"/>
  <c r="Z41" i="30"/>
  <c r="E41" i="30"/>
  <c r="AA41" i="30"/>
  <c r="B32" i="45"/>
  <c r="G32" i="45"/>
  <c r="L32" i="45"/>
  <c r="G31" i="14"/>
  <c r="V32" i="45"/>
  <c r="L31" i="14"/>
  <c r="G32" i="29"/>
  <c r="D40" i="26"/>
  <c r="E40" i="26"/>
  <c r="B87" i="26"/>
  <c r="B41" i="26"/>
  <c r="C41" i="26"/>
  <c r="B33" i="29"/>
  <c r="B42" i="30"/>
  <c r="X42" i="30"/>
  <c r="C42" i="30"/>
  <c r="Y42" i="30"/>
  <c r="D42" i="30"/>
  <c r="Z42" i="30"/>
  <c r="E42" i="30"/>
  <c r="AA42" i="30"/>
  <c r="B33" i="45"/>
  <c r="G33" i="45"/>
  <c r="L33" i="45"/>
  <c r="G32" i="14"/>
  <c r="V33" i="45"/>
  <c r="L32" i="14"/>
  <c r="G33" i="29"/>
  <c r="D41" i="26"/>
  <c r="E41" i="26"/>
  <c r="B88" i="26"/>
  <c r="B42" i="26"/>
  <c r="C42" i="26"/>
  <c r="B34" i="29"/>
  <c r="B43" i="30"/>
  <c r="X43" i="30"/>
  <c r="C43" i="30"/>
  <c r="Y43" i="30"/>
  <c r="D43" i="30"/>
  <c r="Z43" i="30"/>
  <c r="E43" i="30"/>
  <c r="AA43" i="30"/>
  <c r="B34" i="45"/>
  <c r="G34" i="45"/>
  <c r="L34" i="45"/>
  <c r="G33" i="14"/>
  <c r="V34" i="45"/>
  <c r="L33" i="14"/>
  <c r="G34" i="29"/>
  <c r="D42" i="26"/>
  <c r="E42" i="26"/>
  <c r="B89" i="26"/>
  <c r="B43" i="26"/>
  <c r="C43" i="26"/>
  <c r="B35" i="29"/>
  <c r="B44" i="30"/>
  <c r="X44" i="30"/>
  <c r="C44" i="30"/>
  <c r="Y44" i="30"/>
  <c r="D44" i="30"/>
  <c r="Z44" i="30"/>
  <c r="E44" i="30"/>
  <c r="AA44" i="30"/>
  <c r="B35" i="45"/>
  <c r="G35" i="45"/>
  <c r="L35" i="45"/>
  <c r="G34" i="14"/>
  <c r="V35" i="45"/>
  <c r="L34" i="14"/>
  <c r="G35" i="29"/>
  <c r="D43" i="26"/>
  <c r="E43" i="26"/>
  <c r="B90" i="26"/>
  <c r="B86" i="26"/>
  <c r="B58" i="26"/>
  <c r="B4" i="29"/>
  <c r="B12" i="29"/>
  <c r="B22" i="29"/>
  <c r="B27" i="29"/>
  <c r="B31" i="29"/>
  <c r="B3" i="29"/>
  <c r="X58" i="26"/>
  <c r="B4" i="31"/>
  <c r="C49" i="26"/>
  <c r="X13" i="26"/>
  <c r="Y13" i="26"/>
  <c r="Z13" i="26"/>
  <c r="B6" i="27"/>
  <c r="C57" i="26"/>
  <c r="C60" i="26"/>
  <c r="X14" i="26"/>
  <c r="Y14" i="26"/>
  <c r="Z14" i="26"/>
  <c r="C61" i="26"/>
  <c r="X15" i="26"/>
  <c r="Y15" i="26"/>
  <c r="Z15" i="26"/>
  <c r="C62" i="26"/>
  <c r="X16" i="26"/>
  <c r="Y16" i="26"/>
  <c r="Z16" i="26"/>
  <c r="C63" i="26"/>
  <c r="X17" i="26"/>
  <c r="Y17" i="26"/>
  <c r="Z17" i="26"/>
  <c r="C64" i="26"/>
  <c r="X18" i="26"/>
  <c r="Y18" i="26"/>
  <c r="Z18" i="26"/>
  <c r="C65" i="26"/>
  <c r="X19" i="26"/>
  <c r="Y19" i="26"/>
  <c r="Z19" i="26"/>
  <c r="C66" i="26"/>
  <c r="C59" i="26"/>
  <c r="C50" i="26"/>
  <c r="X21" i="26"/>
  <c r="Y21" i="26"/>
  <c r="Z21" i="26"/>
  <c r="C68" i="26"/>
  <c r="X22" i="26"/>
  <c r="Y22" i="26"/>
  <c r="Z22" i="26"/>
  <c r="C69" i="26"/>
  <c r="X23" i="26"/>
  <c r="Y23" i="26"/>
  <c r="Z23" i="26"/>
  <c r="C70" i="26"/>
  <c r="X24" i="26"/>
  <c r="Y24" i="26"/>
  <c r="Z24" i="26"/>
  <c r="C71" i="26"/>
  <c r="X25" i="26"/>
  <c r="Y25" i="26"/>
  <c r="Z25" i="26"/>
  <c r="C72" i="26"/>
  <c r="X26" i="26"/>
  <c r="Y26" i="26"/>
  <c r="Z26" i="26"/>
  <c r="C73" i="26"/>
  <c r="X27" i="26"/>
  <c r="Y27" i="26"/>
  <c r="Z27" i="26"/>
  <c r="C74" i="26"/>
  <c r="X28" i="26"/>
  <c r="Y28" i="26"/>
  <c r="Z28" i="26"/>
  <c r="C75" i="26"/>
  <c r="X29" i="26"/>
  <c r="Y29" i="26"/>
  <c r="Z29" i="26"/>
  <c r="C76" i="26"/>
  <c r="C67" i="26"/>
  <c r="C51" i="26"/>
  <c r="X31" i="26"/>
  <c r="Y31" i="26"/>
  <c r="Z31" i="26"/>
  <c r="C78" i="26"/>
  <c r="C52" i="26"/>
  <c r="X32" i="26"/>
  <c r="Y32" i="26"/>
  <c r="Z32" i="26"/>
  <c r="C79" i="26"/>
  <c r="C53" i="26"/>
  <c r="X33" i="26"/>
  <c r="Y33" i="26"/>
  <c r="Z33" i="26"/>
  <c r="C80" i="26"/>
  <c r="C54" i="26"/>
  <c r="X34" i="26"/>
  <c r="Y34" i="26"/>
  <c r="Z34" i="26"/>
  <c r="C81" i="26"/>
  <c r="C77" i="26"/>
  <c r="C55" i="26"/>
  <c r="X36" i="26"/>
  <c r="Y36" i="26"/>
  <c r="Z36" i="26"/>
  <c r="C83" i="26"/>
  <c r="X37" i="26"/>
  <c r="Y37" i="26"/>
  <c r="Z37" i="26"/>
  <c r="C84" i="26"/>
  <c r="X38" i="26"/>
  <c r="Y38" i="26"/>
  <c r="Z38" i="26"/>
  <c r="C85" i="26"/>
  <c r="C82" i="26"/>
  <c r="C56" i="26"/>
  <c r="X40" i="26"/>
  <c r="Y40" i="26"/>
  <c r="Z40" i="26"/>
  <c r="C87" i="26"/>
  <c r="X41" i="26"/>
  <c r="Y41" i="26"/>
  <c r="Z41" i="26"/>
  <c r="C88" i="26"/>
  <c r="X42" i="26"/>
  <c r="Y42" i="26"/>
  <c r="Z42" i="26"/>
  <c r="C89" i="26"/>
  <c r="X43" i="26"/>
  <c r="Y43" i="26"/>
  <c r="Z43" i="26"/>
  <c r="C90" i="26"/>
  <c r="C86" i="26"/>
  <c r="C58" i="26"/>
  <c r="Y58" i="26"/>
  <c r="C4" i="31"/>
  <c r="X13" i="30"/>
  <c r="X21" i="30"/>
  <c r="X31" i="30"/>
  <c r="X36" i="30"/>
  <c r="X40" i="30"/>
  <c r="X12" i="30"/>
  <c r="AT12" i="30"/>
  <c r="D4" i="31"/>
  <c r="Y13" i="30"/>
  <c r="Y21" i="30"/>
  <c r="Y31" i="30"/>
  <c r="Y36" i="30"/>
  <c r="Y40" i="30"/>
  <c r="Y12" i="30"/>
  <c r="AU12" i="30"/>
  <c r="E4" i="31"/>
  <c r="Z13" i="30"/>
  <c r="Z21" i="30"/>
  <c r="Z31" i="30"/>
  <c r="Z36" i="30"/>
  <c r="Z40" i="30"/>
  <c r="Z12" i="30"/>
  <c r="AV12" i="30"/>
  <c r="F4" i="31"/>
  <c r="AA13" i="30"/>
  <c r="AA21" i="30"/>
  <c r="AA31" i="30"/>
  <c r="AA36" i="30"/>
  <c r="AA40" i="30"/>
  <c r="AA12" i="30"/>
  <c r="AW12" i="30"/>
  <c r="G4" i="31"/>
  <c r="H4" i="31"/>
  <c r="AM4" i="31"/>
  <c r="B5" i="36"/>
  <c r="B5" i="41"/>
  <c r="B7" i="38"/>
  <c r="B8" i="38"/>
  <c r="B9" i="38"/>
  <c r="B10" i="38"/>
  <c r="B11" i="38"/>
  <c r="B12" i="38"/>
  <c r="B13" i="38"/>
  <c r="B6" i="38"/>
  <c r="B15" i="38"/>
  <c r="B16" i="38"/>
  <c r="B17" i="38"/>
  <c r="B18" i="38"/>
  <c r="B19" i="38"/>
  <c r="B20" i="38"/>
  <c r="B21" i="38"/>
  <c r="B22" i="38"/>
  <c r="B23" i="38"/>
  <c r="B14" i="38"/>
  <c r="B25" i="38"/>
  <c r="B26" i="38"/>
  <c r="B27" i="38"/>
  <c r="B28" i="38"/>
  <c r="B24" i="38"/>
  <c r="B30" i="38"/>
  <c r="B31" i="38"/>
  <c r="B32" i="38"/>
  <c r="B29" i="38"/>
  <c r="B34" i="38"/>
  <c r="B35" i="38"/>
  <c r="B36" i="38"/>
  <c r="B37" i="38"/>
  <c r="B33" i="38"/>
  <c r="B5" i="38"/>
  <c r="B7" i="37"/>
  <c r="B8" i="37"/>
  <c r="B9" i="37"/>
  <c r="B10" i="37"/>
  <c r="B11" i="37"/>
  <c r="B12" i="37"/>
  <c r="B13" i="37"/>
  <c r="B6" i="37"/>
  <c r="B15" i="37"/>
  <c r="B16" i="37"/>
  <c r="B17" i="37"/>
  <c r="B18" i="37"/>
  <c r="B19" i="37"/>
  <c r="B20" i="37"/>
  <c r="B21" i="37"/>
  <c r="B22" i="37"/>
  <c r="B23" i="37"/>
  <c r="B14" i="37"/>
  <c r="B25" i="37"/>
  <c r="B26" i="37"/>
  <c r="B27" i="37"/>
  <c r="B28" i="37"/>
  <c r="B24" i="37"/>
  <c r="B30" i="37"/>
  <c r="B31" i="37"/>
  <c r="B32" i="37"/>
  <c r="B29" i="37"/>
  <c r="B34" i="37"/>
  <c r="B35" i="37"/>
  <c r="B36" i="37"/>
  <c r="B37" i="37"/>
  <c r="B33" i="37"/>
  <c r="B5" i="37"/>
  <c r="B5" i="40"/>
  <c r="B5" i="44"/>
  <c r="AN4" i="31"/>
  <c r="C5" i="36"/>
  <c r="C5" i="41"/>
  <c r="C7" i="38"/>
  <c r="C8" i="38"/>
  <c r="C9" i="38"/>
  <c r="C10" i="38"/>
  <c r="C11" i="38"/>
  <c r="C12" i="38"/>
  <c r="C13" i="38"/>
  <c r="C6" i="38"/>
  <c r="C15" i="38"/>
  <c r="C16" i="38"/>
  <c r="C17" i="38"/>
  <c r="C18" i="38"/>
  <c r="C19" i="38"/>
  <c r="C20" i="38"/>
  <c r="C21" i="38"/>
  <c r="C22" i="38"/>
  <c r="C23" i="38"/>
  <c r="C14" i="38"/>
  <c r="C25" i="38"/>
  <c r="C26" i="38"/>
  <c r="C27" i="38"/>
  <c r="C28" i="38"/>
  <c r="C24" i="38"/>
  <c r="C30" i="38"/>
  <c r="C31" i="38"/>
  <c r="C32" i="38"/>
  <c r="C29" i="38"/>
  <c r="C34" i="38"/>
  <c r="C35" i="38"/>
  <c r="C36" i="38"/>
  <c r="C37" i="38"/>
  <c r="C33" i="38"/>
  <c r="C5" i="38"/>
  <c r="C7" i="37"/>
  <c r="C8" i="37"/>
  <c r="C9" i="37"/>
  <c r="C10" i="37"/>
  <c r="C11" i="37"/>
  <c r="C12" i="37"/>
  <c r="C13" i="37"/>
  <c r="C6" i="37"/>
  <c r="C15" i="37"/>
  <c r="C16" i="37"/>
  <c r="C17" i="37"/>
  <c r="C18" i="37"/>
  <c r="C19" i="37"/>
  <c r="C20" i="37"/>
  <c r="C21" i="37"/>
  <c r="C22" i="37"/>
  <c r="C23" i="37"/>
  <c r="C14" i="37"/>
  <c r="C25" i="37"/>
  <c r="C26" i="37"/>
  <c r="C27" i="37"/>
  <c r="C28" i="37"/>
  <c r="C24" i="37"/>
  <c r="C30" i="37"/>
  <c r="C31" i="37"/>
  <c r="C32" i="37"/>
  <c r="C29" i="37"/>
  <c r="C34" i="37"/>
  <c r="C35" i="37"/>
  <c r="C36" i="37"/>
  <c r="C37" i="37"/>
  <c r="C33" i="37"/>
  <c r="C5" i="37"/>
  <c r="C5" i="40"/>
  <c r="C5" i="44"/>
  <c r="B49" i="32"/>
  <c r="B13" i="32"/>
  <c r="C13" i="32"/>
  <c r="D13" i="32"/>
  <c r="B12" i="27"/>
  <c r="B57" i="32"/>
  <c r="B60" i="32"/>
  <c r="B14" i="32"/>
  <c r="C14" i="32"/>
  <c r="D14" i="32"/>
  <c r="B61" i="32"/>
  <c r="B15" i="32"/>
  <c r="C15" i="32"/>
  <c r="D15" i="32"/>
  <c r="B62" i="32"/>
  <c r="B16" i="32"/>
  <c r="C16" i="32"/>
  <c r="D16" i="32"/>
  <c r="B63" i="32"/>
  <c r="B17" i="32"/>
  <c r="C17" i="32"/>
  <c r="D17" i="32"/>
  <c r="B64" i="32"/>
  <c r="B18" i="32"/>
  <c r="C18" i="32"/>
  <c r="D18" i="32"/>
  <c r="B65" i="32"/>
  <c r="B19" i="32"/>
  <c r="C19" i="32"/>
  <c r="D19" i="32"/>
  <c r="B66" i="32"/>
  <c r="B59" i="32"/>
  <c r="B50" i="32"/>
  <c r="B21" i="32"/>
  <c r="C21" i="32"/>
  <c r="D21" i="32"/>
  <c r="B68" i="32"/>
  <c r="B22" i="32"/>
  <c r="C22" i="32"/>
  <c r="D22" i="32"/>
  <c r="B69" i="32"/>
  <c r="B23" i="32"/>
  <c r="C23" i="32"/>
  <c r="D23" i="32"/>
  <c r="B70" i="32"/>
  <c r="B24" i="32"/>
  <c r="C24" i="32"/>
  <c r="D24" i="32"/>
  <c r="B71" i="32"/>
  <c r="B25" i="32"/>
  <c r="C25" i="32"/>
  <c r="D25" i="32"/>
  <c r="B72" i="32"/>
  <c r="B26" i="32"/>
  <c r="C26" i="32"/>
  <c r="D26" i="32"/>
  <c r="B73" i="32"/>
  <c r="B27" i="32"/>
  <c r="C27" i="32"/>
  <c r="D27" i="32"/>
  <c r="B74" i="32"/>
  <c r="B28" i="32"/>
  <c r="C28" i="32"/>
  <c r="D28" i="32"/>
  <c r="B75" i="32"/>
  <c r="B29" i="32"/>
  <c r="C29" i="32"/>
  <c r="D29" i="32"/>
  <c r="B76" i="32"/>
  <c r="B67" i="32"/>
  <c r="B51" i="32"/>
  <c r="B31" i="32"/>
  <c r="C31" i="32"/>
  <c r="D31" i="32"/>
  <c r="B78" i="32"/>
  <c r="B52" i="32"/>
  <c r="B32" i="32"/>
  <c r="C32" i="32"/>
  <c r="D32" i="32"/>
  <c r="B79" i="32"/>
  <c r="B53" i="32"/>
  <c r="B33" i="32"/>
  <c r="C33" i="32"/>
  <c r="D33" i="32"/>
  <c r="B80" i="32"/>
  <c r="B54" i="32"/>
  <c r="B34" i="32"/>
  <c r="C34" i="32"/>
  <c r="D34" i="32"/>
  <c r="B81" i="32"/>
  <c r="B77" i="32"/>
  <c r="B55" i="32"/>
  <c r="B36" i="32"/>
  <c r="C36" i="32"/>
  <c r="D36" i="32"/>
  <c r="B83" i="32"/>
  <c r="B37" i="32"/>
  <c r="C37" i="32"/>
  <c r="D37" i="32"/>
  <c r="B84" i="32"/>
  <c r="B38" i="32"/>
  <c r="C38" i="32"/>
  <c r="D38" i="32"/>
  <c r="B85" i="32"/>
  <c r="B82" i="32"/>
  <c r="B56" i="32"/>
  <c r="B40" i="32"/>
  <c r="C40" i="32"/>
  <c r="D40" i="32"/>
  <c r="B87" i="32"/>
  <c r="B41" i="32"/>
  <c r="C41" i="32"/>
  <c r="D41" i="32"/>
  <c r="B88" i="32"/>
  <c r="B42" i="32"/>
  <c r="C42" i="32"/>
  <c r="D42" i="32"/>
  <c r="B89" i="32"/>
  <c r="B43" i="32"/>
  <c r="C43" i="32"/>
  <c r="D43" i="32"/>
  <c r="B90" i="32"/>
  <c r="B86" i="32"/>
  <c r="B58" i="32"/>
  <c r="G4" i="29"/>
  <c r="G12" i="29"/>
  <c r="G22" i="29"/>
  <c r="G27" i="29"/>
  <c r="G31" i="29"/>
  <c r="G3" i="29"/>
  <c r="S58" i="32"/>
  <c r="B4" i="33"/>
  <c r="C49" i="32"/>
  <c r="S13" i="32"/>
  <c r="T13" i="32"/>
  <c r="U13" i="32"/>
  <c r="B13" i="27"/>
  <c r="C57" i="32"/>
  <c r="C60" i="32"/>
  <c r="S14" i="32"/>
  <c r="T14" i="32"/>
  <c r="U14" i="32"/>
  <c r="C61" i="32"/>
  <c r="S15" i="32"/>
  <c r="T15" i="32"/>
  <c r="U15" i="32"/>
  <c r="C62" i="32"/>
  <c r="S16" i="32"/>
  <c r="T16" i="32"/>
  <c r="U16" i="32"/>
  <c r="C63" i="32"/>
  <c r="S17" i="32"/>
  <c r="T17" i="32"/>
  <c r="U17" i="32"/>
  <c r="C64" i="32"/>
  <c r="S18" i="32"/>
  <c r="T18" i="32"/>
  <c r="U18" i="32"/>
  <c r="C65" i="32"/>
  <c r="S19" i="32"/>
  <c r="T19" i="32"/>
  <c r="U19" i="32"/>
  <c r="C66" i="32"/>
  <c r="C59" i="32"/>
  <c r="C50" i="32"/>
  <c r="S21" i="32"/>
  <c r="T21" i="32"/>
  <c r="U21" i="32"/>
  <c r="C68" i="32"/>
  <c r="S22" i="32"/>
  <c r="T22" i="32"/>
  <c r="U22" i="32"/>
  <c r="C69" i="32"/>
  <c r="S23" i="32"/>
  <c r="T23" i="32"/>
  <c r="U23" i="32"/>
  <c r="C70" i="32"/>
  <c r="S24" i="32"/>
  <c r="T24" i="32"/>
  <c r="U24" i="32"/>
  <c r="C71" i="32"/>
  <c r="S25" i="32"/>
  <c r="T25" i="32"/>
  <c r="U25" i="32"/>
  <c r="C72" i="32"/>
  <c r="S26" i="32"/>
  <c r="T26" i="32"/>
  <c r="U26" i="32"/>
  <c r="C73" i="32"/>
  <c r="S27" i="32"/>
  <c r="T27" i="32"/>
  <c r="U27" i="32"/>
  <c r="C74" i="32"/>
  <c r="S28" i="32"/>
  <c r="T28" i="32"/>
  <c r="U28" i="32"/>
  <c r="C75" i="32"/>
  <c r="S29" i="32"/>
  <c r="T29" i="32"/>
  <c r="U29" i="32"/>
  <c r="C76" i="32"/>
  <c r="C67" i="32"/>
  <c r="C51" i="32"/>
  <c r="S31" i="32"/>
  <c r="T31" i="32"/>
  <c r="U31" i="32"/>
  <c r="C78" i="32"/>
  <c r="C52" i="32"/>
  <c r="S32" i="32"/>
  <c r="T32" i="32"/>
  <c r="U32" i="32"/>
  <c r="C79" i="32"/>
  <c r="C53" i="32"/>
  <c r="S33" i="32"/>
  <c r="T33" i="32"/>
  <c r="U33" i="32"/>
  <c r="C80" i="32"/>
  <c r="C54" i="32"/>
  <c r="S34" i="32"/>
  <c r="T34" i="32"/>
  <c r="U34" i="32"/>
  <c r="C81" i="32"/>
  <c r="C77" i="32"/>
  <c r="C55" i="32"/>
  <c r="S36" i="32"/>
  <c r="T36" i="32"/>
  <c r="U36" i="32"/>
  <c r="C83" i="32"/>
  <c r="S37" i="32"/>
  <c r="T37" i="32"/>
  <c r="U37" i="32"/>
  <c r="C84" i="32"/>
  <c r="S38" i="32"/>
  <c r="T38" i="32"/>
  <c r="U38" i="32"/>
  <c r="C85" i="32"/>
  <c r="C82" i="32"/>
  <c r="C56" i="32"/>
  <c r="S40" i="32"/>
  <c r="T40" i="32"/>
  <c r="U40" i="32"/>
  <c r="C87" i="32"/>
  <c r="S41" i="32"/>
  <c r="T41" i="32"/>
  <c r="U41" i="32"/>
  <c r="C88" i="32"/>
  <c r="S42" i="32"/>
  <c r="T42" i="32"/>
  <c r="U42" i="32"/>
  <c r="C89" i="32"/>
  <c r="S43" i="32"/>
  <c r="T43" i="32"/>
  <c r="U43" i="32"/>
  <c r="C90" i="32"/>
  <c r="C86" i="32"/>
  <c r="C58" i="32"/>
  <c r="T58" i="32"/>
  <c r="C4" i="33"/>
  <c r="D4" i="33"/>
  <c r="S4" i="33"/>
  <c r="H5" i="36"/>
  <c r="H5" i="41"/>
  <c r="H7" i="38"/>
  <c r="H8" i="38"/>
  <c r="H9" i="38"/>
  <c r="H10" i="38"/>
  <c r="H11" i="38"/>
  <c r="H12" i="38"/>
  <c r="H13" i="38"/>
  <c r="H6" i="38"/>
  <c r="H15" i="38"/>
  <c r="H16" i="38"/>
  <c r="H17" i="38"/>
  <c r="H18" i="38"/>
  <c r="H19" i="38"/>
  <c r="H20" i="38"/>
  <c r="H21" i="38"/>
  <c r="H22" i="38"/>
  <c r="H23" i="38"/>
  <c r="H14" i="38"/>
  <c r="H25" i="38"/>
  <c r="H26" i="38"/>
  <c r="H27" i="38"/>
  <c r="H28" i="38"/>
  <c r="H24" i="38"/>
  <c r="H30" i="38"/>
  <c r="H31" i="38"/>
  <c r="H32" i="38"/>
  <c r="H29" i="38"/>
  <c r="H34" i="38"/>
  <c r="H35" i="38"/>
  <c r="H36" i="38"/>
  <c r="H37" i="38"/>
  <c r="H33" i="38"/>
  <c r="H5" i="38"/>
  <c r="H7" i="37"/>
  <c r="H8" i="37"/>
  <c r="H9" i="37"/>
  <c r="H10" i="37"/>
  <c r="H11" i="37"/>
  <c r="H12" i="37"/>
  <c r="H13" i="37"/>
  <c r="H6" i="37"/>
  <c r="H15" i="37"/>
  <c r="H16" i="37"/>
  <c r="H17" i="37"/>
  <c r="H18" i="37"/>
  <c r="H19" i="37"/>
  <c r="H20" i="37"/>
  <c r="H21" i="37"/>
  <c r="H22" i="37"/>
  <c r="H23" i="37"/>
  <c r="H14" i="37"/>
  <c r="H25" i="37"/>
  <c r="H26" i="37"/>
  <c r="H27" i="37"/>
  <c r="H28" i="37"/>
  <c r="H24" i="37"/>
  <c r="H30" i="37"/>
  <c r="H31" i="37"/>
  <c r="H32" i="37"/>
  <c r="H29" i="37"/>
  <c r="H34" i="37"/>
  <c r="H35" i="37"/>
  <c r="H36" i="37"/>
  <c r="H37" i="37"/>
  <c r="H33" i="37"/>
  <c r="H5" i="37"/>
  <c r="H5" i="40"/>
  <c r="H5" i="44"/>
  <c r="T4" i="33"/>
  <c r="I5" i="36"/>
  <c r="I5" i="41"/>
  <c r="I7" i="38"/>
  <c r="I8" i="38"/>
  <c r="I9" i="38"/>
  <c r="I10" i="38"/>
  <c r="I11" i="38"/>
  <c r="I12" i="38"/>
  <c r="I13" i="38"/>
  <c r="I6" i="38"/>
  <c r="I15" i="38"/>
  <c r="I16" i="38"/>
  <c r="I17" i="38"/>
  <c r="I18" i="38"/>
  <c r="I19" i="38"/>
  <c r="I20" i="38"/>
  <c r="I21" i="38"/>
  <c r="I22" i="38"/>
  <c r="I23" i="38"/>
  <c r="I14" i="38"/>
  <c r="I25" i="38"/>
  <c r="I26" i="38"/>
  <c r="I27" i="38"/>
  <c r="I28" i="38"/>
  <c r="I24" i="38"/>
  <c r="I30" i="38"/>
  <c r="I31" i="38"/>
  <c r="I32" i="38"/>
  <c r="I29" i="38"/>
  <c r="I34" i="38"/>
  <c r="I35" i="38"/>
  <c r="I36" i="38"/>
  <c r="I37" i="38"/>
  <c r="I33" i="38"/>
  <c r="I5" i="38"/>
  <c r="I7" i="37"/>
  <c r="I8" i="37"/>
  <c r="I9" i="37"/>
  <c r="I10" i="37"/>
  <c r="I11" i="37"/>
  <c r="I12" i="37"/>
  <c r="I13" i="37"/>
  <c r="I6" i="37"/>
  <c r="I15" i="37"/>
  <c r="I16" i="37"/>
  <c r="I17" i="37"/>
  <c r="I18" i="37"/>
  <c r="I19" i="37"/>
  <c r="I20" i="37"/>
  <c r="I21" i="37"/>
  <c r="I22" i="37"/>
  <c r="I23" i="37"/>
  <c r="I14" i="37"/>
  <c r="I25" i="37"/>
  <c r="I26" i="37"/>
  <c r="I27" i="37"/>
  <c r="I28" i="37"/>
  <c r="I24" i="37"/>
  <c r="I30" i="37"/>
  <c r="I31" i="37"/>
  <c r="I32" i="37"/>
  <c r="I29" i="37"/>
  <c r="I34" i="37"/>
  <c r="I35" i="37"/>
  <c r="I36" i="37"/>
  <c r="I37" i="37"/>
  <c r="I33" i="37"/>
  <c r="I5" i="37"/>
  <c r="I5" i="40"/>
  <c r="I5" i="44"/>
  <c r="B13" i="24"/>
  <c r="B15" i="27"/>
  <c r="B10" i="24"/>
  <c r="S13" i="24"/>
  <c r="B14" i="24"/>
  <c r="S14" i="24"/>
  <c r="B15" i="24"/>
  <c r="S15" i="24"/>
  <c r="B16" i="24"/>
  <c r="S16" i="24"/>
  <c r="B17" i="24"/>
  <c r="S17" i="24"/>
  <c r="B18" i="24"/>
  <c r="S18" i="24"/>
  <c r="B19" i="24"/>
  <c r="S19" i="24"/>
  <c r="S12" i="24"/>
  <c r="B21" i="24"/>
  <c r="S21" i="24"/>
  <c r="B22" i="24"/>
  <c r="S22" i="24"/>
  <c r="B23" i="24"/>
  <c r="S23" i="24"/>
  <c r="B24" i="24"/>
  <c r="S24" i="24"/>
  <c r="B25" i="24"/>
  <c r="S25" i="24"/>
  <c r="B26" i="24"/>
  <c r="S26" i="24"/>
  <c r="B27" i="24"/>
  <c r="S27" i="24"/>
  <c r="B28" i="24"/>
  <c r="S28" i="24"/>
  <c r="B29" i="24"/>
  <c r="S29" i="24"/>
  <c r="S20" i="24"/>
  <c r="B31" i="24"/>
  <c r="S31" i="24"/>
  <c r="B32" i="24"/>
  <c r="S32" i="24"/>
  <c r="B33" i="24"/>
  <c r="S33" i="24"/>
  <c r="B34" i="24"/>
  <c r="S34" i="24"/>
  <c r="S30" i="24"/>
  <c r="B36" i="24"/>
  <c r="S36" i="24"/>
  <c r="B37" i="24"/>
  <c r="S37" i="24"/>
  <c r="B38" i="24"/>
  <c r="S38" i="24"/>
  <c r="S35" i="24"/>
  <c r="B40" i="24"/>
  <c r="S40" i="24"/>
  <c r="B41" i="24"/>
  <c r="S41" i="24"/>
  <c r="B42" i="24"/>
  <c r="S42" i="24"/>
  <c r="B43" i="24"/>
  <c r="S43" i="24"/>
  <c r="S39" i="24"/>
  <c r="S11" i="24"/>
  <c r="L5" i="13"/>
  <c r="B5" i="46"/>
  <c r="L6" i="13"/>
  <c r="L7" i="13"/>
  <c r="L8" i="13"/>
  <c r="L9" i="13"/>
  <c r="L10" i="13"/>
  <c r="L11" i="13"/>
  <c r="L4" i="13"/>
  <c r="L13" i="13"/>
  <c r="L14" i="13"/>
  <c r="L15" i="13"/>
  <c r="L16" i="13"/>
  <c r="L17" i="13"/>
  <c r="L18" i="13"/>
  <c r="L19" i="13"/>
  <c r="L20" i="13"/>
  <c r="L21" i="13"/>
  <c r="L12" i="13"/>
  <c r="L23" i="13"/>
  <c r="L24" i="13"/>
  <c r="L25" i="13"/>
  <c r="L26" i="13"/>
  <c r="L22" i="13"/>
  <c r="L28" i="13"/>
  <c r="L29" i="13"/>
  <c r="L30" i="13"/>
  <c r="L27" i="13"/>
  <c r="L32" i="13"/>
  <c r="L33" i="13"/>
  <c r="L34" i="13"/>
  <c r="L35" i="13"/>
  <c r="L31" i="13"/>
  <c r="L3" i="13"/>
  <c r="B3" i="46"/>
  <c r="G5" i="46"/>
  <c r="L3" i="46"/>
  <c r="L5" i="46"/>
  <c r="Q4" i="14"/>
  <c r="V3" i="46"/>
  <c r="AA3" i="46"/>
  <c r="V5" i="46"/>
  <c r="V4" i="14"/>
  <c r="AF3" i="46"/>
  <c r="AK3" i="46"/>
  <c r="AF5" i="46"/>
  <c r="AA4" i="14"/>
  <c r="AP3" i="46"/>
  <c r="AU3" i="46"/>
  <c r="AP5" i="46"/>
  <c r="AF4" i="14"/>
  <c r="AZ3" i="46"/>
  <c r="BE3" i="46"/>
  <c r="AZ5" i="46"/>
  <c r="AK4" i="14"/>
  <c r="BJ3" i="46"/>
  <c r="BO3" i="46"/>
  <c r="BJ5" i="46"/>
  <c r="AP4" i="14"/>
  <c r="E6" i="64"/>
  <c r="AU4" i="14"/>
  <c r="K3" i="65"/>
  <c r="E3" i="65"/>
  <c r="E6" i="65"/>
  <c r="BE4" i="14"/>
  <c r="L5" i="29"/>
  <c r="B6" i="46"/>
  <c r="G6" i="46"/>
  <c r="L6" i="46"/>
  <c r="Q5" i="14"/>
  <c r="V6" i="46"/>
  <c r="V5" i="14"/>
  <c r="AF6" i="46"/>
  <c r="AA5" i="14"/>
  <c r="AP6" i="46"/>
  <c r="AF5" i="14"/>
  <c r="AZ6" i="46"/>
  <c r="AK5" i="14"/>
  <c r="BJ6" i="46"/>
  <c r="AP5" i="14"/>
  <c r="E7" i="64"/>
  <c r="AU5" i="14"/>
  <c r="E7" i="65"/>
  <c r="BE5" i="14"/>
  <c r="L6" i="29"/>
  <c r="B7" i="46"/>
  <c r="G7" i="46"/>
  <c r="L7" i="46"/>
  <c r="Q6" i="14"/>
  <c r="V7" i="46"/>
  <c r="V6" i="14"/>
  <c r="AF7" i="46"/>
  <c r="AA6" i="14"/>
  <c r="AP7" i="46"/>
  <c r="AF6" i="14"/>
  <c r="AZ7" i="46"/>
  <c r="AK6" i="14"/>
  <c r="BJ7" i="46"/>
  <c r="AP6" i="14"/>
  <c r="E8" i="64"/>
  <c r="AU6" i="14"/>
  <c r="E8" i="65"/>
  <c r="BE6" i="14"/>
  <c r="L7" i="29"/>
  <c r="B8" i="46"/>
  <c r="G8" i="46"/>
  <c r="L8" i="46"/>
  <c r="Q7" i="14"/>
  <c r="V8" i="46"/>
  <c r="V7" i="14"/>
  <c r="AF8" i="46"/>
  <c r="AA7" i="14"/>
  <c r="AP8" i="46"/>
  <c r="AF7" i="14"/>
  <c r="AZ8" i="46"/>
  <c r="AK7" i="14"/>
  <c r="BJ8" i="46"/>
  <c r="AP7" i="14"/>
  <c r="E9" i="64"/>
  <c r="AU7" i="14"/>
  <c r="K25" i="53"/>
  <c r="P2" i="53"/>
  <c r="I2" i="53"/>
  <c r="F25" i="53"/>
  <c r="P25" i="53"/>
  <c r="AZ7" i="14"/>
  <c r="E9" i="65"/>
  <c r="BE7" i="14"/>
  <c r="L8" i="29"/>
  <c r="B9" i="46"/>
  <c r="G9" i="46"/>
  <c r="L9" i="46"/>
  <c r="Q8" i="14"/>
  <c r="V9" i="46"/>
  <c r="V8" i="14"/>
  <c r="AF9" i="46"/>
  <c r="AA8" i="14"/>
  <c r="AP9" i="46"/>
  <c r="AF8" i="14"/>
  <c r="AZ9" i="46"/>
  <c r="AK8" i="14"/>
  <c r="BJ9" i="46"/>
  <c r="AP8" i="14"/>
  <c r="E10" i="64"/>
  <c r="AU8" i="14"/>
  <c r="E10" i="65"/>
  <c r="BE8" i="14"/>
  <c r="L9" i="29"/>
  <c r="B10" i="46"/>
  <c r="G10" i="46"/>
  <c r="L10" i="46"/>
  <c r="Q9" i="14"/>
  <c r="V10" i="46"/>
  <c r="V9" i="14"/>
  <c r="AF10" i="46"/>
  <c r="AA9" i="14"/>
  <c r="AP10" i="46"/>
  <c r="AF9" i="14"/>
  <c r="AZ10" i="46"/>
  <c r="AK9" i="14"/>
  <c r="BJ10" i="46"/>
  <c r="AP9" i="14"/>
  <c r="E11" i="64"/>
  <c r="AU9" i="14"/>
  <c r="E11" i="65"/>
  <c r="BE9" i="14"/>
  <c r="L10" i="29"/>
  <c r="B11" i="46"/>
  <c r="G11" i="46"/>
  <c r="L11" i="46"/>
  <c r="Q10" i="14"/>
  <c r="V11" i="46"/>
  <c r="V10" i="14"/>
  <c r="AF11" i="46"/>
  <c r="AA10" i="14"/>
  <c r="AP11" i="46"/>
  <c r="AF10" i="14"/>
  <c r="AZ11" i="46"/>
  <c r="AK10" i="14"/>
  <c r="BJ11" i="46"/>
  <c r="AP10" i="14"/>
  <c r="E12" i="64"/>
  <c r="AU10" i="14"/>
  <c r="E12" i="65"/>
  <c r="BE10" i="14"/>
  <c r="L11" i="29"/>
  <c r="L4" i="29"/>
  <c r="B13" i="46"/>
  <c r="G13" i="46"/>
  <c r="L13" i="46"/>
  <c r="Q12" i="14"/>
  <c r="V13" i="46"/>
  <c r="V12" i="14"/>
  <c r="AF13" i="46"/>
  <c r="AA12" i="14"/>
  <c r="AP13" i="46"/>
  <c r="AF12" i="14"/>
  <c r="AZ13" i="46"/>
  <c r="AK12" i="14"/>
  <c r="BJ13" i="46"/>
  <c r="AP12" i="14"/>
  <c r="E14" i="64"/>
  <c r="AU12" i="14"/>
  <c r="K22" i="53"/>
  <c r="P22" i="53"/>
  <c r="AZ12" i="14"/>
  <c r="E14" i="65"/>
  <c r="BE12" i="14"/>
  <c r="L13" i="29"/>
  <c r="B14" i="46"/>
  <c r="G14" i="46"/>
  <c r="L14" i="46"/>
  <c r="Q13" i="14"/>
  <c r="V14" i="46"/>
  <c r="V13" i="14"/>
  <c r="AF14" i="46"/>
  <c r="AA13" i="14"/>
  <c r="AP14" i="46"/>
  <c r="AF13" i="14"/>
  <c r="AZ14" i="46"/>
  <c r="AK13" i="14"/>
  <c r="BJ14" i="46"/>
  <c r="AP13" i="14"/>
  <c r="E15" i="64"/>
  <c r="AU13" i="14"/>
  <c r="K11" i="53"/>
  <c r="P11" i="53"/>
  <c r="AZ13" i="14"/>
  <c r="E15" i="65"/>
  <c r="BE13" i="14"/>
  <c r="L14" i="29"/>
  <c r="B15" i="46"/>
  <c r="G15" i="46"/>
  <c r="L15" i="46"/>
  <c r="Q14" i="14"/>
  <c r="V15" i="46"/>
  <c r="V14" i="14"/>
  <c r="AF15" i="46"/>
  <c r="AA14" i="14"/>
  <c r="AP15" i="46"/>
  <c r="AF14" i="14"/>
  <c r="AZ15" i="46"/>
  <c r="AK14" i="14"/>
  <c r="BJ15" i="46"/>
  <c r="AP14" i="14"/>
  <c r="E16" i="64"/>
  <c r="AU14" i="14"/>
  <c r="K20" i="53"/>
  <c r="P20" i="53"/>
  <c r="AZ14" i="14"/>
  <c r="E16" i="65"/>
  <c r="BE14" i="14"/>
  <c r="L15" i="29"/>
  <c r="B16" i="46"/>
  <c r="G16" i="46"/>
  <c r="L16" i="46"/>
  <c r="Q15" i="14"/>
  <c r="V16" i="46"/>
  <c r="V15" i="14"/>
  <c r="AF16" i="46"/>
  <c r="AA15" i="14"/>
  <c r="AP16" i="46"/>
  <c r="AF15" i="14"/>
  <c r="AZ16" i="46"/>
  <c r="AK15" i="14"/>
  <c r="BJ16" i="46"/>
  <c r="AP15" i="14"/>
  <c r="E17" i="64"/>
  <c r="AU15" i="14"/>
  <c r="K18" i="53"/>
  <c r="P18" i="53"/>
  <c r="AZ15" i="14"/>
  <c r="E17" i="65"/>
  <c r="BE15" i="14"/>
  <c r="L16" i="29"/>
  <c r="B17" i="46"/>
  <c r="G17" i="46"/>
  <c r="L17" i="46"/>
  <c r="Q16" i="14"/>
  <c r="V17" i="46"/>
  <c r="V16" i="14"/>
  <c r="AF17" i="46"/>
  <c r="AA16" i="14"/>
  <c r="AP17" i="46"/>
  <c r="AF16" i="14"/>
  <c r="AZ17" i="46"/>
  <c r="AK16" i="14"/>
  <c r="BJ17" i="46"/>
  <c r="AP16" i="14"/>
  <c r="E18" i="64"/>
  <c r="AU16" i="14"/>
  <c r="K23" i="53"/>
  <c r="F23" i="53"/>
  <c r="P23" i="53"/>
  <c r="AZ16" i="14"/>
  <c r="E18" i="65"/>
  <c r="BE16" i="14"/>
  <c r="L17" i="29"/>
  <c r="B18" i="46"/>
  <c r="G18" i="46"/>
  <c r="L18" i="46"/>
  <c r="Q17" i="14"/>
  <c r="V18" i="46"/>
  <c r="V17" i="14"/>
  <c r="AF18" i="46"/>
  <c r="AA17" i="14"/>
  <c r="AP18" i="46"/>
  <c r="AF17" i="14"/>
  <c r="AZ18" i="46"/>
  <c r="AK17" i="14"/>
  <c r="BJ18" i="46"/>
  <c r="AP17" i="14"/>
  <c r="E19" i="64"/>
  <c r="AU17" i="14"/>
  <c r="K24" i="53"/>
  <c r="F24" i="53"/>
  <c r="P24" i="53"/>
  <c r="AZ17" i="14"/>
  <c r="E19" i="65"/>
  <c r="BE17" i="14"/>
  <c r="L18" i="29"/>
  <c r="B19" i="46"/>
  <c r="G19" i="46"/>
  <c r="L19" i="46"/>
  <c r="Q18" i="14"/>
  <c r="V19" i="46"/>
  <c r="V18" i="14"/>
  <c r="AF19" i="46"/>
  <c r="AA18" i="14"/>
  <c r="AP19" i="46"/>
  <c r="AF18" i="14"/>
  <c r="AZ19" i="46"/>
  <c r="AK18" i="14"/>
  <c r="BJ19" i="46"/>
  <c r="AP18" i="14"/>
  <c r="E20" i="64"/>
  <c r="AU18" i="14"/>
  <c r="K19" i="53"/>
  <c r="F19" i="53"/>
  <c r="P19" i="53"/>
  <c r="AZ18" i="14"/>
  <c r="E20" i="65"/>
  <c r="BE18" i="14"/>
  <c r="L19" i="29"/>
  <c r="B20" i="46"/>
  <c r="G20" i="46"/>
  <c r="L20" i="46"/>
  <c r="Q19" i="14"/>
  <c r="V20" i="46"/>
  <c r="V19" i="14"/>
  <c r="AF20" i="46"/>
  <c r="AA19" i="14"/>
  <c r="AP20" i="46"/>
  <c r="AF19" i="14"/>
  <c r="AZ20" i="46"/>
  <c r="AK19" i="14"/>
  <c r="BJ20" i="46"/>
  <c r="AP19" i="14"/>
  <c r="E21" i="64"/>
  <c r="AU19" i="14"/>
  <c r="K21" i="53"/>
  <c r="F21" i="53"/>
  <c r="P21" i="53"/>
  <c r="AZ19" i="14"/>
  <c r="E21" i="65"/>
  <c r="BE19" i="14"/>
  <c r="L20" i="29"/>
  <c r="B21" i="46"/>
  <c r="G21" i="46"/>
  <c r="L21" i="46"/>
  <c r="Q20" i="14"/>
  <c r="V21" i="46"/>
  <c r="V20" i="14"/>
  <c r="AF21" i="46"/>
  <c r="AA20" i="14"/>
  <c r="AP21" i="46"/>
  <c r="AF20" i="14"/>
  <c r="AZ21" i="46"/>
  <c r="AK20" i="14"/>
  <c r="BJ21" i="46"/>
  <c r="AP20" i="14"/>
  <c r="E22" i="64"/>
  <c r="AU20" i="14"/>
  <c r="K12" i="53"/>
  <c r="F12" i="53"/>
  <c r="P12" i="53"/>
  <c r="AZ20" i="14"/>
  <c r="E22" i="65"/>
  <c r="BE20" i="14"/>
  <c r="L21" i="29"/>
  <c r="L12" i="29"/>
  <c r="B23" i="46"/>
  <c r="G23" i="46"/>
  <c r="L23" i="46"/>
  <c r="Q22" i="14"/>
  <c r="V23" i="46"/>
  <c r="V22" i="14"/>
  <c r="AF23" i="46"/>
  <c r="AA22" i="14"/>
  <c r="AP23" i="46"/>
  <c r="AF22" i="14"/>
  <c r="AZ23" i="46"/>
  <c r="AK22" i="14"/>
  <c r="BJ23" i="46"/>
  <c r="AP22" i="14"/>
  <c r="E24" i="64"/>
  <c r="AU22" i="14"/>
  <c r="K13" i="53"/>
  <c r="P13" i="53"/>
  <c r="AZ22" i="14"/>
  <c r="E24" i="65"/>
  <c r="BE22" i="14"/>
  <c r="L23" i="29"/>
  <c r="B24" i="46"/>
  <c r="G24" i="46"/>
  <c r="L24" i="46"/>
  <c r="Q23" i="14"/>
  <c r="V24" i="46"/>
  <c r="V23" i="14"/>
  <c r="AF24" i="46"/>
  <c r="AA23" i="14"/>
  <c r="AP24" i="46"/>
  <c r="AF23" i="14"/>
  <c r="AZ24" i="46"/>
  <c r="AK23" i="14"/>
  <c r="BJ24" i="46"/>
  <c r="AP23" i="14"/>
  <c r="E25" i="64"/>
  <c r="AU23" i="14"/>
  <c r="K8" i="53"/>
  <c r="P8" i="53"/>
  <c r="AZ23" i="14"/>
  <c r="E25" i="65"/>
  <c r="BE23" i="14"/>
  <c r="L24" i="29"/>
  <c r="B25" i="46"/>
  <c r="G25" i="46"/>
  <c r="L25" i="46"/>
  <c r="Q24" i="14"/>
  <c r="V25" i="46"/>
  <c r="V24" i="14"/>
  <c r="AF25" i="46"/>
  <c r="AA24" i="14"/>
  <c r="AP25" i="46"/>
  <c r="AF24" i="14"/>
  <c r="AZ25" i="46"/>
  <c r="AK24" i="14"/>
  <c r="BJ25" i="46"/>
  <c r="AP24" i="14"/>
  <c r="E26" i="64"/>
  <c r="AU24" i="14"/>
  <c r="K14" i="53"/>
  <c r="P14" i="53"/>
  <c r="AZ24" i="14"/>
  <c r="E26" i="65"/>
  <c r="BE24" i="14"/>
  <c r="L25" i="29"/>
  <c r="B26" i="46"/>
  <c r="G26" i="46"/>
  <c r="L26" i="46"/>
  <c r="Q25" i="14"/>
  <c r="V26" i="46"/>
  <c r="V25" i="14"/>
  <c r="AF26" i="46"/>
  <c r="AA25" i="14"/>
  <c r="AP26" i="46"/>
  <c r="AF25" i="14"/>
  <c r="AZ26" i="46"/>
  <c r="AK25" i="14"/>
  <c r="BJ26" i="46"/>
  <c r="AP25" i="14"/>
  <c r="E27" i="64"/>
  <c r="AU25" i="14"/>
  <c r="K7" i="53"/>
  <c r="P7" i="53"/>
  <c r="AZ25" i="14"/>
  <c r="E27" i="65"/>
  <c r="BE25" i="14"/>
  <c r="L26" i="29"/>
  <c r="L22" i="29"/>
  <c r="B28" i="46"/>
  <c r="G28" i="46"/>
  <c r="L28" i="46"/>
  <c r="Q27" i="14"/>
  <c r="V28" i="46"/>
  <c r="V27" i="14"/>
  <c r="AF28" i="46"/>
  <c r="AA27" i="14"/>
  <c r="AP28" i="46"/>
  <c r="AF27" i="14"/>
  <c r="AZ28" i="46"/>
  <c r="AK27" i="14"/>
  <c r="BJ28" i="46"/>
  <c r="AP27" i="14"/>
  <c r="E29" i="64"/>
  <c r="AU27" i="14"/>
  <c r="K17" i="53"/>
  <c r="P17" i="53"/>
  <c r="AZ27" i="14"/>
  <c r="E29" i="65"/>
  <c r="BE27" i="14"/>
  <c r="L28" i="29"/>
  <c r="B29" i="46"/>
  <c r="G29" i="46"/>
  <c r="L29" i="46"/>
  <c r="Q28" i="14"/>
  <c r="V29" i="46"/>
  <c r="V28" i="14"/>
  <c r="AF29" i="46"/>
  <c r="AA28" i="14"/>
  <c r="AP29" i="46"/>
  <c r="AF28" i="14"/>
  <c r="AZ29" i="46"/>
  <c r="AK28" i="14"/>
  <c r="BJ29" i="46"/>
  <c r="AP28" i="14"/>
  <c r="E30" i="64"/>
  <c r="AU28" i="14"/>
  <c r="K16" i="53"/>
  <c r="P16" i="53"/>
  <c r="AZ28" i="14"/>
  <c r="E30" i="65"/>
  <c r="BE28" i="14"/>
  <c r="L29" i="29"/>
  <c r="B30" i="46"/>
  <c r="G30" i="46"/>
  <c r="L30" i="46"/>
  <c r="Q29" i="14"/>
  <c r="V30" i="46"/>
  <c r="V29" i="14"/>
  <c r="AF30" i="46"/>
  <c r="AA29" i="14"/>
  <c r="AP30" i="46"/>
  <c r="AF29" i="14"/>
  <c r="AZ30" i="46"/>
  <c r="AK29" i="14"/>
  <c r="BJ30" i="46"/>
  <c r="AP29" i="14"/>
  <c r="E31" i="64"/>
  <c r="AU29" i="14"/>
  <c r="K15" i="53"/>
  <c r="F15" i="53"/>
  <c r="P15" i="53"/>
  <c r="AZ29" i="14"/>
  <c r="E31" i="65"/>
  <c r="BE29" i="14"/>
  <c r="L30" i="29"/>
  <c r="L27" i="29"/>
  <c r="B32" i="46"/>
  <c r="G32" i="46"/>
  <c r="L32" i="46"/>
  <c r="Q31" i="14"/>
  <c r="V32" i="46"/>
  <c r="V31" i="14"/>
  <c r="AF32" i="46"/>
  <c r="AA31" i="14"/>
  <c r="AP32" i="46"/>
  <c r="AF31" i="14"/>
  <c r="AZ32" i="46"/>
  <c r="AK31" i="14"/>
  <c r="BJ32" i="46"/>
  <c r="AP31" i="14"/>
  <c r="E33" i="64"/>
  <c r="AU31" i="14"/>
  <c r="K10" i="53"/>
  <c r="F10" i="53"/>
  <c r="P10" i="53"/>
  <c r="AZ31" i="14"/>
  <c r="E33" i="65"/>
  <c r="BE31" i="14"/>
  <c r="L32" i="29"/>
  <c r="B33" i="46"/>
  <c r="G33" i="46"/>
  <c r="L33" i="46"/>
  <c r="Q32" i="14"/>
  <c r="V33" i="46"/>
  <c r="V32" i="14"/>
  <c r="AF33" i="46"/>
  <c r="AA32" i="14"/>
  <c r="AP33" i="46"/>
  <c r="AF32" i="14"/>
  <c r="AZ33" i="46"/>
  <c r="AK32" i="14"/>
  <c r="BJ33" i="46"/>
  <c r="AP32" i="14"/>
  <c r="E34" i="64"/>
  <c r="AU32" i="14"/>
  <c r="K9" i="53"/>
  <c r="P9" i="53"/>
  <c r="AZ32" i="14"/>
  <c r="E34" i="65"/>
  <c r="BE32" i="14"/>
  <c r="L33" i="29"/>
  <c r="B34" i="46"/>
  <c r="G34" i="46"/>
  <c r="L34" i="46"/>
  <c r="Q33" i="14"/>
  <c r="V34" i="46"/>
  <c r="V33" i="14"/>
  <c r="AF34" i="46"/>
  <c r="AA33" i="14"/>
  <c r="AP34" i="46"/>
  <c r="AF33" i="14"/>
  <c r="AZ34" i="46"/>
  <c r="AK33" i="14"/>
  <c r="BJ34" i="46"/>
  <c r="AP33" i="14"/>
  <c r="E35" i="64"/>
  <c r="AU33" i="14"/>
  <c r="K27" i="53"/>
  <c r="P27" i="53"/>
  <c r="AZ33" i="14"/>
  <c r="E35" i="65"/>
  <c r="BE33" i="14"/>
  <c r="L34" i="29"/>
  <c r="B35" i="46"/>
  <c r="G35" i="46"/>
  <c r="L35" i="46"/>
  <c r="Q34" i="14"/>
  <c r="V35" i="46"/>
  <c r="V34" i="14"/>
  <c r="AF35" i="46"/>
  <c r="AA34" i="14"/>
  <c r="AP35" i="46"/>
  <c r="AF34" i="14"/>
  <c r="AZ35" i="46"/>
  <c r="AK34" i="14"/>
  <c r="BJ35" i="46"/>
  <c r="AP34" i="14"/>
  <c r="E36" i="64"/>
  <c r="AU34" i="14"/>
  <c r="K26" i="53"/>
  <c r="F26" i="53"/>
  <c r="P26" i="53"/>
  <c r="AZ34" i="14"/>
  <c r="E36" i="65"/>
  <c r="BE34" i="14"/>
  <c r="L35" i="29"/>
  <c r="L31" i="29"/>
  <c r="L3" i="29"/>
  <c r="AJ11" i="24"/>
  <c r="H4" i="25"/>
  <c r="B20" i="23"/>
  <c r="B17" i="27"/>
  <c r="B17" i="23"/>
  <c r="S20" i="23"/>
  <c r="B21" i="23"/>
  <c r="S21" i="23"/>
  <c r="B22" i="23"/>
  <c r="S22" i="23"/>
  <c r="B23" i="23"/>
  <c r="S23" i="23"/>
  <c r="B24" i="23"/>
  <c r="S24" i="23"/>
  <c r="B25" i="23"/>
  <c r="S25" i="23"/>
  <c r="B26" i="23"/>
  <c r="S26" i="23"/>
  <c r="S19" i="23"/>
  <c r="B28" i="23"/>
  <c r="S28" i="23"/>
  <c r="B29" i="23"/>
  <c r="S29" i="23"/>
  <c r="B30" i="23"/>
  <c r="S30" i="23"/>
  <c r="B31" i="23"/>
  <c r="S31" i="23"/>
  <c r="B32" i="23"/>
  <c r="S32" i="23"/>
  <c r="B33" i="23"/>
  <c r="S33" i="23"/>
  <c r="B34" i="23"/>
  <c r="S34" i="23"/>
  <c r="B35" i="23"/>
  <c r="S35" i="23"/>
  <c r="B36" i="23"/>
  <c r="S36" i="23"/>
  <c r="S27" i="23"/>
  <c r="B38" i="23"/>
  <c r="S38" i="23"/>
  <c r="B39" i="23"/>
  <c r="S39" i="23"/>
  <c r="B40" i="23"/>
  <c r="S40" i="23"/>
  <c r="B41" i="23"/>
  <c r="S41" i="23"/>
  <c r="S37" i="23"/>
  <c r="B43" i="23"/>
  <c r="S43" i="23"/>
  <c r="B44" i="23"/>
  <c r="S44" i="23"/>
  <c r="B45" i="23"/>
  <c r="S45" i="23"/>
  <c r="S42" i="23"/>
  <c r="B47" i="23"/>
  <c r="S47" i="23"/>
  <c r="B48" i="23"/>
  <c r="S48" i="23"/>
  <c r="B49" i="23"/>
  <c r="S49" i="23"/>
  <c r="B50" i="23"/>
  <c r="S50" i="23"/>
  <c r="S46" i="23"/>
  <c r="S18" i="23"/>
  <c r="AJ18" i="23"/>
  <c r="B4" i="25"/>
  <c r="C20" i="23"/>
  <c r="B18" i="27"/>
  <c r="C17" i="23"/>
  <c r="T20" i="23"/>
  <c r="C21" i="23"/>
  <c r="T21" i="23"/>
  <c r="C22" i="23"/>
  <c r="T22" i="23"/>
  <c r="C23" i="23"/>
  <c r="T23" i="23"/>
  <c r="C24" i="23"/>
  <c r="T24" i="23"/>
  <c r="C25" i="23"/>
  <c r="T25" i="23"/>
  <c r="C26" i="23"/>
  <c r="T26" i="23"/>
  <c r="T19" i="23"/>
  <c r="C28" i="23"/>
  <c r="T28" i="23"/>
  <c r="C29" i="23"/>
  <c r="T29" i="23"/>
  <c r="C30" i="23"/>
  <c r="T30" i="23"/>
  <c r="C31" i="23"/>
  <c r="T31" i="23"/>
  <c r="C32" i="23"/>
  <c r="T32" i="23"/>
  <c r="C33" i="23"/>
  <c r="T33" i="23"/>
  <c r="C34" i="23"/>
  <c r="T34" i="23"/>
  <c r="C35" i="23"/>
  <c r="T35" i="23"/>
  <c r="C36" i="23"/>
  <c r="T36" i="23"/>
  <c r="T27" i="23"/>
  <c r="C38" i="23"/>
  <c r="T38" i="23"/>
  <c r="C39" i="23"/>
  <c r="T39" i="23"/>
  <c r="C40" i="23"/>
  <c r="T40" i="23"/>
  <c r="C41" i="23"/>
  <c r="T41" i="23"/>
  <c r="T37" i="23"/>
  <c r="C43" i="23"/>
  <c r="T43" i="23"/>
  <c r="C44" i="23"/>
  <c r="T44" i="23"/>
  <c r="C45" i="23"/>
  <c r="T45" i="23"/>
  <c r="T42" i="23"/>
  <c r="C47" i="23"/>
  <c r="T47" i="23"/>
  <c r="C48" i="23"/>
  <c r="T48" i="23"/>
  <c r="C49" i="23"/>
  <c r="T49" i="23"/>
  <c r="C50" i="23"/>
  <c r="T50" i="23"/>
  <c r="T46" i="23"/>
  <c r="T18" i="23"/>
  <c r="AK18" i="23"/>
  <c r="C4" i="25"/>
  <c r="D20" i="23"/>
  <c r="B19" i="27"/>
  <c r="D17" i="23"/>
  <c r="U20" i="23"/>
  <c r="D21" i="23"/>
  <c r="U21" i="23"/>
  <c r="D22" i="23"/>
  <c r="U22" i="23"/>
  <c r="D23" i="23"/>
  <c r="U23" i="23"/>
  <c r="D24" i="23"/>
  <c r="U24" i="23"/>
  <c r="D25" i="23"/>
  <c r="U25" i="23"/>
  <c r="D26" i="23"/>
  <c r="U26" i="23"/>
  <c r="U19" i="23"/>
  <c r="D28" i="23"/>
  <c r="U28" i="23"/>
  <c r="D29" i="23"/>
  <c r="U29" i="23"/>
  <c r="D30" i="23"/>
  <c r="U30" i="23"/>
  <c r="D31" i="23"/>
  <c r="U31" i="23"/>
  <c r="D32" i="23"/>
  <c r="U32" i="23"/>
  <c r="D33" i="23"/>
  <c r="U33" i="23"/>
  <c r="D34" i="23"/>
  <c r="U34" i="23"/>
  <c r="D35" i="23"/>
  <c r="U35" i="23"/>
  <c r="D36" i="23"/>
  <c r="U36" i="23"/>
  <c r="U27" i="23"/>
  <c r="D38" i="23"/>
  <c r="U38" i="23"/>
  <c r="D39" i="23"/>
  <c r="U39" i="23"/>
  <c r="D40" i="23"/>
  <c r="U40" i="23"/>
  <c r="D41" i="23"/>
  <c r="U41" i="23"/>
  <c r="U37" i="23"/>
  <c r="D43" i="23"/>
  <c r="U43" i="23"/>
  <c r="D44" i="23"/>
  <c r="U44" i="23"/>
  <c r="D45" i="23"/>
  <c r="U45" i="23"/>
  <c r="U42" i="23"/>
  <c r="D47" i="23"/>
  <c r="U47" i="23"/>
  <c r="D48" i="23"/>
  <c r="U48" i="23"/>
  <c r="D49" i="23"/>
  <c r="U49" i="23"/>
  <c r="D50" i="23"/>
  <c r="U50" i="23"/>
  <c r="U46" i="23"/>
  <c r="U18" i="23"/>
  <c r="AL18" i="23"/>
  <c r="D4" i="25"/>
  <c r="B20" i="22"/>
  <c r="B20" i="27"/>
  <c r="B17" i="22"/>
  <c r="S20" i="22"/>
  <c r="B21" i="22"/>
  <c r="S21" i="22"/>
  <c r="B22" i="22"/>
  <c r="S22" i="22"/>
  <c r="B23" i="22"/>
  <c r="S23" i="22"/>
  <c r="B24" i="22"/>
  <c r="S24" i="22"/>
  <c r="B25" i="22"/>
  <c r="S25" i="22"/>
  <c r="B26" i="22"/>
  <c r="S26" i="22"/>
  <c r="S19" i="22"/>
  <c r="B28" i="22"/>
  <c r="S28" i="22"/>
  <c r="B29" i="22"/>
  <c r="S29" i="22"/>
  <c r="B30" i="22"/>
  <c r="S30" i="22"/>
  <c r="B31" i="22"/>
  <c r="S31" i="22"/>
  <c r="B32" i="22"/>
  <c r="S32" i="22"/>
  <c r="B33" i="22"/>
  <c r="S33" i="22"/>
  <c r="B34" i="22"/>
  <c r="S34" i="22"/>
  <c r="B35" i="22"/>
  <c r="S35" i="22"/>
  <c r="B36" i="22"/>
  <c r="S36" i="22"/>
  <c r="S27" i="22"/>
  <c r="B38" i="22"/>
  <c r="S38" i="22"/>
  <c r="B39" i="22"/>
  <c r="S39" i="22"/>
  <c r="B40" i="22"/>
  <c r="S40" i="22"/>
  <c r="B41" i="22"/>
  <c r="S41" i="22"/>
  <c r="S37" i="22"/>
  <c r="B43" i="22"/>
  <c r="S43" i="22"/>
  <c r="B44" i="22"/>
  <c r="S44" i="22"/>
  <c r="B45" i="22"/>
  <c r="S45" i="22"/>
  <c r="S42" i="22"/>
  <c r="B47" i="22"/>
  <c r="S47" i="22"/>
  <c r="B48" i="22"/>
  <c r="S48" i="22"/>
  <c r="B49" i="22"/>
  <c r="S49" i="22"/>
  <c r="B50" i="22"/>
  <c r="S50" i="22"/>
  <c r="S46" i="22"/>
  <c r="S18" i="22"/>
  <c r="AJ18" i="22"/>
  <c r="E4" i="25"/>
  <c r="C20" i="22"/>
  <c r="B21" i="27"/>
  <c r="C17" i="22"/>
  <c r="T20" i="22"/>
  <c r="C21" i="22"/>
  <c r="T21" i="22"/>
  <c r="C22" i="22"/>
  <c r="T22" i="22"/>
  <c r="C23" i="22"/>
  <c r="T23" i="22"/>
  <c r="C24" i="22"/>
  <c r="T24" i="22"/>
  <c r="C25" i="22"/>
  <c r="T25" i="22"/>
  <c r="C26" i="22"/>
  <c r="T26" i="22"/>
  <c r="T19" i="22"/>
  <c r="C28" i="22"/>
  <c r="T28" i="22"/>
  <c r="C29" i="22"/>
  <c r="T29" i="22"/>
  <c r="C30" i="22"/>
  <c r="T30" i="22"/>
  <c r="C31" i="22"/>
  <c r="T31" i="22"/>
  <c r="C32" i="22"/>
  <c r="T32" i="22"/>
  <c r="C33" i="22"/>
  <c r="T33" i="22"/>
  <c r="C34" i="22"/>
  <c r="T34" i="22"/>
  <c r="C35" i="22"/>
  <c r="T35" i="22"/>
  <c r="C36" i="22"/>
  <c r="T36" i="22"/>
  <c r="T27" i="22"/>
  <c r="C38" i="22"/>
  <c r="T38" i="22"/>
  <c r="C39" i="22"/>
  <c r="T39" i="22"/>
  <c r="C40" i="22"/>
  <c r="T40" i="22"/>
  <c r="C41" i="22"/>
  <c r="T41" i="22"/>
  <c r="T37" i="22"/>
  <c r="C43" i="22"/>
  <c r="T43" i="22"/>
  <c r="C44" i="22"/>
  <c r="T44" i="22"/>
  <c r="C45" i="22"/>
  <c r="T45" i="22"/>
  <c r="T42" i="22"/>
  <c r="C47" i="22"/>
  <c r="T47" i="22"/>
  <c r="C48" i="22"/>
  <c r="T48" i="22"/>
  <c r="C49" i="22"/>
  <c r="T49" i="22"/>
  <c r="C50" i="22"/>
  <c r="T50" i="22"/>
  <c r="T46" i="22"/>
  <c r="T18" i="22"/>
  <c r="AK18" i="22"/>
  <c r="F4" i="25"/>
  <c r="D20" i="22"/>
  <c r="B22" i="27"/>
  <c r="D17" i="22"/>
  <c r="U20" i="22"/>
  <c r="D21" i="22"/>
  <c r="U21" i="22"/>
  <c r="D22" i="22"/>
  <c r="U22" i="22"/>
  <c r="D23" i="22"/>
  <c r="U23" i="22"/>
  <c r="D24" i="22"/>
  <c r="U24" i="22"/>
  <c r="D25" i="22"/>
  <c r="U25" i="22"/>
  <c r="D26" i="22"/>
  <c r="U26" i="22"/>
  <c r="U19" i="22"/>
  <c r="D28" i="22"/>
  <c r="U28" i="22"/>
  <c r="D29" i="22"/>
  <c r="U29" i="22"/>
  <c r="D30" i="22"/>
  <c r="U30" i="22"/>
  <c r="D31" i="22"/>
  <c r="U31" i="22"/>
  <c r="D32" i="22"/>
  <c r="U32" i="22"/>
  <c r="D33" i="22"/>
  <c r="U33" i="22"/>
  <c r="D34" i="22"/>
  <c r="U34" i="22"/>
  <c r="D35" i="22"/>
  <c r="U35" i="22"/>
  <c r="D36" i="22"/>
  <c r="U36" i="22"/>
  <c r="U27" i="22"/>
  <c r="D38" i="22"/>
  <c r="U38" i="22"/>
  <c r="D39" i="22"/>
  <c r="U39" i="22"/>
  <c r="D40" i="22"/>
  <c r="U40" i="22"/>
  <c r="D41" i="22"/>
  <c r="U41" i="22"/>
  <c r="U37" i="22"/>
  <c r="D43" i="22"/>
  <c r="U43" i="22"/>
  <c r="D44" i="22"/>
  <c r="U44" i="22"/>
  <c r="D45" i="22"/>
  <c r="U45" i="22"/>
  <c r="U42" i="22"/>
  <c r="D47" i="22"/>
  <c r="U47" i="22"/>
  <c r="D48" i="22"/>
  <c r="U48" i="22"/>
  <c r="D49" i="22"/>
  <c r="U49" i="22"/>
  <c r="D50" i="22"/>
  <c r="U50" i="22"/>
  <c r="U46" i="22"/>
  <c r="U18" i="22"/>
  <c r="AL18" i="22"/>
  <c r="G4" i="25"/>
  <c r="C13" i="24"/>
  <c r="B16" i="27"/>
  <c r="C10" i="24"/>
  <c r="T13" i="24"/>
  <c r="C14" i="24"/>
  <c r="T14" i="24"/>
  <c r="C15" i="24"/>
  <c r="T15" i="24"/>
  <c r="C16" i="24"/>
  <c r="T16" i="24"/>
  <c r="C17" i="24"/>
  <c r="T17" i="24"/>
  <c r="C18" i="24"/>
  <c r="T18" i="24"/>
  <c r="C19" i="24"/>
  <c r="T19" i="24"/>
  <c r="T12" i="24"/>
  <c r="C21" i="24"/>
  <c r="T21" i="24"/>
  <c r="C22" i="24"/>
  <c r="T22" i="24"/>
  <c r="C23" i="24"/>
  <c r="T23" i="24"/>
  <c r="C24" i="24"/>
  <c r="T24" i="24"/>
  <c r="C25" i="24"/>
  <c r="T25" i="24"/>
  <c r="C26" i="24"/>
  <c r="T26" i="24"/>
  <c r="C27" i="24"/>
  <c r="T27" i="24"/>
  <c r="C28" i="24"/>
  <c r="T28" i="24"/>
  <c r="C29" i="24"/>
  <c r="T29" i="24"/>
  <c r="T20" i="24"/>
  <c r="C31" i="24"/>
  <c r="T31" i="24"/>
  <c r="C32" i="24"/>
  <c r="T32" i="24"/>
  <c r="C33" i="24"/>
  <c r="T33" i="24"/>
  <c r="C34" i="24"/>
  <c r="T34" i="24"/>
  <c r="T30" i="24"/>
  <c r="C36" i="24"/>
  <c r="T36" i="24"/>
  <c r="C37" i="24"/>
  <c r="T37" i="24"/>
  <c r="C38" i="24"/>
  <c r="T38" i="24"/>
  <c r="T35" i="24"/>
  <c r="C40" i="24"/>
  <c r="T40" i="24"/>
  <c r="C41" i="24"/>
  <c r="T41" i="24"/>
  <c r="C42" i="24"/>
  <c r="T42" i="24"/>
  <c r="C43" i="24"/>
  <c r="T43" i="24"/>
  <c r="T39" i="24"/>
  <c r="T11" i="24"/>
  <c r="AK11" i="24"/>
  <c r="I4" i="25"/>
  <c r="J4" i="25"/>
  <c r="BC4" i="25"/>
  <c r="P5" i="36"/>
  <c r="P5" i="41"/>
  <c r="AJ20" i="23"/>
  <c r="B6" i="25"/>
  <c r="AK20" i="23"/>
  <c r="C6" i="25"/>
  <c r="AL20" i="23"/>
  <c r="D6" i="25"/>
  <c r="AJ20" i="22"/>
  <c r="E6" i="25"/>
  <c r="AK20" i="22"/>
  <c r="F6" i="25"/>
  <c r="AL20" i="22"/>
  <c r="G6" i="25"/>
  <c r="AJ13" i="24"/>
  <c r="H6" i="25"/>
  <c r="AK13" i="24"/>
  <c r="I6" i="25"/>
  <c r="J6" i="25"/>
  <c r="BJ4" i="14"/>
  <c r="P7" i="38"/>
  <c r="AJ21" i="23"/>
  <c r="B7" i="25"/>
  <c r="AK21" i="23"/>
  <c r="C7" i="25"/>
  <c r="AL21" i="23"/>
  <c r="D7" i="25"/>
  <c r="AJ21" i="22"/>
  <c r="E7" i="25"/>
  <c r="AK21" i="22"/>
  <c r="F7" i="25"/>
  <c r="AL21" i="22"/>
  <c r="G7" i="25"/>
  <c r="AJ14" i="24"/>
  <c r="H7" i="25"/>
  <c r="AK14" i="24"/>
  <c r="I7" i="25"/>
  <c r="J7" i="25"/>
  <c r="BJ5" i="14"/>
  <c r="P8" i="38"/>
  <c r="AJ22" i="23"/>
  <c r="B8" i="25"/>
  <c r="AK22" i="23"/>
  <c r="C8" i="25"/>
  <c r="AL22" i="23"/>
  <c r="D8" i="25"/>
  <c r="AJ22" i="22"/>
  <c r="E8" i="25"/>
  <c r="AK22" i="22"/>
  <c r="F8" i="25"/>
  <c r="AL22" i="22"/>
  <c r="G8" i="25"/>
  <c r="AJ15" i="24"/>
  <c r="H8" i="25"/>
  <c r="AK15" i="24"/>
  <c r="I8" i="25"/>
  <c r="J8" i="25"/>
  <c r="BJ6" i="14"/>
  <c r="P9" i="38"/>
  <c r="AJ23" i="23"/>
  <c r="B9" i="25"/>
  <c r="AK23" i="23"/>
  <c r="C9" i="25"/>
  <c r="AL23" i="23"/>
  <c r="D9" i="25"/>
  <c r="AJ23" i="22"/>
  <c r="E9" i="25"/>
  <c r="AK23" i="22"/>
  <c r="F9" i="25"/>
  <c r="AL23" i="22"/>
  <c r="G9" i="25"/>
  <c r="AJ16" i="24"/>
  <c r="H9" i="25"/>
  <c r="AK16" i="24"/>
  <c r="I9" i="25"/>
  <c r="J9" i="25"/>
  <c r="BJ7" i="14"/>
  <c r="P10" i="38"/>
  <c r="AJ24" i="23"/>
  <c r="B10" i="25"/>
  <c r="AK24" i="23"/>
  <c r="C10" i="25"/>
  <c r="AL24" i="23"/>
  <c r="D10" i="25"/>
  <c r="AJ24" i="22"/>
  <c r="E10" i="25"/>
  <c r="AK24" i="22"/>
  <c r="F10" i="25"/>
  <c r="AL24" i="22"/>
  <c r="G10" i="25"/>
  <c r="AJ17" i="24"/>
  <c r="H10" i="25"/>
  <c r="AK17" i="24"/>
  <c r="I10" i="25"/>
  <c r="J10" i="25"/>
  <c r="BJ8" i="14"/>
  <c r="P11" i="38"/>
  <c r="AJ25" i="23"/>
  <c r="B11" i="25"/>
  <c r="AK25" i="23"/>
  <c r="C11" i="25"/>
  <c r="AL25" i="23"/>
  <c r="D11" i="25"/>
  <c r="AJ25" i="22"/>
  <c r="E11" i="25"/>
  <c r="AK25" i="22"/>
  <c r="F11" i="25"/>
  <c r="AL25" i="22"/>
  <c r="G11" i="25"/>
  <c r="AJ18" i="24"/>
  <c r="H11" i="25"/>
  <c r="AK18" i="24"/>
  <c r="I11" i="25"/>
  <c r="J11" i="25"/>
  <c r="BJ9" i="14"/>
  <c r="P12" i="38"/>
  <c r="AJ26" i="23"/>
  <c r="B12" i="25"/>
  <c r="AK26" i="23"/>
  <c r="C12" i="25"/>
  <c r="AL26" i="23"/>
  <c r="D12" i="25"/>
  <c r="AJ26" i="22"/>
  <c r="E12" i="25"/>
  <c r="AK26" i="22"/>
  <c r="F12" i="25"/>
  <c r="AL26" i="22"/>
  <c r="G12" i="25"/>
  <c r="AJ19" i="24"/>
  <c r="H12" i="25"/>
  <c r="AK19" i="24"/>
  <c r="I12" i="25"/>
  <c r="J12" i="25"/>
  <c r="BJ10" i="14"/>
  <c r="P13" i="38"/>
  <c r="P6" i="38"/>
  <c r="AJ28" i="23"/>
  <c r="B14" i="25"/>
  <c r="AK28" i="23"/>
  <c r="C14" i="25"/>
  <c r="AL28" i="23"/>
  <c r="D14" i="25"/>
  <c r="AJ28" i="22"/>
  <c r="E14" i="25"/>
  <c r="AK28" i="22"/>
  <c r="F14" i="25"/>
  <c r="AL28" i="22"/>
  <c r="G14" i="25"/>
  <c r="AJ21" i="24"/>
  <c r="H14" i="25"/>
  <c r="AK21" i="24"/>
  <c r="I14" i="25"/>
  <c r="J14" i="25"/>
  <c r="BJ12" i="14"/>
  <c r="P15" i="38"/>
  <c r="AJ29" i="23"/>
  <c r="B15" i="25"/>
  <c r="AK29" i="23"/>
  <c r="C15" i="25"/>
  <c r="AL29" i="23"/>
  <c r="D15" i="25"/>
  <c r="AJ29" i="22"/>
  <c r="E15" i="25"/>
  <c r="AK29" i="22"/>
  <c r="F15" i="25"/>
  <c r="AL29" i="22"/>
  <c r="G15" i="25"/>
  <c r="AJ22" i="24"/>
  <c r="H15" i="25"/>
  <c r="AK22" i="24"/>
  <c r="I15" i="25"/>
  <c r="J15" i="25"/>
  <c r="BJ13" i="14"/>
  <c r="P16" i="38"/>
  <c r="AJ30" i="23"/>
  <c r="B16" i="25"/>
  <c r="AK30" i="23"/>
  <c r="C16" i="25"/>
  <c r="AL30" i="23"/>
  <c r="D16" i="25"/>
  <c r="AJ30" i="22"/>
  <c r="E16" i="25"/>
  <c r="AK30" i="22"/>
  <c r="F16" i="25"/>
  <c r="AL30" i="22"/>
  <c r="G16" i="25"/>
  <c r="AJ23" i="24"/>
  <c r="H16" i="25"/>
  <c r="AK23" i="24"/>
  <c r="I16" i="25"/>
  <c r="J16" i="25"/>
  <c r="BJ14" i="14"/>
  <c r="P17" i="38"/>
  <c r="AJ31" i="23"/>
  <c r="B17" i="25"/>
  <c r="AK31" i="23"/>
  <c r="C17" i="25"/>
  <c r="AL31" i="23"/>
  <c r="D17" i="25"/>
  <c r="AJ31" i="22"/>
  <c r="E17" i="25"/>
  <c r="AK31" i="22"/>
  <c r="F17" i="25"/>
  <c r="AL31" i="22"/>
  <c r="G17" i="25"/>
  <c r="AJ24" i="24"/>
  <c r="H17" i="25"/>
  <c r="AK24" i="24"/>
  <c r="I17" i="25"/>
  <c r="J17" i="25"/>
  <c r="BJ15" i="14"/>
  <c r="P18" i="38"/>
  <c r="AJ32" i="23"/>
  <c r="B18" i="25"/>
  <c r="AK32" i="23"/>
  <c r="C18" i="25"/>
  <c r="AL32" i="23"/>
  <c r="D18" i="25"/>
  <c r="AJ32" i="22"/>
  <c r="E18" i="25"/>
  <c r="AK32" i="22"/>
  <c r="F18" i="25"/>
  <c r="AL32" i="22"/>
  <c r="G18" i="25"/>
  <c r="AJ25" i="24"/>
  <c r="H18" i="25"/>
  <c r="AK25" i="24"/>
  <c r="I18" i="25"/>
  <c r="J18" i="25"/>
  <c r="BJ16" i="14"/>
  <c r="P19" i="38"/>
  <c r="AJ33" i="23"/>
  <c r="B19" i="25"/>
  <c r="AK33" i="23"/>
  <c r="C19" i="25"/>
  <c r="AL33" i="23"/>
  <c r="D19" i="25"/>
  <c r="AJ33" i="22"/>
  <c r="E19" i="25"/>
  <c r="AK33" i="22"/>
  <c r="F19" i="25"/>
  <c r="AL33" i="22"/>
  <c r="G19" i="25"/>
  <c r="AJ26" i="24"/>
  <c r="H19" i="25"/>
  <c r="AK26" i="24"/>
  <c r="I19" i="25"/>
  <c r="J19" i="25"/>
  <c r="BJ17" i="14"/>
  <c r="P20" i="38"/>
  <c r="AJ34" i="23"/>
  <c r="B20" i="25"/>
  <c r="AK34" i="23"/>
  <c r="C20" i="25"/>
  <c r="AL34" i="23"/>
  <c r="D20" i="25"/>
  <c r="AJ34" i="22"/>
  <c r="E20" i="25"/>
  <c r="AK34" i="22"/>
  <c r="F20" i="25"/>
  <c r="AL34" i="22"/>
  <c r="G20" i="25"/>
  <c r="AJ27" i="24"/>
  <c r="H20" i="25"/>
  <c r="AK27" i="24"/>
  <c r="I20" i="25"/>
  <c r="J20" i="25"/>
  <c r="BJ18" i="14"/>
  <c r="P21" i="38"/>
  <c r="AJ35" i="23"/>
  <c r="B21" i="25"/>
  <c r="AK35" i="23"/>
  <c r="C21" i="25"/>
  <c r="AL35" i="23"/>
  <c r="D21" i="25"/>
  <c r="AJ35" i="22"/>
  <c r="E21" i="25"/>
  <c r="AK35" i="22"/>
  <c r="F21" i="25"/>
  <c r="AL35" i="22"/>
  <c r="G21" i="25"/>
  <c r="AJ28" i="24"/>
  <c r="H21" i="25"/>
  <c r="AK28" i="24"/>
  <c r="I21" i="25"/>
  <c r="J21" i="25"/>
  <c r="BJ19" i="14"/>
  <c r="P22" i="38"/>
  <c r="AJ36" i="23"/>
  <c r="B22" i="25"/>
  <c r="AK36" i="23"/>
  <c r="C22" i="25"/>
  <c r="AL36" i="23"/>
  <c r="D22" i="25"/>
  <c r="AJ36" i="22"/>
  <c r="E22" i="25"/>
  <c r="AK36" i="22"/>
  <c r="F22" i="25"/>
  <c r="AL36" i="22"/>
  <c r="G22" i="25"/>
  <c r="AJ29" i="24"/>
  <c r="H22" i="25"/>
  <c r="AK29" i="24"/>
  <c r="I22" i="25"/>
  <c r="J22" i="25"/>
  <c r="BJ20" i="14"/>
  <c r="P23" i="38"/>
  <c r="P14" i="38"/>
  <c r="AJ38" i="23"/>
  <c r="B24" i="25"/>
  <c r="AK38" i="23"/>
  <c r="C24" i="25"/>
  <c r="AL38" i="23"/>
  <c r="D24" i="25"/>
  <c r="AJ38" i="22"/>
  <c r="E24" i="25"/>
  <c r="AK38" i="22"/>
  <c r="F24" i="25"/>
  <c r="AL38" i="22"/>
  <c r="G24" i="25"/>
  <c r="AJ31" i="24"/>
  <c r="H24" i="25"/>
  <c r="AK31" i="24"/>
  <c r="I24" i="25"/>
  <c r="J24" i="25"/>
  <c r="BJ22" i="14"/>
  <c r="P25" i="38"/>
  <c r="AJ39" i="23"/>
  <c r="B25" i="25"/>
  <c r="AK39" i="23"/>
  <c r="C25" i="25"/>
  <c r="AL39" i="23"/>
  <c r="D25" i="25"/>
  <c r="AJ39" i="22"/>
  <c r="E25" i="25"/>
  <c r="AK39" i="22"/>
  <c r="F25" i="25"/>
  <c r="AL39" i="22"/>
  <c r="G25" i="25"/>
  <c r="AJ32" i="24"/>
  <c r="H25" i="25"/>
  <c r="AK32" i="24"/>
  <c r="I25" i="25"/>
  <c r="J25" i="25"/>
  <c r="BJ23" i="14"/>
  <c r="P26" i="38"/>
  <c r="AJ40" i="23"/>
  <c r="B26" i="25"/>
  <c r="AK40" i="23"/>
  <c r="C26" i="25"/>
  <c r="AL40" i="23"/>
  <c r="D26" i="25"/>
  <c r="AJ40" i="22"/>
  <c r="E26" i="25"/>
  <c r="AK40" i="22"/>
  <c r="F26" i="25"/>
  <c r="AL40" i="22"/>
  <c r="G26" i="25"/>
  <c r="AJ33" i="24"/>
  <c r="H26" i="25"/>
  <c r="AK33" i="24"/>
  <c r="I26" i="25"/>
  <c r="J26" i="25"/>
  <c r="BJ24" i="14"/>
  <c r="P27" i="38"/>
  <c r="AJ41" i="23"/>
  <c r="B27" i="25"/>
  <c r="AK41" i="23"/>
  <c r="C27" i="25"/>
  <c r="AL41" i="23"/>
  <c r="D27" i="25"/>
  <c r="AJ41" i="22"/>
  <c r="E27" i="25"/>
  <c r="AK41" i="22"/>
  <c r="F27" i="25"/>
  <c r="AL41" i="22"/>
  <c r="G27" i="25"/>
  <c r="AJ34" i="24"/>
  <c r="H27" i="25"/>
  <c r="AK34" i="24"/>
  <c r="I27" i="25"/>
  <c r="J27" i="25"/>
  <c r="BJ25" i="14"/>
  <c r="P28" i="38"/>
  <c r="P24" i="38"/>
  <c r="AJ43" i="23"/>
  <c r="B29" i="25"/>
  <c r="AK43" i="23"/>
  <c r="C29" i="25"/>
  <c r="AL43" i="23"/>
  <c r="D29" i="25"/>
  <c r="AJ43" i="22"/>
  <c r="E29" i="25"/>
  <c r="AK43" i="22"/>
  <c r="F29" i="25"/>
  <c r="AL43" i="22"/>
  <c r="G29" i="25"/>
  <c r="AJ36" i="24"/>
  <c r="H29" i="25"/>
  <c r="AK36" i="24"/>
  <c r="I29" i="25"/>
  <c r="J29" i="25"/>
  <c r="BJ27" i="14"/>
  <c r="P30" i="38"/>
  <c r="AJ44" i="23"/>
  <c r="B30" i="25"/>
  <c r="AK44" i="23"/>
  <c r="C30" i="25"/>
  <c r="AL44" i="23"/>
  <c r="D30" i="25"/>
  <c r="AJ44" i="22"/>
  <c r="E30" i="25"/>
  <c r="AK44" i="22"/>
  <c r="F30" i="25"/>
  <c r="AL44" i="22"/>
  <c r="G30" i="25"/>
  <c r="AJ37" i="24"/>
  <c r="H30" i="25"/>
  <c r="AK37" i="24"/>
  <c r="I30" i="25"/>
  <c r="J30" i="25"/>
  <c r="BJ28" i="14"/>
  <c r="P31" i="38"/>
  <c r="AJ45" i="23"/>
  <c r="B31" i="25"/>
  <c r="AK45" i="23"/>
  <c r="C31" i="25"/>
  <c r="AL45" i="23"/>
  <c r="D31" i="25"/>
  <c r="AJ45" i="22"/>
  <c r="E31" i="25"/>
  <c r="AK45" i="22"/>
  <c r="F31" i="25"/>
  <c r="AL45" i="22"/>
  <c r="G31" i="25"/>
  <c r="AJ38" i="24"/>
  <c r="H31" i="25"/>
  <c r="AK38" i="24"/>
  <c r="I31" i="25"/>
  <c r="J31" i="25"/>
  <c r="BJ29" i="14"/>
  <c r="P32" i="38"/>
  <c r="P29" i="38"/>
  <c r="AJ47" i="23"/>
  <c r="B33" i="25"/>
  <c r="AK47" i="23"/>
  <c r="C33" i="25"/>
  <c r="AL47" i="23"/>
  <c r="D33" i="25"/>
  <c r="AJ47" i="22"/>
  <c r="E33" i="25"/>
  <c r="AK47" i="22"/>
  <c r="F33" i="25"/>
  <c r="AL47" i="22"/>
  <c r="G33" i="25"/>
  <c r="AJ40" i="24"/>
  <c r="H33" i="25"/>
  <c r="AK40" i="24"/>
  <c r="I33" i="25"/>
  <c r="J33" i="25"/>
  <c r="BJ31" i="14"/>
  <c r="P34" i="38"/>
  <c r="AJ48" i="23"/>
  <c r="B34" i="25"/>
  <c r="AK48" i="23"/>
  <c r="C34" i="25"/>
  <c r="AL48" i="23"/>
  <c r="D34" i="25"/>
  <c r="AJ48" i="22"/>
  <c r="E34" i="25"/>
  <c r="AK48" i="22"/>
  <c r="F34" i="25"/>
  <c r="AL48" i="22"/>
  <c r="G34" i="25"/>
  <c r="AJ41" i="24"/>
  <c r="H34" i="25"/>
  <c r="AK41" i="24"/>
  <c r="I34" i="25"/>
  <c r="J34" i="25"/>
  <c r="BJ32" i="14"/>
  <c r="P35" i="38"/>
  <c r="AJ49" i="23"/>
  <c r="B35" i="25"/>
  <c r="AK49" i="23"/>
  <c r="C35" i="25"/>
  <c r="AL49" i="23"/>
  <c r="D35" i="25"/>
  <c r="AJ49" i="22"/>
  <c r="E35" i="25"/>
  <c r="AK49" i="22"/>
  <c r="F35" i="25"/>
  <c r="AL49" i="22"/>
  <c r="G35" i="25"/>
  <c r="AJ42" i="24"/>
  <c r="H35" i="25"/>
  <c r="AK42" i="24"/>
  <c r="I35" i="25"/>
  <c r="J35" i="25"/>
  <c r="BJ33" i="14"/>
  <c r="P36" i="38"/>
  <c r="AJ50" i="23"/>
  <c r="B36" i="25"/>
  <c r="AK50" i="23"/>
  <c r="C36" i="25"/>
  <c r="AL50" i="23"/>
  <c r="D36" i="25"/>
  <c r="AJ50" i="22"/>
  <c r="E36" i="25"/>
  <c r="AK50" i="22"/>
  <c r="F36" i="25"/>
  <c r="AL50" i="22"/>
  <c r="G36" i="25"/>
  <c r="AJ43" i="24"/>
  <c r="H36" i="25"/>
  <c r="AK43" i="24"/>
  <c r="I36" i="25"/>
  <c r="J36" i="25"/>
  <c r="BJ34" i="14"/>
  <c r="P37" i="38"/>
  <c r="P33" i="38"/>
  <c r="P5" i="38"/>
  <c r="P7" i="37"/>
  <c r="P8" i="37"/>
  <c r="P9" i="37"/>
  <c r="P10" i="37"/>
  <c r="P11" i="37"/>
  <c r="P12" i="37"/>
  <c r="P13" i="37"/>
  <c r="P6" i="37"/>
  <c r="P15" i="37"/>
  <c r="P16" i="37"/>
  <c r="P17" i="37"/>
  <c r="P18" i="37"/>
  <c r="P19" i="37"/>
  <c r="P20" i="37"/>
  <c r="P21" i="37"/>
  <c r="P22" i="37"/>
  <c r="P23" i="37"/>
  <c r="P14" i="37"/>
  <c r="P25" i="37"/>
  <c r="P26" i="37"/>
  <c r="P27" i="37"/>
  <c r="P28" i="37"/>
  <c r="P24" i="37"/>
  <c r="P30" i="37"/>
  <c r="P31" i="37"/>
  <c r="P32" i="37"/>
  <c r="P29" i="37"/>
  <c r="P34" i="37"/>
  <c r="P35" i="37"/>
  <c r="P36" i="37"/>
  <c r="P37" i="37"/>
  <c r="P33" i="37"/>
  <c r="P5" i="37"/>
  <c r="P5" i="40"/>
  <c r="P5" i="44"/>
  <c r="BD4" i="25"/>
  <c r="Q5" i="36"/>
  <c r="Q5" i="41"/>
  <c r="Q7" i="38"/>
  <c r="Q8" i="38"/>
  <c r="Q9" i="38"/>
  <c r="Q10" i="38"/>
  <c r="Q11" i="38"/>
  <c r="Q12" i="38"/>
  <c r="Q13" i="38"/>
  <c r="Q6" i="38"/>
  <c r="Q15" i="38"/>
  <c r="Q16" i="38"/>
  <c r="Q17" i="38"/>
  <c r="Q18" i="38"/>
  <c r="Q19" i="38"/>
  <c r="Q20" i="38"/>
  <c r="Q21" i="38"/>
  <c r="Q22" i="38"/>
  <c r="Q23" i="38"/>
  <c r="Q14" i="38"/>
  <c r="Q25" i="38"/>
  <c r="Q26" i="38"/>
  <c r="Q27" i="38"/>
  <c r="Q28" i="38"/>
  <c r="Q24" i="38"/>
  <c r="Q30" i="38"/>
  <c r="Q31" i="38"/>
  <c r="Q32" i="38"/>
  <c r="Q29" i="38"/>
  <c r="Q34" i="38"/>
  <c r="Q35" i="38"/>
  <c r="Q36" i="38"/>
  <c r="Q37" i="38"/>
  <c r="Q33" i="38"/>
  <c r="Q5" i="38"/>
  <c r="Q7" i="37"/>
  <c r="Q8" i="37"/>
  <c r="Q9" i="37"/>
  <c r="Q10" i="37"/>
  <c r="Q11" i="37"/>
  <c r="Q12" i="37"/>
  <c r="Q13" i="37"/>
  <c r="Q6" i="37"/>
  <c r="Q15" i="37"/>
  <c r="Q16" i="37"/>
  <c r="Q17" i="37"/>
  <c r="Q18" i="37"/>
  <c r="Q19" i="37"/>
  <c r="Q20" i="37"/>
  <c r="Q21" i="37"/>
  <c r="Q22" i="37"/>
  <c r="Q23" i="37"/>
  <c r="Q14" i="37"/>
  <c r="Q25" i="37"/>
  <c r="Q26" i="37"/>
  <c r="Q27" i="37"/>
  <c r="Q28" i="37"/>
  <c r="Q24" i="37"/>
  <c r="Q30" i="37"/>
  <c r="Q31" i="37"/>
  <c r="Q32" i="37"/>
  <c r="Q29" i="37"/>
  <c r="Q34" i="37"/>
  <c r="Q35" i="37"/>
  <c r="Q36" i="37"/>
  <c r="Q37" i="37"/>
  <c r="Q33" i="37"/>
  <c r="Q5" i="37"/>
  <c r="Q5" i="40"/>
  <c r="Q5" i="44"/>
  <c r="R5" i="41"/>
  <c r="Q5" i="29"/>
  <c r="R7" i="38"/>
  <c r="Q6" i="29"/>
  <c r="R8" i="38"/>
  <c r="Q7" i="29"/>
  <c r="R9" i="38"/>
  <c r="Q8" i="29"/>
  <c r="R10" i="38"/>
  <c r="Q9" i="29"/>
  <c r="R11" i="38"/>
  <c r="Q10" i="29"/>
  <c r="R12" i="38"/>
  <c r="Q11" i="29"/>
  <c r="R13" i="38"/>
  <c r="R6" i="38"/>
  <c r="Q13" i="29"/>
  <c r="R15" i="38"/>
  <c r="Q14" i="29"/>
  <c r="R16" i="38"/>
  <c r="Q15" i="29"/>
  <c r="R17" i="38"/>
  <c r="Q16" i="29"/>
  <c r="R18" i="38"/>
  <c r="Q17" i="29"/>
  <c r="R19" i="38"/>
  <c r="Q18" i="29"/>
  <c r="R20" i="38"/>
  <c r="Q19" i="29"/>
  <c r="R21" i="38"/>
  <c r="Q20" i="29"/>
  <c r="R22" i="38"/>
  <c r="Q21" i="29"/>
  <c r="R23" i="38"/>
  <c r="R14" i="38"/>
  <c r="Q23" i="29"/>
  <c r="R25" i="38"/>
  <c r="Q24" i="29"/>
  <c r="R26" i="38"/>
  <c r="Q25" i="29"/>
  <c r="R27" i="38"/>
  <c r="Q26" i="29"/>
  <c r="R28" i="38"/>
  <c r="R24" i="38"/>
  <c r="Q28" i="29"/>
  <c r="R30" i="38"/>
  <c r="Q29" i="29"/>
  <c r="R31" i="38"/>
  <c r="Q30" i="29"/>
  <c r="R32" i="38"/>
  <c r="R29" i="38"/>
  <c r="Q32" i="29"/>
  <c r="R34" i="38"/>
  <c r="Q33" i="29"/>
  <c r="R35" i="38"/>
  <c r="Q34" i="29"/>
  <c r="R36" i="38"/>
  <c r="Q35" i="29"/>
  <c r="R37" i="38"/>
  <c r="R33" i="38"/>
  <c r="R5" i="38"/>
  <c r="R7" i="37"/>
  <c r="R8" i="37"/>
  <c r="R9" i="37"/>
  <c r="R10" i="37"/>
  <c r="R11" i="37"/>
  <c r="R12" i="37"/>
  <c r="R13" i="37"/>
  <c r="R6" i="37"/>
  <c r="R15" i="37"/>
  <c r="R16" i="37"/>
  <c r="R17" i="37"/>
  <c r="R18" i="37"/>
  <c r="R19" i="37"/>
  <c r="R20" i="37"/>
  <c r="R21" i="37"/>
  <c r="R22" i="37"/>
  <c r="R23" i="37"/>
  <c r="R14" i="37"/>
  <c r="R25" i="37"/>
  <c r="R26" i="37"/>
  <c r="R27" i="37"/>
  <c r="R28" i="37"/>
  <c r="R24" i="37"/>
  <c r="R30" i="37"/>
  <c r="R31" i="37"/>
  <c r="R32" i="37"/>
  <c r="R29" i="37"/>
  <c r="R34" i="37"/>
  <c r="R35" i="37"/>
  <c r="R36" i="37"/>
  <c r="R37" i="37"/>
  <c r="R33" i="37"/>
  <c r="R5" i="37"/>
  <c r="R5" i="40"/>
  <c r="R5" i="44"/>
  <c r="AB5" i="44"/>
  <c r="AO4" i="31"/>
  <c r="D5" i="36"/>
  <c r="D5" i="41"/>
  <c r="D7" i="38"/>
  <c r="D8" i="38"/>
  <c r="D9" i="38"/>
  <c r="D10" i="38"/>
  <c r="D11" i="38"/>
  <c r="D12" i="38"/>
  <c r="D13" i="38"/>
  <c r="D6" i="38"/>
  <c r="D15" i="38"/>
  <c r="D16" i="38"/>
  <c r="D17" i="38"/>
  <c r="D18" i="38"/>
  <c r="D19" i="38"/>
  <c r="D20" i="38"/>
  <c r="D21" i="38"/>
  <c r="D22" i="38"/>
  <c r="D23" i="38"/>
  <c r="D14" i="38"/>
  <c r="D25" i="38"/>
  <c r="D26" i="38"/>
  <c r="D27" i="38"/>
  <c r="D28" i="38"/>
  <c r="D24" i="38"/>
  <c r="D30" i="38"/>
  <c r="D31" i="38"/>
  <c r="D32" i="38"/>
  <c r="D29" i="38"/>
  <c r="D34" i="38"/>
  <c r="D35" i="38"/>
  <c r="D36" i="38"/>
  <c r="D37" i="38"/>
  <c r="D33" i="38"/>
  <c r="D5" i="38"/>
  <c r="D7" i="37"/>
  <c r="D8" i="37"/>
  <c r="D9" i="37"/>
  <c r="D10" i="37"/>
  <c r="D11" i="37"/>
  <c r="D12" i="37"/>
  <c r="D13" i="37"/>
  <c r="D6" i="37"/>
  <c r="D15" i="37"/>
  <c r="D16" i="37"/>
  <c r="D17" i="37"/>
  <c r="D18" i="37"/>
  <c r="D19" i="37"/>
  <c r="D20" i="37"/>
  <c r="D21" i="37"/>
  <c r="D22" i="37"/>
  <c r="D23" i="37"/>
  <c r="D14" i="37"/>
  <c r="D25" i="37"/>
  <c r="D26" i="37"/>
  <c r="D27" i="37"/>
  <c r="D28" i="37"/>
  <c r="D24" i="37"/>
  <c r="D30" i="37"/>
  <c r="D31" i="37"/>
  <c r="D32" i="37"/>
  <c r="D29" i="37"/>
  <c r="D34" i="37"/>
  <c r="D35" i="37"/>
  <c r="D36" i="37"/>
  <c r="D37" i="37"/>
  <c r="D33" i="37"/>
  <c r="D5" i="37"/>
  <c r="D5" i="40"/>
  <c r="D5" i="44"/>
  <c r="AP4" i="31"/>
  <c r="E5" i="36"/>
  <c r="E5" i="41"/>
  <c r="E7" i="38"/>
  <c r="E8" i="38"/>
  <c r="E9" i="38"/>
  <c r="E10" i="38"/>
  <c r="E11" i="38"/>
  <c r="E12" i="38"/>
  <c r="E13" i="38"/>
  <c r="E6" i="38"/>
  <c r="E15" i="38"/>
  <c r="E16" i="38"/>
  <c r="E17" i="38"/>
  <c r="E18" i="38"/>
  <c r="E19" i="38"/>
  <c r="E20" i="38"/>
  <c r="E21" i="38"/>
  <c r="E22" i="38"/>
  <c r="E23" i="38"/>
  <c r="E14" i="38"/>
  <c r="E25" i="38"/>
  <c r="E26" i="38"/>
  <c r="E27" i="38"/>
  <c r="E28" i="38"/>
  <c r="E24" i="38"/>
  <c r="E30" i="38"/>
  <c r="E31" i="38"/>
  <c r="E32" i="38"/>
  <c r="E29" i="38"/>
  <c r="E34" i="38"/>
  <c r="E35" i="38"/>
  <c r="E36" i="38"/>
  <c r="E37" i="38"/>
  <c r="E33" i="38"/>
  <c r="E5" i="38"/>
  <c r="E7" i="37"/>
  <c r="E8" i="37"/>
  <c r="E9" i="37"/>
  <c r="E10" i="37"/>
  <c r="E11" i="37"/>
  <c r="E12" i="37"/>
  <c r="E13" i="37"/>
  <c r="E6" i="37"/>
  <c r="E15" i="37"/>
  <c r="E16" i="37"/>
  <c r="E17" i="37"/>
  <c r="E18" i="37"/>
  <c r="E19" i="37"/>
  <c r="E20" i="37"/>
  <c r="E21" i="37"/>
  <c r="E22" i="37"/>
  <c r="E23" i="37"/>
  <c r="E14" i="37"/>
  <c r="E25" i="37"/>
  <c r="E26" i="37"/>
  <c r="E27" i="37"/>
  <c r="E28" i="37"/>
  <c r="E24" i="37"/>
  <c r="E30" i="37"/>
  <c r="E31" i="37"/>
  <c r="E32" i="37"/>
  <c r="E29" i="37"/>
  <c r="E34" i="37"/>
  <c r="E35" i="37"/>
  <c r="E36" i="37"/>
  <c r="E37" i="37"/>
  <c r="E33" i="37"/>
  <c r="E5" i="37"/>
  <c r="E5" i="40"/>
  <c r="E5" i="44"/>
  <c r="AQ4" i="31"/>
  <c r="F5" i="36"/>
  <c r="F5" i="41"/>
  <c r="F7" i="38"/>
  <c r="F8" i="38"/>
  <c r="F9" i="38"/>
  <c r="F10" i="38"/>
  <c r="F11" i="38"/>
  <c r="F12" i="38"/>
  <c r="F13" i="38"/>
  <c r="F6" i="38"/>
  <c r="F15" i="38"/>
  <c r="F16" i="38"/>
  <c r="F17" i="38"/>
  <c r="F18" i="38"/>
  <c r="F19" i="38"/>
  <c r="F20" i="38"/>
  <c r="F21" i="38"/>
  <c r="F22" i="38"/>
  <c r="F23" i="38"/>
  <c r="F14" i="38"/>
  <c r="F25" i="38"/>
  <c r="F26" i="38"/>
  <c r="F27" i="38"/>
  <c r="F28" i="38"/>
  <c r="F24" i="38"/>
  <c r="F30" i="38"/>
  <c r="F31" i="38"/>
  <c r="F32" i="38"/>
  <c r="F29" i="38"/>
  <c r="F34" i="38"/>
  <c r="F35" i="38"/>
  <c r="F36" i="38"/>
  <c r="F37" i="38"/>
  <c r="F33" i="38"/>
  <c r="F5" i="38"/>
  <c r="F7" i="37"/>
  <c r="F8" i="37"/>
  <c r="F9" i="37"/>
  <c r="F10" i="37"/>
  <c r="F11" i="37"/>
  <c r="F12" i="37"/>
  <c r="F13" i="37"/>
  <c r="F6" i="37"/>
  <c r="F15" i="37"/>
  <c r="F16" i="37"/>
  <c r="F17" i="37"/>
  <c r="F18" i="37"/>
  <c r="F19" i="37"/>
  <c r="F20" i="37"/>
  <c r="F21" i="37"/>
  <c r="F22" i="37"/>
  <c r="F23" i="37"/>
  <c r="F14" i="37"/>
  <c r="F25" i="37"/>
  <c r="F26" i="37"/>
  <c r="F27" i="37"/>
  <c r="F28" i="37"/>
  <c r="F24" i="37"/>
  <c r="F30" i="37"/>
  <c r="F31" i="37"/>
  <c r="F32" i="37"/>
  <c r="F29" i="37"/>
  <c r="F34" i="37"/>
  <c r="F35" i="37"/>
  <c r="F36" i="37"/>
  <c r="F37" i="37"/>
  <c r="F33" i="37"/>
  <c r="F5" i="37"/>
  <c r="F5" i="40"/>
  <c r="F5" i="44"/>
  <c r="AR4" i="31"/>
  <c r="G5" i="36"/>
  <c r="G5" i="41"/>
  <c r="G7" i="38"/>
  <c r="G8" i="38"/>
  <c r="G9" i="38"/>
  <c r="G10" i="38"/>
  <c r="G11" i="38"/>
  <c r="G12" i="38"/>
  <c r="G13" i="38"/>
  <c r="G6" i="38"/>
  <c r="G15" i="38"/>
  <c r="G16" i="38"/>
  <c r="G17" i="38"/>
  <c r="G18" i="38"/>
  <c r="G19" i="38"/>
  <c r="G20" i="38"/>
  <c r="G21" i="38"/>
  <c r="G22" i="38"/>
  <c r="G23" i="38"/>
  <c r="G14" i="38"/>
  <c r="G25" i="38"/>
  <c r="G26" i="38"/>
  <c r="G27" i="38"/>
  <c r="G28" i="38"/>
  <c r="G24" i="38"/>
  <c r="G30" i="38"/>
  <c r="G31" i="38"/>
  <c r="G32" i="38"/>
  <c r="G29" i="38"/>
  <c r="G34" i="38"/>
  <c r="G35" i="38"/>
  <c r="G36" i="38"/>
  <c r="G37" i="38"/>
  <c r="G33" i="38"/>
  <c r="G5" i="38"/>
  <c r="G7" i="37"/>
  <c r="G8" i="37"/>
  <c r="G9" i="37"/>
  <c r="G10" i="37"/>
  <c r="G11" i="37"/>
  <c r="G12" i="37"/>
  <c r="G13" i="37"/>
  <c r="G6" i="37"/>
  <c r="G15" i="37"/>
  <c r="G16" i="37"/>
  <c r="G17" i="37"/>
  <c r="G18" i="37"/>
  <c r="G19" i="37"/>
  <c r="G20" i="37"/>
  <c r="G21" i="37"/>
  <c r="G22" i="37"/>
  <c r="G23" i="37"/>
  <c r="G14" i="37"/>
  <c r="G25" i="37"/>
  <c r="G26" i="37"/>
  <c r="G27" i="37"/>
  <c r="G28" i="37"/>
  <c r="G24" i="37"/>
  <c r="G30" i="37"/>
  <c r="G31" i="37"/>
  <c r="G32" i="37"/>
  <c r="G29" i="37"/>
  <c r="G34" i="37"/>
  <c r="G35" i="37"/>
  <c r="G36" i="37"/>
  <c r="G37" i="37"/>
  <c r="G33" i="37"/>
  <c r="G5" i="37"/>
  <c r="G5" i="40"/>
  <c r="G5" i="44"/>
  <c r="AW4" i="25"/>
  <c r="J5" i="36"/>
  <c r="J5" i="41"/>
  <c r="J7" i="38"/>
  <c r="J8" i="38"/>
  <c r="J9" i="38"/>
  <c r="J10" i="38"/>
  <c r="J11" i="38"/>
  <c r="J12" i="38"/>
  <c r="J13" i="38"/>
  <c r="J6" i="38"/>
  <c r="J15" i="38"/>
  <c r="J16" i="38"/>
  <c r="J17" i="38"/>
  <c r="J18" i="38"/>
  <c r="J19" i="38"/>
  <c r="J20" i="38"/>
  <c r="J21" i="38"/>
  <c r="J22" i="38"/>
  <c r="J23" i="38"/>
  <c r="J14" i="38"/>
  <c r="J25" i="38"/>
  <c r="J26" i="38"/>
  <c r="J27" i="38"/>
  <c r="J28" i="38"/>
  <c r="J24" i="38"/>
  <c r="J30" i="38"/>
  <c r="J31" i="38"/>
  <c r="J32" i="38"/>
  <c r="J29" i="38"/>
  <c r="J34" i="38"/>
  <c r="J35" i="38"/>
  <c r="J36" i="38"/>
  <c r="J37" i="38"/>
  <c r="J33" i="38"/>
  <c r="J5" i="38"/>
  <c r="J7" i="37"/>
  <c r="J8" i="37"/>
  <c r="J9" i="37"/>
  <c r="J10" i="37"/>
  <c r="J11" i="37"/>
  <c r="J12" i="37"/>
  <c r="J13" i="37"/>
  <c r="J6" i="37"/>
  <c r="J15" i="37"/>
  <c r="J16" i="37"/>
  <c r="J17" i="37"/>
  <c r="J18" i="37"/>
  <c r="J19" i="37"/>
  <c r="J20" i="37"/>
  <c r="J21" i="37"/>
  <c r="J22" i="37"/>
  <c r="J23" i="37"/>
  <c r="J14" i="37"/>
  <c r="J25" i="37"/>
  <c r="J26" i="37"/>
  <c r="J27" i="37"/>
  <c r="J28" i="37"/>
  <c r="J24" i="37"/>
  <c r="J30" i="37"/>
  <c r="J31" i="37"/>
  <c r="J32" i="37"/>
  <c r="J29" i="37"/>
  <c r="J34" i="37"/>
  <c r="J35" i="37"/>
  <c r="J36" i="37"/>
  <c r="J37" i="37"/>
  <c r="J33" i="37"/>
  <c r="J5" i="37"/>
  <c r="J5" i="40"/>
  <c r="J5" i="44"/>
  <c r="AX4" i="25"/>
  <c r="K5" i="36"/>
  <c r="K5" i="41"/>
  <c r="K7" i="38"/>
  <c r="K8" i="38"/>
  <c r="K9" i="38"/>
  <c r="K10" i="38"/>
  <c r="K11" i="38"/>
  <c r="K12" i="38"/>
  <c r="K13" i="38"/>
  <c r="K6" i="38"/>
  <c r="K15" i="38"/>
  <c r="K16" i="38"/>
  <c r="K17" i="38"/>
  <c r="K18" i="38"/>
  <c r="K19" i="38"/>
  <c r="K20" i="38"/>
  <c r="K21" i="38"/>
  <c r="K22" i="38"/>
  <c r="K23" i="38"/>
  <c r="K14" i="38"/>
  <c r="K25" i="38"/>
  <c r="K26" i="38"/>
  <c r="K27" i="38"/>
  <c r="K28" i="38"/>
  <c r="K24" i="38"/>
  <c r="K30" i="38"/>
  <c r="K31" i="38"/>
  <c r="K32" i="38"/>
  <c r="K29" i="38"/>
  <c r="K34" i="38"/>
  <c r="K35" i="38"/>
  <c r="K36" i="38"/>
  <c r="K37" i="38"/>
  <c r="K33" i="38"/>
  <c r="K5" i="38"/>
  <c r="K7" i="37"/>
  <c r="K8" i="37"/>
  <c r="K9" i="37"/>
  <c r="K10" i="37"/>
  <c r="K11" i="37"/>
  <c r="K12" i="37"/>
  <c r="K13" i="37"/>
  <c r="K6" i="37"/>
  <c r="K15" i="37"/>
  <c r="K16" i="37"/>
  <c r="K17" i="37"/>
  <c r="K18" i="37"/>
  <c r="K19" i="37"/>
  <c r="K20" i="37"/>
  <c r="K21" i="37"/>
  <c r="K22" i="37"/>
  <c r="K23" i="37"/>
  <c r="K14" i="37"/>
  <c r="K25" i="37"/>
  <c r="K26" i="37"/>
  <c r="K27" i="37"/>
  <c r="K28" i="37"/>
  <c r="K24" i="37"/>
  <c r="K30" i="37"/>
  <c r="K31" i="37"/>
  <c r="K32" i="37"/>
  <c r="K29" i="37"/>
  <c r="K34" i="37"/>
  <c r="K35" i="37"/>
  <c r="K36" i="37"/>
  <c r="K37" i="37"/>
  <c r="K33" i="37"/>
  <c r="K5" i="37"/>
  <c r="K5" i="40"/>
  <c r="K5" i="44"/>
  <c r="AY4" i="25"/>
  <c r="L5" i="36"/>
  <c r="L5" i="41"/>
  <c r="L7" i="38"/>
  <c r="L8" i="38"/>
  <c r="L9" i="38"/>
  <c r="L10" i="38"/>
  <c r="L11" i="38"/>
  <c r="L12" i="38"/>
  <c r="L13" i="38"/>
  <c r="L6" i="38"/>
  <c r="L15" i="38"/>
  <c r="L16" i="38"/>
  <c r="L17" i="38"/>
  <c r="L18" i="38"/>
  <c r="L19" i="38"/>
  <c r="L20" i="38"/>
  <c r="L21" i="38"/>
  <c r="L22" i="38"/>
  <c r="L23" i="38"/>
  <c r="L14" i="38"/>
  <c r="L25" i="38"/>
  <c r="L26" i="38"/>
  <c r="L27" i="38"/>
  <c r="L28" i="38"/>
  <c r="L24" i="38"/>
  <c r="L30" i="38"/>
  <c r="L31" i="38"/>
  <c r="L32" i="38"/>
  <c r="L29" i="38"/>
  <c r="L34" i="38"/>
  <c r="L35" i="38"/>
  <c r="L36" i="38"/>
  <c r="L37" i="38"/>
  <c r="L33" i="38"/>
  <c r="L5" i="38"/>
  <c r="L7" i="37"/>
  <c r="L8" i="37"/>
  <c r="L9" i="37"/>
  <c r="L10" i="37"/>
  <c r="L11" i="37"/>
  <c r="L12" i="37"/>
  <c r="L13" i="37"/>
  <c r="L6" i="37"/>
  <c r="L15" i="37"/>
  <c r="L16" i="37"/>
  <c r="L17" i="37"/>
  <c r="L18" i="37"/>
  <c r="L19" i="37"/>
  <c r="L20" i="37"/>
  <c r="L21" i="37"/>
  <c r="L22" i="37"/>
  <c r="L23" i="37"/>
  <c r="L14" i="37"/>
  <c r="L25" i="37"/>
  <c r="L26" i="37"/>
  <c r="L27" i="37"/>
  <c r="L28" i="37"/>
  <c r="L24" i="37"/>
  <c r="L30" i="37"/>
  <c r="L31" i="37"/>
  <c r="L32" i="37"/>
  <c r="L29" i="37"/>
  <c r="L34" i="37"/>
  <c r="L35" i="37"/>
  <c r="L36" i="37"/>
  <c r="L37" i="37"/>
  <c r="L33" i="37"/>
  <c r="L5" i="37"/>
  <c r="L5" i="40"/>
  <c r="L5" i="44"/>
  <c r="AZ4" i="25"/>
  <c r="M5" i="36"/>
  <c r="M5" i="41"/>
  <c r="M7" i="38"/>
  <c r="M8" i="38"/>
  <c r="M9" i="38"/>
  <c r="M10" i="38"/>
  <c r="M11" i="38"/>
  <c r="M12" i="38"/>
  <c r="M13" i="38"/>
  <c r="M6" i="38"/>
  <c r="M15" i="38"/>
  <c r="M16" i="38"/>
  <c r="M17" i="38"/>
  <c r="M18" i="38"/>
  <c r="M19" i="38"/>
  <c r="M20" i="38"/>
  <c r="M21" i="38"/>
  <c r="M22" i="38"/>
  <c r="M23" i="38"/>
  <c r="M14" i="38"/>
  <c r="M25" i="38"/>
  <c r="M26" i="38"/>
  <c r="M27" i="38"/>
  <c r="M28" i="38"/>
  <c r="M24" i="38"/>
  <c r="M30" i="38"/>
  <c r="M31" i="38"/>
  <c r="M32" i="38"/>
  <c r="M29" i="38"/>
  <c r="M34" i="38"/>
  <c r="M35" i="38"/>
  <c r="M36" i="38"/>
  <c r="M37" i="38"/>
  <c r="M33" i="38"/>
  <c r="M5" i="38"/>
  <c r="M7" i="37"/>
  <c r="M8" i="37"/>
  <c r="M9" i="37"/>
  <c r="M10" i="37"/>
  <c r="M11" i="37"/>
  <c r="M12" i="37"/>
  <c r="M13" i="37"/>
  <c r="M6" i="37"/>
  <c r="M15" i="37"/>
  <c r="M16" i="37"/>
  <c r="M17" i="37"/>
  <c r="M18" i="37"/>
  <c r="M19" i="37"/>
  <c r="M20" i="37"/>
  <c r="M21" i="37"/>
  <c r="M22" i="37"/>
  <c r="M23" i="37"/>
  <c r="M14" i="37"/>
  <c r="M25" i="37"/>
  <c r="M26" i="37"/>
  <c r="M27" i="37"/>
  <c r="M28" i="37"/>
  <c r="M24" i="37"/>
  <c r="M30" i="37"/>
  <c r="M31" i="37"/>
  <c r="M32" i="37"/>
  <c r="M29" i="37"/>
  <c r="M34" i="37"/>
  <c r="M35" i="37"/>
  <c r="M36" i="37"/>
  <c r="M37" i="37"/>
  <c r="M33" i="37"/>
  <c r="M5" i="37"/>
  <c r="M5" i="40"/>
  <c r="M5" i="44"/>
  <c r="BA4" i="25"/>
  <c r="N5" i="36"/>
  <c r="N5" i="41"/>
  <c r="N7" i="38"/>
  <c r="N8" i="38"/>
  <c r="N9" i="38"/>
  <c r="N10" i="38"/>
  <c r="N11" i="38"/>
  <c r="N12" i="38"/>
  <c r="N13" i="38"/>
  <c r="N6" i="38"/>
  <c r="N15" i="38"/>
  <c r="N16" i="38"/>
  <c r="N17" i="38"/>
  <c r="N18" i="38"/>
  <c r="N19" i="38"/>
  <c r="N20" i="38"/>
  <c r="N21" i="38"/>
  <c r="N22" i="38"/>
  <c r="N23" i="38"/>
  <c r="N14" i="38"/>
  <c r="N25" i="38"/>
  <c r="N26" i="38"/>
  <c r="N27" i="38"/>
  <c r="N28" i="38"/>
  <c r="N24" i="38"/>
  <c r="N30" i="38"/>
  <c r="N31" i="38"/>
  <c r="N32" i="38"/>
  <c r="N29" i="38"/>
  <c r="N34" i="38"/>
  <c r="N35" i="38"/>
  <c r="N36" i="38"/>
  <c r="N37" i="38"/>
  <c r="N33" i="38"/>
  <c r="N5" i="38"/>
  <c r="N7" i="37"/>
  <c r="N8" i="37"/>
  <c r="N9" i="37"/>
  <c r="N10" i="37"/>
  <c r="N11" i="37"/>
  <c r="N12" i="37"/>
  <c r="N13" i="37"/>
  <c r="N6" i="37"/>
  <c r="N15" i="37"/>
  <c r="N16" i="37"/>
  <c r="N17" i="37"/>
  <c r="N18" i="37"/>
  <c r="N19" i="37"/>
  <c r="N20" i="37"/>
  <c r="N21" i="37"/>
  <c r="N22" i="37"/>
  <c r="N23" i="37"/>
  <c r="N14" i="37"/>
  <c r="N25" i="37"/>
  <c r="N26" i="37"/>
  <c r="N27" i="37"/>
  <c r="N28" i="37"/>
  <c r="N24" i="37"/>
  <c r="N30" i="37"/>
  <c r="N31" i="37"/>
  <c r="N32" i="37"/>
  <c r="N29" i="37"/>
  <c r="N34" i="37"/>
  <c r="N35" i="37"/>
  <c r="N36" i="37"/>
  <c r="N37" i="37"/>
  <c r="N33" i="37"/>
  <c r="N5" i="37"/>
  <c r="N5" i="40"/>
  <c r="N5" i="44"/>
  <c r="BB4" i="25"/>
  <c r="O5" i="36"/>
  <c r="O5" i="41"/>
  <c r="O7" i="38"/>
  <c r="O8" i="38"/>
  <c r="O9" i="38"/>
  <c r="O10" i="38"/>
  <c r="O11" i="38"/>
  <c r="O12" i="38"/>
  <c r="O13" i="38"/>
  <c r="O6" i="38"/>
  <c r="O15" i="38"/>
  <c r="O16" i="38"/>
  <c r="O17" i="38"/>
  <c r="O18" i="38"/>
  <c r="O19" i="38"/>
  <c r="O20" i="38"/>
  <c r="O21" i="38"/>
  <c r="O22" i="38"/>
  <c r="O23" i="38"/>
  <c r="O14" i="38"/>
  <c r="O25" i="38"/>
  <c r="O26" i="38"/>
  <c r="O27" i="38"/>
  <c r="O28" i="38"/>
  <c r="O24" i="38"/>
  <c r="O30" i="38"/>
  <c r="O31" i="38"/>
  <c r="O32" i="38"/>
  <c r="O29" i="38"/>
  <c r="O34" i="38"/>
  <c r="O35" i="38"/>
  <c r="O36" i="38"/>
  <c r="O37" i="38"/>
  <c r="O33" i="38"/>
  <c r="O5" i="38"/>
  <c r="O7" i="37"/>
  <c r="O8" i="37"/>
  <c r="O9" i="37"/>
  <c r="O10" i="37"/>
  <c r="O11" i="37"/>
  <c r="O12" i="37"/>
  <c r="O13" i="37"/>
  <c r="O6" i="37"/>
  <c r="O15" i="37"/>
  <c r="O16" i="37"/>
  <c r="O17" i="37"/>
  <c r="O18" i="37"/>
  <c r="O19" i="37"/>
  <c r="O20" i="37"/>
  <c r="O21" i="37"/>
  <c r="O22" i="37"/>
  <c r="O23" i="37"/>
  <c r="O14" i="37"/>
  <c r="O25" i="37"/>
  <c r="O26" i="37"/>
  <c r="O27" i="37"/>
  <c r="O28" i="37"/>
  <c r="O24" i="37"/>
  <c r="O30" i="37"/>
  <c r="O31" i="37"/>
  <c r="O32" i="37"/>
  <c r="O29" i="37"/>
  <c r="O34" i="37"/>
  <c r="O35" i="37"/>
  <c r="O36" i="37"/>
  <c r="O37" i="37"/>
  <c r="O33" i="37"/>
  <c r="O5" i="37"/>
  <c r="O5" i="40"/>
  <c r="O5" i="44"/>
  <c r="S5" i="44"/>
  <c r="AG5" i="44"/>
  <c r="AC5" i="44"/>
  <c r="AH5" i="44"/>
  <c r="AD5" i="44"/>
  <c r="AI5" i="44"/>
  <c r="AE5" i="44"/>
  <c r="AJ5" i="44"/>
  <c r="AL5" i="44"/>
  <c r="X59" i="26"/>
  <c r="B5" i="31"/>
  <c r="Y59" i="26"/>
  <c r="C5" i="31"/>
  <c r="AT13" i="30"/>
  <c r="D5" i="31"/>
  <c r="AU13" i="30"/>
  <c r="E5" i="31"/>
  <c r="AV13" i="30"/>
  <c r="F5" i="31"/>
  <c r="AW13" i="30"/>
  <c r="G5" i="31"/>
  <c r="H5" i="31"/>
  <c r="AM5" i="31"/>
  <c r="B6" i="36"/>
  <c r="B6" i="41"/>
  <c r="B6" i="40"/>
  <c r="B6" i="44"/>
  <c r="AN5" i="31"/>
  <c r="C6" i="36"/>
  <c r="C6" i="41"/>
  <c r="C6" i="40"/>
  <c r="C6" i="44"/>
  <c r="S59" i="32"/>
  <c r="B5" i="33"/>
  <c r="T59" i="32"/>
  <c r="C5" i="33"/>
  <c r="D5" i="33"/>
  <c r="S5" i="33"/>
  <c r="H6" i="36"/>
  <c r="H6" i="41"/>
  <c r="H6" i="40"/>
  <c r="H6" i="44"/>
  <c r="T5" i="33"/>
  <c r="I6" i="36"/>
  <c r="I6" i="41"/>
  <c r="I6" i="40"/>
  <c r="I6" i="44"/>
  <c r="AJ12" i="24"/>
  <c r="H5" i="25"/>
  <c r="AJ19" i="23"/>
  <c r="B5" i="25"/>
  <c r="AK19" i="23"/>
  <c r="C5" i="25"/>
  <c r="AL19" i="23"/>
  <c r="D5" i="25"/>
  <c r="AJ19" i="22"/>
  <c r="E5" i="25"/>
  <c r="AK19" i="22"/>
  <c r="F5" i="25"/>
  <c r="AL19" i="22"/>
  <c r="G5" i="25"/>
  <c r="AK12" i="24"/>
  <c r="I5" i="25"/>
  <c r="J5" i="25"/>
  <c r="BC5" i="25"/>
  <c r="P6" i="36"/>
  <c r="P6" i="41"/>
  <c r="P6" i="40"/>
  <c r="P6" i="44"/>
  <c r="BD5" i="25"/>
  <c r="Q6" i="36"/>
  <c r="Q6" i="41"/>
  <c r="Q6" i="40"/>
  <c r="Q6" i="44"/>
  <c r="R6" i="44"/>
  <c r="AB6" i="44"/>
  <c r="AO5" i="31"/>
  <c r="D6" i="36"/>
  <c r="D6" i="41"/>
  <c r="D6" i="40"/>
  <c r="D6" i="44"/>
  <c r="AP5" i="31"/>
  <c r="E6" i="36"/>
  <c r="E6" i="41"/>
  <c r="E6" i="40"/>
  <c r="E6" i="44"/>
  <c r="AQ5" i="31"/>
  <c r="F6" i="36"/>
  <c r="F6" i="41"/>
  <c r="F6" i="40"/>
  <c r="F6" i="44"/>
  <c r="AR5" i="31"/>
  <c r="G6" i="36"/>
  <c r="G6" i="41"/>
  <c r="G6" i="40"/>
  <c r="G6" i="44"/>
  <c r="AW5" i="25"/>
  <c r="J6" i="36"/>
  <c r="J6" i="41"/>
  <c r="J6" i="40"/>
  <c r="J6" i="44"/>
  <c r="AX5" i="25"/>
  <c r="K6" i="36"/>
  <c r="K6" i="41"/>
  <c r="K6" i="40"/>
  <c r="K6" i="44"/>
  <c r="AY5" i="25"/>
  <c r="L6" i="36"/>
  <c r="L6" i="41"/>
  <c r="L6" i="40"/>
  <c r="L6" i="44"/>
  <c r="AZ5" i="25"/>
  <c r="M6" i="36"/>
  <c r="M6" i="41"/>
  <c r="M6" i="40"/>
  <c r="M6" i="44"/>
  <c r="BA5" i="25"/>
  <c r="N6" i="36"/>
  <c r="N6" i="41"/>
  <c r="N6" i="40"/>
  <c r="N6" i="44"/>
  <c r="BB5" i="25"/>
  <c r="O6" i="36"/>
  <c r="O6" i="41"/>
  <c r="O6" i="40"/>
  <c r="O6" i="44"/>
  <c r="S6" i="44"/>
  <c r="AG6" i="44"/>
  <c r="AC6" i="44"/>
  <c r="AH6" i="44"/>
  <c r="AD6" i="44"/>
  <c r="AI6" i="44"/>
  <c r="AE6" i="44"/>
  <c r="AJ6" i="44"/>
  <c r="AL6" i="44"/>
  <c r="X60" i="26"/>
  <c r="B6" i="31"/>
  <c r="Y60" i="26"/>
  <c r="C6" i="31"/>
  <c r="AT14" i="30"/>
  <c r="D6" i="31"/>
  <c r="AU14" i="30"/>
  <c r="E6" i="31"/>
  <c r="AV14" i="30"/>
  <c r="F6" i="31"/>
  <c r="AW14" i="30"/>
  <c r="G6" i="31"/>
  <c r="H6" i="31"/>
  <c r="AM6" i="31"/>
  <c r="B7" i="36"/>
  <c r="B7" i="41"/>
  <c r="B7" i="40"/>
  <c r="B7" i="44"/>
  <c r="AN6" i="31"/>
  <c r="C7" i="36"/>
  <c r="C7" i="41"/>
  <c r="C7" i="40"/>
  <c r="C7" i="44"/>
  <c r="S60" i="32"/>
  <c r="B6" i="33"/>
  <c r="T60" i="32"/>
  <c r="C6" i="33"/>
  <c r="D6" i="33"/>
  <c r="S6" i="33"/>
  <c r="H7" i="36"/>
  <c r="H7" i="41"/>
  <c r="H7" i="40"/>
  <c r="H7" i="44"/>
  <c r="T6" i="33"/>
  <c r="I7" i="36"/>
  <c r="I7" i="41"/>
  <c r="I7" i="40"/>
  <c r="I7" i="44"/>
  <c r="BC6" i="25"/>
  <c r="P7" i="36"/>
  <c r="P7" i="41"/>
  <c r="P7" i="40"/>
  <c r="P7" i="44"/>
  <c r="BD6" i="25"/>
  <c r="Q7" i="36"/>
  <c r="Q7" i="41"/>
  <c r="Q7" i="40"/>
  <c r="Q7" i="44"/>
  <c r="R7" i="44"/>
  <c r="AB7" i="44"/>
  <c r="AO6" i="31"/>
  <c r="D7" i="36"/>
  <c r="D7" i="41"/>
  <c r="D7" i="40"/>
  <c r="D7" i="44"/>
  <c r="AP6" i="31"/>
  <c r="E7" i="36"/>
  <c r="E7" i="41"/>
  <c r="E7" i="40"/>
  <c r="E7" i="44"/>
  <c r="AQ6" i="31"/>
  <c r="F7" i="36"/>
  <c r="F7" i="41"/>
  <c r="F7" i="40"/>
  <c r="F7" i="44"/>
  <c r="AR6" i="31"/>
  <c r="G7" i="36"/>
  <c r="G7" i="41"/>
  <c r="G7" i="40"/>
  <c r="G7" i="44"/>
  <c r="AW6" i="25"/>
  <c r="J7" i="36"/>
  <c r="J7" i="41"/>
  <c r="J7" i="40"/>
  <c r="J7" i="44"/>
  <c r="AX6" i="25"/>
  <c r="K7" i="36"/>
  <c r="K7" i="41"/>
  <c r="K7" i="40"/>
  <c r="K7" i="44"/>
  <c r="AY6" i="25"/>
  <c r="L7" i="36"/>
  <c r="L7" i="41"/>
  <c r="L7" i="40"/>
  <c r="L7" i="44"/>
  <c r="AZ6" i="25"/>
  <c r="M7" i="36"/>
  <c r="M7" i="41"/>
  <c r="M7" i="40"/>
  <c r="M7" i="44"/>
  <c r="BA6" i="25"/>
  <c r="N7" i="36"/>
  <c r="N7" i="41"/>
  <c r="N7" i="40"/>
  <c r="N7" i="44"/>
  <c r="BB6" i="25"/>
  <c r="O7" i="36"/>
  <c r="O7" i="41"/>
  <c r="O7" i="40"/>
  <c r="O7" i="44"/>
  <c r="S7" i="44"/>
  <c r="AG7" i="44"/>
  <c r="AC7" i="44"/>
  <c r="AH7" i="44"/>
  <c r="AD7" i="44"/>
  <c r="AI7" i="44"/>
  <c r="AE7" i="44"/>
  <c r="AJ7" i="44"/>
  <c r="AL7" i="44"/>
  <c r="X61" i="26"/>
  <c r="B7" i="31"/>
  <c r="Y61" i="26"/>
  <c r="C7" i="31"/>
  <c r="AT15" i="30"/>
  <c r="D7" i="31"/>
  <c r="AU15" i="30"/>
  <c r="E7" i="31"/>
  <c r="AV15" i="30"/>
  <c r="F7" i="31"/>
  <c r="AW15" i="30"/>
  <c r="G7" i="31"/>
  <c r="H7" i="31"/>
  <c r="AM7" i="31"/>
  <c r="B8" i="36"/>
  <c r="B8" i="41"/>
  <c r="B8" i="40"/>
  <c r="B8" i="44"/>
  <c r="AN7" i="31"/>
  <c r="C8" i="36"/>
  <c r="C8" i="41"/>
  <c r="C8" i="40"/>
  <c r="C8" i="44"/>
  <c r="S61" i="32"/>
  <c r="B7" i="33"/>
  <c r="T61" i="32"/>
  <c r="C7" i="33"/>
  <c r="D7" i="33"/>
  <c r="S7" i="33"/>
  <c r="H8" i="36"/>
  <c r="H8" i="41"/>
  <c r="H8" i="40"/>
  <c r="H8" i="44"/>
  <c r="T7" i="33"/>
  <c r="I8" i="36"/>
  <c r="I8" i="41"/>
  <c r="I8" i="40"/>
  <c r="I8" i="44"/>
  <c r="BC7" i="25"/>
  <c r="P8" i="36"/>
  <c r="P8" i="41"/>
  <c r="P8" i="40"/>
  <c r="P8" i="44"/>
  <c r="BD7" i="25"/>
  <c r="Q8" i="36"/>
  <c r="Q8" i="41"/>
  <c r="Q8" i="40"/>
  <c r="Q8" i="44"/>
  <c r="R8" i="44"/>
  <c r="AB8" i="44"/>
  <c r="AO7" i="31"/>
  <c r="D8" i="36"/>
  <c r="D8" i="41"/>
  <c r="D8" i="40"/>
  <c r="D8" i="44"/>
  <c r="AP7" i="31"/>
  <c r="E8" i="36"/>
  <c r="E8" i="41"/>
  <c r="E8" i="40"/>
  <c r="E8" i="44"/>
  <c r="AQ7" i="31"/>
  <c r="F8" i="36"/>
  <c r="F8" i="41"/>
  <c r="F8" i="40"/>
  <c r="F8" i="44"/>
  <c r="AR7" i="31"/>
  <c r="G8" i="36"/>
  <c r="G8" i="41"/>
  <c r="G8" i="40"/>
  <c r="G8" i="44"/>
  <c r="AW7" i="25"/>
  <c r="J8" i="36"/>
  <c r="J8" i="41"/>
  <c r="J8" i="40"/>
  <c r="J8" i="44"/>
  <c r="AX7" i="25"/>
  <c r="K8" i="36"/>
  <c r="K8" i="41"/>
  <c r="K8" i="40"/>
  <c r="K8" i="44"/>
  <c r="AY7" i="25"/>
  <c r="L8" i="36"/>
  <c r="L8" i="41"/>
  <c r="L8" i="40"/>
  <c r="L8" i="44"/>
  <c r="AZ7" i="25"/>
  <c r="M8" i="36"/>
  <c r="M8" i="41"/>
  <c r="M8" i="40"/>
  <c r="M8" i="44"/>
  <c r="BA7" i="25"/>
  <c r="N8" i="36"/>
  <c r="N8" i="41"/>
  <c r="N8" i="40"/>
  <c r="N8" i="44"/>
  <c r="BB7" i="25"/>
  <c r="O8" i="36"/>
  <c r="O8" i="41"/>
  <c r="O8" i="40"/>
  <c r="O8" i="44"/>
  <c r="S8" i="44"/>
  <c r="AG8" i="44"/>
  <c r="AC8" i="44"/>
  <c r="AH8" i="44"/>
  <c r="AD8" i="44"/>
  <c r="AI8" i="44"/>
  <c r="AE8" i="44"/>
  <c r="AJ8" i="44"/>
  <c r="AL8" i="44"/>
  <c r="X62" i="26"/>
  <c r="B8" i="31"/>
  <c r="Y62" i="26"/>
  <c r="C8" i="31"/>
  <c r="AT16" i="30"/>
  <c r="D8" i="31"/>
  <c r="AU16" i="30"/>
  <c r="E8" i="31"/>
  <c r="AV16" i="30"/>
  <c r="F8" i="31"/>
  <c r="AW16" i="30"/>
  <c r="G8" i="31"/>
  <c r="H8" i="31"/>
  <c r="AM8" i="31"/>
  <c r="B9" i="36"/>
  <c r="B9" i="41"/>
  <c r="B9" i="40"/>
  <c r="B9" i="44"/>
  <c r="AN8" i="31"/>
  <c r="C9" i="36"/>
  <c r="C9" i="41"/>
  <c r="C9" i="40"/>
  <c r="C9" i="44"/>
  <c r="S62" i="32"/>
  <c r="B8" i="33"/>
  <c r="T62" i="32"/>
  <c r="C8" i="33"/>
  <c r="D8" i="33"/>
  <c r="S8" i="33"/>
  <c r="H9" i="36"/>
  <c r="H9" i="41"/>
  <c r="H9" i="40"/>
  <c r="H9" i="44"/>
  <c r="T8" i="33"/>
  <c r="I9" i="36"/>
  <c r="I9" i="41"/>
  <c r="I9" i="40"/>
  <c r="I9" i="44"/>
  <c r="BC8" i="25"/>
  <c r="P9" i="36"/>
  <c r="P9" i="41"/>
  <c r="P9" i="40"/>
  <c r="P9" i="44"/>
  <c r="BD8" i="25"/>
  <c r="Q9" i="36"/>
  <c r="Q9" i="41"/>
  <c r="Q9" i="40"/>
  <c r="Q9" i="44"/>
  <c r="R9" i="44"/>
  <c r="AB9" i="44"/>
  <c r="AO8" i="31"/>
  <c r="D9" i="36"/>
  <c r="D9" i="41"/>
  <c r="D9" i="40"/>
  <c r="D9" i="44"/>
  <c r="AP8" i="31"/>
  <c r="E9" i="36"/>
  <c r="E9" i="41"/>
  <c r="E9" i="40"/>
  <c r="E9" i="44"/>
  <c r="AQ8" i="31"/>
  <c r="F9" i="36"/>
  <c r="F9" i="41"/>
  <c r="F9" i="40"/>
  <c r="F9" i="44"/>
  <c r="AR8" i="31"/>
  <c r="G9" i="36"/>
  <c r="G9" i="41"/>
  <c r="G9" i="40"/>
  <c r="G9" i="44"/>
  <c r="AW8" i="25"/>
  <c r="J9" i="36"/>
  <c r="J9" i="41"/>
  <c r="J9" i="40"/>
  <c r="J9" i="44"/>
  <c r="AX8" i="25"/>
  <c r="K9" i="36"/>
  <c r="K9" i="41"/>
  <c r="K9" i="40"/>
  <c r="K9" i="44"/>
  <c r="AY8" i="25"/>
  <c r="L9" i="36"/>
  <c r="L9" i="41"/>
  <c r="L9" i="40"/>
  <c r="L9" i="44"/>
  <c r="AZ8" i="25"/>
  <c r="M9" i="36"/>
  <c r="M9" i="41"/>
  <c r="M9" i="40"/>
  <c r="M9" i="44"/>
  <c r="BA8" i="25"/>
  <c r="N9" i="36"/>
  <c r="N9" i="41"/>
  <c r="N9" i="40"/>
  <c r="N9" i="44"/>
  <c r="BB8" i="25"/>
  <c r="O9" i="36"/>
  <c r="O9" i="41"/>
  <c r="O9" i="40"/>
  <c r="O9" i="44"/>
  <c r="S9" i="44"/>
  <c r="AG9" i="44"/>
  <c r="AC9" i="44"/>
  <c r="AH9" i="44"/>
  <c r="AD9" i="44"/>
  <c r="AI9" i="44"/>
  <c r="AE9" i="44"/>
  <c r="AJ9" i="44"/>
  <c r="AL9" i="44"/>
  <c r="X63" i="26"/>
  <c r="B9" i="31"/>
  <c r="Y63" i="26"/>
  <c r="C9" i="31"/>
  <c r="AT17" i="30"/>
  <c r="D9" i="31"/>
  <c r="AU17" i="30"/>
  <c r="E9" i="31"/>
  <c r="AV17" i="30"/>
  <c r="F9" i="31"/>
  <c r="AW17" i="30"/>
  <c r="G9" i="31"/>
  <c r="H9" i="31"/>
  <c r="AM9" i="31"/>
  <c r="B10" i="36"/>
  <c r="B10" i="41"/>
  <c r="B10" i="40"/>
  <c r="B10" i="44"/>
  <c r="AN9" i="31"/>
  <c r="C10" i="36"/>
  <c r="C10" i="41"/>
  <c r="C10" i="40"/>
  <c r="C10" i="44"/>
  <c r="S63" i="32"/>
  <c r="B9" i="33"/>
  <c r="T63" i="32"/>
  <c r="C9" i="33"/>
  <c r="D9" i="33"/>
  <c r="S9" i="33"/>
  <c r="H10" i="36"/>
  <c r="H10" i="41"/>
  <c r="H10" i="40"/>
  <c r="H10" i="44"/>
  <c r="T9" i="33"/>
  <c r="I10" i="36"/>
  <c r="I10" i="41"/>
  <c r="I10" i="40"/>
  <c r="I10" i="44"/>
  <c r="BC9" i="25"/>
  <c r="P10" i="36"/>
  <c r="P10" i="41"/>
  <c r="P10" i="40"/>
  <c r="P10" i="44"/>
  <c r="BD9" i="25"/>
  <c r="Q10" i="36"/>
  <c r="Q10" i="41"/>
  <c r="Q10" i="40"/>
  <c r="Q10" i="44"/>
  <c r="R10" i="44"/>
  <c r="AB10" i="44"/>
  <c r="AO9" i="31"/>
  <c r="D10" i="36"/>
  <c r="D10" i="41"/>
  <c r="D10" i="40"/>
  <c r="D10" i="44"/>
  <c r="AP9" i="31"/>
  <c r="E10" i="36"/>
  <c r="E10" i="41"/>
  <c r="E10" i="40"/>
  <c r="E10" i="44"/>
  <c r="AQ9" i="31"/>
  <c r="F10" i="36"/>
  <c r="F10" i="41"/>
  <c r="F10" i="40"/>
  <c r="F10" i="44"/>
  <c r="AR9" i="31"/>
  <c r="G10" i="36"/>
  <c r="G10" i="41"/>
  <c r="G10" i="40"/>
  <c r="G10" i="44"/>
  <c r="AW9" i="25"/>
  <c r="J10" i="36"/>
  <c r="J10" i="41"/>
  <c r="J10" i="40"/>
  <c r="J10" i="44"/>
  <c r="AX9" i="25"/>
  <c r="K10" i="36"/>
  <c r="K10" i="41"/>
  <c r="K10" i="40"/>
  <c r="K10" i="44"/>
  <c r="AY9" i="25"/>
  <c r="L10" i="36"/>
  <c r="L10" i="41"/>
  <c r="L10" i="40"/>
  <c r="L10" i="44"/>
  <c r="AZ9" i="25"/>
  <c r="M10" i="36"/>
  <c r="M10" i="41"/>
  <c r="M10" i="40"/>
  <c r="M10" i="44"/>
  <c r="BA9" i="25"/>
  <c r="N10" i="36"/>
  <c r="N10" i="41"/>
  <c r="N10" i="40"/>
  <c r="N10" i="44"/>
  <c r="BB9" i="25"/>
  <c r="O10" i="36"/>
  <c r="O10" i="41"/>
  <c r="O10" i="40"/>
  <c r="O10" i="44"/>
  <c r="S10" i="44"/>
  <c r="AG10" i="44"/>
  <c r="AC10" i="44"/>
  <c r="AH10" i="44"/>
  <c r="AD10" i="44"/>
  <c r="AI10" i="44"/>
  <c r="AE10" i="44"/>
  <c r="AJ10" i="44"/>
  <c r="AL10" i="44"/>
  <c r="X64" i="26"/>
  <c r="B10" i="31"/>
  <c r="Y64" i="26"/>
  <c r="C10" i="31"/>
  <c r="AT18" i="30"/>
  <c r="D10" i="31"/>
  <c r="AU18" i="30"/>
  <c r="E10" i="31"/>
  <c r="AV18" i="30"/>
  <c r="F10" i="31"/>
  <c r="AW18" i="30"/>
  <c r="G10" i="31"/>
  <c r="H10" i="31"/>
  <c r="AM10" i="31"/>
  <c r="B11" i="36"/>
  <c r="B11" i="41"/>
  <c r="B11" i="40"/>
  <c r="B11" i="44"/>
  <c r="AN10" i="31"/>
  <c r="C11" i="36"/>
  <c r="C11" i="41"/>
  <c r="C11" i="40"/>
  <c r="C11" i="44"/>
  <c r="S64" i="32"/>
  <c r="B10" i="33"/>
  <c r="T64" i="32"/>
  <c r="C10" i="33"/>
  <c r="D10" i="33"/>
  <c r="S10" i="33"/>
  <c r="H11" i="36"/>
  <c r="H11" i="41"/>
  <c r="H11" i="40"/>
  <c r="H11" i="44"/>
  <c r="T10" i="33"/>
  <c r="I11" i="36"/>
  <c r="I11" i="41"/>
  <c r="I11" i="40"/>
  <c r="I11" i="44"/>
  <c r="BC10" i="25"/>
  <c r="P11" i="36"/>
  <c r="P11" i="41"/>
  <c r="P11" i="40"/>
  <c r="P11" i="44"/>
  <c r="BD10" i="25"/>
  <c r="Q11" i="36"/>
  <c r="Q11" i="41"/>
  <c r="Q11" i="40"/>
  <c r="Q11" i="44"/>
  <c r="R11" i="44"/>
  <c r="AB11" i="44"/>
  <c r="AO10" i="31"/>
  <c r="D11" i="36"/>
  <c r="D11" i="41"/>
  <c r="D11" i="40"/>
  <c r="D11" i="44"/>
  <c r="AP10" i="31"/>
  <c r="E11" i="36"/>
  <c r="E11" i="41"/>
  <c r="E11" i="40"/>
  <c r="E11" i="44"/>
  <c r="AQ10" i="31"/>
  <c r="F11" i="36"/>
  <c r="F11" i="41"/>
  <c r="F11" i="40"/>
  <c r="F11" i="44"/>
  <c r="AR10" i="31"/>
  <c r="G11" i="36"/>
  <c r="G11" i="41"/>
  <c r="G11" i="40"/>
  <c r="G11" i="44"/>
  <c r="AW10" i="25"/>
  <c r="J11" i="36"/>
  <c r="J11" i="41"/>
  <c r="J11" i="40"/>
  <c r="J11" i="44"/>
  <c r="AX10" i="25"/>
  <c r="K11" i="36"/>
  <c r="K11" i="41"/>
  <c r="K11" i="40"/>
  <c r="K11" i="44"/>
  <c r="AY10" i="25"/>
  <c r="L11" i="36"/>
  <c r="L11" i="41"/>
  <c r="L11" i="40"/>
  <c r="L11" i="44"/>
  <c r="AZ10" i="25"/>
  <c r="M11" i="36"/>
  <c r="M11" i="41"/>
  <c r="M11" i="40"/>
  <c r="M11" i="44"/>
  <c r="BA10" i="25"/>
  <c r="N11" i="36"/>
  <c r="N11" i="41"/>
  <c r="N11" i="40"/>
  <c r="N11" i="44"/>
  <c r="BB10" i="25"/>
  <c r="O11" i="36"/>
  <c r="O11" i="41"/>
  <c r="O11" i="40"/>
  <c r="O11" i="44"/>
  <c r="S11" i="44"/>
  <c r="AG11" i="44"/>
  <c r="AC11" i="44"/>
  <c r="AH11" i="44"/>
  <c r="AD11" i="44"/>
  <c r="AI11" i="44"/>
  <c r="AE11" i="44"/>
  <c r="AJ11" i="44"/>
  <c r="AL11" i="44"/>
  <c r="X65" i="26"/>
  <c r="B11" i="31"/>
  <c r="Y65" i="26"/>
  <c r="C11" i="31"/>
  <c r="AT19" i="30"/>
  <c r="D11" i="31"/>
  <c r="AU19" i="30"/>
  <c r="E11" i="31"/>
  <c r="AV19" i="30"/>
  <c r="F11" i="31"/>
  <c r="AW19" i="30"/>
  <c r="G11" i="31"/>
  <c r="H11" i="31"/>
  <c r="AM11" i="31"/>
  <c r="B12" i="36"/>
  <c r="B12" i="41"/>
  <c r="B12" i="40"/>
  <c r="B12" i="44"/>
  <c r="AN11" i="31"/>
  <c r="C12" i="36"/>
  <c r="C12" i="41"/>
  <c r="C12" i="40"/>
  <c r="C12" i="44"/>
  <c r="S65" i="32"/>
  <c r="B11" i="33"/>
  <c r="T65" i="32"/>
  <c r="C11" i="33"/>
  <c r="D11" i="33"/>
  <c r="S11" i="33"/>
  <c r="H12" i="36"/>
  <c r="H12" i="41"/>
  <c r="H12" i="40"/>
  <c r="H12" i="44"/>
  <c r="T11" i="33"/>
  <c r="I12" i="36"/>
  <c r="I12" i="41"/>
  <c r="I12" i="40"/>
  <c r="I12" i="44"/>
  <c r="BC11" i="25"/>
  <c r="P12" i="36"/>
  <c r="P12" i="41"/>
  <c r="P12" i="40"/>
  <c r="P12" i="44"/>
  <c r="BD11" i="25"/>
  <c r="Q12" i="36"/>
  <c r="Q12" i="41"/>
  <c r="Q12" i="40"/>
  <c r="Q12" i="44"/>
  <c r="R12" i="44"/>
  <c r="AB12" i="44"/>
  <c r="AO11" i="31"/>
  <c r="D12" i="36"/>
  <c r="D12" i="41"/>
  <c r="D12" i="40"/>
  <c r="D12" i="44"/>
  <c r="AP11" i="31"/>
  <c r="E12" i="36"/>
  <c r="E12" i="41"/>
  <c r="E12" i="40"/>
  <c r="E12" i="44"/>
  <c r="AQ11" i="31"/>
  <c r="F12" i="36"/>
  <c r="F12" i="41"/>
  <c r="F12" i="40"/>
  <c r="F12" i="44"/>
  <c r="AR11" i="31"/>
  <c r="G12" i="36"/>
  <c r="G12" i="41"/>
  <c r="G12" i="40"/>
  <c r="G12" i="44"/>
  <c r="AW11" i="25"/>
  <c r="J12" i="36"/>
  <c r="J12" i="41"/>
  <c r="J12" i="40"/>
  <c r="J12" i="44"/>
  <c r="AX11" i="25"/>
  <c r="K12" i="36"/>
  <c r="K12" i="41"/>
  <c r="K12" i="40"/>
  <c r="K12" i="44"/>
  <c r="AY11" i="25"/>
  <c r="L12" i="36"/>
  <c r="L12" i="41"/>
  <c r="L12" i="40"/>
  <c r="L12" i="44"/>
  <c r="AZ11" i="25"/>
  <c r="M12" i="36"/>
  <c r="M12" i="41"/>
  <c r="M12" i="40"/>
  <c r="M12" i="44"/>
  <c r="BA11" i="25"/>
  <c r="N12" i="36"/>
  <c r="N12" i="41"/>
  <c r="N12" i="40"/>
  <c r="N12" i="44"/>
  <c r="BB11" i="25"/>
  <c r="O12" i="36"/>
  <c r="O12" i="41"/>
  <c r="O12" i="40"/>
  <c r="O12" i="44"/>
  <c r="S12" i="44"/>
  <c r="AG12" i="44"/>
  <c r="AC12" i="44"/>
  <c r="AH12" i="44"/>
  <c r="AD12" i="44"/>
  <c r="AI12" i="44"/>
  <c r="AE12" i="44"/>
  <c r="AJ12" i="44"/>
  <c r="AL12" i="44"/>
  <c r="X66" i="26"/>
  <c r="B12" i="31"/>
  <c r="Y66" i="26"/>
  <c r="C12" i="31"/>
  <c r="AT20" i="30"/>
  <c r="D12" i="31"/>
  <c r="AU20" i="30"/>
  <c r="E12" i="31"/>
  <c r="AV20" i="30"/>
  <c r="F12" i="31"/>
  <c r="AW20" i="30"/>
  <c r="G12" i="31"/>
  <c r="H12" i="31"/>
  <c r="AM12" i="31"/>
  <c r="B13" i="36"/>
  <c r="B13" i="41"/>
  <c r="B13" i="40"/>
  <c r="B13" i="44"/>
  <c r="AN12" i="31"/>
  <c r="C13" i="36"/>
  <c r="C13" i="41"/>
  <c r="C13" i="40"/>
  <c r="C13" i="44"/>
  <c r="S66" i="32"/>
  <c r="B12" i="33"/>
  <c r="T66" i="32"/>
  <c r="C12" i="33"/>
  <c r="D12" i="33"/>
  <c r="S12" i="33"/>
  <c r="H13" i="36"/>
  <c r="H13" i="41"/>
  <c r="H13" i="40"/>
  <c r="H13" i="44"/>
  <c r="T12" i="33"/>
  <c r="I13" i="36"/>
  <c r="I13" i="41"/>
  <c r="I13" i="40"/>
  <c r="I13" i="44"/>
  <c r="BC12" i="25"/>
  <c r="P13" i="36"/>
  <c r="P13" i="41"/>
  <c r="P13" i="40"/>
  <c r="P13" i="44"/>
  <c r="BD12" i="25"/>
  <c r="Q13" i="36"/>
  <c r="Q13" i="41"/>
  <c r="Q13" i="40"/>
  <c r="Q13" i="44"/>
  <c r="R13" i="44"/>
  <c r="AB13" i="44"/>
  <c r="AO12" i="31"/>
  <c r="D13" i="36"/>
  <c r="D13" i="41"/>
  <c r="D13" i="40"/>
  <c r="D13" i="44"/>
  <c r="AP12" i="31"/>
  <c r="E13" i="36"/>
  <c r="E13" i="41"/>
  <c r="E13" i="40"/>
  <c r="E13" i="44"/>
  <c r="AQ12" i="31"/>
  <c r="F13" i="36"/>
  <c r="F13" i="41"/>
  <c r="F13" i="40"/>
  <c r="F13" i="44"/>
  <c r="AR12" i="31"/>
  <c r="G13" i="36"/>
  <c r="G13" i="41"/>
  <c r="G13" i="40"/>
  <c r="G13" i="44"/>
  <c r="AW12" i="25"/>
  <c r="J13" i="36"/>
  <c r="J13" i="41"/>
  <c r="J13" i="40"/>
  <c r="J13" i="44"/>
  <c r="AX12" i="25"/>
  <c r="K13" i="36"/>
  <c r="K13" i="41"/>
  <c r="K13" i="40"/>
  <c r="K13" i="44"/>
  <c r="AY12" i="25"/>
  <c r="L13" i="36"/>
  <c r="L13" i="41"/>
  <c r="L13" i="40"/>
  <c r="L13" i="44"/>
  <c r="AZ12" i="25"/>
  <c r="M13" i="36"/>
  <c r="M13" i="41"/>
  <c r="M13" i="40"/>
  <c r="M13" i="44"/>
  <c r="BA12" i="25"/>
  <c r="N13" i="36"/>
  <c r="N13" i="41"/>
  <c r="N13" i="40"/>
  <c r="N13" i="44"/>
  <c r="BB12" i="25"/>
  <c r="O13" i="36"/>
  <c r="O13" i="41"/>
  <c r="O13" i="40"/>
  <c r="O13" i="44"/>
  <c r="S13" i="44"/>
  <c r="AG13" i="44"/>
  <c r="AC13" i="44"/>
  <c r="AH13" i="44"/>
  <c r="AD13" i="44"/>
  <c r="AI13" i="44"/>
  <c r="AE13" i="44"/>
  <c r="AJ13" i="44"/>
  <c r="AL13" i="44"/>
  <c r="X67" i="26"/>
  <c r="B13" i="31"/>
  <c r="Y67" i="26"/>
  <c r="C13" i="31"/>
  <c r="AT21" i="30"/>
  <c r="D13" i="31"/>
  <c r="AU21" i="30"/>
  <c r="E13" i="31"/>
  <c r="AV21" i="30"/>
  <c r="F13" i="31"/>
  <c r="AW21" i="30"/>
  <c r="G13" i="31"/>
  <c r="H13" i="31"/>
  <c r="AM13" i="31"/>
  <c r="B14" i="36"/>
  <c r="B14" i="41"/>
  <c r="B14" i="40"/>
  <c r="B14" i="44"/>
  <c r="AN13" i="31"/>
  <c r="C14" i="36"/>
  <c r="C14" i="41"/>
  <c r="C14" i="40"/>
  <c r="C14" i="44"/>
  <c r="S67" i="32"/>
  <c r="B13" i="33"/>
  <c r="T67" i="32"/>
  <c r="C13" i="33"/>
  <c r="D13" i="33"/>
  <c r="S13" i="33"/>
  <c r="H14" i="36"/>
  <c r="H14" i="41"/>
  <c r="H14" i="40"/>
  <c r="H14" i="44"/>
  <c r="T13" i="33"/>
  <c r="I14" i="36"/>
  <c r="I14" i="41"/>
  <c r="I14" i="40"/>
  <c r="I14" i="44"/>
  <c r="AJ20" i="24"/>
  <c r="H13" i="25"/>
  <c r="AJ27" i="23"/>
  <c r="B13" i="25"/>
  <c r="AK27" i="23"/>
  <c r="C13" i="25"/>
  <c r="AL27" i="23"/>
  <c r="D13" i="25"/>
  <c r="AJ27" i="22"/>
  <c r="E13" i="25"/>
  <c r="AK27" i="22"/>
  <c r="F13" i="25"/>
  <c r="AL27" i="22"/>
  <c r="G13" i="25"/>
  <c r="AK20" i="24"/>
  <c r="I13" i="25"/>
  <c r="J13" i="25"/>
  <c r="BC13" i="25"/>
  <c r="P14" i="36"/>
  <c r="P14" i="41"/>
  <c r="P14" i="40"/>
  <c r="P14" i="44"/>
  <c r="BD13" i="25"/>
  <c r="Q14" i="36"/>
  <c r="Q14" i="41"/>
  <c r="Q14" i="40"/>
  <c r="Q14" i="44"/>
  <c r="R14" i="41"/>
  <c r="R14" i="40"/>
  <c r="R14" i="44"/>
  <c r="AB14" i="44"/>
  <c r="AO13" i="31"/>
  <c r="D14" i="36"/>
  <c r="D14" i="41"/>
  <c r="D14" i="40"/>
  <c r="D14" i="44"/>
  <c r="AP13" i="31"/>
  <c r="E14" i="36"/>
  <c r="E14" i="41"/>
  <c r="E14" i="40"/>
  <c r="E14" i="44"/>
  <c r="AQ13" i="31"/>
  <c r="F14" i="36"/>
  <c r="F14" i="41"/>
  <c r="F14" i="40"/>
  <c r="F14" i="44"/>
  <c r="AR13" i="31"/>
  <c r="G14" i="36"/>
  <c r="G14" i="41"/>
  <c r="G14" i="40"/>
  <c r="G14" i="44"/>
  <c r="AW13" i="25"/>
  <c r="J14" i="36"/>
  <c r="J14" i="41"/>
  <c r="J14" i="40"/>
  <c r="J14" i="44"/>
  <c r="AX13" i="25"/>
  <c r="K14" i="36"/>
  <c r="K14" i="41"/>
  <c r="K14" i="40"/>
  <c r="K14" i="44"/>
  <c r="AY13" i="25"/>
  <c r="L14" i="36"/>
  <c r="L14" i="41"/>
  <c r="L14" i="40"/>
  <c r="L14" i="44"/>
  <c r="AZ13" i="25"/>
  <c r="M14" i="36"/>
  <c r="M14" i="41"/>
  <c r="M14" i="40"/>
  <c r="M14" i="44"/>
  <c r="BA13" i="25"/>
  <c r="N14" i="36"/>
  <c r="N14" i="41"/>
  <c r="N14" i="40"/>
  <c r="N14" i="44"/>
  <c r="BB13" i="25"/>
  <c r="O14" i="36"/>
  <c r="O14" i="41"/>
  <c r="O14" i="40"/>
  <c r="O14" i="44"/>
  <c r="S14" i="44"/>
  <c r="AG14" i="44"/>
  <c r="AC14" i="44"/>
  <c r="AH14" i="44"/>
  <c r="AD14" i="44"/>
  <c r="AI14" i="44"/>
  <c r="AE14" i="44"/>
  <c r="AJ14" i="44"/>
  <c r="AL14" i="44"/>
  <c r="X68" i="26"/>
  <c r="B14" i="31"/>
  <c r="Y68" i="26"/>
  <c r="C14" i="31"/>
  <c r="AT22" i="30"/>
  <c r="D14" i="31"/>
  <c r="AU22" i="30"/>
  <c r="E14" i="31"/>
  <c r="AV22" i="30"/>
  <c r="F14" i="31"/>
  <c r="AW22" i="30"/>
  <c r="G14" i="31"/>
  <c r="H14" i="31"/>
  <c r="AM14" i="31"/>
  <c r="B15" i="36"/>
  <c r="B15" i="41"/>
  <c r="B15" i="40"/>
  <c r="B15" i="44"/>
  <c r="AN14" i="31"/>
  <c r="C15" i="36"/>
  <c r="C15" i="41"/>
  <c r="C15" i="40"/>
  <c r="C15" i="44"/>
  <c r="S68" i="32"/>
  <c r="B14" i="33"/>
  <c r="T68" i="32"/>
  <c r="C14" i="33"/>
  <c r="D14" i="33"/>
  <c r="S14" i="33"/>
  <c r="H15" i="36"/>
  <c r="H15" i="41"/>
  <c r="H15" i="40"/>
  <c r="H15" i="44"/>
  <c r="T14" i="33"/>
  <c r="I15" i="36"/>
  <c r="I15" i="41"/>
  <c r="I15" i="40"/>
  <c r="I15" i="44"/>
  <c r="BC14" i="25"/>
  <c r="P15" i="36"/>
  <c r="P15" i="41"/>
  <c r="P15" i="40"/>
  <c r="P15" i="44"/>
  <c r="BD14" i="25"/>
  <c r="Q15" i="36"/>
  <c r="Q15" i="41"/>
  <c r="Q15" i="40"/>
  <c r="Q15" i="44"/>
  <c r="R15" i="41"/>
  <c r="R15" i="40"/>
  <c r="R15" i="44"/>
  <c r="AB15" i="44"/>
  <c r="AO14" i="31"/>
  <c r="D15" i="36"/>
  <c r="D15" i="41"/>
  <c r="D15" i="40"/>
  <c r="D15" i="44"/>
  <c r="AP14" i="31"/>
  <c r="E15" i="36"/>
  <c r="E15" i="41"/>
  <c r="E15" i="40"/>
  <c r="E15" i="44"/>
  <c r="AQ14" i="31"/>
  <c r="F15" i="36"/>
  <c r="F15" i="41"/>
  <c r="F15" i="40"/>
  <c r="F15" i="44"/>
  <c r="AR14" i="31"/>
  <c r="G15" i="36"/>
  <c r="G15" i="41"/>
  <c r="G15" i="40"/>
  <c r="G15" i="44"/>
  <c r="AW14" i="25"/>
  <c r="J15" i="36"/>
  <c r="J15" i="41"/>
  <c r="J15" i="40"/>
  <c r="J15" i="44"/>
  <c r="AX14" i="25"/>
  <c r="K15" i="36"/>
  <c r="K15" i="41"/>
  <c r="K15" i="40"/>
  <c r="K15" i="44"/>
  <c r="AY14" i="25"/>
  <c r="L15" i="36"/>
  <c r="L15" i="41"/>
  <c r="L15" i="40"/>
  <c r="L15" i="44"/>
  <c r="AZ14" i="25"/>
  <c r="M15" i="36"/>
  <c r="M15" i="41"/>
  <c r="M15" i="40"/>
  <c r="M15" i="44"/>
  <c r="BA14" i="25"/>
  <c r="N15" i="36"/>
  <c r="N15" i="41"/>
  <c r="N15" i="40"/>
  <c r="N15" i="44"/>
  <c r="BB14" i="25"/>
  <c r="O15" i="36"/>
  <c r="O15" i="41"/>
  <c r="O15" i="40"/>
  <c r="O15" i="44"/>
  <c r="S15" i="44"/>
  <c r="AG15" i="44"/>
  <c r="AC15" i="44"/>
  <c r="AH15" i="44"/>
  <c r="AD15" i="44"/>
  <c r="AI15" i="44"/>
  <c r="AE15" i="44"/>
  <c r="AJ15" i="44"/>
  <c r="AL15" i="44"/>
  <c r="X69" i="26"/>
  <c r="B15" i="31"/>
  <c r="Y69" i="26"/>
  <c r="C15" i="31"/>
  <c r="AT23" i="30"/>
  <c r="D15" i="31"/>
  <c r="AU23" i="30"/>
  <c r="E15" i="31"/>
  <c r="AV23" i="30"/>
  <c r="F15" i="31"/>
  <c r="AW23" i="30"/>
  <c r="G15" i="31"/>
  <c r="H15" i="31"/>
  <c r="AM15" i="31"/>
  <c r="B16" i="36"/>
  <c r="B16" i="41"/>
  <c r="B16" i="40"/>
  <c r="B16" i="44"/>
  <c r="AN15" i="31"/>
  <c r="C16" i="36"/>
  <c r="C16" i="41"/>
  <c r="C16" i="40"/>
  <c r="C16" i="44"/>
  <c r="S69" i="32"/>
  <c r="B15" i="33"/>
  <c r="T69" i="32"/>
  <c r="C15" i="33"/>
  <c r="D15" i="33"/>
  <c r="S15" i="33"/>
  <c r="H16" i="36"/>
  <c r="H16" i="41"/>
  <c r="H16" i="40"/>
  <c r="H16" i="44"/>
  <c r="T15" i="33"/>
  <c r="I16" i="36"/>
  <c r="I16" i="41"/>
  <c r="I16" i="40"/>
  <c r="I16" i="44"/>
  <c r="BC15" i="25"/>
  <c r="P16" i="36"/>
  <c r="P16" i="41"/>
  <c r="P16" i="40"/>
  <c r="P16" i="44"/>
  <c r="BD15" i="25"/>
  <c r="Q16" i="36"/>
  <c r="Q16" i="41"/>
  <c r="Q16" i="40"/>
  <c r="Q16" i="44"/>
  <c r="R16" i="41"/>
  <c r="R16" i="40"/>
  <c r="R16" i="44"/>
  <c r="AB16" i="44"/>
  <c r="AO15" i="31"/>
  <c r="D16" i="36"/>
  <c r="D16" i="41"/>
  <c r="D16" i="40"/>
  <c r="D16" i="44"/>
  <c r="AP15" i="31"/>
  <c r="E16" i="36"/>
  <c r="E16" i="41"/>
  <c r="E16" i="40"/>
  <c r="E16" i="44"/>
  <c r="AQ15" i="31"/>
  <c r="F16" i="36"/>
  <c r="F16" i="41"/>
  <c r="F16" i="40"/>
  <c r="F16" i="44"/>
  <c r="AR15" i="31"/>
  <c r="G16" i="36"/>
  <c r="G16" i="41"/>
  <c r="G16" i="40"/>
  <c r="G16" i="44"/>
  <c r="AW15" i="25"/>
  <c r="J16" i="36"/>
  <c r="J16" i="41"/>
  <c r="J16" i="40"/>
  <c r="J16" i="44"/>
  <c r="AX15" i="25"/>
  <c r="K16" i="36"/>
  <c r="K16" i="41"/>
  <c r="K16" i="40"/>
  <c r="K16" i="44"/>
  <c r="AY15" i="25"/>
  <c r="L16" i="36"/>
  <c r="L16" i="41"/>
  <c r="L16" i="40"/>
  <c r="L16" i="44"/>
  <c r="AZ15" i="25"/>
  <c r="M16" i="36"/>
  <c r="M16" i="41"/>
  <c r="M16" i="40"/>
  <c r="M16" i="44"/>
  <c r="BA15" i="25"/>
  <c r="N16" i="36"/>
  <c r="N16" i="41"/>
  <c r="N16" i="40"/>
  <c r="N16" i="44"/>
  <c r="BB15" i="25"/>
  <c r="O16" i="36"/>
  <c r="O16" i="41"/>
  <c r="O16" i="40"/>
  <c r="O16" i="44"/>
  <c r="S16" i="44"/>
  <c r="AG16" i="44"/>
  <c r="AC16" i="44"/>
  <c r="AH16" i="44"/>
  <c r="AD16" i="44"/>
  <c r="AI16" i="44"/>
  <c r="AE16" i="44"/>
  <c r="AJ16" i="44"/>
  <c r="AL16" i="44"/>
  <c r="X70" i="26"/>
  <c r="B16" i="31"/>
  <c r="Y70" i="26"/>
  <c r="C16" i="31"/>
  <c r="AT24" i="30"/>
  <c r="D16" i="31"/>
  <c r="AU24" i="30"/>
  <c r="E16" i="31"/>
  <c r="AV24" i="30"/>
  <c r="F16" i="31"/>
  <c r="AW24" i="30"/>
  <c r="G16" i="31"/>
  <c r="H16" i="31"/>
  <c r="AM16" i="31"/>
  <c r="B17" i="36"/>
  <c r="B17" i="41"/>
  <c r="B17" i="40"/>
  <c r="B17" i="44"/>
  <c r="AN16" i="31"/>
  <c r="C17" i="36"/>
  <c r="C17" i="41"/>
  <c r="C17" i="40"/>
  <c r="C17" i="44"/>
  <c r="S70" i="32"/>
  <c r="B16" i="33"/>
  <c r="T70" i="32"/>
  <c r="C16" i="33"/>
  <c r="D16" i="33"/>
  <c r="S16" i="33"/>
  <c r="H17" i="36"/>
  <c r="H17" i="41"/>
  <c r="H17" i="40"/>
  <c r="H17" i="44"/>
  <c r="T16" i="33"/>
  <c r="I17" i="36"/>
  <c r="I17" i="41"/>
  <c r="I17" i="40"/>
  <c r="I17" i="44"/>
  <c r="BC16" i="25"/>
  <c r="P17" i="36"/>
  <c r="P17" i="41"/>
  <c r="P17" i="40"/>
  <c r="P17" i="44"/>
  <c r="BD16" i="25"/>
  <c r="Q17" i="36"/>
  <c r="Q17" i="41"/>
  <c r="Q17" i="40"/>
  <c r="Q17" i="44"/>
  <c r="R17" i="41"/>
  <c r="R17" i="40"/>
  <c r="R17" i="44"/>
  <c r="AB17" i="44"/>
  <c r="AO16" i="31"/>
  <c r="D17" i="36"/>
  <c r="D17" i="41"/>
  <c r="D17" i="40"/>
  <c r="D17" i="44"/>
  <c r="AP16" i="31"/>
  <c r="E17" i="36"/>
  <c r="E17" i="41"/>
  <c r="E17" i="40"/>
  <c r="E17" i="44"/>
  <c r="AQ16" i="31"/>
  <c r="F17" i="36"/>
  <c r="F17" i="41"/>
  <c r="F17" i="40"/>
  <c r="F17" i="44"/>
  <c r="AR16" i="31"/>
  <c r="G17" i="36"/>
  <c r="G17" i="41"/>
  <c r="G17" i="40"/>
  <c r="G17" i="44"/>
  <c r="AW16" i="25"/>
  <c r="J17" i="36"/>
  <c r="J17" i="41"/>
  <c r="J17" i="40"/>
  <c r="J17" i="44"/>
  <c r="AX16" i="25"/>
  <c r="K17" i="36"/>
  <c r="K17" i="41"/>
  <c r="K17" i="40"/>
  <c r="K17" i="44"/>
  <c r="AY16" i="25"/>
  <c r="L17" i="36"/>
  <c r="L17" i="41"/>
  <c r="L17" i="40"/>
  <c r="L17" i="44"/>
  <c r="AZ16" i="25"/>
  <c r="M17" i="36"/>
  <c r="M17" i="41"/>
  <c r="M17" i="40"/>
  <c r="M17" i="44"/>
  <c r="BA16" i="25"/>
  <c r="N17" i="36"/>
  <c r="N17" i="41"/>
  <c r="N17" i="40"/>
  <c r="N17" i="44"/>
  <c r="BB16" i="25"/>
  <c r="O17" i="36"/>
  <c r="O17" i="41"/>
  <c r="O17" i="40"/>
  <c r="O17" i="44"/>
  <c r="S17" i="44"/>
  <c r="AG17" i="44"/>
  <c r="AC17" i="44"/>
  <c r="AH17" i="44"/>
  <c r="AD17" i="44"/>
  <c r="AI17" i="44"/>
  <c r="AE17" i="44"/>
  <c r="AJ17" i="44"/>
  <c r="AL17" i="44"/>
  <c r="X71" i="26"/>
  <c r="B17" i="31"/>
  <c r="Y71" i="26"/>
  <c r="C17" i="31"/>
  <c r="AT25" i="30"/>
  <c r="D17" i="31"/>
  <c r="AU25" i="30"/>
  <c r="E17" i="31"/>
  <c r="AV25" i="30"/>
  <c r="F17" i="31"/>
  <c r="AW25" i="30"/>
  <c r="G17" i="31"/>
  <c r="H17" i="31"/>
  <c r="AM17" i="31"/>
  <c r="B18" i="36"/>
  <c r="B18" i="41"/>
  <c r="B18" i="40"/>
  <c r="B18" i="44"/>
  <c r="AN17" i="31"/>
  <c r="C18" i="36"/>
  <c r="C18" i="41"/>
  <c r="C18" i="40"/>
  <c r="C18" i="44"/>
  <c r="S71" i="32"/>
  <c r="B17" i="33"/>
  <c r="T71" i="32"/>
  <c r="C17" i="33"/>
  <c r="D17" i="33"/>
  <c r="S17" i="33"/>
  <c r="H18" i="36"/>
  <c r="H18" i="41"/>
  <c r="H18" i="40"/>
  <c r="H18" i="44"/>
  <c r="T17" i="33"/>
  <c r="I18" i="36"/>
  <c r="I18" i="41"/>
  <c r="I18" i="40"/>
  <c r="I18" i="44"/>
  <c r="BC17" i="25"/>
  <c r="P18" i="36"/>
  <c r="P18" i="41"/>
  <c r="P18" i="40"/>
  <c r="P18" i="44"/>
  <c r="BD17" i="25"/>
  <c r="Q18" i="36"/>
  <c r="Q18" i="41"/>
  <c r="Q18" i="40"/>
  <c r="Q18" i="44"/>
  <c r="R18" i="44"/>
  <c r="AB18" i="44"/>
  <c r="AO17" i="31"/>
  <c r="D18" i="36"/>
  <c r="D18" i="41"/>
  <c r="D18" i="40"/>
  <c r="D18" i="44"/>
  <c r="AP17" i="31"/>
  <c r="E18" i="36"/>
  <c r="E18" i="41"/>
  <c r="E18" i="40"/>
  <c r="E18" i="44"/>
  <c r="AQ17" i="31"/>
  <c r="F18" i="36"/>
  <c r="F18" i="41"/>
  <c r="F18" i="40"/>
  <c r="F18" i="44"/>
  <c r="AR17" i="31"/>
  <c r="G18" i="36"/>
  <c r="G18" i="41"/>
  <c r="G18" i="40"/>
  <c r="G18" i="44"/>
  <c r="AW17" i="25"/>
  <c r="J18" i="36"/>
  <c r="J18" i="41"/>
  <c r="J18" i="40"/>
  <c r="J18" i="44"/>
  <c r="AX17" i="25"/>
  <c r="K18" i="36"/>
  <c r="K18" i="41"/>
  <c r="K18" i="40"/>
  <c r="K18" i="44"/>
  <c r="AY17" i="25"/>
  <c r="L18" i="36"/>
  <c r="L18" i="41"/>
  <c r="L18" i="40"/>
  <c r="L18" i="44"/>
  <c r="AZ17" i="25"/>
  <c r="M18" i="36"/>
  <c r="M18" i="41"/>
  <c r="M18" i="40"/>
  <c r="M18" i="44"/>
  <c r="BA17" i="25"/>
  <c r="N18" i="36"/>
  <c r="N18" i="41"/>
  <c r="N18" i="40"/>
  <c r="N18" i="44"/>
  <c r="BB17" i="25"/>
  <c r="O18" i="36"/>
  <c r="O18" i="41"/>
  <c r="O18" i="40"/>
  <c r="O18" i="44"/>
  <c r="S18" i="44"/>
  <c r="AG18" i="44"/>
  <c r="AC18" i="44"/>
  <c r="AH18" i="44"/>
  <c r="AD18" i="44"/>
  <c r="AI18" i="44"/>
  <c r="AE18" i="44"/>
  <c r="AJ18" i="44"/>
  <c r="AL18" i="44"/>
  <c r="X72" i="26"/>
  <c r="B18" i="31"/>
  <c r="Y72" i="26"/>
  <c r="C18" i="31"/>
  <c r="AT26" i="30"/>
  <c r="D18" i="31"/>
  <c r="AU26" i="30"/>
  <c r="E18" i="31"/>
  <c r="AV26" i="30"/>
  <c r="F18" i="31"/>
  <c r="AW26" i="30"/>
  <c r="G18" i="31"/>
  <c r="H18" i="31"/>
  <c r="AM18" i="31"/>
  <c r="B19" i="36"/>
  <c r="B19" i="41"/>
  <c r="B19" i="40"/>
  <c r="B19" i="44"/>
  <c r="AN18" i="31"/>
  <c r="C19" i="36"/>
  <c r="C19" i="41"/>
  <c r="C19" i="40"/>
  <c r="C19" i="44"/>
  <c r="S72" i="32"/>
  <c r="B18" i="33"/>
  <c r="T72" i="32"/>
  <c r="C18" i="33"/>
  <c r="D18" i="33"/>
  <c r="S18" i="33"/>
  <c r="H19" i="36"/>
  <c r="H19" i="41"/>
  <c r="H19" i="40"/>
  <c r="H19" i="44"/>
  <c r="T18" i="33"/>
  <c r="I19" i="36"/>
  <c r="I19" i="41"/>
  <c r="I19" i="40"/>
  <c r="I19" i="44"/>
  <c r="BC18" i="25"/>
  <c r="P19" i="36"/>
  <c r="P19" i="41"/>
  <c r="P19" i="40"/>
  <c r="P19" i="44"/>
  <c r="BD18" i="25"/>
  <c r="Q19" i="36"/>
  <c r="Q19" i="41"/>
  <c r="Q19" i="40"/>
  <c r="Q19" i="44"/>
  <c r="R19" i="41"/>
  <c r="R19" i="40"/>
  <c r="R19" i="44"/>
  <c r="AB19" i="44"/>
  <c r="AO18" i="31"/>
  <c r="D19" i="36"/>
  <c r="D19" i="41"/>
  <c r="D19" i="40"/>
  <c r="D19" i="44"/>
  <c r="AP18" i="31"/>
  <c r="E19" i="36"/>
  <c r="E19" i="41"/>
  <c r="E19" i="40"/>
  <c r="E19" i="44"/>
  <c r="AQ18" i="31"/>
  <c r="F19" i="36"/>
  <c r="F19" i="41"/>
  <c r="F19" i="40"/>
  <c r="F19" i="44"/>
  <c r="AR18" i="31"/>
  <c r="G19" i="36"/>
  <c r="G19" i="41"/>
  <c r="G19" i="40"/>
  <c r="G19" i="44"/>
  <c r="AW18" i="25"/>
  <c r="J19" i="36"/>
  <c r="J19" i="41"/>
  <c r="J19" i="40"/>
  <c r="J19" i="44"/>
  <c r="AX18" i="25"/>
  <c r="K19" i="36"/>
  <c r="K19" i="41"/>
  <c r="K19" i="40"/>
  <c r="K19" i="44"/>
  <c r="AY18" i="25"/>
  <c r="L19" i="36"/>
  <c r="L19" i="41"/>
  <c r="L19" i="40"/>
  <c r="L19" i="44"/>
  <c r="AZ18" i="25"/>
  <c r="M19" i="36"/>
  <c r="M19" i="41"/>
  <c r="M19" i="40"/>
  <c r="M19" i="44"/>
  <c r="BA18" i="25"/>
  <c r="N19" i="36"/>
  <c r="N19" i="41"/>
  <c r="N19" i="40"/>
  <c r="N19" i="44"/>
  <c r="BB18" i="25"/>
  <c r="O19" i="36"/>
  <c r="O19" i="41"/>
  <c r="O19" i="40"/>
  <c r="O19" i="44"/>
  <c r="S19" i="44"/>
  <c r="AG19" i="44"/>
  <c r="AC19" i="44"/>
  <c r="AH19" i="44"/>
  <c r="AD19" i="44"/>
  <c r="AI19" i="44"/>
  <c r="AE19" i="44"/>
  <c r="AJ19" i="44"/>
  <c r="AL19" i="44"/>
  <c r="X73" i="26"/>
  <c r="B19" i="31"/>
  <c r="Y73" i="26"/>
  <c r="C19" i="31"/>
  <c r="AT27" i="30"/>
  <c r="D19" i="31"/>
  <c r="AU27" i="30"/>
  <c r="E19" i="31"/>
  <c r="AV27" i="30"/>
  <c r="F19" i="31"/>
  <c r="AW27" i="30"/>
  <c r="G19" i="31"/>
  <c r="H19" i="31"/>
  <c r="AM19" i="31"/>
  <c r="B20" i="36"/>
  <c r="B20" i="41"/>
  <c r="B20" i="40"/>
  <c r="B20" i="44"/>
  <c r="AN19" i="31"/>
  <c r="C20" i="36"/>
  <c r="C20" i="41"/>
  <c r="C20" i="40"/>
  <c r="C20" i="44"/>
  <c r="S73" i="32"/>
  <c r="B19" i="33"/>
  <c r="T73" i="32"/>
  <c r="C19" i="33"/>
  <c r="D19" i="33"/>
  <c r="S19" i="33"/>
  <c r="H20" i="36"/>
  <c r="H20" i="41"/>
  <c r="H20" i="40"/>
  <c r="H20" i="44"/>
  <c r="T19" i="33"/>
  <c r="I20" i="36"/>
  <c r="I20" i="41"/>
  <c r="I20" i="40"/>
  <c r="I20" i="44"/>
  <c r="BC19" i="25"/>
  <c r="P20" i="36"/>
  <c r="P20" i="41"/>
  <c r="P20" i="40"/>
  <c r="P20" i="44"/>
  <c r="BD19" i="25"/>
  <c r="Q20" i="36"/>
  <c r="Q20" i="41"/>
  <c r="Q20" i="40"/>
  <c r="Q20" i="44"/>
  <c r="R20" i="41"/>
  <c r="R20" i="40"/>
  <c r="R20" i="44"/>
  <c r="AB20" i="44"/>
  <c r="AO19" i="31"/>
  <c r="D20" i="36"/>
  <c r="D20" i="41"/>
  <c r="D20" i="40"/>
  <c r="D20" i="44"/>
  <c r="AP19" i="31"/>
  <c r="E20" i="36"/>
  <c r="E20" i="41"/>
  <c r="E20" i="40"/>
  <c r="E20" i="44"/>
  <c r="AQ19" i="31"/>
  <c r="F20" i="36"/>
  <c r="F20" i="41"/>
  <c r="F20" i="40"/>
  <c r="F20" i="44"/>
  <c r="AR19" i="31"/>
  <c r="G20" i="36"/>
  <c r="G20" i="41"/>
  <c r="G20" i="40"/>
  <c r="G20" i="44"/>
  <c r="AW19" i="25"/>
  <c r="J20" i="36"/>
  <c r="J20" i="41"/>
  <c r="J20" i="40"/>
  <c r="J20" i="44"/>
  <c r="AX19" i="25"/>
  <c r="K20" i="36"/>
  <c r="K20" i="41"/>
  <c r="K20" i="40"/>
  <c r="K20" i="44"/>
  <c r="AY19" i="25"/>
  <c r="L20" i="36"/>
  <c r="L20" i="41"/>
  <c r="L20" i="40"/>
  <c r="L20" i="44"/>
  <c r="AZ19" i="25"/>
  <c r="M20" i="36"/>
  <c r="M20" i="41"/>
  <c r="M20" i="40"/>
  <c r="M20" i="44"/>
  <c r="BA19" i="25"/>
  <c r="N20" i="36"/>
  <c r="N20" i="41"/>
  <c r="N20" i="40"/>
  <c r="N20" i="44"/>
  <c r="BB19" i="25"/>
  <c r="O20" i="36"/>
  <c r="O20" i="41"/>
  <c r="O20" i="40"/>
  <c r="O20" i="44"/>
  <c r="S20" i="44"/>
  <c r="AG20" i="44"/>
  <c r="AC20" i="44"/>
  <c r="AH20" i="44"/>
  <c r="AD20" i="44"/>
  <c r="AI20" i="44"/>
  <c r="AE20" i="44"/>
  <c r="AJ20" i="44"/>
  <c r="AL20" i="44"/>
  <c r="X74" i="26"/>
  <c r="B20" i="31"/>
  <c r="Y74" i="26"/>
  <c r="C20" i="31"/>
  <c r="AT28" i="30"/>
  <c r="D20" i="31"/>
  <c r="AU28" i="30"/>
  <c r="E20" i="31"/>
  <c r="AV28" i="30"/>
  <c r="F20" i="31"/>
  <c r="AW28" i="30"/>
  <c r="G20" i="31"/>
  <c r="H20" i="31"/>
  <c r="AM20" i="31"/>
  <c r="B21" i="36"/>
  <c r="B21" i="41"/>
  <c r="B21" i="40"/>
  <c r="B21" i="44"/>
  <c r="AN20" i="31"/>
  <c r="C21" i="36"/>
  <c r="C21" i="41"/>
  <c r="C21" i="40"/>
  <c r="C21" i="44"/>
  <c r="S74" i="32"/>
  <c r="B20" i="33"/>
  <c r="T74" i="32"/>
  <c r="C20" i="33"/>
  <c r="D20" i="33"/>
  <c r="S20" i="33"/>
  <c r="H21" i="36"/>
  <c r="H21" i="41"/>
  <c r="H21" i="40"/>
  <c r="H21" i="44"/>
  <c r="T20" i="33"/>
  <c r="I21" i="36"/>
  <c r="I21" i="41"/>
  <c r="I21" i="40"/>
  <c r="I21" i="44"/>
  <c r="BC20" i="25"/>
  <c r="P21" i="36"/>
  <c r="P21" i="41"/>
  <c r="P21" i="40"/>
  <c r="P21" i="44"/>
  <c r="BD20" i="25"/>
  <c r="Q21" i="36"/>
  <c r="Q21" i="41"/>
  <c r="Q21" i="40"/>
  <c r="Q21" i="44"/>
  <c r="R21" i="41"/>
  <c r="R21" i="40"/>
  <c r="R21" i="44"/>
  <c r="AB21" i="44"/>
  <c r="AO20" i="31"/>
  <c r="D21" i="36"/>
  <c r="D21" i="41"/>
  <c r="D21" i="40"/>
  <c r="D21" i="44"/>
  <c r="AP20" i="31"/>
  <c r="E21" i="36"/>
  <c r="E21" i="41"/>
  <c r="E21" i="40"/>
  <c r="E21" i="44"/>
  <c r="AQ20" i="31"/>
  <c r="F21" i="36"/>
  <c r="F21" i="41"/>
  <c r="F21" i="40"/>
  <c r="F21" i="44"/>
  <c r="AR20" i="31"/>
  <c r="G21" i="36"/>
  <c r="G21" i="41"/>
  <c r="G21" i="40"/>
  <c r="G21" i="44"/>
  <c r="AW20" i="25"/>
  <c r="J21" i="36"/>
  <c r="J21" i="41"/>
  <c r="J21" i="40"/>
  <c r="J21" i="44"/>
  <c r="AX20" i="25"/>
  <c r="K21" i="36"/>
  <c r="K21" i="41"/>
  <c r="K21" i="40"/>
  <c r="K21" i="44"/>
  <c r="AY20" i="25"/>
  <c r="L21" i="36"/>
  <c r="L21" i="41"/>
  <c r="L21" i="40"/>
  <c r="L21" i="44"/>
  <c r="AZ20" i="25"/>
  <c r="M21" i="36"/>
  <c r="M21" i="41"/>
  <c r="M21" i="40"/>
  <c r="M21" i="44"/>
  <c r="BA20" i="25"/>
  <c r="N21" i="36"/>
  <c r="N21" i="41"/>
  <c r="N21" i="40"/>
  <c r="N21" i="44"/>
  <c r="BB20" i="25"/>
  <c r="O21" i="36"/>
  <c r="O21" i="41"/>
  <c r="O21" i="40"/>
  <c r="O21" i="44"/>
  <c r="S21" i="44"/>
  <c r="AG21" i="44"/>
  <c r="AC21" i="44"/>
  <c r="AH21" i="44"/>
  <c r="AD21" i="44"/>
  <c r="AI21" i="44"/>
  <c r="AE21" i="44"/>
  <c r="AJ21" i="44"/>
  <c r="AL21" i="44"/>
  <c r="X75" i="26"/>
  <c r="B21" i="31"/>
  <c r="Y75" i="26"/>
  <c r="C21" i="31"/>
  <c r="AT29" i="30"/>
  <c r="D21" i="31"/>
  <c r="AU29" i="30"/>
  <c r="E21" i="31"/>
  <c r="AV29" i="30"/>
  <c r="F21" i="31"/>
  <c r="AW29" i="30"/>
  <c r="G21" i="31"/>
  <c r="H21" i="31"/>
  <c r="AM21" i="31"/>
  <c r="B22" i="36"/>
  <c r="B22" i="41"/>
  <c r="B22" i="40"/>
  <c r="B22" i="44"/>
  <c r="AN21" i="31"/>
  <c r="C22" i="36"/>
  <c r="C22" i="41"/>
  <c r="C22" i="40"/>
  <c r="C22" i="44"/>
  <c r="S75" i="32"/>
  <c r="B21" i="33"/>
  <c r="T75" i="32"/>
  <c r="C21" i="33"/>
  <c r="D21" i="33"/>
  <c r="S21" i="33"/>
  <c r="H22" i="36"/>
  <c r="H22" i="41"/>
  <c r="H22" i="40"/>
  <c r="H22" i="44"/>
  <c r="T21" i="33"/>
  <c r="I22" i="36"/>
  <c r="I22" i="41"/>
  <c r="I22" i="40"/>
  <c r="I22" i="44"/>
  <c r="BC21" i="25"/>
  <c r="P22" i="36"/>
  <c r="P22" i="41"/>
  <c r="P22" i="40"/>
  <c r="P22" i="44"/>
  <c r="BD21" i="25"/>
  <c r="Q22" i="36"/>
  <c r="Q22" i="41"/>
  <c r="Q22" i="40"/>
  <c r="Q22" i="44"/>
  <c r="R22" i="41"/>
  <c r="R22" i="40"/>
  <c r="R22" i="44"/>
  <c r="AB22" i="44"/>
  <c r="AO21" i="31"/>
  <c r="D22" i="36"/>
  <c r="D22" i="41"/>
  <c r="D22" i="40"/>
  <c r="D22" i="44"/>
  <c r="AP21" i="31"/>
  <c r="E22" i="36"/>
  <c r="E22" i="41"/>
  <c r="E22" i="40"/>
  <c r="E22" i="44"/>
  <c r="AQ21" i="31"/>
  <c r="F22" i="36"/>
  <c r="F22" i="41"/>
  <c r="F22" i="40"/>
  <c r="F22" i="44"/>
  <c r="AR21" i="31"/>
  <c r="G22" i="36"/>
  <c r="G22" i="41"/>
  <c r="G22" i="40"/>
  <c r="G22" i="44"/>
  <c r="AW21" i="25"/>
  <c r="J22" i="36"/>
  <c r="J22" i="41"/>
  <c r="J22" i="40"/>
  <c r="J22" i="44"/>
  <c r="AX21" i="25"/>
  <c r="K22" i="36"/>
  <c r="K22" i="41"/>
  <c r="K22" i="40"/>
  <c r="K22" i="44"/>
  <c r="AY21" i="25"/>
  <c r="L22" i="36"/>
  <c r="L22" i="41"/>
  <c r="L22" i="40"/>
  <c r="L22" i="44"/>
  <c r="AZ21" i="25"/>
  <c r="M22" i="36"/>
  <c r="M22" i="41"/>
  <c r="M22" i="40"/>
  <c r="M22" i="44"/>
  <c r="BA21" i="25"/>
  <c r="N22" i="36"/>
  <c r="N22" i="41"/>
  <c r="N22" i="40"/>
  <c r="N22" i="44"/>
  <c r="BB21" i="25"/>
  <c r="O22" i="36"/>
  <c r="O22" i="41"/>
  <c r="O22" i="40"/>
  <c r="O22" i="44"/>
  <c r="S22" i="44"/>
  <c r="AG22" i="44"/>
  <c r="AC22" i="44"/>
  <c r="AH22" i="44"/>
  <c r="AD22" i="44"/>
  <c r="AI22" i="44"/>
  <c r="AE22" i="44"/>
  <c r="AJ22" i="44"/>
  <c r="AL22" i="44"/>
  <c r="X76" i="26"/>
  <c r="B22" i="31"/>
  <c r="Y76" i="26"/>
  <c r="C22" i="31"/>
  <c r="AT30" i="30"/>
  <c r="D22" i="31"/>
  <c r="AU30" i="30"/>
  <c r="E22" i="31"/>
  <c r="AV30" i="30"/>
  <c r="F22" i="31"/>
  <c r="AW30" i="30"/>
  <c r="G22" i="31"/>
  <c r="H22" i="31"/>
  <c r="AM22" i="31"/>
  <c r="B23" i="36"/>
  <c r="B23" i="41"/>
  <c r="B23" i="40"/>
  <c r="B23" i="44"/>
  <c r="AN22" i="31"/>
  <c r="C23" i="36"/>
  <c r="C23" i="41"/>
  <c r="C23" i="40"/>
  <c r="C23" i="44"/>
  <c r="S76" i="32"/>
  <c r="B22" i="33"/>
  <c r="T76" i="32"/>
  <c r="C22" i="33"/>
  <c r="D22" i="33"/>
  <c r="S22" i="33"/>
  <c r="H23" i="36"/>
  <c r="H23" i="41"/>
  <c r="H23" i="40"/>
  <c r="H23" i="44"/>
  <c r="T22" i="33"/>
  <c r="I23" i="36"/>
  <c r="I23" i="41"/>
  <c r="I23" i="40"/>
  <c r="I23" i="44"/>
  <c r="BC22" i="25"/>
  <c r="P23" i="36"/>
  <c r="P23" i="41"/>
  <c r="P23" i="40"/>
  <c r="P23" i="44"/>
  <c r="BD22" i="25"/>
  <c r="Q23" i="36"/>
  <c r="Q23" i="41"/>
  <c r="Q23" i="40"/>
  <c r="Q23" i="44"/>
  <c r="R23" i="41"/>
  <c r="R23" i="40"/>
  <c r="R23" i="44"/>
  <c r="AB23" i="44"/>
  <c r="AO22" i="31"/>
  <c r="D23" i="36"/>
  <c r="D23" i="41"/>
  <c r="D23" i="40"/>
  <c r="D23" i="44"/>
  <c r="AP22" i="31"/>
  <c r="E23" i="36"/>
  <c r="E23" i="41"/>
  <c r="E23" i="40"/>
  <c r="E23" i="44"/>
  <c r="AQ22" i="31"/>
  <c r="F23" i="36"/>
  <c r="F23" i="41"/>
  <c r="F23" i="40"/>
  <c r="F23" i="44"/>
  <c r="AR22" i="31"/>
  <c r="G23" i="36"/>
  <c r="G23" i="41"/>
  <c r="G23" i="40"/>
  <c r="G23" i="44"/>
  <c r="AW22" i="25"/>
  <c r="J23" i="36"/>
  <c r="J23" i="41"/>
  <c r="J23" i="40"/>
  <c r="J23" i="44"/>
  <c r="AX22" i="25"/>
  <c r="K23" i="36"/>
  <c r="K23" i="41"/>
  <c r="K23" i="40"/>
  <c r="K23" i="44"/>
  <c r="AY22" i="25"/>
  <c r="L23" i="36"/>
  <c r="L23" i="41"/>
  <c r="L23" i="40"/>
  <c r="L23" i="44"/>
  <c r="AZ22" i="25"/>
  <c r="M23" i="36"/>
  <c r="M23" i="41"/>
  <c r="M23" i="40"/>
  <c r="M23" i="44"/>
  <c r="BA22" i="25"/>
  <c r="N23" i="36"/>
  <c r="N23" i="41"/>
  <c r="N23" i="40"/>
  <c r="N23" i="44"/>
  <c r="BB22" i="25"/>
  <c r="O23" i="36"/>
  <c r="O23" i="41"/>
  <c r="O23" i="40"/>
  <c r="O23" i="44"/>
  <c r="S23" i="44"/>
  <c r="AG23" i="44"/>
  <c r="AC23" i="44"/>
  <c r="AH23" i="44"/>
  <c r="AD23" i="44"/>
  <c r="AI23" i="44"/>
  <c r="AE23" i="44"/>
  <c r="AJ23" i="44"/>
  <c r="AL23" i="44"/>
  <c r="X77" i="26"/>
  <c r="B23" i="31"/>
  <c r="Y77" i="26"/>
  <c r="C23" i="31"/>
  <c r="AT31" i="30"/>
  <c r="D23" i="31"/>
  <c r="AU31" i="30"/>
  <c r="E23" i="31"/>
  <c r="AV31" i="30"/>
  <c r="F23" i="31"/>
  <c r="AW31" i="30"/>
  <c r="G23" i="31"/>
  <c r="H23" i="31"/>
  <c r="AM23" i="31"/>
  <c r="B24" i="36"/>
  <c r="B24" i="41"/>
  <c r="B24" i="40"/>
  <c r="B24" i="44"/>
  <c r="AN23" i="31"/>
  <c r="C24" i="36"/>
  <c r="C24" i="41"/>
  <c r="C24" i="40"/>
  <c r="C24" i="44"/>
  <c r="S77" i="32"/>
  <c r="B23" i="33"/>
  <c r="T77" i="32"/>
  <c r="C23" i="33"/>
  <c r="D23" i="33"/>
  <c r="S23" i="33"/>
  <c r="H24" i="36"/>
  <c r="H24" i="41"/>
  <c r="H24" i="40"/>
  <c r="H24" i="44"/>
  <c r="T23" i="33"/>
  <c r="I24" i="36"/>
  <c r="I24" i="41"/>
  <c r="I24" i="40"/>
  <c r="I24" i="44"/>
  <c r="AJ30" i="24"/>
  <c r="H23" i="25"/>
  <c r="AJ37" i="23"/>
  <c r="B23" i="25"/>
  <c r="AK37" i="23"/>
  <c r="C23" i="25"/>
  <c r="AL37" i="23"/>
  <c r="D23" i="25"/>
  <c r="AJ37" i="22"/>
  <c r="E23" i="25"/>
  <c r="AK37" i="22"/>
  <c r="F23" i="25"/>
  <c r="AL37" i="22"/>
  <c r="G23" i="25"/>
  <c r="AK30" i="24"/>
  <c r="I23" i="25"/>
  <c r="J23" i="25"/>
  <c r="BC23" i="25"/>
  <c r="P24" i="36"/>
  <c r="P24" i="41"/>
  <c r="P24" i="40"/>
  <c r="P24" i="44"/>
  <c r="BD23" i="25"/>
  <c r="Q24" i="36"/>
  <c r="Q24" i="41"/>
  <c r="Q24" i="40"/>
  <c r="Q24" i="44"/>
  <c r="R24" i="41"/>
  <c r="R24" i="40"/>
  <c r="R24" i="44"/>
  <c r="AB24" i="44"/>
  <c r="AO23" i="31"/>
  <c r="D24" i="36"/>
  <c r="D24" i="41"/>
  <c r="D24" i="40"/>
  <c r="D24" i="44"/>
  <c r="AP23" i="31"/>
  <c r="E24" i="36"/>
  <c r="E24" i="41"/>
  <c r="E24" i="40"/>
  <c r="E24" i="44"/>
  <c r="AQ23" i="31"/>
  <c r="F24" i="36"/>
  <c r="F24" i="41"/>
  <c r="F24" i="40"/>
  <c r="F24" i="44"/>
  <c r="AR23" i="31"/>
  <c r="G24" i="36"/>
  <c r="G24" i="41"/>
  <c r="G24" i="40"/>
  <c r="G24" i="44"/>
  <c r="AW23" i="25"/>
  <c r="J24" i="36"/>
  <c r="J24" i="41"/>
  <c r="J24" i="40"/>
  <c r="J24" i="44"/>
  <c r="AX23" i="25"/>
  <c r="K24" i="36"/>
  <c r="K24" i="41"/>
  <c r="K24" i="40"/>
  <c r="K24" i="44"/>
  <c r="AY23" i="25"/>
  <c r="L24" i="36"/>
  <c r="L24" i="41"/>
  <c r="L24" i="40"/>
  <c r="L24" i="44"/>
  <c r="AZ23" i="25"/>
  <c r="M24" i="36"/>
  <c r="M24" i="41"/>
  <c r="M24" i="40"/>
  <c r="M24" i="44"/>
  <c r="BA23" i="25"/>
  <c r="N24" i="36"/>
  <c r="N24" i="41"/>
  <c r="N24" i="40"/>
  <c r="N24" i="44"/>
  <c r="BB23" i="25"/>
  <c r="O24" i="36"/>
  <c r="O24" i="41"/>
  <c r="O24" i="40"/>
  <c r="O24" i="44"/>
  <c r="S24" i="44"/>
  <c r="AG24" i="44"/>
  <c r="AC24" i="44"/>
  <c r="AH24" i="44"/>
  <c r="AD24" i="44"/>
  <c r="AI24" i="44"/>
  <c r="AE24" i="44"/>
  <c r="AJ24" i="44"/>
  <c r="AL24" i="44"/>
  <c r="X78" i="26"/>
  <c r="B24" i="31"/>
  <c r="Y78" i="26"/>
  <c r="C24" i="31"/>
  <c r="AT32" i="30"/>
  <c r="D24" i="31"/>
  <c r="AU32" i="30"/>
  <c r="E24" i="31"/>
  <c r="AV32" i="30"/>
  <c r="F24" i="31"/>
  <c r="AW32" i="30"/>
  <c r="G24" i="31"/>
  <c r="H24" i="31"/>
  <c r="AM24" i="31"/>
  <c r="B25" i="36"/>
  <c r="B25" i="41"/>
  <c r="B25" i="40"/>
  <c r="B25" i="44"/>
  <c r="AN24" i="31"/>
  <c r="C25" i="36"/>
  <c r="C25" i="41"/>
  <c r="C25" i="40"/>
  <c r="C25" i="44"/>
  <c r="S78" i="32"/>
  <c r="B24" i="33"/>
  <c r="T78" i="32"/>
  <c r="C24" i="33"/>
  <c r="D24" i="33"/>
  <c r="S24" i="33"/>
  <c r="H25" i="36"/>
  <c r="H25" i="41"/>
  <c r="H25" i="40"/>
  <c r="H25" i="44"/>
  <c r="T24" i="33"/>
  <c r="I25" i="36"/>
  <c r="I25" i="41"/>
  <c r="I25" i="40"/>
  <c r="I25" i="44"/>
  <c r="BC24" i="25"/>
  <c r="P25" i="36"/>
  <c r="P25" i="41"/>
  <c r="P25" i="40"/>
  <c r="P25" i="44"/>
  <c r="BD24" i="25"/>
  <c r="Q25" i="36"/>
  <c r="Q25" i="41"/>
  <c r="Q25" i="40"/>
  <c r="Q25" i="44"/>
  <c r="R25" i="41"/>
  <c r="R25" i="40"/>
  <c r="R25" i="44"/>
  <c r="AB25" i="44"/>
  <c r="AO24" i="31"/>
  <c r="D25" i="36"/>
  <c r="D25" i="41"/>
  <c r="D25" i="40"/>
  <c r="D25" i="44"/>
  <c r="AP24" i="31"/>
  <c r="E25" i="36"/>
  <c r="E25" i="41"/>
  <c r="E25" i="40"/>
  <c r="E25" i="44"/>
  <c r="AQ24" i="31"/>
  <c r="F25" i="36"/>
  <c r="F25" i="41"/>
  <c r="F25" i="40"/>
  <c r="F25" i="44"/>
  <c r="AR24" i="31"/>
  <c r="G25" i="36"/>
  <c r="G25" i="41"/>
  <c r="G25" i="40"/>
  <c r="G25" i="44"/>
  <c r="AW24" i="25"/>
  <c r="J25" i="36"/>
  <c r="J25" i="41"/>
  <c r="J25" i="40"/>
  <c r="J25" i="44"/>
  <c r="AX24" i="25"/>
  <c r="K25" i="36"/>
  <c r="K25" i="41"/>
  <c r="K25" i="40"/>
  <c r="K25" i="44"/>
  <c r="AY24" i="25"/>
  <c r="L25" i="36"/>
  <c r="L25" i="41"/>
  <c r="L25" i="40"/>
  <c r="L25" i="44"/>
  <c r="AZ24" i="25"/>
  <c r="M25" i="36"/>
  <c r="M25" i="41"/>
  <c r="M25" i="40"/>
  <c r="M25" i="44"/>
  <c r="BA24" i="25"/>
  <c r="N25" i="36"/>
  <c r="N25" i="41"/>
  <c r="N25" i="40"/>
  <c r="N25" i="44"/>
  <c r="BB24" i="25"/>
  <c r="O25" i="36"/>
  <c r="O25" i="41"/>
  <c r="O25" i="40"/>
  <c r="O25" i="44"/>
  <c r="S25" i="44"/>
  <c r="AG25" i="44"/>
  <c r="AC25" i="44"/>
  <c r="AH25" i="44"/>
  <c r="AD25" i="44"/>
  <c r="AI25" i="44"/>
  <c r="AE25" i="44"/>
  <c r="AJ25" i="44"/>
  <c r="AL25" i="44"/>
  <c r="X79" i="26"/>
  <c r="B25" i="31"/>
  <c r="Y79" i="26"/>
  <c r="C25" i="31"/>
  <c r="AT33" i="30"/>
  <c r="D25" i="31"/>
  <c r="AU33" i="30"/>
  <c r="E25" i="31"/>
  <c r="AV33" i="30"/>
  <c r="F25" i="31"/>
  <c r="AW33" i="30"/>
  <c r="G25" i="31"/>
  <c r="H25" i="31"/>
  <c r="AM25" i="31"/>
  <c r="B26" i="36"/>
  <c r="B26" i="41"/>
  <c r="B26" i="40"/>
  <c r="B26" i="44"/>
  <c r="AN25" i="31"/>
  <c r="C26" i="36"/>
  <c r="C26" i="41"/>
  <c r="C26" i="40"/>
  <c r="C26" i="44"/>
  <c r="S79" i="32"/>
  <c r="B25" i="33"/>
  <c r="T79" i="32"/>
  <c r="C25" i="33"/>
  <c r="D25" i="33"/>
  <c r="S25" i="33"/>
  <c r="H26" i="36"/>
  <c r="H26" i="41"/>
  <c r="H26" i="40"/>
  <c r="H26" i="44"/>
  <c r="T25" i="33"/>
  <c r="I26" i="36"/>
  <c r="I26" i="41"/>
  <c r="I26" i="40"/>
  <c r="I26" i="44"/>
  <c r="BC25" i="25"/>
  <c r="P26" i="36"/>
  <c r="P26" i="41"/>
  <c r="P26" i="40"/>
  <c r="P26" i="44"/>
  <c r="BD25" i="25"/>
  <c r="Q26" i="36"/>
  <c r="Q26" i="41"/>
  <c r="Q26" i="40"/>
  <c r="Q26" i="44"/>
  <c r="R26" i="41"/>
  <c r="R26" i="40"/>
  <c r="R26" i="44"/>
  <c r="AB26" i="44"/>
  <c r="AO25" i="31"/>
  <c r="D26" i="36"/>
  <c r="D26" i="41"/>
  <c r="D26" i="40"/>
  <c r="D26" i="44"/>
  <c r="AP25" i="31"/>
  <c r="E26" i="36"/>
  <c r="E26" i="41"/>
  <c r="E26" i="40"/>
  <c r="E26" i="44"/>
  <c r="AQ25" i="31"/>
  <c r="F26" i="36"/>
  <c r="F26" i="41"/>
  <c r="F26" i="40"/>
  <c r="F26" i="44"/>
  <c r="AR25" i="31"/>
  <c r="G26" i="36"/>
  <c r="G26" i="41"/>
  <c r="G26" i="40"/>
  <c r="G26" i="44"/>
  <c r="AW25" i="25"/>
  <c r="J26" i="36"/>
  <c r="J26" i="41"/>
  <c r="J26" i="40"/>
  <c r="J26" i="44"/>
  <c r="AX25" i="25"/>
  <c r="K26" i="36"/>
  <c r="K26" i="41"/>
  <c r="K26" i="40"/>
  <c r="K26" i="44"/>
  <c r="AY25" i="25"/>
  <c r="L26" i="36"/>
  <c r="L26" i="41"/>
  <c r="L26" i="40"/>
  <c r="L26" i="44"/>
  <c r="AZ25" i="25"/>
  <c r="M26" i="36"/>
  <c r="M26" i="41"/>
  <c r="M26" i="40"/>
  <c r="M26" i="44"/>
  <c r="BA25" i="25"/>
  <c r="N26" i="36"/>
  <c r="N26" i="41"/>
  <c r="N26" i="40"/>
  <c r="N26" i="44"/>
  <c r="BB25" i="25"/>
  <c r="O26" i="36"/>
  <c r="O26" i="41"/>
  <c r="O26" i="40"/>
  <c r="O26" i="44"/>
  <c r="S26" i="44"/>
  <c r="AG26" i="44"/>
  <c r="AC26" i="44"/>
  <c r="AH26" i="44"/>
  <c r="AD26" i="44"/>
  <c r="AI26" i="44"/>
  <c r="AE26" i="44"/>
  <c r="AJ26" i="44"/>
  <c r="AL26" i="44"/>
  <c r="X80" i="26"/>
  <c r="B26" i="31"/>
  <c r="Y80" i="26"/>
  <c r="C26" i="31"/>
  <c r="AT34" i="30"/>
  <c r="D26" i="31"/>
  <c r="AU34" i="30"/>
  <c r="E26" i="31"/>
  <c r="AV34" i="30"/>
  <c r="F26" i="31"/>
  <c r="AW34" i="30"/>
  <c r="G26" i="31"/>
  <c r="H26" i="31"/>
  <c r="AM26" i="31"/>
  <c r="B27" i="36"/>
  <c r="B27" i="41"/>
  <c r="B27" i="40"/>
  <c r="B27" i="44"/>
  <c r="AN26" i="31"/>
  <c r="C27" i="36"/>
  <c r="C27" i="41"/>
  <c r="C27" i="40"/>
  <c r="C27" i="44"/>
  <c r="S80" i="32"/>
  <c r="B26" i="33"/>
  <c r="T80" i="32"/>
  <c r="C26" i="33"/>
  <c r="D26" i="33"/>
  <c r="S26" i="33"/>
  <c r="H27" i="36"/>
  <c r="H27" i="41"/>
  <c r="H27" i="40"/>
  <c r="H27" i="44"/>
  <c r="T26" i="33"/>
  <c r="I27" i="36"/>
  <c r="I27" i="41"/>
  <c r="I27" i="40"/>
  <c r="I27" i="44"/>
  <c r="BC26" i="25"/>
  <c r="P27" i="36"/>
  <c r="P27" i="41"/>
  <c r="P27" i="40"/>
  <c r="P27" i="44"/>
  <c r="BD26" i="25"/>
  <c r="Q27" i="36"/>
  <c r="Q27" i="41"/>
  <c r="Q27" i="40"/>
  <c r="Q27" i="44"/>
  <c r="R27" i="41"/>
  <c r="R27" i="40"/>
  <c r="R27" i="44"/>
  <c r="AB27" i="44"/>
  <c r="AO26" i="31"/>
  <c r="D27" i="36"/>
  <c r="D27" i="41"/>
  <c r="D27" i="40"/>
  <c r="D27" i="44"/>
  <c r="AP26" i="31"/>
  <c r="E27" i="36"/>
  <c r="E27" i="41"/>
  <c r="E27" i="40"/>
  <c r="E27" i="44"/>
  <c r="AQ26" i="31"/>
  <c r="F27" i="36"/>
  <c r="F27" i="41"/>
  <c r="F27" i="40"/>
  <c r="F27" i="44"/>
  <c r="AR26" i="31"/>
  <c r="G27" i="36"/>
  <c r="G27" i="41"/>
  <c r="G27" i="40"/>
  <c r="G27" i="44"/>
  <c r="AW26" i="25"/>
  <c r="J27" i="36"/>
  <c r="J27" i="41"/>
  <c r="J27" i="40"/>
  <c r="J27" i="44"/>
  <c r="AX26" i="25"/>
  <c r="K27" i="36"/>
  <c r="K27" i="41"/>
  <c r="K27" i="40"/>
  <c r="K27" i="44"/>
  <c r="AY26" i="25"/>
  <c r="L27" i="36"/>
  <c r="L27" i="41"/>
  <c r="L27" i="40"/>
  <c r="L27" i="44"/>
  <c r="AZ26" i="25"/>
  <c r="M27" i="36"/>
  <c r="M27" i="41"/>
  <c r="M27" i="40"/>
  <c r="M27" i="44"/>
  <c r="BA26" i="25"/>
  <c r="N27" i="36"/>
  <c r="N27" i="41"/>
  <c r="N27" i="40"/>
  <c r="N27" i="44"/>
  <c r="BB26" i="25"/>
  <c r="O27" i="36"/>
  <c r="O27" i="41"/>
  <c r="O27" i="40"/>
  <c r="O27" i="44"/>
  <c r="S27" i="44"/>
  <c r="AG27" i="44"/>
  <c r="AC27" i="44"/>
  <c r="AH27" i="44"/>
  <c r="AD27" i="44"/>
  <c r="AI27" i="44"/>
  <c r="AE27" i="44"/>
  <c r="AJ27" i="44"/>
  <c r="AL27" i="44"/>
  <c r="X81" i="26"/>
  <c r="B27" i="31"/>
  <c r="Y81" i="26"/>
  <c r="C27" i="31"/>
  <c r="AT35" i="30"/>
  <c r="D27" i="31"/>
  <c r="AU35" i="30"/>
  <c r="E27" i="31"/>
  <c r="AV35" i="30"/>
  <c r="F27" i="31"/>
  <c r="AW35" i="30"/>
  <c r="G27" i="31"/>
  <c r="H27" i="31"/>
  <c r="AM27" i="31"/>
  <c r="B28" i="36"/>
  <c r="B28" i="41"/>
  <c r="B28" i="40"/>
  <c r="B28" i="44"/>
  <c r="AN27" i="31"/>
  <c r="C28" i="36"/>
  <c r="C28" i="41"/>
  <c r="C28" i="40"/>
  <c r="C28" i="44"/>
  <c r="S81" i="32"/>
  <c r="B27" i="33"/>
  <c r="T81" i="32"/>
  <c r="C27" i="33"/>
  <c r="D27" i="33"/>
  <c r="S27" i="33"/>
  <c r="H28" i="36"/>
  <c r="H28" i="41"/>
  <c r="H28" i="40"/>
  <c r="H28" i="44"/>
  <c r="T27" i="33"/>
  <c r="I28" i="36"/>
  <c r="I28" i="41"/>
  <c r="I28" i="40"/>
  <c r="I28" i="44"/>
  <c r="BC27" i="25"/>
  <c r="P28" i="36"/>
  <c r="P28" i="41"/>
  <c r="P28" i="40"/>
  <c r="P28" i="44"/>
  <c r="BD27" i="25"/>
  <c r="Q28" i="36"/>
  <c r="Q28" i="41"/>
  <c r="Q28" i="40"/>
  <c r="Q28" i="44"/>
  <c r="R28" i="41"/>
  <c r="R28" i="40"/>
  <c r="R28" i="44"/>
  <c r="AB28" i="44"/>
  <c r="AO27" i="31"/>
  <c r="D28" i="36"/>
  <c r="D28" i="41"/>
  <c r="D28" i="40"/>
  <c r="D28" i="44"/>
  <c r="AP27" i="31"/>
  <c r="E28" i="36"/>
  <c r="E28" i="41"/>
  <c r="E28" i="40"/>
  <c r="E28" i="44"/>
  <c r="AQ27" i="31"/>
  <c r="F28" i="36"/>
  <c r="F28" i="41"/>
  <c r="F28" i="40"/>
  <c r="F28" i="44"/>
  <c r="AR27" i="31"/>
  <c r="G28" i="36"/>
  <c r="G28" i="41"/>
  <c r="G28" i="40"/>
  <c r="G28" i="44"/>
  <c r="AW27" i="25"/>
  <c r="J28" i="36"/>
  <c r="J28" i="41"/>
  <c r="J28" i="40"/>
  <c r="J28" i="44"/>
  <c r="AX27" i="25"/>
  <c r="K28" i="36"/>
  <c r="K28" i="41"/>
  <c r="K28" i="40"/>
  <c r="K28" i="44"/>
  <c r="AY27" i="25"/>
  <c r="L28" i="36"/>
  <c r="L28" i="41"/>
  <c r="L28" i="40"/>
  <c r="L28" i="44"/>
  <c r="AZ27" i="25"/>
  <c r="M28" i="36"/>
  <c r="M28" i="41"/>
  <c r="M28" i="40"/>
  <c r="M28" i="44"/>
  <c r="BA27" i="25"/>
  <c r="N28" i="36"/>
  <c r="N28" i="41"/>
  <c r="N28" i="40"/>
  <c r="N28" i="44"/>
  <c r="BB27" i="25"/>
  <c r="O28" i="36"/>
  <c r="O28" i="41"/>
  <c r="O28" i="40"/>
  <c r="O28" i="44"/>
  <c r="S28" i="44"/>
  <c r="AG28" i="44"/>
  <c r="AC28" i="44"/>
  <c r="AH28" i="44"/>
  <c r="AD28" i="44"/>
  <c r="AI28" i="44"/>
  <c r="AE28" i="44"/>
  <c r="AJ28" i="44"/>
  <c r="AL28" i="44"/>
  <c r="X82" i="26"/>
  <c r="B28" i="31"/>
  <c r="Y82" i="26"/>
  <c r="C28" i="31"/>
  <c r="AT36" i="30"/>
  <c r="D28" i="31"/>
  <c r="AU36" i="30"/>
  <c r="E28" i="31"/>
  <c r="AV36" i="30"/>
  <c r="F28" i="31"/>
  <c r="AW36" i="30"/>
  <c r="G28" i="31"/>
  <c r="H28" i="31"/>
  <c r="AM28" i="31"/>
  <c r="B29" i="36"/>
  <c r="B29" i="41"/>
  <c r="B29" i="40"/>
  <c r="B29" i="44"/>
  <c r="AN28" i="31"/>
  <c r="C29" i="36"/>
  <c r="C29" i="41"/>
  <c r="C29" i="40"/>
  <c r="C29" i="44"/>
  <c r="S82" i="32"/>
  <c r="B28" i="33"/>
  <c r="T82" i="32"/>
  <c r="C28" i="33"/>
  <c r="D28" i="33"/>
  <c r="S28" i="33"/>
  <c r="H29" i="36"/>
  <c r="H29" i="41"/>
  <c r="H29" i="40"/>
  <c r="H29" i="44"/>
  <c r="T28" i="33"/>
  <c r="I29" i="36"/>
  <c r="I29" i="41"/>
  <c r="I29" i="40"/>
  <c r="I29" i="44"/>
  <c r="AJ35" i="24"/>
  <c r="H28" i="25"/>
  <c r="AJ42" i="23"/>
  <c r="B28" i="25"/>
  <c r="AK42" i="23"/>
  <c r="C28" i="25"/>
  <c r="AL42" i="23"/>
  <c r="D28" i="25"/>
  <c r="AJ42" i="22"/>
  <c r="E28" i="25"/>
  <c r="AK42" i="22"/>
  <c r="F28" i="25"/>
  <c r="AL42" i="22"/>
  <c r="G28" i="25"/>
  <c r="AK35" i="24"/>
  <c r="I28" i="25"/>
  <c r="J28" i="25"/>
  <c r="BC28" i="25"/>
  <c r="P29" i="36"/>
  <c r="P29" i="41"/>
  <c r="P29" i="40"/>
  <c r="P29" i="44"/>
  <c r="BD28" i="25"/>
  <c r="Q29" i="36"/>
  <c r="Q29" i="41"/>
  <c r="Q29" i="40"/>
  <c r="Q29" i="44"/>
  <c r="R29" i="41"/>
  <c r="R29" i="40"/>
  <c r="R29" i="44"/>
  <c r="AB29" i="44"/>
  <c r="AO28" i="31"/>
  <c r="D29" i="36"/>
  <c r="D29" i="41"/>
  <c r="D29" i="40"/>
  <c r="D29" i="44"/>
  <c r="AP28" i="31"/>
  <c r="E29" i="36"/>
  <c r="E29" i="41"/>
  <c r="E29" i="40"/>
  <c r="E29" i="44"/>
  <c r="AQ28" i="31"/>
  <c r="F29" i="36"/>
  <c r="F29" i="41"/>
  <c r="F29" i="40"/>
  <c r="F29" i="44"/>
  <c r="AR28" i="31"/>
  <c r="G29" i="36"/>
  <c r="G29" i="41"/>
  <c r="G29" i="40"/>
  <c r="G29" i="44"/>
  <c r="AW28" i="25"/>
  <c r="J29" i="36"/>
  <c r="J29" i="41"/>
  <c r="J29" i="40"/>
  <c r="J29" i="44"/>
  <c r="AX28" i="25"/>
  <c r="K29" i="36"/>
  <c r="K29" i="41"/>
  <c r="K29" i="40"/>
  <c r="K29" i="44"/>
  <c r="AY28" i="25"/>
  <c r="L29" i="36"/>
  <c r="L29" i="41"/>
  <c r="L29" i="40"/>
  <c r="L29" i="44"/>
  <c r="AZ28" i="25"/>
  <c r="M29" i="36"/>
  <c r="M29" i="41"/>
  <c r="M29" i="40"/>
  <c r="M29" i="44"/>
  <c r="BA28" i="25"/>
  <c r="N29" i="36"/>
  <c r="N29" i="41"/>
  <c r="N29" i="40"/>
  <c r="N29" i="44"/>
  <c r="BB28" i="25"/>
  <c r="O29" i="36"/>
  <c r="O29" i="41"/>
  <c r="O29" i="40"/>
  <c r="O29" i="44"/>
  <c r="S29" i="44"/>
  <c r="AG29" i="44"/>
  <c r="AC29" i="44"/>
  <c r="AH29" i="44"/>
  <c r="AD29" i="44"/>
  <c r="AI29" i="44"/>
  <c r="AE29" i="44"/>
  <c r="AJ29" i="44"/>
  <c r="AL29" i="44"/>
  <c r="X83" i="26"/>
  <c r="B29" i="31"/>
  <c r="Y83" i="26"/>
  <c r="C29" i="31"/>
  <c r="AT37" i="30"/>
  <c r="D29" i="31"/>
  <c r="AU37" i="30"/>
  <c r="E29" i="31"/>
  <c r="AV37" i="30"/>
  <c r="F29" i="31"/>
  <c r="AW37" i="30"/>
  <c r="G29" i="31"/>
  <c r="H29" i="31"/>
  <c r="AM29" i="31"/>
  <c r="B30" i="36"/>
  <c r="B30" i="41"/>
  <c r="B30" i="40"/>
  <c r="B30" i="44"/>
  <c r="AN29" i="31"/>
  <c r="C30" i="36"/>
  <c r="C30" i="41"/>
  <c r="C30" i="40"/>
  <c r="C30" i="44"/>
  <c r="S83" i="32"/>
  <c r="B29" i="33"/>
  <c r="T83" i="32"/>
  <c r="C29" i="33"/>
  <c r="D29" i="33"/>
  <c r="S29" i="33"/>
  <c r="H30" i="36"/>
  <c r="H30" i="41"/>
  <c r="H30" i="40"/>
  <c r="H30" i="44"/>
  <c r="T29" i="33"/>
  <c r="I30" i="36"/>
  <c r="I30" i="41"/>
  <c r="I30" i="40"/>
  <c r="I30" i="44"/>
  <c r="BC29" i="25"/>
  <c r="P30" i="36"/>
  <c r="P30" i="41"/>
  <c r="P30" i="40"/>
  <c r="P30" i="44"/>
  <c r="BD29" i="25"/>
  <c r="Q30" i="36"/>
  <c r="Q30" i="41"/>
  <c r="Q30" i="40"/>
  <c r="Q30" i="44"/>
  <c r="R30" i="41"/>
  <c r="R30" i="40"/>
  <c r="R30" i="44"/>
  <c r="AB30" i="44"/>
  <c r="AO29" i="31"/>
  <c r="D30" i="36"/>
  <c r="D30" i="41"/>
  <c r="D30" i="40"/>
  <c r="D30" i="44"/>
  <c r="AP29" i="31"/>
  <c r="E30" i="36"/>
  <c r="E30" i="41"/>
  <c r="E30" i="40"/>
  <c r="E30" i="44"/>
  <c r="AQ29" i="31"/>
  <c r="F30" i="36"/>
  <c r="F30" i="41"/>
  <c r="F30" i="40"/>
  <c r="F30" i="44"/>
  <c r="AR29" i="31"/>
  <c r="G30" i="36"/>
  <c r="G30" i="41"/>
  <c r="G30" i="40"/>
  <c r="G30" i="44"/>
  <c r="AW29" i="25"/>
  <c r="J30" i="36"/>
  <c r="J30" i="41"/>
  <c r="J30" i="40"/>
  <c r="J30" i="44"/>
  <c r="AX29" i="25"/>
  <c r="K30" i="36"/>
  <c r="K30" i="41"/>
  <c r="K30" i="40"/>
  <c r="K30" i="44"/>
  <c r="AY29" i="25"/>
  <c r="L30" i="36"/>
  <c r="L30" i="41"/>
  <c r="L30" i="40"/>
  <c r="L30" i="44"/>
  <c r="AZ29" i="25"/>
  <c r="M30" i="36"/>
  <c r="M30" i="41"/>
  <c r="M30" i="40"/>
  <c r="M30" i="44"/>
  <c r="BA29" i="25"/>
  <c r="N30" i="36"/>
  <c r="N30" i="41"/>
  <c r="N30" i="40"/>
  <c r="N30" i="44"/>
  <c r="BB29" i="25"/>
  <c r="O30" i="36"/>
  <c r="O30" i="41"/>
  <c r="O30" i="40"/>
  <c r="O30" i="44"/>
  <c r="S30" i="44"/>
  <c r="AG30" i="44"/>
  <c r="AC30" i="44"/>
  <c r="AH30" i="44"/>
  <c r="AD30" i="44"/>
  <c r="AI30" i="44"/>
  <c r="AE30" i="44"/>
  <c r="AJ30" i="44"/>
  <c r="AL30" i="44"/>
  <c r="X84" i="26"/>
  <c r="B30" i="31"/>
  <c r="Y84" i="26"/>
  <c r="C30" i="31"/>
  <c r="AT38" i="30"/>
  <c r="D30" i="31"/>
  <c r="AU38" i="30"/>
  <c r="E30" i="31"/>
  <c r="AV38" i="30"/>
  <c r="F30" i="31"/>
  <c r="AW38" i="30"/>
  <c r="G30" i="31"/>
  <c r="H30" i="31"/>
  <c r="AM30" i="31"/>
  <c r="B31" i="36"/>
  <c r="B31" i="41"/>
  <c r="B31" i="40"/>
  <c r="B31" i="44"/>
  <c r="AN30" i="31"/>
  <c r="C31" i="36"/>
  <c r="C31" i="41"/>
  <c r="C31" i="40"/>
  <c r="C31" i="44"/>
  <c r="S84" i="32"/>
  <c r="B30" i="33"/>
  <c r="T84" i="32"/>
  <c r="C30" i="33"/>
  <c r="D30" i="33"/>
  <c r="S30" i="33"/>
  <c r="H31" i="36"/>
  <c r="H31" i="41"/>
  <c r="H31" i="40"/>
  <c r="H31" i="44"/>
  <c r="T30" i="33"/>
  <c r="I31" i="36"/>
  <c r="I31" i="41"/>
  <c r="I31" i="40"/>
  <c r="I31" i="44"/>
  <c r="BC30" i="25"/>
  <c r="P31" i="36"/>
  <c r="P31" i="41"/>
  <c r="P31" i="40"/>
  <c r="P31" i="44"/>
  <c r="BD30" i="25"/>
  <c r="Q31" i="36"/>
  <c r="Q31" i="41"/>
  <c r="Q31" i="40"/>
  <c r="Q31" i="44"/>
  <c r="R31" i="41"/>
  <c r="R31" i="40"/>
  <c r="R31" i="44"/>
  <c r="AB31" i="44"/>
  <c r="AO30" i="31"/>
  <c r="D31" i="36"/>
  <c r="D31" i="41"/>
  <c r="D31" i="40"/>
  <c r="D31" i="44"/>
  <c r="AP30" i="31"/>
  <c r="E31" i="36"/>
  <c r="E31" i="41"/>
  <c r="E31" i="40"/>
  <c r="E31" i="44"/>
  <c r="AQ30" i="31"/>
  <c r="F31" i="36"/>
  <c r="F31" i="41"/>
  <c r="F31" i="40"/>
  <c r="F31" i="44"/>
  <c r="AR30" i="31"/>
  <c r="G31" i="36"/>
  <c r="G31" i="41"/>
  <c r="G31" i="40"/>
  <c r="G31" i="44"/>
  <c r="AW30" i="25"/>
  <c r="J31" i="36"/>
  <c r="J31" i="41"/>
  <c r="J31" i="40"/>
  <c r="J31" i="44"/>
  <c r="AX30" i="25"/>
  <c r="K31" i="36"/>
  <c r="K31" i="41"/>
  <c r="K31" i="40"/>
  <c r="K31" i="44"/>
  <c r="AY30" i="25"/>
  <c r="L31" i="36"/>
  <c r="L31" i="41"/>
  <c r="L31" i="40"/>
  <c r="L31" i="44"/>
  <c r="AZ30" i="25"/>
  <c r="M31" i="36"/>
  <c r="M31" i="41"/>
  <c r="M31" i="40"/>
  <c r="M31" i="44"/>
  <c r="BA30" i="25"/>
  <c r="N31" i="36"/>
  <c r="N31" i="41"/>
  <c r="N31" i="40"/>
  <c r="N31" i="44"/>
  <c r="BB30" i="25"/>
  <c r="O31" i="36"/>
  <c r="O31" i="41"/>
  <c r="O31" i="40"/>
  <c r="O31" i="44"/>
  <c r="S31" i="44"/>
  <c r="AG31" i="44"/>
  <c r="AC31" i="44"/>
  <c r="AH31" i="44"/>
  <c r="AD31" i="44"/>
  <c r="AI31" i="44"/>
  <c r="AE31" i="44"/>
  <c r="AJ31" i="44"/>
  <c r="AL31" i="44"/>
  <c r="X85" i="26"/>
  <c r="B31" i="31"/>
  <c r="Y85" i="26"/>
  <c r="C31" i="31"/>
  <c r="AT39" i="30"/>
  <c r="D31" i="31"/>
  <c r="AU39" i="30"/>
  <c r="E31" i="31"/>
  <c r="AV39" i="30"/>
  <c r="F31" i="31"/>
  <c r="AW39" i="30"/>
  <c r="G31" i="31"/>
  <c r="H31" i="31"/>
  <c r="AM31" i="31"/>
  <c r="B32" i="36"/>
  <c r="B32" i="41"/>
  <c r="B32" i="40"/>
  <c r="B32" i="44"/>
  <c r="AN31" i="31"/>
  <c r="C32" i="36"/>
  <c r="C32" i="41"/>
  <c r="C32" i="40"/>
  <c r="C32" i="44"/>
  <c r="S85" i="32"/>
  <c r="B31" i="33"/>
  <c r="T85" i="32"/>
  <c r="C31" i="33"/>
  <c r="D31" i="33"/>
  <c r="S31" i="33"/>
  <c r="H32" i="36"/>
  <c r="H32" i="41"/>
  <c r="H32" i="40"/>
  <c r="H32" i="44"/>
  <c r="T31" i="33"/>
  <c r="I32" i="36"/>
  <c r="I32" i="41"/>
  <c r="I32" i="40"/>
  <c r="I32" i="44"/>
  <c r="BC31" i="25"/>
  <c r="P32" i="36"/>
  <c r="P32" i="41"/>
  <c r="P32" i="40"/>
  <c r="P32" i="44"/>
  <c r="BD31" i="25"/>
  <c r="Q32" i="36"/>
  <c r="Q32" i="41"/>
  <c r="Q32" i="40"/>
  <c r="Q32" i="44"/>
  <c r="R32" i="41"/>
  <c r="R32" i="40"/>
  <c r="R32" i="44"/>
  <c r="AB32" i="44"/>
  <c r="AO31" i="31"/>
  <c r="D32" i="36"/>
  <c r="D32" i="41"/>
  <c r="D32" i="40"/>
  <c r="D32" i="44"/>
  <c r="AP31" i="31"/>
  <c r="E32" i="36"/>
  <c r="E32" i="41"/>
  <c r="E32" i="40"/>
  <c r="E32" i="44"/>
  <c r="AQ31" i="31"/>
  <c r="F32" i="36"/>
  <c r="F32" i="41"/>
  <c r="F32" i="40"/>
  <c r="F32" i="44"/>
  <c r="AR31" i="31"/>
  <c r="G32" i="36"/>
  <c r="G32" i="41"/>
  <c r="G32" i="40"/>
  <c r="G32" i="44"/>
  <c r="AW31" i="25"/>
  <c r="J32" i="36"/>
  <c r="J32" i="41"/>
  <c r="J32" i="40"/>
  <c r="J32" i="44"/>
  <c r="AX31" i="25"/>
  <c r="K32" i="36"/>
  <c r="K32" i="41"/>
  <c r="K32" i="40"/>
  <c r="K32" i="44"/>
  <c r="AY31" i="25"/>
  <c r="L32" i="36"/>
  <c r="L32" i="41"/>
  <c r="L32" i="40"/>
  <c r="L32" i="44"/>
  <c r="AZ31" i="25"/>
  <c r="M32" i="36"/>
  <c r="M32" i="41"/>
  <c r="M32" i="40"/>
  <c r="M32" i="44"/>
  <c r="BA31" i="25"/>
  <c r="N32" i="36"/>
  <c r="N32" i="41"/>
  <c r="N32" i="40"/>
  <c r="N32" i="44"/>
  <c r="BB31" i="25"/>
  <c r="O32" i="36"/>
  <c r="O32" i="41"/>
  <c r="O32" i="40"/>
  <c r="O32" i="44"/>
  <c r="S32" i="44"/>
  <c r="AG32" i="44"/>
  <c r="AC32" i="44"/>
  <c r="AH32" i="44"/>
  <c r="AD32" i="44"/>
  <c r="AI32" i="44"/>
  <c r="AE32" i="44"/>
  <c r="AJ32" i="44"/>
  <c r="AL32" i="44"/>
  <c r="X86" i="26"/>
  <c r="B32" i="31"/>
  <c r="Y86" i="26"/>
  <c r="C32" i="31"/>
  <c r="AT40" i="30"/>
  <c r="D32" i="31"/>
  <c r="AU40" i="30"/>
  <c r="E32" i="31"/>
  <c r="AV40" i="30"/>
  <c r="F32" i="31"/>
  <c r="AW40" i="30"/>
  <c r="G32" i="31"/>
  <c r="H32" i="31"/>
  <c r="AM32" i="31"/>
  <c r="B33" i="36"/>
  <c r="B33" i="41"/>
  <c r="B33" i="40"/>
  <c r="B33" i="44"/>
  <c r="AN32" i="31"/>
  <c r="C33" i="36"/>
  <c r="C33" i="41"/>
  <c r="C33" i="40"/>
  <c r="C33" i="44"/>
  <c r="S86" i="32"/>
  <c r="B32" i="33"/>
  <c r="T86" i="32"/>
  <c r="C32" i="33"/>
  <c r="D32" i="33"/>
  <c r="S32" i="33"/>
  <c r="H33" i="36"/>
  <c r="H33" i="41"/>
  <c r="H33" i="40"/>
  <c r="H33" i="44"/>
  <c r="T32" i="33"/>
  <c r="I33" i="36"/>
  <c r="I33" i="41"/>
  <c r="I33" i="40"/>
  <c r="I33" i="44"/>
  <c r="AJ39" i="24"/>
  <c r="H32" i="25"/>
  <c r="AJ46" i="23"/>
  <c r="B32" i="25"/>
  <c r="AK46" i="23"/>
  <c r="C32" i="25"/>
  <c r="AL46" i="23"/>
  <c r="D32" i="25"/>
  <c r="AJ46" i="22"/>
  <c r="E32" i="25"/>
  <c r="AK46" i="22"/>
  <c r="F32" i="25"/>
  <c r="AL46" i="22"/>
  <c r="G32" i="25"/>
  <c r="AK39" i="24"/>
  <c r="I32" i="25"/>
  <c r="J32" i="25"/>
  <c r="BC32" i="25"/>
  <c r="P33" i="36"/>
  <c r="P33" i="41"/>
  <c r="P33" i="40"/>
  <c r="P33" i="44"/>
  <c r="BD32" i="25"/>
  <c r="Q33" i="36"/>
  <c r="Q33" i="41"/>
  <c r="Q33" i="40"/>
  <c r="Q33" i="44"/>
  <c r="R33" i="41"/>
  <c r="R33" i="40"/>
  <c r="R33" i="44"/>
  <c r="AB33" i="44"/>
  <c r="AO32" i="31"/>
  <c r="D33" i="36"/>
  <c r="D33" i="41"/>
  <c r="D33" i="40"/>
  <c r="D33" i="44"/>
  <c r="AP32" i="31"/>
  <c r="E33" i="36"/>
  <c r="E33" i="41"/>
  <c r="E33" i="40"/>
  <c r="E33" i="44"/>
  <c r="AQ32" i="31"/>
  <c r="F33" i="36"/>
  <c r="F33" i="41"/>
  <c r="F33" i="40"/>
  <c r="F33" i="44"/>
  <c r="AR32" i="31"/>
  <c r="G33" i="36"/>
  <c r="G33" i="41"/>
  <c r="G33" i="40"/>
  <c r="G33" i="44"/>
  <c r="AW32" i="25"/>
  <c r="J33" i="36"/>
  <c r="J33" i="41"/>
  <c r="J33" i="40"/>
  <c r="J33" i="44"/>
  <c r="AX32" i="25"/>
  <c r="K33" i="36"/>
  <c r="K33" i="41"/>
  <c r="K33" i="40"/>
  <c r="K33" i="44"/>
  <c r="AY32" i="25"/>
  <c r="L33" i="36"/>
  <c r="L33" i="41"/>
  <c r="L33" i="40"/>
  <c r="L33" i="44"/>
  <c r="AZ32" i="25"/>
  <c r="M33" i="36"/>
  <c r="M33" i="41"/>
  <c r="M33" i="40"/>
  <c r="M33" i="44"/>
  <c r="BA32" i="25"/>
  <c r="N33" i="36"/>
  <c r="N33" i="41"/>
  <c r="N33" i="40"/>
  <c r="N33" i="44"/>
  <c r="BB32" i="25"/>
  <c r="O33" i="36"/>
  <c r="O33" i="41"/>
  <c r="O33" i="40"/>
  <c r="O33" i="44"/>
  <c r="S33" i="44"/>
  <c r="AG33" i="44"/>
  <c r="AC33" i="44"/>
  <c r="AH33" i="44"/>
  <c r="AD33" i="44"/>
  <c r="AI33" i="44"/>
  <c r="AE33" i="44"/>
  <c r="AJ33" i="44"/>
  <c r="AL33" i="44"/>
  <c r="X87" i="26"/>
  <c r="B33" i="31"/>
  <c r="Y87" i="26"/>
  <c r="C33" i="31"/>
  <c r="AT41" i="30"/>
  <c r="D33" i="31"/>
  <c r="AU41" i="30"/>
  <c r="E33" i="31"/>
  <c r="AV41" i="30"/>
  <c r="F33" i="31"/>
  <c r="AW41" i="30"/>
  <c r="G33" i="31"/>
  <c r="H33" i="31"/>
  <c r="AM33" i="31"/>
  <c r="B34" i="36"/>
  <c r="B34" i="41"/>
  <c r="B34" i="40"/>
  <c r="B34" i="44"/>
  <c r="AN33" i="31"/>
  <c r="C34" i="36"/>
  <c r="C34" i="41"/>
  <c r="C34" i="40"/>
  <c r="C34" i="44"/>
  <c r="S87" i="32"/>
  <c r="B33" i="33"/>
  <c r="T87" i="32"/>
  <c r="C33" i="33"/>
  <c r="D33" i="33"/>
  <c r="S33" i="33"/>
  <c r="H34" i="36"/>
  <c r="H34" i="41"/>
  <c r="H34" i="40"/>
  <c r="H34" i="44"/>
  <c r="T33" i="33"/>
  <c r="I34" i="36"/>
  <c r="I34" i="41"/>
  <c r="I34" i="40"/>
  <c r="I34" i="44"/>
  <c r="BC33" i="25"/>
  <c r="P34" i="36"/>
  <c r="P34" i="41"/>
  <c r="P34" i="40"/>
  <c r="P34" i="44"/>
  <c r="BD33" i="25"/>
  <c r="Q34" i="36"/>
  <c r="Q34" i="41"/>
  <c r="Q34" i="40"/>
  <c r="Q34" i="44"/>
  <c r="R34" i="44"/>
  <c r="AB34" i="44"/>
  <c r="AO33" i="31"/>
  <c r="D34" i="36"/>
  <c r="D34" i="41"/>
  <c r="D34" i="40"/>
  <c r="D34" i="44"/>
  <c r="AP33" i="31"/>
  <c r="E34" i="36"/>
  <c r="E34" i="41"/>
  <c r="E34" i="40"/>
  <c r="E34" i="44"/>
  <c r="AQ33" i="31"/>
  <c r="F34" i="36"/>
  <c r="F34" i="41"/>
  <c r="F34" i="40"/>
  <c r="F34" i="44"/>
  <c r="AR33" i="31"/>
  <c r="G34" i="36"/>
  <c r="G34" i="41"/>
  <c r="G34" i="40"/>
  <c r="G34" i="44"/>
  <c r="AW33" i="25"/>
  <c r="J34" i="36"/>
  <c r="J34" i="41"/>
  <c r="J34" i="40"/>
  <c r="J34" i="44"/>
  <c r="AX33" i="25"/>
  <c r="K34" i="36"/>
  <c r="K34" i="41"/>
  <c r="K34" i="40"/>
  <c r="K34" i="44"/>
  <c r="AY33" i="25"/>
  <c r="L34" i="36"/>
  <c r="L34" i="41"/>
  <c r="L34" i="40"/>
  <c r="L34" i="44"/>
  <c r="AZ33" i="25"/>
  <c r="M34" i="36"/>
  <c r="M34" i="41"/>
  <c r="M34" i="40"/>
  <c r="M34" i="44"/>
  <c r="BA33" i="25"/>
  <c r="N34" i="36"/>
  <c r="N34" i="41"/>
  <c r="N34" i="40"/>
  <c r="N34" i="44"/>
  <c r="BB33" i="25"/>
  <c r="O34" i="36"/>
  <c r="O34" i="41"/>
  <c r="O34" i="40"/>
  <c r="O34" i="44"/>
  <c r="S34" i="44"/>
  <c r="AG34" i="44"/>
  <c r="AC34" i="44"/>
  <c r="AH34" i="44"/>
  <c r="AD34" i="44"/>
  <c r="AI34" i="44"/>
  <c r="AE34" i="44"/>
  <c r="AJ34" i="44"/>
  <c r="AL34" i="44"/>
  <c r="X88" i="26"/>
  <c r="B34" i="31"/>
  <c r="Y88" i="26"/>
  <c r="C34" i="31"/>
  <c r="AT42" i="30"/>
  <c r="D34" i="31"/>
  <c r="AU42" i="30"/>
  <c r="E34" i="31"/>
  <c r="AV42" i="30"/>
  <c r="F34" i="31"/>
  <c r="AW42" i="30"/>
  <c r="G34" i="31"/>
  <c r="H34" i="31"/>
  <c r="AM34" i="31"/>
  <c r="B35" i="36"/>
  <c r="B35" i="41"/>
  <c r="B35" i="40"/>
  <c r="B35" i="44"/>
  <c r="AN34" i="31"/>
  <c r="C35" i="36"/>
  <c r="C35" i="41"/>
  <c r="C35" i="40"/>
  <c r="C35" i="44"/>
  <c r="S88" i="32"/>
  <c r="B34" i="33"/>
  <c r="T88" i="32"/>
  <c r="C34" i="33"/>
  <c r="D34" i="33"/>
  <c r="S34" i="33"/>
  <c r="H35" i="36"/>
  <c r="H35" i="41"/>
  <c r="H35" i="40"/>
  <c r="H35" i="44"/>
  <c r="T34" i="33"/>
  <c r="I35" i="36"/>
  <c r="I35" i="41"/>
  <c r="I35" i="40"/>
  <c r="I35" i="44"/>
  <c r="BC34" i="25"/>
  <c r="P35" i="36"/>
  <c r="P35" i="41"/>
  <c r="P35" i="40"/>
  <c r="P35" i="44"/>
  <c r="BD34" i="25"/>
  <c r="Q35" i="36"/>
  <c r="Q35" i="41"/>
  <c r="Q35" i="40"/>
  <c r="Q35" i="44"/>
  <c r="R35" i="44"/>
  <c r="AB35" i="44"/>
  <c r="AO34" i="31"/>
  <c r="D35" i="36"/>
  <c r="D35" i="41"/>
  <c r="D35" i="40"/>
  <c r="D35" i="44"/>
  <c r="AP34" i="31"/>
  <c r="E35" i="36"/>
  <c r="E35" i="41"/>
  <c r="E35" i="40"/>
  <c r="E35" i="44"/>
  <c r="AQ34" i="31"/>
  <c r="F35" i="36"/>
  <c r="F35" i="41"/>
  <c r="F35" i="40"/>
  <c r="F35" i="44"/>
  <c r="AR34" i="31"/>
  <c r="G35" i="36"/>
  <c r="G35" i="41"/>
  <c r="G35" i="40"/>
  <c r="G35" i="44"/>
  <c r="AW34" i="25"/>
  <c r="J35" i="36"/>
  <c r="J35" i="41"/>
  <c r="J35" i="40"/>
  <c r="J35" i="44"/>
  <c r="AX34" i="25"/>
  <c r="K35" i="36"/>
  <c r="K35" i="41"/>
  <c r="K35" i="40"/>
  <c r="K35" i="44"/>
  <c r="AY34" i="25"/>
  <c r="L35" i="36"/>
  <c r="L35" i="41"/>
  <c r="L35" i="40"/>
  <c r="L35" i="44"/>
  <c r="AZ34" i="25"/>
  <c r="M35" i="36"/>
  <c r="M35" i="41"/>
  <c r="M35" i="40"/>
  <c r="M35" i="44"/>
  <c r="BA34" i="25"/>
  <c r="N35" i="36"/>
  <c r="N35" i="41"/>
  <c r="N35" i="40"/>
  <c r="N35" i="44"/>
  <c r="BB34" i="25"/>
  <c r="O35" i="36"/>
  <c r="O35" i="41"/>
  <c r="O35" i="40"/>
  <c r="O35" i="44"/>
  <c r="S35" i="44"/>
  <c r="AG35" i="44"/>
  <c r="AC35" i="44"/>
  <c r="AH35" i="44"/>
  <c r="AD35" i="44"/>
  <c r="AI35" i="44"/>
  <c r="AE35" i="44"/>
  <c r="AJ35" i="44"/>
  <c r="AL35" i="44"/>
  <c r="X89" i="26"/>
  <c r="B35" i="31"/>
  <c r="Y89" i="26"/>
  <c r="C35" i="31"/>
  <c r="AT43" i="30"/>
  <c r="D35" i="31"/>
  <c r="AU43" i="30"/>
  <c r="E35" i="31"/>
  <c r="AV43" i="30"/>
  <c r="F35" i="31"/>
  <c r="AW43" i="30"/>
  <c r="G35" i="31"/>
  <c r="H35" i="31"/>
  <c r="AM35" i="31"/>
  <c r="B36" i="36"/>
  <c r="B36" i="41"/>
  <c r="B36" i="40"/>
  <c r="B36" i="44"/>
  <c r="AN35" i="31"/>
  <c r="C36" i="36"/>
  <c r="C36" i="41"/>
  <c r="C36" i="40"/>
  <c r="C36" i="44"/>
  <c r="S89" i="32"/>
  <c r="B35" i="33"/>
  <c r="T89" i="32"/>
  <c r="C35" i="33"/>
  <c r="D35" i="33"/>
  <c r="S35" i="33"/>
  <c r="H36" i="36"/>
  <c r="H36" i="41"/>
  <c r="H36" i="40"/>
  <c r="H36" i="44"/>
  <c r="T35" i="33"/>
  <c r="I36" i="36"/>
  <c r="I36" i="41"/>
  <c r="I36" i="40"/>
  <c r="I36" i="44"/>
  <c r="BC35" i="25"/>
  <c r="P36" i="36"/>
  <c r="P36" i="41"/>
  <c r="P36" i="40"/>
  <c r="P36" i="44"/>
  <c r="BD35" i="25"/>
  <c r="Q36" i="36"/>
  <c r="Q36" i="41"/>
  <c r="Q36" i="40"/>
  <c r="Q36" i="44"/>
  <c r="R36" i="44"/>
  <c r="AB36" i="44"/>
  <c r="AO35" i="31"/>
  <c r="D36" i="36"/>
  <c r="D36" i="41"/>
  <c r="D36" i="40"/>
  <c r="D36" i="44"/>
  <c r="AP35" i="31"/>
  <c r="E36" i="36"/>
  <c r="E36" i="41"/>
  <c r="E36" i="40"/>
  <c r="E36" i="44"/>
  <c r="AQ35" i="31"/>
  <c r="F36" i="36"/>
  <c r="F36" i="41"/>
  <c r="F36" i="40"/>
  <c r="F36" i="44"/>
  <c r="AR35" i="31"/>
  <c r="G36" i="36"/>
  <c r="G36" i="41"/>
  <c r="G36" i="40"/>
  <c r="G36" i="44"/>
  <c r="AW35" i="25"/>
  <c r="J36" i="36"/>
  <c r="J36" i="41"/>
  <c r="J36" i="40"/>
  <c r="J36" i="44"/>
  <c r="AX35" i="25"/>
  <c r="K36" i="36"/>
  <c r="K36" i="41"/>
  <c r="K36" i="40"/>
  <c r="K36" i="44"/>
  <c r="AY35" i="25"/>
  <c r="L36" i="36"/>
  <c r="L36" i="41"/>
  <c r="L36" i="40"/>
  <c r="L36" i="44"/>
  <c r="AZ35" i="25"/>
  <c r="M36" i="36"/>
  <c r="M36" i="41"/>
  <c r="M36" i="40"/>
  <c r="M36" i="44"/>
  <c r="BA35" i="25"/>
  <c r="N36" i="36"/>
  <c r="N36" i="41"/>
  <c r="N36" i="40"/>
  <c r="N36" i="44"/>
  <c r="BB35" i="25"/>
  <c r="O36" i="36"/>
  <c r="O36" i="41"/>
  <c r="O36" i="40"/>
  <c r="O36" i="44"/>
  <c r="S36" i="44"/>
  <c r="AG36" i="44"/>
  <c r="AC36" i="44"/>
  <c r="AH36" i="44"/>
  <c r="AD36" i="44"/>
  <c r="AI36" i="44"/>
  <c r="AE36" i="44"/>
  <c r="AJ36" i="44"/>
  <c r="AL36" i="44"/>
  <c r="X90" i="26"/>
  <c r="B36" i="31"/>
  <c r="Y90" i="26"/>
  <c r="C36" i="31"/>
  <c r="AT44" i="30"/>
  <c r="D36" i="31"/>
  <c r="AU44" i="30"/>
  <c r="E36" i="31"/>
  <c r="AV44" i="30"/>
  <c r="F36" i="31"/>
  <c r="AW44" i="30"/>
  <c r="G36" i="31"/>
  <c r="H36" i="31"/>
  <c r="AM36" i="31"/>
  <c r="B37" i="36"/>
  <c r="B37" i="41"/>
  <c r="B37" i="40"/>
  <c r="B37" i="44"/>
  <c r="AN36" i="31"/>
  <c r="C37" i="36"/>
  <c r="C37" i="41"/>
  <c r="C37" i="40"/>
  <c r="C37" i="44"/>
  <c r="S90" i="32"/>
  <c r="B36" i="33"/>
  <c r="T90" i="32"/>
  <c r="C36" i="33"/>
  <c r="D36" i="33"/>
  <c r="S36" i="33"/>
  <c r="H37" i="36"/>
  <c r="H37" i="41"/>
  <c r="H37" i="40"/>
  <c r="H37" i="44"/>
  <c r="T36" i="33"/>
  <c r="I37" i="36"/>
  <c r="I37" i="41"/>
  <c r="I37" i="40"/>
  <c r="I37" i="44"/>
  <c r="BC36" i="25"/>
  <c r="P37" i="36"/>
  <c r="P37" i="41"/>
  <c r="P37" i="40"/>
  <c r="P37" i="44"/>
  <c r="BD36" i="25"/>
  <c r="Q37" i="36"/>
  <c r="Q37" i="41"/>
  <c r="Q37" i="40"/>
  <c r="Q37" i="44"/>
  <c r="R37" i="41"/>
  <c r="R37" i="40"/>
  <c r="R37" i="44"/>
  <c r="AB37" i="44"/>
  <c r="AO36" i="31"/>
  <c r="D37" i="36"/>
  <c r="D37" i="41"/>
  <c r="D37" i="40"/>
  <c r="D37" i="44"/>
  <c r="AP36" i="31"/>
  <c r="E37" i="36"/>
  <c r="E37" i="41"/>
  <c r="E37" i="40"/>
  <c r="E37" i="44"/>
  <c r="AQ36" i="31"/>
  <c r="F37" i="36"/>
  <c r="F37" i="41"/>
  <c r="F37" i="40"/>
  <c r="F37" i="44"/>
  <c r="AR36" i="31"/>
  <c r="G37" i="36"/>
  <c r="G37" i="41"/>
  <c r="G37" i="40"/>
  <c r="G37" i="44"/>
  <c r="AW36" i="25"/>
  <c r="J37" i="36"/>
  <c r="J37" i="41"/>
  <c r="J37" i="40"/>
  <c r="J37" i="44"/>
  <c r="AX36" i="25"/>
  <c r="K37" i="36"/>
  <c r="K37" i="41"/>
  <c r="K37" i="40"/>
  <c r="K37" i="44"/>
  <c r="AY36" i="25"/>
  <c r="L37" i="36"/>
  <c r="L37" i="41"/>
  <c r="L37" i="40"/>
  <c r="L37" i="44"/>
  <c r="AZ36" i="25"/>
  <c r="M37" i="36"/>
  <c r="M37" i="41"/>
  <c r="M37" i="40"/>
  <c r="M37" i="44"/>
  <c r="BA36" i="25"/>
  <c r="N37" i="36"/>
  <c r="N37" i="41"/>
  <c r="N37" i="40"/>
  <c r="N37" i="44"/>
  <c r="BB36" i="25"/>
  <c r="O37" i="36"/>
  <c r="O37" i="41"/>
  <c r="O37" i="40"/>
  <c r="O37" i="44"/>
  <c r="S37" i="44"/>
  <c r="AG37" i="44"/>
  <c r="AC37" i="44"/>
  <c r="AH37" i="44"/>
  <c r="AD37" i="44"/>
  <c r="AI37" i="44"/>
  <c r="AE37" i="44"/>
  <c r="AJ37" i="44"/>
  <c r="AL37" i="44"/>
  <c r="AL38" i="44"/>
  <c r="AL39" i="44"/>
  <c r="AL40" i="44"/>
  <c r="AL41" i="44"/>
  <c r="AL42" i="44"/>
  <c r="AL43" i="44"/>
  <c r="AL44" i="44"/>
  <c r="AL45" i="44"/>
  <c r="AL46" i="44"/>
  <c r="AL47" i="44"/>
  <c r="AL48" i="44"/>
  <c r="AL49" i="44"/>
  <c r="AL50" i="44"/>
  <c r="AL51" i="44"/>
  <c r="AL52" i="44"/>
  <c r="AL53" i="44"/>
  <c r="AL54" i="44"/>
  <c r="AL55" i="44"/>
  <c r="AL56" i="44"/>
  <c r="AL57" i="44"/>
  <c r="AL58" i="44"/>
  <c r="AL59" i="44"/>
  <c r="AL60" i="44"/>
  <c r="AL61" i="44"/>
  <c r="AL62" i="44"/>
  <c r="AL63" i="44"/>
  <c r="AL64" i="44"/>
  <c r="AL65" i="44"/>
  <c r="AL66" i="44"/>
  <c r="AL67" i="44"/>
  <c r="AL68" i="44"/>
  <c r="AL69" i="44"/>
  <c r="AL70" i="44"/>
  <c r="AL71" i="44"/>
  <c r="AL72" i="44"/>
  <c r="AL73" i="44"/>
  <c r="AL74" i="44"/>
  <c r="AL75" i="44"/>
  <c r="AL76" i="44"/>
  <c r="AL77" i="44"/>
  <c r="AL78" i="44"/>
  <c r="AL79" i="44"/>
  <c r="AL80" i="44"/>
  <c r="AL81" i="44"/>
  <c r="AL82" i="44"/>
  <c r="AL83" i="44"/>
  <c r="AL84" i="44"/>
  <c r="AL85" i="44"/>
  <c r="AL86" i="44"/>
  <c r="AL87" i="44"/>
  <c r="AL88" i="44"/>
  <c r="AL89" i="44"/>
  <c r="AL90" i="44"/>
  <c r="AL91" i="44"/>
  <c r="AL92" i="44"/>
  <c r="AL93" i="44"/>
  <c r="AL94" i="44"/>
  <c r="AL95" i="44"/>
  <c r="AL96" i="44"/>
  <c r="AL97" i="44"/>
  <c r="AL98" i="44"/>
  <c r="AL99" i="44"/>
  <c r="AL100" i="44"/>
  <c r="AL101" i="44"/>
  <c r="AL102" i="44"/>
  <c r="AL103" i="44"/>
  <c r="AL104" i="44"/>
  <c r="AL105" i="44"/>
  <c r="AL106" i="44"/>
  <c r="AL107" i="44"/>
  <c r="AL108" i="44"/>
  <c r="AL109" i="44"/>
  <c r="AL110" i="44"/>
  <c r="AL111" i="44"/>
  <c r="AL112" i="44"/>
  <c r="AL113" i="44"/>
  <c r="AL114" i="44"/>
  <c r="AL115" i="44"/>
  <c r="AL116" i="44"/>
  <c r="AL117" i="44"/>
  <c r="AL118" i="44"/>
  <c r="N16" i="22"/>
  <c r="N50" i="22"/>
  <c r="F20" i="27"/>
  <c r="N17" i="22"/>
  <c r="AE50" i="22"/>
  <c r="U34" i="14"/>
  <c r="Z34" i="14"/>
  <c r="AE34" i="14"/>
  <c r="AJ34" i="14"/>
  <c r="AO34" i="14"/>
  <c r="AT34" i="14"/>
  <c r="I36" i="64"/>
  <c r="AY34" i="14"/>
  <c r="I36" i="65"/>
  <c r="BI34" i="14"/>
  <c r="P35" i="29"/>
  <c r="AV50" i="22"/>
  <c r="AO36" i="25"/>
  <c r="N16" i="23"/>
  <c r="K16" i="17"/>
  <c r="J2" i="23"/>
  <c r="K17" i="17"/>
  <c r="J3" i="23"/>
  <c r="J4" i="23"/>
  <c r="K2" i="23"/>
  <c r="N50" i="23"/>
  <c r="F17" i="27"/>
  <c r="N17" i="23"/>
  <c r="AE50" i="23"/>
  <c r="AV50" i="23"/>
  <c r="AL36" i="25"/>
  <c r="AT36" i="25"/>
  <c r="CJ36" i="25"/>
  <c r="M189" i="36"/>
  <c r="BN34" i="14"/>
  <c r="M189" i="38"/>
  <c r="M189" i="41"/>
  <c r="M189" i="37"/>
  <c r="M189" i="40"/>
  <c r="M189" i="44"/>
  <c r="AE189" i="44"/>
  <c r="J56" i="26"/>
  <c r="J22" i="16"/>
  <c r="J117" i="16"/>
  <c r="J129" i="16"/>
  <c r="J52" i="16"/>
  <c r="J119" i="16"/>
  <c r="J130" i="16"/>
  <c r="J76" i="16"/>
  <c r="J121" i="16"/>
  <c r="J131" i="16"/>
  <c r="J99" i="16"/>
  <c r="J123" i="16"/>
  <c r="J132" i="16"/>
  <c r="J133" i="16"/>
  <c r="K129" i="16"/>
  <c r="K2" i="26"/>
  <c r="R43" i="26"/>
  <c r="S43" i="26"/>
  <c r="Q37" i="20"/>
  <c r="K130" i="16"/>
  <c r="K4" i="26"/>
  <c r="T43" i="26"/>
  <c r="U43" i="26"/>
  <c r="F5" i="27"/>
  <c r="J57" i="26"/>
  <c r="J90" i="26"/>
  <c r="AF90" i="26"/>
  <c r="AD36" i="31"/>
  <c r="AJ36" i="31"/>
  <c r="BO36" i="31"/>
  <c r="B189" i="36"/>
  <c r="B189" i="38"/>
  <c r="B189" i="41"/>
  <c r="B189" i="37"/>
  <c r="B189" i="40"/>
  <c r="B189" i="44"/>
  <c r="S189" i="44"/>
  <c r="AJ189" i="44"/>
  <c r="CG36" i="25"/>
  <c r="J189" i="36"/>
  <c r="J189" i="38"/>
  <c r="J189" i="41"/>
  <c r="J189" i="37"/>
  <c r="J189" i="40"/>
  <c r="J189" i="44"/>
  <c r="AD189" i="44"/>
  <c r="AI189" i="44"/>
  <c r="R44" i="30"/>
  <c r="R10" i="30"/>
  <c r="R11" i="30"/>
  <c r="AN44" i="30"/>
  <c r="BJ44" i="30"/>
  <c r="AF36" i="31"/>
  <c r="BQ36" i="31"/>
  <c r="D189" i="36"/>
  <c r="D189" i="38"/>
  <c r="F7" i="27"/>
  <c r="D189" i="41"/>
  <c r="D189" i="37"/>
  <c r="D189" i="40"/>
  <c r="D189" i="44"/>
  <c r="AC189" i="44"/>
  <c r="AH189" i="44"/>
  <c r="I56" i="26"/>
  <c r="K56" i="26"/>
  <c r="J38" i="16"/>
  <c r="J118" i="16"/>
  <c r="J138" i="16"/>
  <c r="J62" i="16"/>
  <c r="J120" i="16"/>
  <c r="J139" i="16"/>
  <c r="J88" i="16"/>
  <c r="J122" i="16"/>
  <c r="J140" i="16"/>
  <c r="J113" i="16"/>
  <c r="J124" i="16"/>
  <c r="J141" i="16"/>
  <c r="J142" i="16"/>
  <c r="K138" i="16"/>
  <c r="K3" i="26"/>
  <c r="AJ43" i="26"/>
  <c r="K139" i="16"/>
  <c r="K5" i="26"/>
  <c r="AK43" i="26"/>
  <c r="AL43" i="26"/>
  <c r="F6" i="27"/>
  <c r="K57" i="26"/>
  <c r="K90" i="26"/>
  <c r="AG90" i="26"/>
  <c r="AE36" i="31"/>
  <c r="BP36" i="31"/>
  <c r="C189" i="36"/>
  <c r="C189" i="38"/>
  <c r="C189" i="41"/>
  <c r="C189" i="37"/>
  <c r="C189" i="40"/>
  <c r="C189" i="44"/>
  <c r="H56" i="32"/>
  <c r="J56" i="32"/>
  <c r="K131" i="16"/>
  <c r="K2" i="32"/>
  <c r="N43" i="32"/>
  <c r="K4" i="32"/>
  <c r="O43" i="32"/>
  <c r="P43" i="32"/>
  <c r="F12" i="27"/>
  <c r="J57" i="32"/>
  <c r="J90" i="32"/>
  <c r="F35" i="45"/>
  <c r="K35" i="45"/>
  <c r="P35" i="45"/>
  <c r="K34" i="14"/>
  <c r="P34" i="14"/>
  <c r="K35" i="29"/>
  <c r="AA90" i="32"/>
  <c r="N36" i="33"/>
  <c r="P36" i="33"/>
  <c r="AE36" i="33"/>
  <c r="H189" i="36"/>
  <c r="H189" i="38"/>
  <c r="H189" i="41"/>
  <c r="H189" i="37"/>
  <c r="H189" i="40"/>
  <c r="H189" i="44"/>
  <c r="I56" i="32"/>
  <c r="K56" i="32"/>
  <c r="K140" i="16"/>
  <c r="K3" i="32"/>
  <c r="AE43" i="32"/>
  <c r="K5" i="32"/>
  <c r="AF43" i="32"/>
  <c r="AG43" i="32"/>
  <c r="F13" i="27"/>
  <c r="K57" i="32"/>
  <c r="K90" i="32"/>
  <c r="AB90" i="32"/>
  <c r="O36" i="33"/>
  <c r="AF36" i="33"/>
  <c r="I189" i="36"/>
  <c r="I189" i="38"/>
  <c r="I189" i="41"/>
  <c r="I189" i="37"/>
  <c r="I189" i="40"/>
  <c r="I189" i="44"/>
  <c r="N9" i="24"/>
  <c r="K132" i="16"/>
  <c r="K2" i="24"/>
  <c r="N43" i="24"/>
  <c r="F15" i="27"/>
  <c r="N10" i="24"/>
  <c r="AE43" i="24"/>
  <c r="AV43" i="24"/>
  <c r="AR36" i="25"/>
  <c r="CM36" i="25"/>
  <c r="P189" i="36"/>
  <c r="P189" i="38"/>
  <c r="P189" i="41"/>
  <c r="P189" i="37"/>
  <c r="P189" i="40"/>
  <c r="P189" i="44"/>
  <c r="O9" i="24"/>
  <c r="K141" i="16"/>
  <c r="K3" i="24"/>
  <c r="O43" i="24"/>
  <c r="F16" i="27"/>
  <c r="O10" i="24"/>
  <c r="AF43" i="24"/>
  <c r="AW43" i="24"/>
  <c r="AS36" i="25"/>
  <c r="CN36" i="25"/>
  <c r="Q189" i="36"/>
  <c r="Q189" i="38"/>
  <c r="Q189" i="41"/>
  <c r="Q189" i="37"/>
  <c r="Q189" i="40"/>
  <c r="Q189" i="44"/>
  <c r="R151" i="36"/>
  <c r="R189" i="36"/>
  <c r="U35" i="13"/>
  <c r="U35" i="29"/>
  <c r="R189" i="38"/>
  <c r="R189" i="41"/>
  <c r="R189" i="37"/>
  <c r="R189" i="40"/>
  <c r="R189" i="44"/>
  <c r="AB189" i="44"/>
  <c r="AG189" i="44"/>
  <c r="N49" i="22"/>
  <c r="AE49" i="22"/>
  <c r="U33" i="14"/>
  <c r="Z33" i="14"/>
  <c r="AE33" i="14"/>
  <c r="AJ33" i="14"/>
  <c r="AO33" i="14"/>
  <c r="AT33" i="14"/>
  <c r="I35" i="64"/>
  <c r="AY33" i="14"/>
  <c r="I35" i="65"/>
  <c r="BI33" i="14"/>
  <c r="P34" i="29"/>
  <c r="AV49" i="22"/>
  <c r="AO35" i="25"/>
  <c r="N49" i="23"/>
  <c r="AE49" i="23"/>
  <c r="AV49" i="23"/>
  <c r="AL35" i="25"/>
  <c r="AT35" i="25"/>
  <c r="CJ35" i="25"/>
  <c r="M188" i="36"/>
  <c r="BN33" i="14"/>
  <c r="M188" i="38"/>
  <c r="M188" i="41"/>
  <c r="M188" i="37"/>
  <c r="M188" i="40"/>
  <c r="M188" i="44"/>
  <c r="AE188" i="44"/>
  <c r="R42" i="26"/>
  <c r="S42" i="26"/>
  <c r="Q36" i="20"/>
  <c r="T42" i="26"/>
  <c r="U42" i="26"/>
  <c r="J89" i="26"/>
  <c r="AF89" i="26"/>
  <c r="AD35" i="31"/>
  <c r="AJ35" i="31"/>
  <c r="BO35" i="31"/>
  <c r="B188" i="36"/>
  <c r="B188" i="38"/>
  <c r="B188" i="41"/>
  <c r="B188" i="37"/>
  <c r="B188" i="40"/>
  <c r="B188" i="44"/>
  <c r="S188" i="44"/>
  <c r="AJ188" i="44"/>
  <c r="CG35" i="25"/>
  <c r="J188" i="36"/>
  <c r="J188" i="38"/>
  <c r="J188" i="41"/>
  <c r="J188" i="37"/>
  <c r="J188" i="40"/>
  <c r="J188" i="44"/>
  <c r="AD188" i="44"/>
  <c r="AI188" i="44"/>
  <c r="R43" i="30"/>
  <c r="AN43" i="30"/>
  <c r="BJ43" i="30"/>
  <c r="AF35" i="31"/>
  <c r="BQ35" i="31"/>
  <c r="D188" i="36"/>
  <c r="D188" i="38"/>
  <c r="D188" i="41"/>
  <c r="D188" i="37"/>
  <c r="D188" i="40"/>
  <c r="D188" i="44"/>
  <c r="AC188" i="44"/>
  <c r="AH188" i="44"/>
  <c r="AJ42" i="26"/>
  <c r="AK42" i="26"/>
  <c r="AL42" i="26"/>
  <c r="K89" i="26"/>
  <c r="AG89" i="26"/>
  <c r="AE35" i="31"/>
  <c r="BP35" i="31"/>
  <c r="C188" i="36"/>
  <c r="C188" i="38"/>
  <c r="C188" i="41"/>
  <c r="C188" i="37"/>
  <c r="C188" i="40"/>
  <c r="C188" i="44"/>
  <c r="N42" i="32"/>
  <c r="O42" i="32"/>
  <c r="P42" i="32"/>
  <c r="J89" i="32"/>
  <c r="F34" i="45"/>
  <c r="K34" i="45"/>
  <c r="P34" i="45"/>
  <c r="K33" i="14"/>
  <c r="P33" i="14"/>
  <c r="K34" i="29"/>
  <c r="AA89" i="32"/>
  <c r="N35" i="33"/>
  <c r="P35" i="33"/>
  <c r="AE35" i="33"/>
  <c r="H188" i="36"/>
  <c r="H188" i="38"/>
  <c r="H188" i="41"/>
  <c r="H188" i="37"/>
  <c r="H188" i="40"/>
  <c r="H188" i="44"/>
  <c r="AE42" i="32"/>
  <c r="AF42" i="32"/>
  <c r="AG42" i="32"/>
  <c r="K89" i="32"/>
  <c r="AB89" i="32"/>
  <c r="O35" i="33"/>
  <c r="AF35" i="33"/>
  <c r="I188" i="36"/>
  <c r="I188" i="38"/>
  <c r="I188" i="41"/>
  <c r="I188" i="37"/>
  <c r="I188" i="40"/>
  <c r="I188" i="44"/>
  <c r="N42" i="24"/>
  <c r="AE42" i="24"/>
  <c r="AV42" i="24"/>
  <c r="AR35" i="25"/>
  <c r="CM35" i="25"/>
  <c r="P188" i="36"/>
  <c r="P188" i="38"/>
  <c r="P188" i="41"/>
  <c r="P188" i="37"/>
  <c r="P188" i="40"/>
  <c r="P188" i="44"/>
  <c r="O42" i="24"/>
  <c r="AF42" i="24"/>
  <c r="AW42" i="24"/>
  <c r="AS35" i="25"/>
  <c r="CN35" i="25"/>
  <c r="Q188" i="36"/>
  <c r="Q188" i="38"/>
  <c r="Q188" i="41"/>
  <c r="Q188" i="37"/>
  <c r="Q188" i="40"/>
  <c r="Q188" i="44"/>
  <c r="R150" i="36"/>
  <c r="R188" i="36"/>
  <c r="U34" i="13"/>
  <c r="U34" i="29"/>
  <c r="R188" i="38"/>
  <c r="R188" i="41"/>
  <c r="R188" i="37"/>
  <c r="R188" i="40"/>
  <c r="R188" i="44"/>
  <c r="AB188" i="44"/>
  <c r="AG188" i="44"/>
  <c r="N48" i="22"/>
  <c r="AE48" i="22"/>
  <c r="U32" i="14"/>
  <c r="Z32" i="14"/>
  <c r="AE32" i="14"/>
  <c r="AJ32" i="14"/>
  <c r="AO32" i="14"/>
  <c r="AT32" i="14"/>
  <c r="I34" i="64"/>
  <c r="AY32" i="14"/>
  <c r="I34" i="65"/>
  <c r="BI32" i="14"/>
  <c r="P33" i="29"/>
  <c r="AV48" i="22"/>
  <c r="AO34" i="25"/>
  <c r="N48" i="23"/>
  <c r="AE48" i="23"/>
  <c r="AV48" i="23"/>
  <c r="AL34" i="25"/>
  <c r="AT34" i="25"/>
  <c r="CJ34" i="25"/>
  <c r="M187" i="36"/>
  <c r="BN32" i="14"/>
  <c r="M187" i="38"/>
  <c r="M187" i="41"/>
  <c r="M187" i="37"/>
  <c r="M187" i="40"/>
  <c r="M187" i="44"/>
  <c r="AE187" i="44"/>
  <c r="R41" i="26"/>
  <c r="S41" i="26"/>
  <c r="Q35" i="20"/>
  <c r="T41" i="26"/>
  <c r="U41" i="26"/>
  <c r="J88" i="26"/>
  <c r="AF88" i="26"/>
  <c r="AD34" i="31"/>
  <c r="AJ34" i="31"/>
  <c r="BO34" i="31"/>
  <c r="B187" i="36"/>
  <c r="B187" i="38"/>
  <c r="B187" i="41"/>
  <c r="B187" i="37"/>
  <c r="B187" i="40"/>
  <c r="B187" i="44"/>
  <c r="S187" i="44"/>
  <c r="AJ187" i="44"/>
  <c r="CG34" i="25"/>
  <c r="J187" i="36"/>
  <c r="J187" i="38"/>
  <c r="J187" i="41"/>
  <c r="J187" i="37"/>
  <c r="J187" i="40"/>
  <c r="J187" i="44"/>
  <c r="AD187" i="44"/>
  <c r="AI187" i="44"/>
  <c r="R42" i="30"/>
  <c r="AN42" i="30"/>
  <c r="BJ42" i="30"/>
  <c r="AF34" i="31"/>
  <c r="BQ34" i="31"/>
  <c r="D187" i="36"/>
  <c r="D187" i="38"/>
  <c r="D187" i="41"/>
  <c r="D187" i="37"/>
  <c r="D187" i="40"/>
  <c r="D187" i="44"/>
  <c r="AC187" i="44"/>
  <c r="AH187" i="44"/>
  <c r="AJ41" i="26"/>
  <c r="AK41" i="26"/>
  <c r="AL41" i="26"/>
  <c r="K88" i="26"/>
  <c r="AG88" i="26"/>
  <c r="AE34" i="31"/>
  <c r="BP34" i="31"/>
  <c r="C187" i="36"/>
  <c r="C187" i="38"/>
  <c r="C187" i="41"/>
  <c r="C187" i="37"/>
  <c r="C187" i="40"/>
  <c r="C187" i="44"/>
  <c r="N41" i="32"/>
  <c r="O41" i="32"/>
  <c r="P41" i="32"/>
  <c r="J88" i="32"/>
  <c r="F33" i="45"/>
  <c r="K33" i="45"/>
  <c r="P33" i="45"/>
  <c r="K32" i="14"/>
  <c r="P32" i="14"/>
  <c r="K33" i="29"/>
  <c r="AA88" i="32"/>
  <c r="N34" i="33"/>
  <c r="P34" i="33"/>
  <c r="AE34" i="33"/>
  <c r="H187" i="36"/>
  <c r="H187" i="38"/>
  <c r="H187" i="41"/>
  <c r="H187" i="37"/>
  <c r="H187" i="40"/>
  <c r="H187" i="44"/>
  <c r="AE41" i="32"/>
  <c r="AF41" i="32"/>
  <c r="AG41" i="32"/>
  <c r="K88" i="32"/>
  <c r="AB88" i="32"/>
  <c r="O34" i="33"/>
  <c r="AF34" i="33"/>
  <c r="I187" i="36"/>
  <c r="I187" i="38"/>
  <c r="I187" i="41"/>
  <c r="I187" i="37"/>
  <c r="I187" i="40"/>
  <c r="I187" i="44"/>
  <c r="N41" i="24"/>
  <c r="AE41" i="24"/>
  <c r="AV41" i="24"/>
  <c r="AR34" i="25"/>
  <c r="CM34" i="25"/>
  <c r="P187" i="36"/>
  <c r="P187" i="38"/>
  <c r="P187" i="41"/>
  <c r="P187" i="37"/>
  <c r="P187" i="40"/>
  <c r="P187" i="44"/>
  <c r="O41" i="24"/>
  <c r="AF41" i="24"/>
  <c r="AW41" i="24"/>
  <c r="AS34" i="25"/>
  <c r="CN34" i="25"/>
  <c r="Q187" i="36"/>
  <c r="Q187" i="38"/>
  <c r="Q187" i="41"/>
  <c r="Q187" i="37"/>
  <c r="Q187" i="40"/>
  <c r="Q187" i="44"/>
  <c r="R149" i="36"/>
  <c r="R187" i="36"/>
  <c r="U33" i="13"/>
  <c r="U33" i="29"/>
  <c r="R187" i="38"/>
  <c r="R187" i="41"/>
  <c r="R187" i="37"/>
  <c r="R187" i="40"/>
  <c r="R187" i="44"/>
  <c r="AB187" i="44"/>
  <c r="AG187" i="44"/>
  <c r="N47" i="22"/>
  <c r="AE47" i="22"/>
  <c r="U31" i="14"/>
  <c r="Z31" i="14"/>
  <c r="AE31" i="14"/>
  <c r="AJ31" i="14"/>
  <c r="AO31" i="14"/>
  <c r="AT31" i="14"/>
  <c r="I33" i="64"/>
  <c r="AY31" i="14"/>
  <c r="I33" i="65"/>
  <c r="BI31" i="14"/>
  <c r="P32" i="29"/>
  <c r="AV47" i="22"/>
  <c r="AO33" i="25"/>
  <c r="N47" i="23"/>
  <c r="AE47" i="23"/>
  <c r="AV47" i="23"/>
  <c r="AL33" i="25"/>
  <c r="AT33" i="25"/>
  <c r="CJ33" i="25"/>
  <c r="M186" i="36"/>
  <c r="BN31" i="14"/>
  <c r="M186" i="38"/>
  <c r="M186" i="41"/>
  <c r="M186" i="37"/>
  <c r="M186" i="40"/>
  <c r="M186" i="44"/>
  <c r="AE186" i="44"/>
  <c r="R40" i="26"/>
  <c r="S40" i="26"/>
  <c r="Q34" i="20"/>
  <c r="T40" i="26"/>
  <c r="U40" i="26"/>
  <c r="J87" i="26"/>
  <c r="AF87" i="26"/>
  <c r="AD33" i="31"/>
  <c r="AJ33" i="31"/>
  <c r="BO33" i="31"/>
  <c r="B186" i="36"/>
  <c r="B186" i="38"/>
  <c r="B186" i="41"/>
  <c r="B186" i="37"/>
  <c r="B186" i="40"/>
  <c r="B186" i="44"/>
  <c r="S186" i="44"/>
  <c r="AJ186" i="44"/>
  <c r="CG33" i="25"/>
  <c r="J186" i="36"/>
  <c r="J186" i="38"/>
  <c r="J186" i="41"/>
  <c r="J186" i="37"/>
  <c r="J186" i="40"/>
  <c r="J186" i="44"/>
  <c r="AD186" i="44"/>
  <c r="AI186" i="44"/>
  <c r="R41" i="30"/>
  <c r="AN41" i="30"/>
  <c r="BJ41" i="30"/>
  <c r="AF33" i="31"/>
  <c r="BQ33" i="31"/>
  <c r="D186" i="36"/>
  <c r="D186" i="38"/>
  <c r="D186" i="41"/>
  <c r="D186" i="37"/>
  <c r="D186" i="40"/>
  <c r="D186" i="44"/>
  <c r="AC186" i="44"/>
  <c r="AH186" i="44"/>
  <c r="AJ40" i="26"/>
  <c r="AK40" i="26"/>
  <c r="AL40" i="26"/>
  <c r="K87" i="26"/>
  <c r="AG87" i="26"/>
  <c r="AE33" i="31"/>
  <c r="BP33" i="31"/>
  <c r="C186" i="36"/>
  <c r="C186" i="38"/>
  <c r="C186" i="41"/>
  <c r="C186" i="37"/>
  <c r="C186" i="40"/>
  <c r="C186" i="44"/>
  <c r="N40" i="32"/>
  <c r="O40" i="32"/>
  <c r="P40" i="32"/>
  <c r="J87" i="32"/>
  <c r="F32" i="45"/>
  <c r="K32" i="45"/>
  <c r="P32" i="45"/>
  <c r="K31" i="14"/>
  <c r="P31" i="14"/>
  <c r="K32" i="29"/>
  <c r="AA87" i="32"/>
  <c r="N33" i="33"/>
  <c r="P33" i="33"/>
  <c r="AE33" i="33"/>
  <c r="H186" i="36"/>
  <c r="H186" i="38"/>
  <c r="H186" i="41"/>
  <c r="H186" i="37"/>
  <c r="H186" i="40"/>
  <c r="H186" i="44"/>
  <c r="AE40" i="32"/>
  <c r="AF40" i="32"/>
  <c r="AG40" i="32"/>
  <c r="K87" i="32"/>
  <c r="AB87" i="32"/>
  <c r="O33" i="33"/>
  <c r="AF33" i="33"/>
  <c r="I186" i="36"/>
  <c r="I186" i="38"/>
  <c r="I186" i="41"/>
  <c r="I186" i="37"/>
  <c r="I186" i="40"/>
  <c r="I186" i="44"/>
  <c r="N40" i="24"/>
  <c r="AE40" i="24"/>
  <c r="AV40" i="24"/>
  <c r="AR33" i="25"/>
  <c r="CM33" i="25"/>
  <c r="P186" i="36"/>
  <c r="P186" i="38"/>
  <c r="P186" i="41"/>
  <c r="P186" i="37"/>
  <c r="P186" i="40"/>
  <c r="P186" i="44"/>
  <c r="O40" i="24"/>
  <c r="AF40" i="24"/>
  <c r="AW40" i="24"/>
  <c r="AS33" i="25"/>
  <c r="CN33" i="25"/>
  <c r="Q186" i="36"/>
  <c r="Q186" i="38"/>
  <c r="Q186" i="41"/>
  <c r="Q186" i="37"/>
  <c r="Q186" i="40"/>
  <c r="Q186" i="44"/>
  <c r="R148" i="36"/>
  <c r="R186" i="36"/>
  <c r="U32" i="13"/>
  <c r="U32" i="29"/>
  <c r="R186" i="38"/>
  <c r="R186" i="41"/>
  <c r="R186" i="37"/>
  <c r="R186" i="40"/>
  <c r="R186" i="44"/>
  <c r="AB186" i="44"/>
  <c r="AG186" i="44"/>
  <c r="AE46" i="22"/>
  <c r="P31" i="29"/>
  <c r="AV46" i="22"/>
  <c r="AO32" i="25"/>
  <c r="AE46" i="23"/>
  <c r="AV46" i="23"/>
  <c r="AL32" i="25"/>
  <c r="AT32" i="25"/>
  <c r="CJ32" i="25"/>
  <c r="M185" i="36"/>
  <c r="M185" i="38"/>
  <c r="M185" i="41"/>
  <c r="M185" i="37"/>
  <c r="M185" i="40"/>
  <c r="M185" i="44"/>
  <c r="AE185" i="44"/>
  <c r="J86" i="26"/>
  <c r="AF86" i="26"/>
  <c r="AD32" i="31"/>
  <c r="AJ32" i="31"/>
  <c r="BO32" i="31"/>
  <c r="B185" i="36"/>
  <c r="B185" i="38"/>
  <c r="B185" i="41"/>
  <c r="B185" i="37"/>
  <c r="B185" i="40"/>
  <c r="B185" i="44"/>
  <c r="S185" i="44"/>
  <c r="AJ185" i="44"/>
  <c r="CG32" i="25"/>
  <c r="J185" i="36"/>
  <c r="J185" i="38"/>
  <c r="J185" i="41"/>
  <c r="J185" i="37"/>
  <c r="J185" i="40"/>
  <c r="J185" i="44"/>
  <c r="AD185" i="44"/>
  <c r="AI185" i="44"/>
  <c r="AN40" i="30"/>
  <c r="BJ40" i="30"/>
  <c r="AF32" i="31"/>
  <c r="BQ32" i="31"/>
  <c r="D185" i="36"/>
  <c r="D185" i="38"/>
  <c r="D185" i="41"/>
  <c r="D185" i="37"/>
  <c r="D185" i="40"/>
  <c r="D185" i="44"/>
  <c r="AC185" i="44"/>
  <c r="AH185" i="44"/>
  <c r="K86" i="26"/>
  <c r="AG86" i="26"/>
  <c r="AE32" i="31"/>
  <c r="BP32" i="31"/>
  <c r="C185" i="36"/>
  <c r="C185" i="38"/>
  <c r="C185" i="41"/>
  <c r="C185" i="37"/>
  <c r="C185" i="40"/>
  <c r="C185" i="44"/>
  <c r="J86" i="32"/>
  <c r="K31" i="29"/>
  <c r="AA86" i="32"/>
  <c r="N32" i="33"/>
  <c r="P32" i="33"/>
  <c r="AE32" i="33"/>
  <c r="H185" i="36"/>
  <c r="H185" i="38"/>
  <c r="H185" i="41"/>
  <c r="H185" i="37"/>
  <c r="H185" i="40"/>
  <c r="H185" i="44"/>
  <c r="K86" i="32"/>
  <c r="AB86" i="32"/>
  <c r="O32" i="33"/>
  <c r="AF32" i="33"/>
  <c r="I185" i="36"/>
  <c r="I185" i="38"/>
  <c r="I185" i="41"/>
  <c r="I185" i="37"/>
  <c r="I185" i="40"/>
  <c r="I185" i="44"/>
  <c r="AE39" i="24"/>
  <c r="AV39" i="24"/>
  <c r="AR32" i="25"/>
  <c r="CM32" i="25"/>
  <c r="P185" i="36"/>
  <c r="P185" i="38"/>
  <c r="P185" i="41"/>
  <c r="P185" i="37"/>
  <c r="P185" i="40"/>
  <c r="P185" i="44"/>
  <c r="AF39" i="24"/>
  <c r="AW39" i="24"/>
  <c r="AS32" i="25"/>
  <c r="CN32" i="25"/>
  <c r="Q185" i="36"/>
  <c r="Q185" i="38"/>
  <c r="Q185" i="41"/>
  <c r="Q185" i="37"/>
  <c r="Q185" i="40"/>
  <c r="Q185" i="44"/>
  <c r="R147" i="36"/>
  <c r="R185" i="36"/>
  <c r="R185" i="38"/>
  <c r="R185" i="41"/>
  <c r="R185" i="37"/>
  <c r="R185" i="40"/>
  <c r="R185" i="44"/>
  <c r="AB185" i="44"/>
  <c r="AG185" i="44"/>
  <c r="N15" i="22"/>
  <c r="N45" i="22"/>
  <c r="AE45" i="22"/>
  <c r="U29" i="14"/>
  <c r="Z29" i="14"/>
  <c r="AE29" i="14"/>
  <c r="AJ29" i="14"/>
  <c r="AO29" i="14"/>
  <c r="AT29" i="14"/>
  <c r="I31" i="64"/>
  <c r="AY29" i="14"/>
  <c r="I31" i="65"/>
  <c r="BI29" i="14"/>
  <c r="P30" i="29"/>
  <c r="AV45" i="22"/>
  <c r="AO31" i="25"/>
  <c r="N15" i="23"/>
  <c r="N45" i="23"/>
  <c r="AE45" i="23"/>
  <c r="AV45" i="23"/>
  <c r="AL31" i="25"/>
  <c r="AT31" i="25"/>
  <c r="CJ31" i="25"/>
  <c r="M184" i="36"/>
  <c r="BN29" i="14"/>
  <c r="M184" i="38"/>
  <c r="M184" i="41"/>
  <c r="M184" i="37"/>
  <c r="M184" i="40"/>
  <c r="M184" i="44"/>
  <c r="AE184" i="44"/>
  <c r="J55" i="26"/>
  <c r="R38" i="26"/>
  <c r="S38" i="26"/>
  <c r="Q32" i="20"/>
  <c r="T38" i="26"/>
  <c r="U38" i="26"/>
  <c r="J85" i="26"/>
  <c r="AF85" i="26"/>
  <c r="AD31" i="31"/>
  <c r="AJ31" i="31"/>
  <c r="BO31" i="31"/>
  <c r="B184" i="36"/>
  <c r="B184" i="38"/>
  <c r="B184" i="41"/>
  <c r="B184" i="37"/>
  <c r="B184" i="40"/>
  <c r="B184" i="44"/>
  <c r="S184" i="44"/>
  <c r="AJ184" i="44"/>
  <c r="CG31" i="25"/>
  <c r="J184" i="36"/>
  <c r="J184" i="38"/>
  <c r="J184" i="41"/>
  <c r="J184" i="37"/>
  <c r="J184" i="40"/>
  <c r="J184" i="44"/>
  <c r="AD184" i="44"/>
  <c r="AI184" i="44"/>
  <c r="R39" i="30"/>
  <c r="AN39" i="30"/>
  <c r="BJ39" i="30"/>
  <c r="AF31" i="31"/>
  <c r="BQ31" i="31"/>
  <c r="D184" i="36"/>
  <c r="D184" i="38"/>
  <c r="D184" i="41"/>
  <c r="D184" i="37"/>
  <c r="D184" i="40"/>
  <c r="D184" i="44"/>
  <c r="AC184" i="44"/>
  <c r="AH184" i="44"/>
  <c r="I55" i="26"/>
  <c r="K55" i="26"/>
  <c r="AJ38" i="26"/>
  <c r="AK38" i="26"/>
  <c r="AL38" i="26"/>
  <c r="K85" i="26"/>
  <c r="AG85" i="26"/>
  <c r="AE31" i="31"/>
  <c r="BP31" i="31"/>
  <c r="C184" i="36"/>
  <c r="C184" i="38"/>
  <c r="C184" i="41"/>
  <c r="C184" i="37"/>
  <c r="C184" i="40"/>
  <c r="C184" i="44"/>
  <c r="H55" i="32"/>
  <c r="J55" i="32"/>
  <c r="N38" i="32"/>
  <c r="O38" i="32"/>
  <c r="P38" i="32"/>
  <c r="J85" i="32"/>
  <c r="F30" i="45"/>
  <c r="K30" i="45"/>
  <c r="P30" i="45"/>
  <c r="K29" i="14"/>
  <c r="P29" i="14"/>
  <c r="K30" i="29"/>
  <c r="AA85" i="32"/>
  <c r="N31" i="33"/>
  <c r="P31" i="33"/>
  <c r="AE31" i="33"/>
  <c r="H184" i="36"/>
  <c r="H184" i="38"/>
  <c r="H184" i="41"/>
  <c r="H184" i="37"/>
  <c r="H184" i="40"/>
  <c r="H184" i="44"/>
  <c r="I55" i="32"/>
  <c r="K55" i="32"/>
  <c r="AE38" i="32"/>
  <c r="AF38" i="32"/>
  <c r="AG38" i="32"/>
  <c r="K85" i="32"/>
  <c r="AB85" i="32"/>
  <c r="O31" i="33"/>
  <c r="AF31" i="33"/>
  <c r="I184" i="36"/>
  <c r="I184" i="38"/>
  <c r="I184" i="41"/>
  <c r="I184" i="37"/>
  <c r="I184" i="40"/>
  <c r="I184" i="44"/>
  <c r="N38" i="24"/>
  <c r="AE38" i="24"/>
  <c r="AV38" i="24"/>
  <c r="AR31" i="25"/>
  <c r="CM31" i="25"/>
  <c r="P184" i="36"/>
  <c r="P184" i="38"/>
  <c r="P184" i="41"/>
  <c r="P184" i="37"/>
  <c r="P184" i="40"/>
  <c r="P184" i="44"/>
  <c r="O38" i="24"/>
  <c r="AF38" i="24"/>
  <c r="AW38" i="24"/>
  <c r="AS31" i="25"/>
  <c r="CN31" i="25"/>
  <c r="Q184" i="36"/>
  <c r="Q184" i="38"/>
  <c r="Q184" i="41"/>
  <c r="Q184" i="37"/>
  <c r="Q184" i="40"/>
  <c r="Q184" i="44"/>
  <c r="R146" i="36"/>
  <c r="R184" i="36"/>
  <c r="U30" i="13"/>
  <c r="U30" i="29"/>
  <c r="R184" i="38"/>
  <c r="R184" i="41"/>
  <c r="R184" i="37"/>
  <c r="R184" i="40"/>
  <c r="R184" i="44"/>
  <c r="AB184" i="44"/>
  <c r="AG184" i="44"/>
  <c r="N44" i="22"/>
  <c r="AE44" i="22"/>
  <c r="U28" i="14"/>
  <c r="Z28" i="14"/>
  <c r="AE28" i="14"/>
  <c r="AJ28" i="14"/>
  <c r="AO28" i="14"/>
  <c r="AT28" i="14"/>
  <c r="I30" i="64"/>
  <c r="AY28" i="14"/>
  <c r="I30" i="65"/>
  <c r="BI28" i="14"/>
  <c r="P29" i="29"/>
  <c r="AV44" i="22"/>
  <c r="AO30" i="25"/>
  <c r="N44" i="23"/>
  <c r="AE44" i="23"/>
  <c r="AV44" i="23"/>
  <c r="AL30" i="25"/>
  <c r="AT30" i="25"/>
  <c r="CJ30" i="25"/>
  <c r="M183" i="36"/>
  <c r="BN28" i="14"/>
  <c r="M183" i="38"/>
  <c r="M183" i="41"/>
  <c r="M183" i="37"/>
  <c r="M183" i="40"/>
  <c r="M183" i="44"/>
  <c r="AE183" i="44"/>
  <c r="R37" i="26"/>
  <c r="S37" i="26"/>
  <c r="Q31" i="20"/>
  <c r="T37" i="26"/>
  <c r="U37" i="26"/>
  <c r="J84" i="26"/>
  <c r="AF84" i="26"/>
  <c r="AD30" i="31"/>
  <c r="AJ30" i="31"/>
  <c r="BO30" i="31"/>
  <c r="B183" i="36"/>
  <c r="B183" i="38"/>
  <c r="B183" i="41"/>
  <c r="B183" i="37"/>
  <c r="B183" i="40"/>
  <c r="B183" i="44"/>
  <c r="S183" i="44"/>
  <c r="AJ183" i="44"/>
  <c r="CG30" i="25"/>
  <c r="J183" i="36"/>
  <c r="J183" i="38"/>
  <c r="J183" i="41"/>
  <c r="J183" i="37"/>
  <c r="J183" i="40"/>
  <c r="J183" i="44"/>
  <c r="AD183" i="44"/>
  <c r="AI183" i="44"/>
  <c r="R38" i="30"/>
  <c r="AN38" i="30"/>
  <c r="BJ38" i="30"/>
  <c r="AF30" i="31"/>
  <c r="BQ30" i="31"/>
  <c r="D183" i="36"/>
  <c r="D183" i="38"/>
  <c r="D183" i="41"/>
  <c r="D183" i="37"/>
  <c r="D183" i="40"/>
  <c r="D183" i="44"/>
  <c r="AC183" i="44"/>
  <c r="AH183" i="44"/>
  <c r="AJ37" i="26"/>
  <c r="AK37" i="26"/>
  <c r="AL37" i="26"/>
  <c r="K84" i="26"/>
  <c r="AG84" i="26"/>
  <c r="AE30" i="31"/>
  <c r="BP30" i="31"/>
  <c r="C183" i="36"/>
  <c r="C183" i="38"/>
  <c r="C183" i="41"/>
  <c r="C183" i="37"/>
  <c r="C183" i="40"/>
  <c r="C183" i="44"/>
  <c r="N37" i="32"/>
  <c r="O37" i="32"/>
  <c r="P37" i="32"/>
  <c r="J84" i="32"/>
  <c r="F29" i="45"/>
  <c r="K29" i="45"/>
  <c r="P29" i="45"/>
  <c r="K28" i="14"/>
  <c r="P28" i="14"/>
  <c r="K29" i="29"/>
  <c r="AA84" i="32"/>
  <c r="N30" i="33"/>
  <c r="P30" i="33"/>
  <c r="AE30" i="33"/>
  <c r="H183" i="36"/>
  <c r="H183" i="38"/>
  <c r="H183" i="41"/>
  <c r="H183" i="37"/>
  <c r="H183" i="40"/>
  <c r="H183" i="44"/>
  <c r="AE37" i="32"/>
  <c r="AF37" i="32"/>
  <c r="AG37" i="32"/>
  <c r="K84" i="32"/>
  <c r="AB84" i="32"/>
  <c r="O30" i="33"/>
  <c r="AF30" i="33"/>
  <c r="I183" i="36"/>
  <c r="I183" i="38"/>
  <c r="I183" i="41"/>
  <c r="I183" i="37"/>
  <c r="I183" i="40"/>
  <c r="I183" i="44"/>
  <c r="N37" i="24"/>
  <c r="AE37" i="24"/>
  <c r="AV37" i="24"/>
  <c r="AR30" i="25"/>
  <c r="CM30" i="25"/>
  <c r="P183" i="36"/>
  <c r="P183" i="38"/>
  <c r="P183" i="41"/>
  <c r="P183" i="37"/>
  <c r="P183" i="40"/>
  <c r="P183" i="44"/>
  <c r="O37" i="24"/>
  <c r="AF37" i="24"/>
  <c r="AW37" i="24"/>
  <c r="AS30" i="25"/>
  <c r="CN30" i="25"/>
  <c r="Q183" i="36"/>
  <c r="Q183" i="38"/>
  <c r="Q183" i="41"/>
  <c r="Q183" i="37"/>
  <c r="Q183" i="40"/>
  <c r="Q183" i="44"/>
  <c r="R145" i="36"/>
  <c r="R183" i="36"/>
  <c r="U29" i="13"/>
  <c r="U29" i="29"/>
  <c r="R183" i="38"/>
  <c r="R183" i="41"/>
  <c r="R183" i="37"/>
  <c r="R183" i="40"/>
  <c r="R183" i="44"/>
  <c r="AB183" i="44"/>
  <c r="AG183" i="44"/>
  <c r="N43" i="22"/>
  <c r="AE43" i="22"/>
  <c r="U27" i="14"/>
  <c r="Z27" i="14"/>
  <c r="AE27" i="14"/>
  <c r="AJ27" i="14"/>
  <c r="AO27" i="14"/>
  <c r="AT27" i="14"/>
  <c r="I29" i="64"/>
  <c r="AY27" i="14"/>
  <c r="I29" i="65"/>
  <c r="BI27" i="14"/>
  <c r="P28" i="29"/>
  <c r="AV43" i="22"/>
  <c r="AO29" i="25"/>
  <c r="N43" i="23"/>
  <c r="AE43" i="23"/>
  <c r="AV43" i="23"/>
  <c r="AL29" i="25"/>
  <c r="AT29" i="25"/>
  <c r="CJ29" i="25"/>
  <c r="M182" i="36"/>
  <c r="BN27" i="14"/>
  <c r="M182" i="38"/>
  <c r="M182" i="41"/>
  <c r="M182" i="37"/>
  <c r="M182" i="40"/>
  <c r="M182" i="44"/>
  <c r="AE182" i="44"/>
  <c r="R36" i="26"/>
  <c r="S36" i="26"/>
  <c r="Q30" i="20"/>
  <c r="T36" i="26"/>
  <c r="U36" i="26"/>
  <c r="J83" i="26"/>
  <c r="AF83" i="26"/>
  <c r="AD29" i="31"/>
  <c r="AJ29" i="31"/>
  <c r="BO29" i="31"/>
  <c r="B182" i="36"/>
  <c r="B182" i="38"/>
  <c r="B182" i="41"/>
  <c r="B182" i="37"/>
  <c r="B182" i="40"/>
  <c r="B182" i="44"/>
  <c r="S182" i="44"/>
  <c r="AJ182" i="44"/>
  <c r="CG29" i="25"/>
  <c r="J182" i="36"/>
  <c r="J182" i="38"/>
  <c r="J182" i="41"/>
  <c r="J182" i="37"/>
  <c r="J182" i="40"/>
  <c r="J182" i="44"/>
  <c r="AD182" i="44"/>
  <c r="AI182" i="44"/>
  <c r="R37" i="30"/>
  <c r="AN37" i="30"/>
  <c r="BJ37" i="30"/>
  <c r="AF29" i="31"/>
  <c r="BQ29" i="31"/>
  <c r="D182" i="36"/>
  <c r="D182" i="38"/>
  <c r="D182" i="41"/>
  <c r="D182" i="37"/>
  <c r="D182" i="40"/>
  <c r="D182" i="44"/>
  <c r="AC182" i="44"/>
  <c r="AH182" i="44"/>
  <c r="AJ36" i="26"/>
  <c r="AK36" i="26"/>
  <c r="AL36" i="26"/>
  <c r="K83" i="26"/>
  <c r="AG83" i="26"/>
  <c r="AE29" i="31"/>
  <c r="BP29" i="31"/>
  <c r="C182" i="36"/>
  <c r="C182" i="38"/>
  <c r="C182" i="41"/>
  <c r="C182" i="37"/>
  <c r="C182" i="40"/>
  <c r="C182" i="44"/>
  <c r="N36" i="32"/>
  <c r="O36" i="32"/>
  <c r="P36" i="32"/>
  <c r="J83" i="32"/>
  <c r="F28" i="45"/>
  <c r="K28" i="45"/>
  <c r="P28" i="45"/>
  <c r="K27" i="14"/>
  <c r="P27" i="14"/>
  <c r="K28" i="29"/>
  <c r="AA83" i="32"/>
  <c r="N29" i="33"/>
  <c r="P29" i="33"/>
  <c r="AE29" i="33"/>
  <c r="H182" i="36"/>
  <c r="H182" i="38"/>
  <c r="H182" i="41"/>
  <c r="H182" i="37"/>
  <c r="H182" i="40"/>
  <c r="H182" i="44"/>
  <c r="AE36" i="32"/>
  <c r="AF36" i="32"/>
  <c r="AG36" i="32"/>
  <c r="K83" i="32"/>
  <c r="AB83" i="32"/>
  <c r="O29" i="33"/>
  <c r="AF29" i="33"/>
  <c r="I182" i="36"/>
  <c r="I182" i="38"/>
  <c r="I182" i="41"/>
  <c r="I182" i="37"/>
  <c r="I182" i="40"/>
  <c r="I182" i="44"/>
  <c r="N36" i="24"/>
  <c r="AE36" i="24"/>
  <c r="AV36" i="24"/>
  <c r="AR29" i="25"/>
  <c r="CM29" i="25"/>
  <c r="P182" i="36"/>
  <c r="P182" i="38"/>
  <c r="P182" i="41"/>
  <c r="P182" i="37"/>
  <c r="P182" i="40"/>
  <c r="P182" i="44"/>
  <c r="O36" i="24"/>
  <c r="AF36" i="24"/>
  <c r="AW36" i="24"/>
  <c r="AS29" i="25"/>
  <c r="CN29" i="25"/>
  <c r="Q182" i="36"/>
  <c r="Q182" i="38"/>
  <c r="Q182" i="41"/>
  <c r="Q182" i="37"/>
  <c r="Q182" i="40"/>
  <c r="Q182" i="44"/>
  <c r="R144" i="36"/>
  <c r="R182" i="36"/>
  <c r="U28" i="13"/>
  <c r="U28" i="29"/>
  <c r="R182" i="38"/>
  <c r="R182" i="41"/>
  <c r="R182" i="37"/>
  <c r="R182" i="40"/>
  <c r="R182" i="44"/>
  <c r="AB182" i="44"/>
  <c r="AG182" i="44"/>
  <c r="AE42" i="22"/>
  <c r="P27" i="29"/>
  <c r="AV42" i="22"/>
  <c r="AO28" i="25"/>
  <c r="AE42" i="23"/>
  <c r="AV42" i="23"/>
  <c r="AL28" i="25"/>
  <c r="AT28" i="25"/>
  <c r="CJ28" i="25"/>
  <c r="M181" i="36"/>
  <c r="M181" i="38"/>
  <c r="M181" i="41"/>
  <c r="M181" i="37"/>
  <c r="M181" i="40"/>
  <c r="M181" i="44"/>
  <c r="AE181" i="44"/>
  <c r="J82" i="26"/>
  <c r="F27" i="29"/>
  <c r="AF82" i="26"/>
  <c r="AD28" i="31"/>
  <c r="AJ28" i="31"/>
  <c r="BO28" i="31"/>
  <c r="B181" i="36"/>
  <c r="B181" i="38"/>
  <c r="B181" i="41"/>
  <c r="B181" i="37"/>
  <c r="B181" i="40"/>
  <c r="B181" i="44"/>
  <c r="S181" i="44"/>
  <c r="AJ181" i="44"/>
  <c r="CG28" i="25"/>
  <c r="J181" i="36"/>
  <c r="J181" i="38"/>
  <c r="J181" i="41"/>
  <c r="J181" i="37"/>
  <c r="J181" i="40"/>
  <c r="J181" i="44"/>
  <c r="AD181" i="44"/>
  <c r="AI181" i="44"/>
  <c r="AN36" i="30"/>
  <c r="BJ36" i="30"/>
  <c r="AF28" i="31"/>
  <c r="BQ28" i="31"/>
  <c r="D181" i="36"/>
  <c r="D181" i="38"/>
  <c r="D181" i="41"/>
  <c r="D181" i="37"/>
  <c r="D181" i="40"/>
  <c r="D181" i="44"/>
  <c r="AC181" i="44"/>
  <c r="AH181" i="44"/>
  <c r="K82" i="26"/>
  <c r="AG82" i="26"/>
  <c r="AE28" i="31"/>
  <c r="BP28" i="31"/>
  <c r="C181" i="36"/>
  <c r="C181" i="38"/>
  <c r="C181" i="41"/>
  <c r="C181" i="37"/>
  <c r="C181" i="40"/>
  <c r="C181" i="44"/>
  <c r="J82" i="32"/>
  <c r="K27" i="29"/>
  <c r="AA82" i="32"/>
  <c r="N28" i="33"/>
  <c r="P28" i="33"/>
  <c r="AE28" i="33"/>
  <c r="H181" i="36"/>
  <c r="H181" i="38"/>
  <c r="H181" i="41"/>
  <c r="H181" i="37"/>
  <c r="H181" i="40"/>
  <c r="H181" i="44"/>
  <c r="K82" i="32"/>
  <c r="AB82" i="32"/>
  <c r="O28" i="33"/>
  <c r="AF28" i="33"/>
  <c r="I181" i="36"/>
  <c r="I181" i="38"/>
  <c r="I181" i="41"/>
  <c r="I181" i="37"/>
  <c r="I181" i="40"/>
  <c r="I181" i="44"/>
  <c r="AE35" i="24"/>
  <c r="AV35" i="24"/>
  <c r="AR28" i="25"/>
  <c r="CM28" i="25"/>
  <c r="P181" i="36"/>
  <c r="P181" i="38"/>
  <c r="P181" i="41"/>
  <c r="P181" i="37"/>
  <c r="P181" i="40"/>
  <c r="P181" i="44"/>
  <c r="AF35" i="24"/>
  <c r="AW35" i="24"/>
  <c r="AS28" i="25"/>
  <c r="CN28" i="25"/>
  <c r="Q181" i="36"/>
  <c r="Q181" i="38"/>
  <c r="Q181" i="41"/>
  <c r="Q181" i="37"/>
  <c r="Q181" i="40"/>
  <c r="Q181" i="44"/>
  <c r="R143" i="36"/>
  <c r="R181" i="36"/>
  <c r="R181" i="38"/>
  <c r="R181" i="41"/>
  <c r="R181" i="37"/>
  <c r="R181" i="40"/>
  <c r="R181" i="44"/>
  <c r="AB181" i="44"/>
  <c r="AG181" i="44"/>
  <c r="N14" i="22"/>
  <c r="N41" i="22"/>
  <c r="AE41" i="22"/>
  <c r="U25" i="14"/>
  <c r="Z25" i="14"/>
  <c r="AE25" i="14"/>
  <c r="AJ25" i="14"/>
  <c r="AO25" i="14"/>
  <c r="AT25" i="14"/>
  <c r="I27" i="64"/>
  <c r="AY25" i="14"/>
  <c r="I27" i="65"/>
  <c r="BI25" i="14"/>
  <c r="P26" i="29"/>
  <c r="AV41" i="22"/>
  <c r="AO27" i="25"/>
  <c r="N14" i="23"/>
  <c r="N41" i="23"/>
  <c r="AE41" i="23"/>
  <c r="AV41" i="23"/>
  <c r="AL27" i="25"/>
  <c r="AT27" i="25"/>
  <c r="CJ27" i="25"/>
  <c r="M180" i="36"/>
  <c r="BN25" i="14"/>
  <c r="M180" i="38"/>
  <c r="M180" i="41"/>
  <c r="M180" i="37"/>
  <c r="M180" i="40"/>
  <c r="M180" i="44"/>
  <c r="AE180" i="44"/>
  <c r="J54" i="26"/>
  <c r="R34" i="26"/>
  <c r="S34" i="26"/>
  <c r="Q28" i="20"/>
  <c r="T34" i="26"/>
  <c r="U34" i="26"/>
  <c r="J81" i="26"/>
  <c r="AF81" i="26"/>
  <c r="AD27" i="31"/>
  <c r="AJ27" i="31"/>
  <c r="BO27" i="31"/>
  <c r="B180" i="36"/>
  <c r="B180" i="38"/>
  <c r="B180" i="41"/>
  <c r="B180" i="37"/>
  <c r="B180" i="40"/>
  <c r="B180" i="44"/>
  <c r="S180" i="44"/>
  <c r="AJ180" i="44"/>
  <c r="CG27" i="25"/>
  <c r="J180" i="36"/>
  <c r="J180" i="38"/>
  <c r="J180" i="41"/>
  <c r="J180" i="37"/>
  <c r="J180" i="40"/>
  <c r="J180" i="44"/>
  <c r="AD180" i="44"/>
  <c r="AI180" i="44"/>
  <c r="R35" i="30"/>
  <c r="AN35" i="30"/>
  <c r="BJ35" i="30"/>
  <c r="AF27" i="31"/>
  <c r="BQ27" i="31"/>
  <c r="D180" i="36"/>
  <c r="D180" i="38"/>
  <c r="D180" i="41"/>
  <c r="D180" i="37"/>
  <c r="D180" i="40"/>
  <c r="D180" i="44"/>
  <c r="AC180" i="44"/>
  <c r="AH180" i="44"/>
  <c r="I54" i="26"/>
  <c r="K54" i="26"/>
  <c r="AJ34" i="26"/>
  <c r="AK34" i="26"/>
  <c r="AL34" i="26"/>
  <c r="K81" i="26"/>
  <c r="AG81" i="26"/>
  <c r="AE27" i="31"/>
  <c r="BP27" i="31"/>
  <c r="C180" i="36"/>
  <c r="C180" i="38"/>
  <c r="C180" i="41"/>
  <c r="C180" i="37"/>
  <c r="C180" i="40"/>
  <c r="C180" i="44"/>
  <c r="H54" i="32"/>
  <c r="J54" i="32"/>
  <c r="N34" i="32"/>
  <c r="O34" i="32"/>
  <c r="P34" i="32"/>
  <c r="J81" i="32"/>
  <c r="F26" i="45"/>
  <c r="K26" i="45"/>
  <c r="P26" i="45"/>
  <c r="K25" i="14"/>
  <c r="P25" i="14"/>
  <c r="K26" i="29"/>
  <c r="AA81" i="32"/>
  <c r="N27" i="33"/>
  <c r="P27" i="33"/>
  <c r="AE27" i="33"/>
  <c r="H180" i="36"/>
  <c r="H180" i="38"/>
  <c r="H180" i="41"/>
  <c r="H180" i="37"/>
  <c r="H180" i="40"/>
  <c r="H180" i="44"/>
  <c r="I54" i="32"/>
  <c r="K54" i="32"/>
  <c r="AE34" i="32"/>
  <c r="AF34" i="32"/>
  <c r="AG34" i="32"/>
  <c r="K81" i="32"/>
  <c r="AB81" i="32"/>
  <c r="O27" i="33"/>
  <c r="AF27" i="33"/>
  <c r="I180" i="36"/>
  <c r="I180" i="38"/>
  <c r="I180" i="41"/>
  <c r="I180" i="37"/>
  <c r="I180" i="40"/>
  <c r="I180" i="44"/>
  <c r="N34" i="24"/>
  <c r="AE34" i="24"/>
  <c r="AV34" i="24"/>
  <c r="AR27" i="25"/>
  <c r="CM27" i="25"/>
  <c r="P180" i="36"/>
  <c r="P180" i="38"/>
  <c r="P180" i="41"/>
  <c r="P180" i="37"/>
  <c r="P180" i="40"/>
  <c r="P180" i="44"/>
  <c r="O34" i="24"/>
  <c r="AF34" i="24"/>
  <c r="AW34" i="24"/>
  <c r="AS27" i="25"/>
  <c r="CN27" i="25"/>
  <c r="Q180" i="36"/>
  <c r="Q180" i="38"/>
  <c r="Q180" i="41"/>
  <c r="Q180" i="37"/>
  <c r="Q180" i="40"/>
  <c r="Q180" i="44"/>
  <c r="R142" i="36"/>
  <c r="R180" i="36"/>
  <c r="U26" i="13"/>
  <c r="U26" i="29"/>
  <c r="R180" i="38"/>
  <c r="R180" i="41"/>
  <c r="R180" i="37"/>
  <c r="R180" i="40"/>
  <c r="R180" i="44"/>
  <c r="AB180" i="44"/>
  <c r="AG180" i="44"/>
  <c r="N13" i="22"/>
  <c r="N40" i="22"/>
  <c r="AE40" i="22"/>
  <c r="U24" i="14"/>
  <c r="Z24" i="14"/>
  <c r="AE24" i="14"/>
  <c r="AJ24" i="14"/>
  <c r="AO24" i="14"/>
  <c r="AT24" i="14"/>
  <c r="I26" i="64"/>
  <c r="AY24" i="14"/>
  <c r="I26" i="65"/>
  <c r="BI24" i="14"/>
  <c r="P25" i="29"/>
  <c r="AV40" i="22"/>
  <c r="AO26" i="25"/>
  <c r="N13" i="23"/>
  <c r="N40" i="23"/>
  <c r="AE40" i="23"/>
  <c r="AV40" i="23"/>
  <c r="AL26" i="25"/>
  <c r="AT26" i="25"/>
  <c r="CJ26" i="25"/>
  <c r="M179" i="36"/>
  <c r="BN24" i="14"/>
  <c r="M179" i="38"/>
  <c r="M179" i="41"/>
  <c r="M179" i="37"/>
  <c r="M179" i="40"/>
  <c r="M179" i="44"/>
  <c r="AE179" i="44"/>
  <c r="J53" i="26"/>
  <c r="R33" i="26"/>
  <c r="S33" i="26"/>
  <c r="Q27" i="20"/>
  <c r="T33" i="26"/>
  <c r="U33" i="26"/>
  <c r="J80" i="26"/>
  <c r="AF80" i="26"/>
  <c r="AD26" i="31"/>
  <c r="AJ26" i="31"/>
  <c r="BO26" i="31"/>
  <c r="B179" i="36"/>
  <c r="B179" i="38"/>
  <c r="B179" i="41"/>
  <c r="B179" i="37"/>
  <c r="B179" i="40"/>
  <c r="B179" i="44"/>
  <c r="S179" i="44"/>
  <c r="AJ179" i="44"/>
  <c r="CG26" i="25"/>
  <c r="J179" i="36"/>
  <c r="J179" i="38"/>
  <c r="J179" i="41"/>
  <c r="J179" i="37"/>
  <c r="J179" i="40"/>
  <c r="J179" i="44"/>
  <c r="AD179" i="44"/>
  <c r="AI179" i="44"/>
  <c r="R34" i="30"/>
  <c r="AN34" i="30"/>
  <c r="BJ34" i="30"/>
  <c r="AF26" i="31"/>
  <c r="BQ26" i="31"/>
  <c r="D179" i="36"/>
  <c r="D179" i="38"/>
  <c r="D179" i="41"/>
  <c r="D179" i="37"/>
  <c r="D179" i="40"/>
  <c r="D179" i="44"/>
  <c r="AC179" i="44"/>
  <c r="AH179" i="44"/>
  <c r="I53" i="26"/>
  <c r="K53" i="26"/>
  <c r="AJ33" i="26"/>
  <c r="AK33" i="26"/>
  <c r="AL33" i="26"/>
  <c r="K80" i="26"/>
  <c r="AG80" i="26"/>
  <c r="AE26" i="31"/>
  <c r="BP26" i="31"/>
  <c r="C179" i="36"/>
  <c r="C179" i="38"/>
  <c r="C179" i="41"/>
  <c r="C179" i="37"/>
  <c r="C179" i="40"/>
  <c r="C179" i="44"/>
  <c r="H53" i="32"/>
  <c r="J53" i="32"/>
  <c r="N33" i="32"/>
  <c r="O33" i="32"/>
  <c r="P33" i="32"/>
  <c r="J80" i="32"/>
  <c r="F25" i="45"/>
  <c r="K25" i="45"/>
  <c r="P25" i="45"/>
  <c r="K24" i="14"/>
  <c r="P24" i="14"/>
  <c r="K25" i="29"/>
  <c r="AA80" i="32"/>
  <c r="N26" i="33"/>
  <c r="P26" i="33"/>
  <c r="AE26" i="33"/>
  <c r="H179" i="36"/>
  <c r="H179" i="38"/>
  <c r="H179" i="41"/>
  <c r="H179" i="37"/>
  <c r="H179" i="40"/>
  <c r="H179" i="44"/>
  <c r="I53" i="32"/>
  <c r="K53" i="32"/>
  <c r="AE33" i="32"/>
  <c r="AF33" i="32"/>
  <c r="AG33" i="32"/>
  <c r="K80" i="32"/>
  <c r="AB80" i="32"/>
  <c r="O26" i="33"/>
  <c r="AF26" i="33"/>
  <c r="I179" i="36"/>
  <c r="I179" i="38"/>
  <c r="I179" i="41"/>
  <c r="I179" i="37"/>
  <c r="I179" i="40"/>
  <c r="I179" i="44"/>
  <c r="N33" i="24"/>
  <c r="AE33" i="24"/>
  <c r="AV33" i="24"/>
  <c r="AR26" i="25"/>
  <c r="CM26" i="25"/>
  <c r="P179" i="36"/>
  <c r="P179" i="38"/>
  <c r="P179" i="41"/>
  <c r="P179" i="37"/>
  <c r="P179" i="40"/>
  <c r="P179" i="44"/>
  <c r="O33" i="24"/>
  <c r="AF33" i="24"/>
  <c r="AW33" i="24"/>
  <c r="AS26" i="25"/>
  <c r="CN26" i="25"/>
  <c r="Q179" i="36"/>
  <c r="Q179" i="38"/>
  <c r="Q179" i="41"/>
  <c r="Q179" i="37"/>
  <c r="Q179" i="40"/>
  <c r="Q179" i="44"/>
  <c r="R141" i="36"/>
  <c r="R179" i="36"/>
  <c r="U25" i="13"/>
  <c r="U25" i="29"/>
  <c r="R179" i="38"/>
  <c r="R179" i="41"/>
  <c r="R179" i="37"/>
  <c r="R179" i="40"/>
  <c r="R179" i="44"/>
  <c r="AB179" i="44"/>
  <c r="AG179" i="44"/>
  <c r="N12" i="22"/>
  <c r="N39" i="22"/>
  <c r="AE39" i="22"/>
  <c r="U23" i="14"/>
  <c r="Z23" i="14"/>
  <c r="AE23" i="14"/>
  <c r="AJ23" i="14"/>
  <c r="AO23" i="14"/>
  <c r="AT23" i="14"/>
  <c r="I25" i="64"/>
  <c r="AY23" i="14"/>
  <c r="I25" i="65"/>
  <c r="BI23" i="14"/>
  <c r="P24" i="29"/>
  <c r="AV39" i="22"/>
  <c r="AO25" i="25"/>
  <c r="N12" i="23"/>
  <c r="N39" i="23"/>
  <c r="AE39" i="23"/>
  <c r="AV39" i="23"/>
  <c r="AL25" i="25"/>
  <c r="AT25" i="25"/>
  <c r="CJ25" i="25"/>
  <c r="M178" i="36"/>
  <c r="BN23" i="14"/>
  <c r="M178" i="38"/>
  <c r="M178" i="41"/>
  <c r="M178" i="37"/>
  <c r="M178" i="40"/>
  <c r="M178" i="44"/>
  <c r="AE178" i="44"/>
  <c r="J52" i="26"/>
  <c r="R32" i="26"/>
  <c r="S32" i="26"/>
  <c r="Q26" i="20"/>
  <c r="T32" i="26"/>
  <c r="U32" i="26"/>
  <c r="J79" i="26"/>
  <c r="AF79" i="26"/>
  <c r="AD25" i="31"/>
  <c r="AJ25" i="31"/>
  <c r="BO25" i="31"/>
  <c r="B178" i="36"/>
  <c r="B178" i="38"/>
  <c r="B178" i="41"/>
  <c r="B178" i="37"/>
  <c r="B178" i="40"/>
  <c r="B178" i="44"/>
  <c r="S178" i="44"/>
  <c r="AJ178" i="44"/>
  <c r="CG25" i="25"/>
  <c r="J178" i="36"/>
  <c r="J178" i="38"/>
  <c r="J178" i="41"/>
  <c r="J178" i="37"/>
  <c r="J178" i="40"/>
  <c r="J178" i="44"/>
  <c r="AD178" i="44"/>
  <c r="AI178" i="44"/>
  <c r="R33" i="30"/>
  <c r="AN33" i="30"/>
  <c r="BJ33" i="30"/>
  <c r="AF25" i="31"/>
  <c r="BQ25" i="31"/>
  <c r="D178" i="36"/>
  <c r="D178" i="38"/>
  <c r="D178" i="41"/>
  <c r="D178" i="37"/>
  <c r="D178" i="40"/>
  <c r="D178" i="44"/>
  <c r="AC178" i="44"/>
  <c r="AH178" i="44"/>
  <c r="I52" i="26"/>
  <c r="K52" i="26"/>
  <c r="AJ32" i="26"/>
  <c r="AK32" i="26"/>
  <c r="AL32" i="26"/>
  <c r="K79" i="26"/>
  <c r="AG79" i="26"/>
  <c r="AE25" i="31"/>
  <c r="BP25" i="31"/>
  <c r="C178" i="36"/>
  <c r="C178" i="38"/>
  <c r="C178" i="41"/>
  <c r="C178" i="37"/>
  <c r="C178" i="40"/>
  <c r="C178" i="44"/>
  <c r="H52" i="32"/>
  <c r="J52" i="32"/>
  <c r="N32" i="32"/>
  <c r="O32" i="32"/>
  <c r="P32" i="32"/>
  <c r="J79" i="32"/>
  <c r="F24" i="45"/>
  <c r="K24" i="45"/>
  <c r="P24" i="45"/>
  <c r="K23" i="14"/>
  <c r="P23" i="14"/>
  <c r="K24" i="29"/>
  <c r="AA79" i="32"/>
  <c r="N25" i="33"/>
  <c r="P25" i="33"/>
  <c r="AE25" i="33"/>
  <c r="H178" i="36"/>
  <c r="H178" i="38"/>
  <c r="H178" i="41"/>
  <c r="H178" i="37"/>
  <c r="H178" i="40"/>
  <c r="H178" i="44"/>
  <c r="I52" i="32"/>
  <c r="K52" i="32"/>
  <c r="AE32" i="32"/>
  <c r="AF32" i="32"/>
  <c r="AG32" i="32"/>
  <c r="K79" i="32"/>
  <c r="AB79" i="32"/>
  <c r="O25" i="33"/>
  <c r="AF25" i="33"/>
  <c r="I178" i="36"/>
  <c r="I178" i="38"/>
  <c r="I178" i="41"/>
  <c r="I178" i="37"/>
  <c r="I178" i="40"/>
  <c r="I178" i="44"/>
  <c r="N32" i="24"/>
  <c r="AE32" i="24"/>
  <c r="AV32" i="24"/>
  <c r="AR25" i="25"/>
  <c r="CM25" i="25"/>
  <c r="P178" i="36"/>
  <c r="P178" i="38"/>
  <c r="P178" i="41"/>
  <c r="P178" i="37"/>
  <c r="P178" i="40"/>
  <c r="P178" i="44"/>
  <c r="O32" i="24"/>
  <c r="AF32" i="24"/>
  <c r="AW32" i="24"/>
  <c r="AS25" i="25"/>
  <c r="CN25" i="25"/>
  <c r="Q178" i="36"/>
  <c r="Q178" i="38"/>
  <c r="Q178" i="41"/>
  <c r="Q178" i="37"/>
  <c r="Q178" i="40"/>
  <c r="Q178" i="44"/>
  <c r="R140" i="36"/>
  <c r="R178" i="36"/>
  <c r="U24" i="13"/>
  <c r="U24" i="29"/>
  <c r="R178" i="38"/>
  <c r="R178" i="41"/>
  <c r="R178" i="37"/>
  <c r="R178" i="40"/>
  <c r="R178" i="44"/>
  <c r="AB178" i="44"/>
  <c r="AG178" i="44"/>
  <c r="N11" i="22"/>
  <c r="N38" i="22"/>
  <c r="AE38" i="22"/>
  <c r="U22" i="14"/>
  <c r="Z22" i="14"/>
  <c r="AE22" i="14"/>
  <c r="AJ22" i="14"/>
  <c r="AO22" i="14"/>
  <c r="AT22" i="14"/>
  <c r="I24" i="64"/>
  <c r="AY22" i="14"/>
  <c r="I24" i="65"/>
  <c r="BI22" i="14"/>
  <c r="P23" i="29"/>
  <c r="AV38" i="22"/>
  <c r="AO24" i="25"/>
  <c r="N11" i="23"/>
  <c r="N38" i="23"/>
  <c r="AE38" i="23"/>
  <c r="AV38" i="23"/>
  <c r="AL24" i="25"/>
  <c r="AT24" i="25"/>
  <c r="CJ24" i="25"/>
  <c r="M177" i="36"/>
  <c r="BN22" i="14"/>
  <c r="M177" i="38"/>
  <c r="M177" i="41"/>
  <c r="M177" i="37"/>
  <c r="M177" i="40"/>
  <c r="M177" i="44"/>
  <c r="AE177" i="44"/>
  <c r="J51" i="26"/>
  <c r="R31" i="26"/>
  <c r="S31" i="26"/>
  <c r="Q25" i="20"/>
  <c r="T31" i="26"/>
  <c r="U31" i="26"/>
  <c r="J78" i="26"/>
  <c r="AF78" i="26"/>
  <c r="AD24" i="31"/>
  <c r="AJ24" i="31"/>
  <c r="BO24" i="31"/>
  <c r="B177" i="36"/>
  <c r="B177" i="38"/>
  <c r="B177" i="41"/>
  <c r="B177" i="37"/>
  <c r="B177" i="40"/>
  <c r="B177" i="44"/>
  <c r="S177" i="44"/>
  <c r="AJ177" i="44"/>
  <c r="CG24" i="25"/>
  <c r="J177" i="36"/>
  <c r="J177" i="38"/>
  <c r="J177" i="41"/>
  <c r="J177" i="37"/>
  <c r="J177" i="40"/>
  <c r="J177" i="44"/>
  <c r="AD177" i="44"/>
  <c r="AI177" i="44"/>
  <c r="R32" i="30"/>
  <c r="AN32" i="30"/>
  <c r="BJ32" i="30"/>
  <c r="AF24" i="31"/>
  <c r="BQ24" i="31"/>
  <c r="D177" i="36"/>
  <c r="D177" i="38"/>
  <c r="D177" i="41"/>
  <c r="D177" i="37"/>
  <c r="D177" i="40"/>
  <c r="D177" i="44"/>
  <c r="AC177" i="44"/>
  <c r="AH177" i="44"/>
  <c r="I51" i="26"/>
  <c r="K51" i="26"/>
  <c r="AJ31" i="26"/>
  <c r="AK31" i="26"/>
  <c r="AL31" i="26"/>
  <c r="K78" i="26"/>
  <c r="AG78" i="26"/>
  <c r="AE24" i="31"/>
  <c r="BP24" i="31"/>
  <c r="C177" i="36"/>
  <c r="C177" i="38"/>
  <c r="C177" i="41"/>
  <c r="C177" i="37"/>
  <c r="C177" i="40"/>
  <c r="C177" i="44"/>
  <c r="H51" i="32"/>
  <c r="J51" i="32"/>
  <c r="N31" i="32"/>
  <c r="O31" i="32"/>
  <c r="P31" i="32"/>
  <c r="J78" i="32"/>
  <c r="F23" i="45"/>
  <c r="K23" i="45"/>
  <c r="P23" i="45"/>
  <c r="K22" i="14"/>
  <c r="P22" i="14"/>
  <c r="K23" i="29"/>
  <c r="AA78" i="32"/>
  <c r="N24" i="33"/>
  <c r="P24" i="33"/>
  <c r="AE24" i="33"/>
  <c r="H177" i="36"/>
  <c r="H177" i="38"/>
  <c r="H177" i="41"/>
  <c r="H177" i="37"/>
  <c r="H177" i="40"/>
  <c r="H177" i="44"/>
  <c r="I51" i="32"/>
  <c r="K51" i="32"/>
  <c r="AE31" i="32"/>
  <c r="AF31" i="32"/>
  <c r="AG31" i="32"/>
  <c r="K78" i="32"/>
  <c r="AB78" i="32"/>
  <c r="O24" i="33"/>
  <c r="AF24" i="33"/>
  <c r="I177" i="36"/>
  <c r="I177" i="38"/>
  <c r="I177" i="41"/>
  <c r="I177" i="37"/>
  <c r="I177" i="40"/>
  <c r="I177" i="44"/>
  <c r="N31" i="24"/>
  <c r="AE31" i="24"/>
  <c r="AV31" i="24"/>
  <c r="AR24" i="25"/>
  <c r="CM24" i="25"/>
  <c r="P177" i="36"/>
  <c r="P177" i="38"/>
  <c r="P177" i="41"/>
  <c r="P177" i="37"/>
  <c r="P177" i="40"/>
  <c r="P177" i="44"/>
  <c r="O31" i="24"/>
  <c r="AF31" i="24"/>
  <c r="AW31" i="24"/>
  <c r="AS24" i="25"/>
  <c r="CN24" i="25"/>
  <c r="Q177" i="36"/>
  <c r="Q177" i="38"/>
  <c r="Q177" i="41"/>
  <c r="Q177" i="37"/>
  <c r="Q177" i="40"/>
  <c r="Q177" i="44"/>
  <c r="R139" i="36"/>
  <c r="R177" i="36"/>
  <c r="U23" i="13"/>
  <c r="U23" i="29"/>
  <c r="R177" i="38"/>
  <c r="R177" i="41"/>
  <c r="R177" i="37"/>
  <c r="R177" i="40"/>
  <c r="R177" i="44"/>
  <c r="AB177" i="44"/>
  <c r="AG177" i="44"/>
  <c r="AE37" i="22"/>
  <c r="P22" i="29"/>
  <c r="AV37" i="22"/>
  <c r="AO23" i="25"/>
  <c r="AE37" i="23"/>
  <c r="AV37" i="23"/>
  <c r="AL23" i="25"/>
  <c r="AT23" i="25"/>
  <c r="CJ23" i="25"/>
  <c r="M176" i="36"/>
  <c r="M176" i="38"/>
  <c r="M176" i="41"/>
  <c r="M176" i="37"/>
  <c r="M176" i="40"/>
  <c r="M176" i="44"/>
  <c r="AE176" i="44"/>
  <c r="J77" i="26"/>
  <c r="F22" i="29"/>
  <c r="AF77" i="26"/>
  <c r="AD23" i="31"/>
  <c r="AJ23" i="31"/>
  <c r="BO23" i="31"/>
  <c r="B176" i="36"/>
  <c r="B176" i="38"/>
  <c r="B176" i="41"/>
  <c r="B176" i="37"/>
  <c r="B176" i="40"/>
  <c r="B176" i="44"/>
  <c r="S176" i="44"/>
  <c r="AJ176" i="44"/>
  <c r="CG23" i="25"/>
  <c r="J176" i="36"/>
  <c r="J176" i="38"/>
  <c r="J176" i="41"/>
  <c r="J176" i="37"/>
  <c r="J176" i="40"/>
  <c r="J176" i="44"/>
  <c r="AD176" i="44"/>
  <c r="AI176" i="44"/>
  <c r="AN31" i="30"/>
  <c r="BJ31" i="30"/>
  <c r="AF23" i="31"/>
  <c r="BQ23" i="31"/>
  <c r="D176" i="36"/>
  <c r="D176" i="38"/>
  <c r="D176" i="41"/>
  <c r="D176" i="37"/>
  <c r="D176" i="40"/>
  <c r="D176" i="44"/>
  <c r="AC176" i="44"/>
  <c r="AH176" i="44"/>
  <c r="K77" i="26"/>
  <c r="AG77" i="26"/>
  <c r="AE23" i="31"/>
  <c r="BP23" i="31"/>
  <c r="C176" i="36"/>
  <c r="C176" i="38"/>
  <c r="C176" i="41"/>
  <c r="C176" i="37"/>
  <c r="C176" i="40"/>
  <c r="C176" i="44"/>
  <c r="J77" i="32"/>
  <c r="K22" i="29"/>
  <c r="AA77" i="32"/>
  <c r="N23" i="33"/>
  <c r="P23" i="33"/>
  <c r="AE23" i="33"/>
  <c r="H176" i="36"/>
  <c r="H176" i="38"/>
  <c r="H176" i="41"/>
  <c r="H176" i="37"/>
  <c r="H176" i="40"/>
  <c r="H176" i="44"/>
  <c r="K77" i="32"/>
  <c r="AB77" i="32"/>
  <c r="O23" i="33"/>
  <c r="AF23" i="33"/>
  <c r="I176" i="36"/>
  <c r="I176" i="38"/>
  <c r="I176" i="41"/>
  <c r="I176" i="37"/>
  <c r="I176" i="40"/>
  <c r="I176" i="44"/>
  <c r="AE30" i="24"/>
  <c r="AV30" i="24"/>
  <c r="AR23" i="25"/>
  <c r="CM23" i="25"/>
  <c r="P176" i="36"/>
  <c r="P176" i="38"/>
  <c r="P176" i="41"/>
  <c r="P176" i="37"/>
  <c r="P176" i="40"/>
  <c r="P176" i="44"/>
  <c r="AF30" i="24"/>
  <c r="AW30" i="24"/>
  <c r="AS23" i="25"/>
  <c r="CN23" i="25"/>
  <c r="Q176" i="36"/>
  <c r="Q176" i="38"/>
  <c r="Q176" i="41"/>
  <c r="Q176" i="37"/>
  <c r="Q176" i="40"/>
  <c r="Q176" i="44"/>
  <c r="R138" i="36"/>
  <c r="R176" i="36"/>
  <c r="R176" i="38"/>
  <c r="R176" i="41"/>
  <c r="R176" i="37"/>
  <c r="R176" i="40"/>
  <c r="R176" i="44"/>
  <c r="AB176" i="44"/>
  <c r="AG176" i="44"/>
  <c r="N10" i="22"/>
  <c r="N36" i="22"/>
  <c r="AE36" i="22"/>
  <c r="U20" i="14"/>
  <c r="Z20" i="14"/>
  <c r="AE20" i="14"/>
  <c r="AJ20" i="14"/>
  <c r="AO20" i="14"/>
  <c r="AT20" i="14"/>
  <c r="I22" i="64"/>
  <c r="AY20" i="14"/>
  <c r="I22" i="65"/>
  <c r="BI20" i="14"/>
  <c r="P21" i="29"/>
  <c r="AV36" i="22"/>
  <c r="AO22" i="25"/>
  <c r="N10" i="23"/>
  <c r="N36" i="23"/>
  <c r="AE36" i="23"/>
  <c r="AV36" i="23"/>
  <c r="AL22" i="25"/>
  <c r="AT22" i="25"/>
  <c r="CJ22" i="25"/>
  <c r="M175" i="36"/>
  <c r="BN20" i="14"/>
  <c r="M175" i="38"/>
  <c r="M175" i="41"/>
  <c r="M175" i="37"/>
  <c r="M175" i="40"/>
  <c r="M175" i="44"/>
  <c r="AE175" i="44"/>
  <c r="J50" i="26"/>
  <c r="R29" i="26"/>
  <c r="S29" i="26"/>
  <c r="Q23" i="20"/>
  <c r="T29" i="26"/>
  <c r="U29" i="26"/>
  <c r="J76" i="26"/>
  <c r="AF76" i="26"/>
  <c r="AD22" i="31"/>
  <c r="AJ22" i="31"/>
  <c r="BO22" i="31"/>
  <c r="B175" i="36"/>
  <c r="B175" i="38"/>
  <c r="B175" i="41"/>
  <c r="B175" i="37"/>
  <c r="B175" i="40"/>
  <c r="B175" i="44"/>
  <c r="S175" i="44"/>
  <c r="AJ175" i="44"/>
  <c r="CG22" i="25"/>
  <c r="J175" i="36"/>
  <c r="J175" i="38"/>
  <c r="J175" i="41"/>
  <c r="J175" i="37"/>
  <c r="J175" i="40"/>
  <c r="J175" i="44"/>
  <c r="AD175" i="44"/>
  <c r="AI175" i="44"/>
  <c r="R30" i="30"/>
  <c r="AN30" i="30"/>
  <c r="BJ30" i="30"/>
  <c r="AF22" i="31"/>
  <c r="BQ22" i="31"/>
  <c r="D175" i="36"/>
  <c r="D175" i="38"/>
  <c r="D175" i="41"/>
  <c r="D175" i="37"/>
  <c r="D175" i="40"/>
  <c r="D175" i="44"/>
  <c r="AC175" i="44"/>
  <c r="AH175" i="44"/>
  <c r="I50" i="26"/>
  <c r="K50" i="26"/>
  <c r="AJ29" i="26"/>
  <c r="AK29" i="26"/>
  <c r="AL29" i="26"/>
  <c r="K76" i="26"/>
  <c r="AG76" i="26"/>
  <c r="AE22" i="31"/>
  <c r="BP22" i="31"/>
  <c r="C175" i="36"/>
  <c r="C175" i="38"/>
  <c r="C175" i="41"/>
  <c r="C175" i="37"/>
  <c r="C175" i="40"/>
  <c r="C175" i="44"/>
  <c r="H50" i="32"/>
  <c r="J50" i="32"/>
  <c r="N29" i="32"/>
  <c r="O29" i="32"/>
  <c r="P29" i="32"/>
  <c r="J76" i="32"/>
  <c r="F21" i="45"/>
  <c r="K21" i="45"/>
  <c r="P21" i="45"/>
  <c r="K20" i="14"/>
  <c r="P20" i="14"/>
  <c r="K21" i="29"/>
  <c r="AA76" i="32"/>
  <c r="N22" i="33"/>
  <c r="P22" i="33"/>
  <c r="AE22" i="33"/>
  <c r="H175" i="36"/>
  <c r="H175" i="38"/>
  <c r="H175" i="41"/>
  <c r="H175" i="37"/>
  <c r="H175" i="40"/>
  <c r="H175" i="44"/>
  <c r="I50" i="32"/>
  <c r="K50" i="32"/>
  <c r="AE29" i="32"/>
  <c r="AF29" i="32"/>
  <c r="AG29" i="32"/>
  <c r="K76" i="32"/>
  <c r="AB76" i="32"/>
  <c r="O22" i="33"/>
  <c r="AF22" i="33"/>
  <c r="I175" i="36"/>
  <c r="I175" i="38"/>
  <c r="I175" i="41"/>
  <c r="I175" i="37"/>
  <c r="I175" i="40"/>
  <c r="I175" i="44"/>
  <c r="N29" i="24"/>
  <c r="AE29" i="24"/>
  <c r="AV29" i="24"/>
  <c r="AR22" i="25"/>
  <c r="CM22" i="25"/>
  <c r="P175" i="36"/>
  <c r="P175" i="38"/>
  <c r="P175" i="41"/>
  <c r="P175" i="37"/>
  <c r="P175" i="40"/>
  <c r="P175" i="44"/>
  <c r="O29" i="24"/>
  <c r="AF29" i="24"/>
  <c r="AW29" i="24"/>
  <c r="AS22" i="25"/>
  <c r="CN22" i="25"/>
  <c r="Q175" i="36"/>
  <c r="Q175" i="38"/>
  <c r="Q175" i="41"/>
  <c r="Q175" i="37"/>
  <c r="Q175" i="40"/>
  <c r="Q175" i="44"/>
  <c r="R137" i="36"/>
  <c r="R175" i="36"/>
  <c r="U21" i="13"/>
  <c r="U21" i="29"/>
  <c r="R175" i="38"/>
  <c r="R175" i="41"/>
  <c r="R175" i="37"/>
  <c r="R175" i="40"/>
  <c r="R175" i="44"/>
  <c r="AB175" i="44"/>
  <c r="AG175" i="44"/>
  <c r="N35" i="22"/>
  <c r="AE35" i="22"/>
  <c r="U19" i="14"/>
  <c r="Z19" i="14"/>
  <c r="AE19" i="14"/>
  <c r="AJ19" i="14"/>
  <c r="AO19" i="14"/>
  <c r="AT19" i="14"/>
  <c r="I21" i="64"/>
  <c r="AY19" i="14"/>
  <c r="I21" i="65"/>
  <c r="BI19" i="14"/>
  <c r="P20" i="29"/>
  <c r="AV35" i="22"/>
  <c r="AO21" i="25"/>
  <c r="N35" i="23"/>
  <c r="AE35" i="23"/>
  <c r="AV35" i="23"/>
  <c r="AL21" i="25"/>
  <c r="AT21" i="25"/>
  <c r="CJ21" i="25"/>
  <c r="M174" i="36"/>
  <c r="BN19" i="14"/>
  <c r="M174" i="38"/>
  <c r="M174" i="41"/>
  <c r="M174" i="37"/>
  <c r="M174" i="40"/>
  <c r="M174" i="44"/>
  <c r="AE174" i="44"/>
  <c r="R28" i="26"/>
  <c r="S28" i="26"/>
  <c r="Q22" i="20"/>
  <c r="T28" i="26"/>
  <c r="U28" i="26"/>
  <c r="J75" i="26"/>
  <c r="AF75" i="26"/>
  <c r="AD21" i="31"/>
  <c r="AJ21" i="31"/>
  <c r="BO21" i="31"/>
  <c r="B174" i="36"/>
  <c r="B174" i="38"/>
  <c r="B174" i="41"/>
  <c r="B174" i="37"/>
  <c r="B174" i="40"/>
  <c r="B174" i="44"/>
  <c r="S174" i="44"/>
  <c r="AJ174" i="44"/>
  <c r="CG21" i="25"/>
  <c r="J174" i="36"/>
  <c r="J174" i="38"/>
  <c r="J174" i="41"/>
  <c r="J174" i="37"/>
  <c r="J174" i="40"/>
  <c r="J174" i="44"/>
  <c r="AD174" i="44"/>
  <c r="AI174" i="44"/>
  <c r="R29" i="30"/>
  <c r="AN29" i="30"/>
  <c r="BJ29" i="30"/>
  <c r="AF21" i="31"/>
  <c r="BQ21" i="31"/>
  <c r="D174" i="36"/>
  <c r="D174" i="38"/>
  <c r="D174" i="41"/>
  <c r="D174" i="37"/>
  <c r="D174" i="40"/>
  <c r="D174" i="44"/>
  <c r="AC174" i="44"/>
  <c r="AH174" i="44"/>
  <c r="AJ28" i="26"/>
  <c r="AK28" i="26"/>
  <c r="AL28" i="26"/>
  <c r="K75" i="26"/>
  <c r="AG75" i="26"/>
  <c r="AE21" i="31"/>
  <c r="BP21" i="31"/>
  <c r="C174" i="36"/>
  <c r="C174" i="38"/>
  <c r="C174" i="41"/>
  <c r="C174" i="37"/>
  <c r="C174" i="40"/>
  <c r="C174" i="44"/>
  <c r="N28" i="32"/>
  <c r="O28" i="32"/>
  <c r="P28" i="32"/>
  <c r="J75" i="32"/>
  <c r="F20" i="45"/>
  <c r="K20" i="45"/>
  <c r="P20" i="45"/>
  <c r="K19" i="14"/>
  <c r="P19" i="14"/>
  <c r="K20" i="29"/>
  <c r="AA75" i="32"/>
  <c r="N21" i="33"/>
  <c r="P21" i="33"/>
  <c r="AE21" i="33"/>
  <c r="H174" i="36"/>
  <c r="H174" i="38"/>
  <c r="H174" i="41"/>
  <c r="H174" i="37"/>
  <c r="H174" i="40"/>
  <c r="H174" i="44"/>
  <c r="AE28" i="32"/>
  <c r="AF28" i="32"/>
  <c r="AG28" i="32"/>
  <c r="K75" i="32"/>
  <c r="AB75" i="32"/>
  <c r="O21" i="33"/>
  <c r="AF21" i="33"/>
  <c r="I174" i="36"/>
  <c r="I174" i="38"/>
  <c r="I174" i="41"/>
  <c r="I174" i="37"/>
  <c r="I174" i="40"/>
  <c r="I174" i="44"/>
  <c r="N28" i="24"/>
  <c r="AE28" i="24"/>
  <c r="AV28" i="24"/>
  <c r="AR21" i="25"/>
  <c r="CM21" i="25"/>
  <c r="P174" i="36"/>
  <c r="P174" i="38"/>
  <c r="P174" i="41"/>
  <c r="P174" i="37"/>
  <c r="P174" i="40"/>
  <c r="P174" i="44"/>
  <c r="O28" i="24"/>
  <c r="AF28" i="24"/>
  <c r="AW28" i="24"/>
  <c r="AS21" i="25"/>
  <c r="CN21" i="25"/>
  <c r="Q174" i="36"/>
  <c r="Q174" i="38"/>
  <c r="Q174" i="41"/>
  <c r="Q174" i="37"/>
  <c r="Q174" i="40"/>
  <c r="Q174" i="44"/>
  <c r="R136" i="36"/>
  <c r="R174" i="36"/>
  <c r="U20" i="13"/>
  <c r="U20" i="29"/>
  <c r="R174" i="38"/>
  <c r="R174" i="41"/>
  <c r="R174" i="37"/>
  <c r="R174" i="40"/>
  <c r="R174" i="44"/>
  <c r="AB174" i="44"/>
  <c r="AG174" i="44"/>
  <c r="N34" i="22"/>
  <c r="AE34" i="22"/>
  <c r="U18" i="14"/>
  <c r="Z18" i="14"/>
  <c r="AE18" i="14"/>
  <c r="AJ18" i="14"/>
  <c r="AO18" i="14"/>
  <c r="AT18" i="14"/>
  <c r="I20" i="64"/>
  <c r="AY18" i="14"/>
  <c r="I20" i="65"/>
  <c r="BI18" i="14"/>
  <c r="P19" i="29"/>
  <c r="AV34" i="22"/>
  <c r="AO20" i="25"/>
  <c r="N34" i="23"/>
  <c r="AE34" i="23"/>
  <c r="AV34" i="23"/>
  <c r="AL20" i="25"/>
  <c r="AT20" i="25"/>
  <c r="CJ20" i="25"/>
  <c r="M173" i="36"/>
  <c r="BN18" i="14"/>
  <c r="M173" i="38"/>
  <c r="M173" i="41"/>
  <c r="M173" i="37"/>
  <c r="M173" i="40"/>
  <c r="M173" i="44"/>
  <c r="AE173" i="44"/>
  <c r="R27" i="26"/>
  <c r="S27" i="26"/>
  <c r="Q21" i="20"/>
  <c r="T27" i="26"/>
  <c r="U27" i="26"/>
  <c r="J74" i="26"/>
  <c r="AF74" i="26"/>
  <c r="AD20" i="31"/>
  <c r="AJ20" i="31"/>
  <c r="BO20" i="31"/>
  <c r="B173" i="36"/>
  <c r="B173" i="38"/>
  <c r="B173" i="41"/>
  <c r="B173" i="37"/>
  <c r="B173" i="40"/>
  <c r="B173" i="44"/>
  <c r="S173" i="44"/>
  <c r="AJ173" i="44"/>
  <c r="CG20" i="25"/>
  <c r="J173" i="36"/>
  <c r="J173" i="38"/>
  <c r="J173" i="41"/>
  <c r="J173" i="37"/>
  <c r="J173" i="40"/>
  <c r="J173" i="44"/>
  <c r="AD173" i="44"/>
  <c r="AI173" i="44"/>
  <c r="R28" i="30"/>
  <c r="AN28" i="30"/>
  <c r="BJ28" i="30"/>
  <c r="AF20" i="31"/>
  <c r="BQ20" i="31"/>
  <c r="D173" i="36"/>
  <c r="D173" i="38"/>
  <c r="D173" i="41"/>
  <c r="D173" i="37"/>
  <c r="D173" i="40"/>
  <c r="D173" i="44"/>
  <c r="AC173" i="44"/>
  <c r="AH173" i="44"/>
  <c r="AJ27" i="26"/>
  <c r="AK27" i="26"/>
  <c r="AL27" i="26"/>
  <c r="K74" i="26"/>
  <c r="AG74" i="26"/>
  <c r="AE20" i="31"/>
  <c r="BP20" i="31"/>
  <c r="C173" i="36"/>
  <c r="C173" i="38"/>
  <c r="C173" i="41"/>
  <c r="C173" i="37"/>
  <c r="C173" i="40"/>
  <c r="C173" i="44"/>
  <c r="N27" i="32"/>
  <c r="O27" i="32"/>
  <c r="P27" i="32"/>
  <c r="J74" i="32"/>
  <c r="F19" i="45"/>
  <c r="K19" i="45"/>
  <c r="P19" i="45"/>
  <c r="K18" i="14"/>
  <c r="P18" i="14"/>
  <c r="K19" i="29"/>
  <c r="AA74" i="32"/>
  <c r="N20" i="33"/>
  <c r="P20" i="33"/>
  <c r="AE20" i="33"/>
  <c r="H173" i="36"/>
  <c r="H173" i="38"/>
  <c r="H173" i="41"/>
  <c r="H173" i="37"/>
  <c r="H173" i="40"/>
  <c r="H173" i="44"/>
  <c r="AE27" i="32"/>
  <c r="AF27" i="32"/>
  <c r="AG27" i="32"/>
  <c r="K74" i="32"/>
  <c r="AB74" i="32"/>
  <c r="O20" i="33"/>
  <c r="AF20" i="33"/>
  <c r="I173" i="36"/>
  <c r="I173" i="38"/>
  <c r="I173" i="41"/>
  <c r="I173" i="37"/>
  <c r="I173" i="40"/>
  <c r="I173" i="44"/>
  <c r="N27" i="24"/>
  <c r="AE27" i="24"/>
  <c r="AV27" i="24"/>
  <c r="AR20" i="25"/>
  <c r="CM20" i="25"/>
  <c r="P173" i="36"/>
  <c r="P173" i="38"/>
  <c r="P173" i="41"/>
  <c r="P173" i="37"/>
  <c r="P173" i="40"/>
  <c r="P173" i="44"/>
  <c r="O27" i="24"/>
  <c r="AF27" i="24"/>
  <c r="AW27" i="24"/>
  <c r="AS20" i="25"/>
  <c r="CN20" i="25"/>
  <c r="Q173" i="36"/>
  <c r="Q173" i="38"/>
  <c r="Q173" i="41"/>
  <c r="Q173" i="37"/>
  <c r="Q173" i="40"/>
  <c r="Q173" i="44"/>
  <c r="R135" i="36"/>
  <c r="R173" i="36"/>
  <c r="U19" i="13"/>
  <c r="U19" i="29"/>
  <c r="R173" i="38"/>
  <c r="R173" i="41"/>
  <c r="R173" i="37"/>
  <c r="R173" i="40"/>
  <c r="R173" i="44"/>
  <c r="AB173" i="44"/>
  <c r="AG173" i="44"/>
  <c r="N33" i="22"/>
  <c r="AE33" i="22"/>
  <c r="U17" i="14"/>
  <c r="Z17" i="14"/>
  <c r="AE17" i="14"/>
  <c r="AJ17" i="14"/>
  <c r="AO17" i="14"/>
  <c r="AT17" i="14"/>
  <c r="I19" i="64"/>
  <c r="AY17" i="14"/>
  <c r="I19" i="65"/>
  <c r="BI17" i="14"/>
  <c r="P18" i="29"/>
  <c r="AV33" i="22"/>
  <c r="AO19" i="25"/>
  <c r="N33" i="23"/>
  <c r="AE33" i="23"/>
  <c r="AV33" i="23"/>
  <c r="AL19" i="25"/>
  <c r="AT19" i="25"/>
  <c r="CJ19" i="25"/>
  <c r="M172" i="36"/>
  <c r="BN17" i="14"/>
  <c r="M172" i="38"/>
  <c r="M172" i="41"/>
  <c r="M172" i="37"/>
  <c r="M172" i="40"/>
  <c r="M172" i="44"/>
  <c r="AE172" i="44"/>
  <c r="R26" i="26"/>
  <c r="S26" i="26"/>
  <c r="Q20" i="20"/>
  <c r="T26" i="26"/>
  <c r="U26" i="26"/>
  <c r="J73" i="26"/>
  <c r="AF73" i="26"/>
  <c r="AD19" i="31"/>
  <c r="AJ19" i="31"/>
  <c r="BO19" i="31"/>
  <c r="B172" i="36"/>
  <c r="B172" i="38"/>
  <c r="B172" i="41"/>
  <c r="B172" i="37"/>
  <c r="B172" i="40"/>
  <c r="B172" i="44"/>
  <c r="S172" i="44"/>
  <c r="AJ172" i="44"/>
  <c r="CG19" i="25"/>
  <c r="J172" i="36"/>
  <c r="J172" i="38"/>
  <c r="J172" i="41"/>
  <c r="J172" i="37"/>
  <c r="J172" i="40"/>
  <c r="J172" i="44"/>
  <c r="AD172" i="44"/>
  <c r="AI172" i="44"/>
  <c r="R27" i="30"/>
  <c r="AN27" i="30"/>
  <c r="BJ27" i="30"/>
  <c r="AF19" i="31"/>
  <c r="BQ19" i="31"/>
  <c r="D172" i="36"/>
  <c r="D172" i="38"/>
  <c r="D172" i="41"/>
  <c r="D172" i="37"/>
  <c r="D172" i="40"/>
  <c r="D172" i="44"/>
  <c r="AC172" i="44"/>
  <c r="AH172" i="44"/>
  <c r="AJ26" i="26"/>
  <c r="AK26" i="26"/>
  <c r="AL26" i="26"/>
  <c r="K73" i="26"/>
  <c r="AG73" i="26"/>
  <c r="AE19" i="31"/>
  <c r="BP19" i="31"/>
  <c r="C172" i="36"/>
  <c r="C172" i="38"/>
  <c r="C172" i="41"/>
  <c r="C172" i="37"/>
  <c r="C172" i="40"/>
  <c r="C172" i="44"/>
  <c r="N26" i="32"/>
  <c r="O26" i="32"/>
  <c r="P26" i="32"/>
  <c r="J73" i="32"/>
  <c r="F18" i="45"/>
  <c r="K18" i="45"/>
  <c r="P18" i="45"/>
  <c r="K17" i="14"/>
  <c r="P17" i="14"/>
  <c r="K18" i="29"/>
  <c r="AA73" i="32"/>
  <c r="N19" i="33"/>
  <c r="P19" i="33"/>
  <c r="AE19" i="33"/>
  <c r="H172" i="36"/>
  <c r="H172" i="38"/>
  <c r="H172" i="41"/>
  <c r="H172" i="37"/>
  <c r="H172" i="40"/>
  <c r="H172" i="44"/>
  <c r="AE26" i="32"/>
  <c r="AF26" i="32"/>
  <c r="AG26" i="32"/>
  <c r="K73" i="32"/>
  <c r="AB73" i="32"/>
  <c r="O19" i="33"/>
  <c r="AF19" i="33"/>
  <c r="I172" i="36"/>
  <c r="I172" i="38"/>
  <c r="I172" i="41"/>
  <c r="I172" i="37"/>
  <c r="I172" i="40"/>
  <c r="I172" i="44"/>
  <c r="N26" i="24"/>
  <c r="AE26" i="24"/>
  <c r="AV26" i="24"/>
  <c r="AR19" i="25"/>
  <c r="CM19" i="25"/>
  <c r="P172" i="36"/>
  <c r="P172" i="38"/>
  <c r="P172" i="41"/>
  <c r="P172" i="37"/>
  <c r="P172" i="40"/>
  <c r="P172" i="44"/>
  <c r="O26" i="24"/>
  <c r="AF26" i="24"/>
  <c r="AW26" i="24"/>
  <c r="AS19" i="25"/>
  <c r="CN19" i="25"/>
  <c r="Q172" i="36"/>
  <c r="Q172" i="38"/>
  <c r="Q172" i="41"/>
  <c r="Q172" i="37"/>
  <c r="Q172" i="40"/>
  <c r="Q172" i="44"/>
  <c r="R134" i="36"/>
  <c r="R172" i="36"/>
  <c r="U18" i="13"/>
  <c r="U18" i="29"/>
  <c r="R172" i="38"/>
  <c r="R172" i="41"/>
  <c r="R172" i="37"/>
  <c r="R172" i="40"/>
  <c r="R172" i="44"/>
  <c r="AB172" i="44"/>
  <c r="AG172" i="44"/>
  <c r="N32" i="22"/>
  <c r="AE32" i="22"/>
  <c r="U16" i="14"/>
  <c r="Z16" i="14"/>
  <c r="AE16" i="14"/>
  <c r="AJ16" i="14"/>
  <c r="AO16" i="14"/>
  <c r="AT16" i="14"/>
  <c r="I18" i="64"/>
  <c r="AY16" i="14"/>
  <c r="I18" i="65"/>
  <c r="BI16" i="14"/>
  <c r="P17" i="29"/>
  <c r="AV32" i="22"/>
  <c r="AO18" i="25"/>
  <c r="N32" i="23"/>
  <c r="AE32" i="23"/>
  <c r="AV32" i="23"/>
  <c r="AL18" i="25"/>
  <c r="AT18" i="25"/>
  <c r="CJ18" i="25"/>
  <c r="M171" i="36"/>
  <c r="BN16" i="14"/>
  <c r="M171" i="38"/>
  <c r="M171" i="41"/>
  <c r="M171" i="37"/>
  <c r="M171" i="40"/>
  <c r="M171" i="44"/>
  <c r="AE171" i="44"/>
  <c r="R25" i="26"/>
  <c r="S25" i="26"/>
  <c r="Q19" i="20"/>
  <c r="T25" i="26"/>
  <c r="U25" i="26"/>
  <c r="J72" i="26"/>
  <c r="AF72" i="26"/>
  <c r="AD18" i="31"/>
  <c r="AJ18" i="31"/>
  <c r="BO18" i="31"/>
  <c r="B171" i="36"/>
  <c r="B171" i="38"/>
  <c r="B171" i="41"/>
  <c r="B171" i="37"/>
  <c r="B171" i="40"/>
  <c r="B171" i="44"/>
  <c r="S171" i="44"/>
  <c r="AJ171" i="44"/>
  <c r="CG18" i="25"/>
  <c r="J171" i="36"/>
  <c r="J171" i="38"/>
  <c r="J171" i="41"/>
  <c r="J171" i="37"/>
  <c r="J171" i="40"/>
  <c r="J171" i="44"/>
  <c r="AD171" i="44"/>
  <c r="AI171" i="44"/>
  <c r="R26" i="30"/>
  <c r="AN26" i="30"/>
  <c r="BJ26" i="30"/>
  <c r="AF18" i="31"/>
  <c r="BQ18" i="31"/>
  <c r="D171" i="36"/>
  <c r="D171" i="38"/>
  <c r="D171" i="41"/>
  <c r="D171" i="37"/>
  <c r="D171" i="40"/>
  <c r="D171" i="44"/>
  <c r="AC171" i="44"/>
  <c r="AH171" i="44"/>
  <c r="AJ25" i="26"/>
  <c r="AK25" i="26"/>
  <c r="AL25" i="26"/>
  <c r="K72" i="26"/>
  <c r="AG72" i="26"/>
  <c r="AE18" i="31"/>
  <c r="BP18" i="31"/>
  <c r="C171" i="36"/>
  <c r="C171" i="38"/>
  <c r="C171" i="41"/>
  <c r="C171" i="37"/>
  <c r="C171" i="40"/>
  <c r="C171" i="44"/>
  <c r="N25" i="32"/>
  <c r="O25" i="32"/>
  <c r="P25" i="32"/>
  <c r="J72" i="32"/>
  <c r="F17" i="45"/>
  <c r="K17" i="45"/>
  <c r="P17" i="45"/>
  <c r="K16" i="14"/>
  <c r="P16" i="14"/>
  <c r="K17" i="29"/>
  <c r="AA72" i="32"/>
  <c r="N18" i="33"/>
  <c r="P18" i="33"/>
  <c r="AE18" i="33"/>
  <c r="H171" i="36"/>
  <c r="H171" i="38"/>
  <c r="H171" i="41"/>
  <c r="H171" i="37"/>
  <c r="H171" i="40"/>
  <c r="H171" i="44"/>
  <c r="AE25" i="32"/>
  <c r="AF25" i="32"/>
  <c r="AG25" i="32"/>
  <c r="K72" i="32"/>
  <c r="AB72" i="32"/>
  <c r="O18" i="33"/>
  <c r="AF18" i="33"/>
  <c r="I171" i="36"/>
  <c r="I171" i="38"/>
  <c r="I171" i="41"/>
  <c r="I171" i="37"/>
  <c r="I171" i="40"/>
  <c r="I171" i="44"/>
  <c r="N25" i="24"/>
  <c r="AE25" i="24"/>
  <c r="AV25" i="24"/>
  <c r="AR18" i="25"/>
  <c r="CM18" i="25"/>
  <c r="P171" i="36"/>
  <c r="P171" i="38"/>
  <c r="P171" i="41"/>
  <c r="P171" i="37"/>
  <c r="P171" i="40"/>
  <c r="P171" i="44"/>
  <c r="O25" i="24"/>
  <c r="AF25" i="24"/>
  <c r="AW25" i="24"/>
  <c r="AS18" i="25"/>
  <c r="CN18" i="25"/>
  <c r="Q171" i="36"/>
  <c r="Q171" i="38"/>
  <c r="Q171" i="41"/>
  <c r="Q171" i="37"/>
  <c r="Q171" i="40"/>
  <c r="Q171" i="44"/>
  <c r="R133" i="36"/>
  <c r="R171" i="36"/>
  <c r="U17" i="13"/>
  <c r="U17" i="29"/>
  <c r="R171" i="38"/>
  <c r="R171" i="41"/>
  <c r="R171" i="37"/>
  <c r="R171" i="40"/>
  <c r="R171" i="44"/>
  <c r="AB171" i="44"/>
  <c r="AG171" i="44"/>
  <c r="N31" i="22"/>
  <c r="AE31" i="22"/>
  <c r="U15" i="14"/>
  <c r="Z15" i="14"/>
  <c r="AE15" i="14"/>
  <c r="AJ15" i="14"/>
  <c r="AO15" i="14"/>
  <c r="AT15" i="14"/>
  <c r="I17" i="64"/>
  <c r="AY15" i="14"/>
  <c r="I17" i="65"/>
  <c r="BI15" i="14"/>
  <c r="P16" i="29"/>
  <c r="AV31" i="22"/>
  <c r="AO17" i="25"/>
  <c r="N31" i="23"/>
  <c r="AE31" i="23"/>
  <c r="AV31" i="23"/>
  <c r="AL17" i="25"/>
  <c r="AT17" i="25"/>
  <c r="CJ17" i="25"/>
  <c r="M170" i="36"/>
  <c r="BN15" i="14"/>
  <c r="M170" i="38"/>
  <c r="M170" i="41"/>
  <c r="M170" i="37"/>
  <c r="M170" i="40"/>
  <c r="M170" i="44"/>
  <c r="AE170" i="44"/>
  <c r="R24" i="26"/>
  <c r="S24" i="26"/>
  <c r="Q18" i="20"/>
  <c r="T24" i="26"/>
  <c r="U24" i="26"/>
  <c r="J71" i="26"/>
  <c r="AF71" i="26"/>
  <c r="AD17" i="31"/>
  <c r="AJ17" i="31"/>
  <c r="BO17" i="31"/>
  <c r="B170" i="36"/>
  <c r="B170" i="38"/>
  <c r="B170" i="41"/>
  <c r="B170" i="37"/>
  <c r="B170" i="40"/>
  <c r="B170" i="44"/>
  <c r="S170" i="44"/>
  <c r="AJ170" i="44"/>
  <c r="CG17" i="25"/>
  <c r="J170" i="36"/>
  <c r="J170" i="38"/>
  <c r="J170" i="41"/>
  <c r="J170" i="37"/>
  <c r="J170" i="40"/>
  <c r="J170" i="44"/>
  <c r="AD170" i="44"/>
  <c r="AI170" i="44"/>
  <c r="R25" i="30"/>
  <c r="AN25" i="30"/>
  <c r="BJ25" i="30"/>
  <c r="AF17" i="31"/>
  <c r="BQ17" i="31"/>
  <c r="D170" i="36"/>
  <c r="D170" i="38"/>
  <c r="D170" i="41"/>
  <c r="D170" i="37"/>
  <c r="D170" i="40"/>
  <c r="D170" i="44"/>
  <c r="AC170" i="44"/>
  <c r="AH170" i="44"/>
  <c r="AJ24" i="26"/>
  <c r="AK24" i="26"/>
  <c r="AL24" i="26"/>
  <c r="K71" i="26"/>
  <c r="AG71" i="26"/>
  <c r="AE17" i="31"/>
  <c r="BP17" i="31"/>
  <c r="C170" i="36"/>
  <c r="C170" i="38"/>
  <c r="C170" i="41"/>
  <c r="C170" i="37"/>
  <c r="C170" i="40"/>
  <c r="C170" i="44"/>
  <c r="N24" i="32"/>
  <c r="O24" i="32"/>
  <c r="P24" i="32"/>
  <c r="J71" i="32"/>
  <c r="F16" i="45"/>
  <c r="K16" i="45"/>
  <c r="P16" i="45"/>
  <c r="K15" i="14"/>
  <c r="P15" i="14"/>
  <c r="K16" i="29"/>
  <c r="AA71" i="32"/>
  <c r="N17" i="33"/>
  <c r="P17" i="33"/>
  <c r="AE17" i="33"/>
  <c r="H170" i="36"/>
  <c r="H170" i="38"/>
  <c r="H170" i="41"/>
  <c r="H170" i="37"/>
  <c r="H170" i="40"/>
  <c r="H170" i="44"/>
  <c r="AE24" i="32"/>
  <c r="AF24" i="32"/>
  <c r="AG24" i="32"/>
  <c r="K71" i="32"/>
  <c r="AB71" i="32"/>
  <c r="O17" i="33"/>
  <c r="AF17" i="33"/>
  <c r="I170" i="36"/>
  <c r="I170" i="38"/>
  <c r="I170" i="41"/>
  <c r="I170" i="37"/>
  <c r="I170" i="40"/>
  <c r="I170" i="44"/>
  <c r="N24" i="24"/>
  <c r="AE24" i="24"/>
  <c r="AV24" i="24"/>
  <c r="AR17" i="25"/>
  <c r="CM17" i="25"/>
  <c r="P170" i="36"/>
  <c r="P170" i="38"/>
  <c r="P170" i="41"/>
  <c r="P170" i="37"/>
  <c r="P170" i="40"/>
  <c r="P170" i="44"/>
  <c r="O24" i="24"/>
  <c r="AF24" i="24"/>
  <c r="AW24" i="24"/>
  <c r="AS17" i="25"/>
  <c r="CN17" i="25"/>
  <c r="Q170" i="36"/>
  <c r="Q170" i="38"/>
  <c r="Q170" i="41"/>
  <c r="Q170" i="37"/>
  <c r="Q170" i="40"/>
  <c r="Q170" i="44"/>
  <c r="R170" i="37"/>
  <c r="R170" i="44"/>
  <c r="AB170" i="44"/>
  <c r="AG170" i="44"/>
  <c r="N30" i="22"/>
  <c r="AE30" i="22"/>
  <c r="U14" i="14"/>
  <c r="Z14" i="14"/>
  <c r="AE14" i="14"/>
  <c r="AJ14" i="14"/>
  <c r="AO14" i="14"/>
  <c r="AT14" i="14"/>
  <c r="I16" i="64"/>
  <c r="AY14" i="14"/>
  <c r="I16" i="65"/>
  <c r="BI14" i="14"/>
  <c r="P15" i="29"/>
  <c r="AV30" i="22"/>
  <c r="AO16" i="25"/>
  <c r="N30" i="23"/>
  <c r="AE30" i="23"/>
  <c r="AV30" i="23"/>
  <c r="AL16" i="25"/>
  <c r="AT16" i="25"/>
  <c r="CJ16" i="25"/>
  <c r="M169" i="36"/>
  <c r="BN14" i="14"/>
  <c r="M169" i="38"/>
  <c r="M169" i="41"/>
  <c r="M169" i="37"/>
  <c r="M169" i="40"/>
  <c r="M169" i="44"/>
  <c r="AE169" i="44"/>
  <c r="R23" i="26"/>
  <c r="S23" i="26"/>
  <c r="Q17" i="20"/>
  <c r="T23" i="26"/>
  <c r="U23" i="26"/>
  <c r="J70" i="26"/>
  <c r="AF70" i="26"/>
  <c r="AD16" i="31"/>
  <c r="AJ16" i="31"/>
  <c r="BO16" i="31"/>
  <c r="B169" i="36"/>
  <c r="B169" i="38"/>
  <c r="B169" i="41"/>
  <c r="B169" i="37"/>
  <c r="B169" i="40"/>
  <c r="B169" i="44"/>
  <c r="S169" i="44"/>
  <c r="AJ169" i="44"/>
  <c r="CG16" i="25"/>
  <c r="J169" i="36"/>
  <c r="J169" i="38"/>
  <c r="J169" i="41"/>
  <c r="J169" i="37"/>
  <c r="J169" i="40"/>
  <c r="J169" i="44"/>
  <c r="AD169" i="44"/>
  <c r="AI169" i="44"/>
  <c r="R24" i="30"/>
  <c r="AN24" i="30"/>
  <c r="BJ24" i="30"/>
  <c r="AF16" i="31"/>
  <c r="BQ16" i="31"/>
  <c r="D169" i="36"/>
  <c r="D169" i="38"/>
  <c r="D169" i="41"/>
  <c r="D169" i="37"/>
  <c r="D169" i="40"/>
  <c r="D169" i="44"/>
  <c r="AC169" i="44"/>
  <c r="AH169" i="44"/>
  <c r="AJ23" i="26"/>
  <c r="AK23" i="26"/>
  <c r="AL23" i="26"/>
  <c r="K70" i="26"/>
  <c r="AG70" i="26"/>
  <c r="AE16" i="31"/>
  <c r="BP16" i="31"/>
  <c r="C169" i="36"/>
  <c r="C169" i="38"/>
  <c r="C169" i="41"/>
  <c r="C169" i="37"/>
  <c r="C169" i="40"/>
  <c r="C169" i="44"/>
  <c r="N23" i="32"/>
  <c r="O23" i="32"/>
  <c r="P23" i="32"/>
  <c r="J70" i="32"/>
  <c r="P15" i="45"/>
  <c r="K14" i="14"/>
  <c r="P14" i="14"/>
  <c r="K15" i="29"/>
  <c r="AA70" i="32"/>
  <c r="N16" i="33"/>
  <c r="P16" i="33"/>
  <c r="AE16" i="33"/>
  <c r="H169" i="36"/>
  <c r="H169" i="38"/>
  <c r="H169" i="41"/>
  <c r="H169" i="37"/>
  <c r="H169" i="40"/>
  <c r="H169" i="44"/>
  <c r="AE23" i="32"/>
  <c r="AF23" i="32"/>
  <c r="AG23" i="32"/>
  <c r="K70" i="32"/>
  <c r="AB70" i="32"/>
  <c r="O16" i="33"/>
  <c r="AF16" i="33"/>
  <c r="I169" i="36"/>
  <c r="I169" i="38"/>
  <c r="I169" i="41"/>
  <c r="I169" i="37"/>
  <c r="I169" i="40"/>
  <c r="I169" i="44"/>
  <c r="N23" i="24"/>
  <c r="AE23" i="24"/>
  <c r="AV23" i="24"/>
  <c r="AR16" i="25"/>
  <c r="CM16" i="25"/>
  <c r="P169" i="36"/>
  <c r="P169" i="38"/>
  <c r="P169" i="41"/>
  <c r="P169" i="37"/>
  <c r="P169" i="40"/>
  <c r="P169" i="44"/>
  <c r="O23" i="24"/>
  <c r="AF23" i="24"/>
  <c r="AW23" i="24"/>
  <c r="AS16" i="25"/>
  <c r="CN16" i="25"/>
  <c r="Q169" i="36"/>
  <c r="Q169" i="38"/>
  <c r="Q169" i="41"/>
  <c r="Q169" i="37"/>
  <c r="Q169" i="40"/>
  <c r="Q169" i="44"/>
  <c r="R131" i="36"/>
  <c r="R169" i="36"/>
  <c r="U15" i="13"/>
  <c r="U15" i="29"/>
  <c r="R169" i="38"/>
  <c r="R169" i="41"/>
  <c r="R169" i="37"/>
  <c r="R169" i="40"/>
  <c r="R169" i="44"/>
  <c r="AB169" i="44"/>
  <c r="AG169" i="44"/>
  <c r="N29" i="22"/>
  <c r="AE29" i="22"/>
  <c r="U13" i="14"/>
  <c r="Z13" i="14"/>
  <c r="AE13" i="14"/>
  <c r="AJ13" i="14"/>
  <c r="AO13" i="14"/>
  <c r="AT13" i="14"/>
  <c r="I15" i="64"/>
  <c r="AY13" i="14"/>
  <c r="I15" i="65"/>
  <c r="BI13" i="14"/>
  <c r="P14" i="29"/>
  <c r="AV29" i="22"/>
  <c r="AO15" i="25"/>
  <c r="N29" i="23"/>
  <c r="AE29" i="23"/>
  <c r="AV29" i="23"/>
  <c r="AL15" i="25"/>
  <c r="AT15" i="25"/>
  <c r="CJ15" i="25"/>
  <c r="M168" i="36"/>
  <c r="BN13" i="14"/>
  <c r="M168" i="38"/>
  <c r="M168" i="41"/>
  <c r="M168" i="37"/>
  <c r="M168" i="40"/>
  <c r="M168" i="44"/>
  <c r="AE168" i="44"/>
  <c r="R22" i="26"/>
  <c r="S22" i="26"/>
  <c r="Q16" i="20"/>
  <c r="T22" i="26"/>
  <c r="U22" i="26"/>
  <c r="J69" i="26"/>
  <c r="AF69" i="26"/>
  <c r="AD15" i="31"/>
  <c r="AJ15" i="31"/>
  <c r="BO15" i="31"/>
  <c r="B168" i="36"/>
  <c r="B168" i="38"/>
  <c r="B168" i="41"/>
  <c r="B168" i="37"/>
  <c r="B168" i="40"/>
  <c r="B168" i="44"/>
  <c r="S168" i="44"/>
  <c r="AJ168" i="44"/>
  <c r="CG15" i="25"/>
  <c r="J168" i="36"/>
  <c r="J168" i="38"/>
  <c r="J168" i="41"/>
  <c r="J168" i="37"/>
  <c r="J168" i="40"/>
  <c r="J168" i="44"/>
  <c r="AD168" i="44"/>
  <c r="AI168" i="44"/>
  <c r="R23" i="30"/>
  <c r="AN23" i="30"/>
  <c r="BJ23" i="30"/>
  <c r="AF15" i="31"/>
  <c r="BQ15" i="31"/>
  <c r="D168" i="36"/>
  <c r="D168" i="38"/>
  <c r="D168" i="41"/>
  <c r="D168" i="37"/>
  <c r="D168" i="40"/>
  <c r="D168" i="44"/>
  <c r="AC168" i="44"/>
  <c r="AH168" i="44"/>
  <c r="AJ22" i="26"/>
  <c r="AK22" i="26"/>
  <c r="AL22" i="26"/>
  <c r="K69" i="26"/>
  <c r="AG69" i="26"/>
  <c r="AE15" i="31"/>
  <c r="BP15" i="31"/>
  <c r="C168" i="36"/>
  <c r="C168" i="38"/>
  <c r="C168" i="41"/>
  <c r="C168" i="37"/>
  <c r="C168" i="40"/>
  <c r="C168" i="44"/>
  <c r="N22" i="32"/>
  <c r="O22" i="32"/>
  <c r="P22" i="32"/>
  <c r="J69" i="32"/>
  <c r="F14" i="45"/>
  <c r="K14" i="45"/>
  <c r="P14" i="45"/>
  <c r="K13" i="14"/>
  <c r="P13" i="14"/>
  <c r="K14" i="29"/>
  <c r="AA69" i="32"/>
  <c r="N15" i="33"/>
  <c r="P15" i="33"/>
  <c r="AE15" i="33"/>
  <c r="H168" i="36"/>
  <c r="H168" i="38"/>
  <c r="H168" i="41"/>
  <c r="H168" i="37"/>
  <c r="H168" i="40"/>
  <c r="H168" i="44"/>
  <c r="AE22" i="32"/>
  <c r="AF22" i="32"/>
  <c r="AG22" i="32"/>
  <c r="K69" i="32"/>
  <c r="AB69" i="32"/>
  <c r="O15" i="33"/>
  <c r="AF15" i="33"/>
  <c r="I168" i="36"/>
  <c r="I168" i="38"/>
  <c r="I168" i="41"/>
  <c r="I168" i="37"/>
  <c r="I168" i="40"/>
  <c r="I168" i="44"/>
  <c r="N22" i="24"/>
  <c r="AE22" i="24"/>
  <c r="AV22" i="24"/>
  <c r="AR15" i="25"/>
  <c r="CM15" i="25"/>
  <c r="P168" i="36"/>
  <c r="P168" i="38"/>
  <c r="P168" i="41"/>
  <c r="P168" i="37"/>
  <c r="P168" i="40"/>
  <c r="P168" i="44"/>
  <c r="O22" i="24"/>
  <c r="AF22" i="24"/>
  <c r="AW22" i="24"/>
  <c r="AS15" i="25"/>
  <c r="CN15" i="25"/>
  <c r="Q168" i="36"/>
  <c r="Q168" i="38"/>
  <c r="Q168" i="41"/>
  <c r="Q168" i="37"/>
  <c r="Q168" i="40"/>
  <c r="Q168" i="44"/>
  <c r="R130" i="36"/>
  <c r="R168" i="36"/>
  <c r="U14" i="13"/>
  <c r="U14" i="29"/>
  <c r="R168" i="38"/>
  <c r="R168" i="41"/>
  <c r="R168" i="37"/>
  <c r="R168" i="40"/>
  <c r="R168" i="44"/>
  <c r="AB168" i="44"/>
  <c r="AG168" i="44"/>
  <c r="N28" i="22"/>
  <c r="AE28" i="22"/>
  <c r="U12" i="14"/>
  <c r="Z12" i="14"/>
  <c r="AE12" i="14"/>
  <c r="AJ12" i="14"/>
  <c r="AO12" i="14"/>
  <c r="AT12" i="14"/>
  <c r="I14" i="64"/>
  <c r="AY12" i="14"/>
  <c r="I14" i="65"/>
  <c r="BI12" i="14"/>
  <c r="P13" i="29"/>
  <c r="AV28" i="22"/>
  <c r="AO14" i="25"/>
  <c r="N28" i="23"/>
  <c r="AE28" i="23"/>
  <c r="AV28" i="23"/>
  <c r="AL14" i="25"/>
  <c r="AT14" i="25"/>
  <c r="CJ14" i="25"/>
  <c r="M167" i="36"/>
  <c r="BN12" i="14"/>
  <c r="M167" i="38"/>
  <c r="M167" i="41"/>
  <c r="M167" i="37"/>
  <c r="M167" i="40"/>
  <c r="M167" i="44"/>
  <c r="AE167" i="44"/>
  <c r="R21" i="26"/>
  <c r="S21" i="26"/>
  <c r="Q15" i="20"/>
  <c r="T21" i="26"/>
  <c r="U21" i="26"/>
  <c r="J68" i="26"/>
  <c r="AF68" i="26"/>
  <c r="AD14" i="31"/>
  <c r="AJ14" i="31"/>
  <c r="BO14" i="31"/>
  <c r="B167" i="36"/>
  <c r="B167" i="38"/>
  <c r="B167" i="41"/>
  <c r="B167" i="37"/>
  <c r="B167" i="40"/>
  <c r="B167" i="44"/>
  <c r="S167" i="44"/>
  <c r="AJ167" i="44"/>
  <c r="CG14" i="25"/>
  <c r="J167" i="36"/>
  <c r="J167" i="38"/>
  <c r="J167" i="41"/>
  <c r="J167" i="37"/>
  <c r="J167" i="40"/>
  <c r="J167" i="44"/>
  <c r="AD167" i="44"/>
  <c r="AI167" i="44"/>
  <c r="R22" i="30"/>
  <c r="AN22" i="30"/>
  <c r="BJ22" i="30"/>
  <c r="AF14" i="31"/>
  <c r="BQ14" i="31"/>
  <c r="D167" i="36"/>
  <c r="D167" i="38"/>
  <c r="D167" i="41"/>
  <c r="D167" i="37"/>
  <c r="D167" i="40"/>
  <c r="D167" i="44"/>
  <c r="AC167" i="44"/>
  <c r="AH167" i="44"/>
  <c r="AJ21" i="26"/>
  <c r="AK21" i="26"/>
  <c r="AL21" i="26"/>
  <c r="K68" i="26"/>
  <c r="AG68" i="26"/>
  <c r="AE14" i="31"/>
  <c r="BP14" i="31"/>
  <c r="C167" i="36"/>
  <c r="C167" i="38"/>
  <c r="C167" i="41"/>
  <c r="C167" i="37"/>
  <c r="C167" i="40"/>
  <c r="C167" i="44"/>
  <c r="N21" i="32"/>
  <c r="O21" i="32"/>
  <c r="P21" i="32"/>
  <c r="J68" i="32"/>
  <c r="F13" i="45"/>
  <c r="K13" i="45"/>
  <c r="P13" i="45"/>
  <c r="K12" i="14"/>
  <c r="P12" i="14"/>
  <c r="K13" i="29"/>
  <c r="AA68" i="32"/>
  <c r="N14" i="33"/>
  <c r="P14" i="33"/>
  <c r="AE14" i="33"/>
  <c r="H167" i="36"/>
  <c r="H167" i="38"/>
  <c r="H167" i="41"/>
  <c r="H167" i="37"/>
  <c r="H167" i="40"/>
  <c r="H167" i="44"/>
  <c r="AE21" i="32"/>
  <c r="AF21" i="32"/>
  <c r="AG21" i="32"/>
  <c r="K68" i="32"/>
  <c r="AB68" i="32"/>
  <c r="O14" i="33"/>
  <c r="AF14" i="33"/>
  <c r="I167" i="36"/>
  <c r="I167" i="38"/>
  <c r="I167" i="41"/>
  <c r="I167" i="37"/>
  <c r="I167" i="40"/>
  <c r="I167" i="44"/>
  <c r="N21" i="24"/>
  <c r="AE21" i="24"/>
  <c r="AV21" i="24"/>
  <c r="AR14" i="25"/>
  <c r="CM14" i="25"/>
  <c r="P167" i="36"/>
  <c r="P167" i="38"/>
  <c r="P167" i="41"/>
  <c r="P167" i="37"/>
  <c r="P167" i="40"/>
  <c r="P167" i="44"/>
  <c r="O21" i="24"/>
  <c r="AF21" i="24"/>
  <c r="AW21" i="24"/>
  <c r="AS14" i="25"/>
  <c r="CN14" i="25"/>
  <c r="Q167" i="36"/>
  <c r="Q167" i="38"/>
  <c r="Q167" i="41"/>
  <c r="Q167" i="37"/>
  <c r="Q167" i="40"/>
  <c r="Q167" i="44"/>
  <c r="R129" i="36"/>
  <c r="R167" i="36"/>
  <c r="U13" i="13"/>
  <c r="U13" i="29"/>
  <c r="R167" i="38"/>
  <c r="R167" i="41"/>
  <c r="R167" i="37"/>
  <c r="R167" i="40"/>
  <c r="R167" i="44"/>
  <c r="AB167" i="44"/>
  <c r="AG167" i="44"/>
  <c r="AE27" i="22"/>
  <c r="P12" i="29"/>
  <c r="AV27" i="22"/>
  <c r="AO13" i="25"/>
  <c r="AE27" i="23"/>
  <c r="AV27" i="23"/>
  <c r="AL13" i="25"/>
  <c r="AT13" i="25"/>
  <c r="CJ13" i="25"/>
  <c r="M166" i="36"/>
  <c r="M166" i="38"/>
  <c r="M166" i="41"/>
  <c r="M166" i="37"/>
  <c r="M166" i="40"/>
  <c r="M166" i="44"/>
  <c r="AE166" i="44"/>
  <c r="J67" i="26"/>
  <c r="F12" i="29"/>
  <c r="AF67" i="26"/>
  <c r="AD13" i="31"/>
  <c r="AJ13" i="31"/>
  <c r="BO13" i="31"/>
  <c r="B166" i="36"/>
  <c r="B166" i="38"/>
  <c r="B166" i="41"/>
  <c r="B166" i="37"/>
  <c r="B166" i="40"/>
  <c r="B166" i="44"/>
  <c r="S166" i="44"/>
  <c r="AJ166" i="44"/>
  <c r="CG13" i="25"/>
  <c r="J166" i="36"/>
  <c r="J166" i="38"/>
  <c r="J166" i="41"/>
  <c r="J166" i="37"/>
  <c r="J166" i="40"/>
  <c r="J166" i="44"/>
  <c r="AD166" i="44"/>
  <c r="AI166" i="44"/>
  <c r="AN21" i="30"/>
  <c r="BJ21" i="30"/>
  <c r="AF13" i="31"/>
  <c r="BQ13" i="31"/>
  <c r="D166" i="36"/>
  <c r="D166" i="38"/>
  <c r="D166" i="41"/>
  <c r="D166" i="37"/>
  <c r="D166" i="40"/>
  <c r="D166" i="44"/>
  <c r="AC166" i="44"/>
  <c r="AH166" i="44"/>
  <c r="K67" i="26"/>
  <c r="AG67" i="26"/>
  <c r="AE13" i="31"/>
  <c r="BP13" i="31"/>
  <c r="C166" i="36"/>
  <c r="C166" i="38"/>
  <c r="C166" i="41"/>
  <c r="C166" i="37"/>
  <c r="C166" i="40"/>
  <c r="C166" i="44"/>
  <c r="J67" i="32"/>
  <c r="K12" i="29"/>
  <c r="AA67" i="32"/>
  <c r="N13" i="33"/>
  <c r="P13" i="33"/>
  <c r="AE13" i="33"/>
  <c r="H166" i="36"/>
  <c r="H166" i="38"/>
  <c r="H166" i="41"/>
  <c r="H166" i="37"/>
  <c r="H166" i="40"/>
  <c r="H166" i="44"/>
  <c r="K67" i="32"/>
  <c r="AB67" i="32"/>
  <c r="O13" i="33"/>
  <c r="AF13" i="33"/>
  <c r="I166" i="36"/>
  <c r="I166" i="38"/>
  <c r="I166" i="41"/>
  <c r="I166" i="37"/>
  <c r="I166" i="40"/>
  <c r="I166" i="44"/>
  <c r="AE20" i="24"/>
  <c r="AV20" i="24"/>
  <c r="AR13" i="25"/>
  <c r="CM13" i="25"/>
  <c r="P166" i="36"/>
  <c r="P166" i="38"/>
  <c r="P166" i="41"/>
  <c r="P166" i="37"/>
  <c r="P166" i="40"/>
  <c r="P166" i="44"/>
  <c r="AF20" i="24"/>
  <c r="AW20" i="24"/>
  <c r="AS13" i="25"/>
  <c r="CN13" i="25"/>
  <c r="Q166" i="36"/>
  <c r="Q166" i="38"/>
  <c r="Q166" i="41"/>
  <c r="Q166" i="37"/>
  <c r="Q166" i="40"/>
  <c r="Q166" i="44"/>
  <c r="R128" i="36"/>
  <c r="R166" i="36"/>
  <c r="U16" i="13"/>
  <c r="U16" i="29"/>
  <c r="R170" i="38"/>
  <c r="R166" i="38"/>
  <c r="R166" i="41"/>
  <c r="R166" i="37"/>
  <c r="R166" i="40"/>
  <c r="R166" i="44"/>
  <c r="AB166" i="44"/>
  <c r="AG166" i="44"/>
  <c r="N9" i="22"/>
  <c r="N26" i="22"/>
  <c r="AE26" i="22"/>
  <c r="U10" i="14"/>
  <c r="Z10" i="14"/>
  <c r="AE10" i="14"/>
  <c r="AJ10" i="14"/>
  <c r="AO10" i="14"/>
  <c r="AT10" i="14"/>
  <c r="I12" i="64"/>
  <c r="AY10" i="14"/>
  <c r="I12" i="65"/>
  <c r="BI10" i="14"/>
  <c r="P11" i="29"/>
  <c r="AV26" i="22"/>
  <c r="AO12" i="25"/>
  <c r="N9" i="23"/>
  <c r="N26" i="23"/>
  <c r="AE26" i="23"/>
  <c r="AV26" i="23"/>
  <c r="AL12" i="25"/>
  <c r="AT12" i="25"/>
  <c r="CJ12" i="25"/>
  <c r="M165" i="36"/>
  <c r="BN10" i="14"/>
  <c r="M165" i="38"/>
  <c r="M165" i="41"/>
  <c r="M165" i="37"/>
  <c r="M165" i="40"/>
  <c r="M165" i="44"/>
  <c r="AE165" i="44"/>
  <c r="J49" i="26"/>
  <c r="R19" i="26"/>
  <c r="S19" i="26"/>
  <c r="Q13" i="20"/>
  <c r="T19" i="26"/>
  <c r="U19" i="26"/>
  <c r="J66" i="26"/>
  <c r="AF66" i="26"/>
  <c r="AD12" i="31"/>
  <c r="AJ12" i="31"/>
  <c r="BO12" i="31"/>
  <c r="B165" i="36"/>
  <c r="B165" i="38"/>
  <c r="B165" i="41"/>
  <c r="B165" i="37"/>
  <c r="B165" i="40"/>
  <c r="B165" i="44"/>
  <c r="S165" i="44"/>
  <c r="AJ165" i="44"/>
  <c r="CG12" i="25"/>
  <c r="J165" i="36"/>
  <c r="J165" i="38"/>
  <c r="J165" i="41"/>
  <c r="J165" i="37"/>
  <c r="J165" i="40"/>
  <c r="J165" i="44"/>
  <c r="AD165" i="44"/>
  <c r="AI165" i="44"/>
  <c r="R20" i="30"/>
  <c r="AN20" i="30"/>
  <c r="BJ20" i="30"/>
  <c r="AF12" i="31"/>
  <c r="BQ12" i="31"/>
  <c r="D165" i="36"/>
  <c r="D165" i="38"/>
  <c r="D165" i="41"/>
  <c r="D165" i="37"/>
  <c r="D165" i="40"/>
  <c r="D165" i="44"/>
  <c r="AC165" i="44"/>
  <c r="AH165" i="44"/>
  <c r="I49" i="26"/>
  <c r="K49" i="26"/>
  <c r="AJ19" i="26"/>
  <c r="AK19" i="26"/>
  <c r="AL19" i="26"/>
  <c r="K66" i="26"/>
  <c r="AG66" i="26"/>
  <c r="AE12" i="31"/>
  <c r="BP12" i="31"/>
  <c r="C165" i="36"/>
  <c r="C165" i="38"/>
  <c r="C165" i="41"/>
  <c r="C165" i="37"/>
  <c r="C165" i="40"/>
  <c r="C165" i="44"/>
  <c r="H49" i="32"/>
  <c r="J49" i="32"/>
  <c r="N19" i="32"/>
  <c r="O19" i="32"/>
  <c r="P19" i="32"/>
  <c r="J66" i="32"/>
  <c r="F11" i="45"/>
  <c r="K11" i="45"/>
  <c r="P11" i="45"/>
  <c r="K10" i="14"/>
  <c r="P10" i="14"/>
  <c r="K11" i="29"/>
  <c r="AA66" i="32"/>
  <c r="N12" i="33"/>
  <c r="P12" i="33"/>
  <c r="AE12" i="33"/>
  <c r="H165" i="36"/>
  <c r="H165" i="38"/>
  <c r="H165" i="41"/>
  <c r="H165" i="37"/>
  <c r="H165" i="40"/>
  <c r="H165" i="44"/>
  <c r="I49" i="32"/>
  <c r="K49" i="32"/>
  <c r="AE19" i="32"/>
  <c r="AF19" i="32"/>
  <c r="AG19" i="32"/>
  <c r="K66" i="32"/>
  <c r="AB66" i="32"/>
  <c r="O12" i="33"/>
  <c r="AF12" i="33"/>
  <c r="I165" i="36"/>
  <c r="I165" i="38"/>
  <c r="I165" i="41"/>
  <c r="I165" i="37"/>
  <c r="I165" i="40"/>
  <c r="I165" i="44"/>
  <c r="N19" i="24"/>
  <c r="AE19" i="24"/>
  <c r="AV19" i="24"/>
  <c r="AR12" i="25"/>
  <c r="CM12" i="25"/>
  <c r="P165" i="36"/>
  <c r="P165" i="38"/>
  <c r="P165" i="41"/>
  <c r="P165" i="37"/>
  <c r="P165" i="40"/>
  <c r="P165" i="44"/>
  <c r="O19" i="24"/>
  <c r="AF19" i="24"/>
  <c r="AW19" i="24"/>
  <c r="AS12" i="25"/>
  <c r="CN12" i="25"/>
  <c r="Q165" i="36"/>
  <c r="Q165" i="38"/>
  <c r="Q165" i="41"/>
  <c r="Q165" i="37"/>
  <c r="Q165" i="40"/>
  <c r="Q165" i="44"/>
  <c r="R165" i="37"/>
  <c r="R165" i="44"/>
  <c r="AB165" i="44"/>
  <c r="AG165" i="44"/>
  <c r="N25" i="22"/>
  <c r="AE25" i="22"/>
  <c r="U9" i="14"/>
  <c r="Z9" i="14"/>
  <c r="AE9" i="14"/>
  <c r="AJ9" i="14"/>
  <c r="AO9" i="14"/>
  <c r="AT9" i="14"/>
  <c r="I11" i="64"/>
  <c r="AY9" i="14"/>
  <c r="I11" i="65"/>
  <c r="BI9" i="14"/>
  <c r="P10" i="29"/>
  <c r="AV25" i="22"/>
  <c r="AO11" i="25"/>
  <c r="N25" i="23"/>
  <c r="AE25" i="23"/>
  <c r="AV25" i="23"/>
  <c r="AL11" i="25"/>
  <c r="AT11" i="25"/>
  <c r="CJ11" i="25"/>
  <c r="M164" i="36"/>
  <c r="BN9" i="14"/>
  <c r="M164" i="38"/>
  <c r="M164" i="41"/>
  <c r="M164" i="37"/>
  <c r="M164" i="40"/>
  <c r="M164" i="44"/>
  <c r="AE164" i="44"/>
  <c r="R18" i="26"/>
  <c r="S18" i="26"/>
  <c r="Q12" i="20"/>
  <c r="T18" i="26"/>
  <c r="U18" i="26"/>
  <c r="J65" i="26"/>
  <c r="AF65" i="26"/>
  <c r="AD11" i="31"/>
  <c r="AJ11" i="31"/>
  <c r="BO11" i="31"/>
  <c r="B164" i="36"/>
  <c r="B164" i="38"/>
  <c r="B164" i="41"/>
  <c r="B164" i="37"/>
  <c r="B164" i="40"/>
  <c r="B164" i="44"/>
  <c r="S164" i="44"/>
  <c r="AJ164" i="44"/>
  <c r="CG11" i="25"/>
  <c r="J164" i="36"/>
  <c r="J164" i="38"/>
  <c r="J164" i="41"/>
  <c r="J164" i="37"/>
  <c r="J164" i="40"/>
  <c r="J164" i="44"/>
  <c r="AD164" i="44"/>
  <c r="AI164" i="44"/>
  <c r="R19" i="30"/>
  <c r="AN19" i="30"/>
  <c r="BJ19" i="30"/>
  <c r="AF11" i="31"/>
  <c r="BQ11" i="31"/>
  <c r="D164" i="36"/>
  <c r="D164" i="38"/>
  <c r="D164" i="41"/>
  <c r="D164" i="37"/>
  <c r="D164" i="40"/>
  <c r="D164" i="44"/>
  <c r="AC164" i="44"/>
  <c r="AH164" i="44"/>
  <c r="AJ18" i="26"/>
  <c r="AK18" i="26"/>
  <c r="AL18" i="26"/>
  <c r="K65" i="26"/>
  <c r="AG65" i="26"/>
  <c r="AE11" i="31"/>
  <c r="BP11" i="31"/>
  <c r="C164" i="36"/>
  <c r="C164" i="38"/>
  <c r="C164" i="41"/>
  <c r="C164" i="37"/>
  <c r="C164" i="40"/>
  <c r="C164" i="44"/>
  <c r="N18" i="32"/>
  <c r="O18" i="32"/>
  <c r="P18" i="32"/>
  <c r="J65" i="32"/>
  <c r="F10" i="45"/>
  <c r="K10" i="45"/>
  <c r="P10" i="45"/>
  <c r="K9" i="14"/>
  <c r="P9" i="14"/>
  <c r="K10" i="29"/>
  <c r="AA65" i="32"/>
  <c r="N11" i="33"/>
  <c r="P11" i="33"/>
  <c r="AE11" i="33"/>
  <c r="H164" i="36"/>
  <c r="H164" i="38"/>
  <c r="H164" i="41"/>
  <c r="H164" i="37"/>
  <c r="H164" i="40"/>
  <c r="H164" i="44"/>
  <c r="AE18" i="32"/>
  <c r="AF18" i="32"/>
  <c r="AG18" i="32"/>
  <c r="K65" i="32"/>
  <c r="AB65" i="32"/>
  <c r="O11" i="33"/>
  <c r="AF11" i="33"/>
  <c r="I164" i="36"/>
  <c r="I164" i="38"/>
  <c r="I164" i="41"/>
  <c r="I164" i="37"/>
  <c r="I164" i="40"/>
  <c r="I164" i="44"/>
  <c r="N18" i="24"/>
  <c r="AE18" i="24"/>
  <c r="AV18" i="24"/>
  <c r="AR11" i="25"/>
  <c r="CM11" i="25"/>
  <c r="P164" i="36"/>
  <c r="P164" i="38"/>
  <c r="P164" i="41"/>
  <c r="P164" i="37"/>
  <c r="P164" i="40"/>
  <c r="P164" i="44"/>
  <c r="O18" i="24"/>
  <c r="AF18" i="24"/>
  <c r="AW18" i="24"/>
  <c r="AS11" i="25"/>
  <c r="CN11" i="25"/>
  <c r="Q164" i="36"/>
  <c r="Q164" i="38"/>
  <c r="Q164" i="41"/>
  <c r="Q164" i="37"/>
  <c r="Q164" i="40"/>
  <c r="Q164" i="44"/>
  <c r="R164" i="37"/>
  <c r="R164" i="44"/>
  <c r="AB164" i="44"/>
  <c r="AG164" i="44"/>
  <c r="N24" i="22"/>
  <c r="AE24" i="22"/>
  <c r="U8" i="14"/>
  <c r="Z8" i="14"/>
  <c r="AE8" i="14"/>
  <c r="AJ8" i="14"/>
  <c r="AO8" i="14"/>
  <c r="AT8" i="14"/>
  <c r="I10" i="64"/>
  <c r="AY8" i="14"/>
  <c r="I10" i="65"/>
  <c r="BI8" i="14"/>
  <c r="P9" i="29"/>
  <c r="AV24" i="22"/>
  <c r="AO10" i="25"/>
  <c r="N24" i="23"/>
  <c r="AE24" i="23"/>
  <c r="AV24" i="23"/>
  <c r="AL10" i="25"/>
  <c r="AT10" i="25"/>
  <c r="CJ10" i="25"/>
  <c r="M163" i="36"/>
  <c r="BN8" i="14"/>
  <c r="M163" i="38"/>
  <c r="M163" i="41"/>
  <c r="M163" i="37"/>
  <c r="M163" i="40"/>
  <c r="M163" i="44"/>
  <c r="AE163" i="44"/>
  <c r="R17" i="26"/>
  <c r="S17" i="26"/>
  <c r="Q11" i="20"/>
  <c r="T17" i="26"/>
  <c r="U17" i="26"/>
  <c r="J64" i="26"/>
  <c r="AF64" i="26"/>
  <c r="AD10" i="31"/>
  <c r="AJ10" i="31"/>
  <c r="BO10" i="31"/>
  <c r="B163" i="36"/>
  <c r="B163" i="38"/>
  <c r="B163" i="41"/>
  <c r="B163" i="37"/>
  <c r="B163" i="40"/>
  <c r="B163" i="44"/>
  <c r="S163" i="44"/>
  <c r="AJ163" i="44"/>
  <c r="CG10" i="25"/>
  <c r="J163" i="36"/>
  <c r="J163" i="38"/>
  <c r="J163" i="41"/>
  <c r="J163" i="37"/>
  <c r="J163" i="40"/>
  <c r="J163" i="44"/>
  <c r="AD163" i="44"/>
  <c r="AI163" i="44"/>
  <c r="R18" i="30"/>
  <c r="AN18" i="30"/>
  <c r="BJ18" i="30"/>
  <c r="AF10" i="31"/>
  <c r="BQ10" i="31"/>
  <c r="D163" i="36"/>
  <c r="D163" i="38"/>
  <c r="D163" i="41"/>
  <c r="D163" i="37"/>
  <c r="D163" i="40"/>
  <c r="D163" i="44"/>
  <c r="AC163" i="44"/>
  <c r="AH163" i="44"/>
  <c r="AJ17" i="26"/>
  <c r="AK17" i="26"/>
  <c r="AL17" i="26"/>
  <c r="K64" i="26"/>
  <c r="AG64" i="26"/>
  <c r="AE10" i="31"/>
  <c r="BP10" i="31"/>
  <c r="C163" i="36"/>
  <c r="C163" i="38"/>
  <c r="C163" i="41"/>
  <c r="C163" i="37"/>
  <c r="C163" i="40"/>
  <c r="C163" i="44"/>
  <c r="N17" i="32"/>
  <c r="O17" i="32"/>
  <c r="P17" i="32"/>
  <c r="J64" i="32"/>
  <c r="F9" i="45"/>
  <c r="K9" i="45"/>
  <c r="P9" i="45"/>
  <c r="K8" i="14"/>
  <c r="P8" i="14"/>
  <c r="K9" i="29"/>
  <c r="AA64" i="32"/>
  <c r="N10" i="33"/>
  <c r="P10" i="33"/>
  <c r="AE10" i="33"/>
  <c r="H163" i="36"/>
  <c r="H163" i="38"/>
  <c r="H163" i="41"/>
  <c r="H163" i="37"/>
  <c r="H163" i="40"/>
  <c r="H163" i="44"/>
  <c r="AE17" i="32"/>
  <c r="AF17" i="32"/>
  <c r="AG17" i="32"/>
  <c r="K64" i="32"/>
  <c r="AB64" i="32"/>
  <c r="O10" i="33"/>
  <c r="AF10" i="33"/>
  <c r="I163" i="36"/>
  <c r="I163" i="38"/>
  <c r="I163" i="41"/>
  <c r="I163" i="37"/>
  <c r="I163" i="40"/>
  <c r="I163" i="44"/>
  <c r="N17" i="24"/>
  <c r="AE17" i="24"/>
  <c r="AV17" i="24"/>
  <c r="AR10" i="25"/>
  <c r="CM10" i="25"/>
  <c r="P163" i="36"/>
  <c r="P163" i="38"/>
  <c r="P163" i="41"/>
  <c r="P163" i="37"/>
  <c r="P163" i="40"/>
  <c r="P163" i="44"/>
  <c r="O17" i="24"/>
  <c r="AF17" i="24"/>
  <c r="AW17" i="24"/>
  <c r="AS10" i="25"/>
  <c r="CN10" i="25"/>
  <c r="Q163" i="36"/>
  <c r="Q163" i="38"/>
  <c r="Q163" i="41"/>
  <c r="Q163" i="37"/>
  <c r="Q163" i="40"/>
  <c r="Q163" i="44"/>
  <c r="R163" i="37"/>
  <c r="R163" i="44"/>
  <c r="AB163" i="44"/>
  <c r="AG163" i="44"/>
  <c r="N23" i="22"/>
  <c r="AE23" i="22"/>
  <c r="U7" i="14"/>
  <c r="Z7" i="14"/>
  <c r="AE7" i="14"/>
  <c r="AJ7" i="14"/>
  <c r="AO7" i="14"/>
  <c r="AT7" i="14"/>
  <c r="AY7" i="14"/>
  <c r="I9" i="65"/>
  <c r="BI7" i="14"/>
  <c r="P8" i="29"/>
  <c r="AV23" i="22"/>
  <c r="AO9" i="25"/>
  <c r="N23" i="23"/>
  <c r="AE23" i="23"/>
  <c r="AV23" i="23"/>
  <c r="AL9" i="25"/>
  <c r="AT9" i="25"/>
  <c r="CJ9" i="25"/>
  <c r="M162" i="36"/>
  <c r="BN7" i="14"/>
  <c r="M162" i="38"/>
  <c r="M162" i="41"/>
  <c r="M162" i="37"/>
  <c r="M162" i="40"/>
  <c r="M162" i="44"/>
  <c r="AE162" i="44"/>
  <c r="R16" i="26"/>
  <c r="S16" i="26"/>
  <c r="Q10" i="20"/>
  <c r="T16" i="26"/>
  <c r="U16" i="26"/>
  <c r="J63" i="26"/>
  <c r="AF63" i="26"/>
  <c r="AD9" i="31"/>
  <c r="AJ9" i="31"/>
  <c r="BO9" i="31"/>
  <c r="B162" i="36"/>
  <c r="B162" i="38"/>
  <c r="B162" i="41"/>
  <c r="B162" i="37"/>
  <c r="B162" i="40"/>
  <c r="B162" i="44"/>
  <c r="S162" i="44"/>
  <c r="AJ162" i="44"/>
  <c r="CG9" i="25"/>
  <c r="J162" i="36"/>
  <c r="J162" i="38"/>
  <c r="J162" i="41"/>
  <c r="J162" i="37"/>
  <c r="J162" i="40"/>
  <c r="J162" i="44"/>
  <c r="AD162" i="44"/>
  <c r="AI162" i="44"/>
  <c r="R17" i="30"/>
  <c r="AN17" i="30"/>
  <c r="BJ17" i="30"/>
  <c r="AF9" i="31"/>
  <c r="BQ9" i="31"/>
  <c r="D162" i="36"/>
  <c r="D162" i="38"/>
  <c r="D162" i="41"/>
  <c r="D162" i="37"/>
  <c r="D162" i="40"/>
  <c r="D162" i="44"/>
  <c r="AC162" i="44"/>
  <c r="AH162" i="44"/>
  <c r="AJ16" i="26"/>
  <c r="AK16" i="26"/>
  <c r="AL16" i="26"/>
  <c r="K63" i="26"/>
  <c r="AG63" i="26"/>
  <c r="AE9" i="31"/>
  <c r="BP9" i="31"/>
  <c r="C162" i="36"/>
  <c r="C162" i="38"/>
  <c r="C162" i="41"/>
  <c r="C162" i="37"/>
  <c r="C162" i="40"/>
  <c r="C162" i="44"/>
  <c r="N16" i="32"/>
  <c r="O16" i="32"/>
  <c r="P16" i="32"/>
  <c r="J63" i="32"/>
  <c r="F8" i="45"/>
  <c r="K8" i="45"/>
  <c r="P8" i="45"/>
  <c r="K7" i="14"/>
  <c r="P7" i="14"/>
  <c r="K8" i="29"/>
  <c r="AA63" i="32"/>
  <c r="N9" i="33"/>
  <c r="P9" i="33"/>
  <c r="AE9" i="33"/>
  <c r="H162" i="36"/>
  <c r="H162" i="38"/>
  <c r="H162" i="41"/>
  <c r="H162" i="37"/>
  <c r="H162" i="40"/>
  <c r="H162" i="44"/>
  <c r="AE16" i="32"/>
  <c r="AF16" i="32"/>
  <c r="AG16" i="32"/>
  <c r="K63" i="32"/>
  <c r="AB63" i="32"/>
  <c r="O9" i="33"/>
  <c r="AF9" i="33"/>
  <c r="I162" i="36"/>
  <c r="I162" i="38"/>
  <c r="I162" i="41"/>
  <c r="I162" i="37"/>
  <c r="I162" i="40"/>
  <c r="I162" i="44"/>
  <c r="N16" i="24"/>
  <c r="AE16" i="24"/>
  <c r="AV16" i="24"/>
  <c r="AR9" i="25"/>
  <c r="CM9" i="25"/>
  <c r="P162" i="36"/>
  <c r="P162" i="38"/>
  <c r="P162" i="41"/>
  <c r="P162" i="37"/>
  <c r="P162" i="40"/>
  <c r="P162" i="44"/>
  <c r="O16" i="24"/>
  <c r="AF16" i="24"/>
  <c r="AW16" i="24"/>
  <c r="AS9" i="25"/>
  <c r="CN9" i="25"/>
  <c r="Q162" i="36"/>
  <c r="Q162" i="38"/>
  <c r="Q162" i="41"/>
  <c r="Q162" i="37"/>
  <c r="Q162" i="40"/>
  <c r="Q162" i="44"/>
  <c r="R162" i="37"/>
  <c r="R162" i="44"/>
  <c r="AB162" i="44"/>
  <c r="AG162" i="44"/>
  <c r="N22" i="22"/>
  <c r="AE22" i="22"/>
  <c r="U6" i="14"/>
  <c r="Z6" i="14"/>
  <c r="AE6" i="14"/>
  <c r="AJ6" i="14"/>
  <c r="AO6" i="14"/>
  <c r="AT6" i="14"/>
  <c r="I8" i="64"/>
  <c r="AY6" i="14"/>
  <c r="I8" i="65"/>
  <c r="BI6" i="14"/>
  <c r="P7" i="29"/>
  <c r="AV22" i="22"/>
  <c r="AO8" i="25"/>
  <c r="N22" i="23"/>
  <c r="AE22" i="23"/>
  <c r="AV22" i="23"/>
  <c r="AL8" i="25"/>
  <c r="AT8" i="25"/>
  <c r="CJ8" i="25"/>
  <c r="M161" i="36"/>
  <c r="BN6" i="14"/>
  <c r="M161" i="38"/>
  <c r="M161" i="41"/>
  <c r="M161" i="37"/>
  <c r="M161" i="40"/>
  <c r="M161" i="44"/>
  <c r="AE161" i="44"/>
  <c r="R15" i="26"/>
  <c r="S15" i="26"/>
  <c r="Q9" i="20"/>
  <c r="T15" i="26"/>
  <c r="U15" i="26"/>
  <c r="J62" i="26"/>
  <c r="AF62" i="26"/>
  <c r="AD8" i="31"/>
  <c r="AJ8" i="31"/>
  <c r="BO8" i="31"/>
  <c r="B161" i="36"/>
  <c r="B161" i="38"/>
  <c r="B161" i="41"/>
  <c r="B161" i="37"/>
  <c r="B161" i="40"/>
  <c r="B161" i="44"/>
  <c r="S161" i="44"/>
  <c r="AJ161" i="44"/>
  <c r="CG8" i="25"/>
  <c r="J161" i="36"/>
  <c r="J161" i="38"/>
  <c r="J161" i="41"/>
  <c r="J161" i="37"/>
  <c r="J161" i="40"/>
  <c r="J161" i="44"/>
  <c r="AD161" i="44"/>
  <c r="AI161" i="44"/>
  <c r="R16" i="30"/>
  <c r="AN16" i="30"/>
  <c r="BJ16" i="30"/>
  <c r="AF8" i="31"/>
  <c r="BQ8" i="31"/>
  <c r="D161" i="36"/>
  <c r="D161" i="38"/>
  <c r="D161" i="41"/>
  <c r="D161" i="37"/>
  <c r="D161" i="40"/>
  <c r="D161" i="44"/>
  <c r="AC161" i="44"/>
  <c r="AH161" i="44"/>
  <c r="AJ15" i="26"/>
  <c r="AK15" i="26"/>
  <c r="AL15" i="26"/>
  <c r="K62" i="26"/>
  <c r="AG62" i="26"/>
  <c r="AE8" i="31"/>
  <c r="BP8" i="31"/>
  <c r="C161" i="36"/>
  <c r="C161" i="38"/>
  <c r="C161" i="41"/>
  <c r="C161" i="37"/>
  <c r="C161" i="40"/>
  <c r="C161" i="44"/>
  <c r="N15" i="32"/>
  <c r="O15" i="32"/>
  <c r="P15" i="32"/>
  <c r="J62" i="32"/>
  <c r="F7" i="45"/>
  <c r="K7" i="45"/>
  <c r="P7" i="45"/>
  <c r="K6" i="14"/>
  <c r="P6" i="14"/>
  <c r="K7" i="29"/>
  <c r="AA62" i="32"/>
  <c r="N8" i="33"/>
  <c r="P8" i="33"/>
  <c r="AE8" i="33"/>
  <c r="H161" i="36"/>
  <c r="H161" i="38"/>
  <c r="H161" i="41"/>
  <c r="H161" i="37"/>
  <c r="H161" i="40"/>
  <c r="H161" i="44"/>
  <c r="AE15" i="32"/>
  <c r="AF15" i="32"/>
  <c r="AG15" i="32"/>
  <c r="K62" i="32"/>
  <c r="AB62" i="32"/>
  <c r="O8" i="33"/>
  <c r="AF8" i="33"/>
  <c r="I161" i="36"/>
  <c r="I161" i="38"/>
  <c r="I161" i="41"/>
  <c r="I161" i="37"/>
  <c r="I161" i="40"/>
  <c r="I161" i="44"/>
  <c r="N15" i="24"/>
  <c r="AE15" i="24"/>
  <c r="AV15" i="24"/>
  <c r="AR8" i="25"/>
  <c r="CM8" i="25"/>
  <c r="P161" i="36"/>
  <c r="P161" i="38"/>
  <c r="P161" i="41"/>
  <c r="P161" i="37"/>
  <c r="P161" i="40"/>
  <c r="P161" i="44"/>
  <c r="O15" i="24"/>
  <c r="AF15" i="24"/>
  <c r="AW15" i="24"/>
  <c r="AS8" i="25"/>
  <c r="CN8" i="25"/>
  <c r="Q161" i="36"/>
  <c r="Q161" i="38"/>
  <c r="Q161" i="41"/>
  <c r="Q161" i="37"/>
  <c r="Q161" i="40"/>
  <c r="Q161" i="44"/>
  <c r="R123" i="36"/>
  <c r="R161" i="36"/>
  <c r="U7" i="13"/>
  <c r="U7" i="29"/>
  <c r="R161" i="38"/>
  <c r="R161" i="41"/>
  <c r="R161" i="37"/>
  <c r="R161" i="40"/>
  <c r="R161" i="44"/>
  <c r="AB161" i="44"/>
  <c r="AG161" i="44"/>
  <c r="N21" i="22"/>
  <c r="AE21" i="22"/>
  <c r="U5" i="14"/>
  <c r="Z5" i="14"/>
  <c r="AE5" i="14"/>
  <c r="AJ5" i="14"/>
  <c r="AO5" i="14"/>
  <c r="AT5" i="14"/>
  <c r="I7" i="64"/>
  <c r="AY5" i="14"/>
  <c r="I7" i="65"/>
  <c r="BI5" i="14"/>
  <c r="P6" i="29"/>
  <c r="AV21" i="22"/>
  <c r="AO7" i="25"/>
  <c r="N21" i="23"/>
  <c r="AE21" i="23"/>
  <c r="AV21" i="23"/>
  <c r="AL7" i="25"/>
  <c r="AT7" i="25"/>
  <c r="CJ7" i="25"/>
  <c r="M160" i="36"/>
  <c r="BN5" i="14"/>
  <c r="M160" i="38"/>
  <c r="M160" i="41"/>
  <c r="M160" i="37"/>
  <c r="M160" i="40"/>
  <c r="M160" i="44"/>
  <c r="AE160" i="44"/>
  <c r="R14" i="26"/>
  <c r="S14" i="26"/>
  <c r="Q8" i="20"/>
  <c r="T14" i="26"/>
  <c r="U14" i="26"/>
  <c r="J61" i="26"/>
  <c r="AF61" i="26"/>
  <c r="AD7" i="31"/>
  <c r="AJ7" i="31"/>
  <c r="BO7" i="31"/>
  <c r="B160" i="36"/>
  <c r="B160" i="38"/>
  <c r="B160" i="41"/>
  <c r="B160" i="37"/>
  <c r="B160" i="40"/>
  <c r="B160" i="44"/>
  <c r="S160" i="44"/>
  <c r="AJ160" i="44"/>
  <c r="CG7" i="25"/>
  <c r="J160" i="36"/>
  <c r="J160" i="38"/>
  <c r="J160" i="41"/>
  <c r="J160" i="37"/>
  <c r="J160" i="40"/>
  <c r="J160" i="44"/>
  <c r="AD160" i="44"/>
  <c r="AI160" i="44"/>
  <c r="R15" i="30"/>
  <c r="AN15" i="30"/>
  <c r="BJ15" i="30"/>
  <c r="AF7" i="31"/>
  <c r="BQ7" i="31"/>
  <c r="D160" i="36"/>
  <c r="D160" i="38"/>
  <c r="D160" i="41"/>
  <c r="D160" i="37"/>
  <c r="D160" i="40"/>
  <c r="D160" i="44"/>
  <c r="AC160" i="44"/>
  <c r="AH160" i="44"/>
  <c r="AJ14" i="26"/>
  <c r="AK14" i="26"/>
  <c r="AL14" i="26"/>
  <c r="K61" i="26"/>
  <c r="AG61" i="26"/>
  <c r="AE7" i="31"/>
  <c r="BP7" i="31"/>
  <c r="C160" i="36"/>
  <c r="C160" i="38"/>
  <c r="C160" i="41"/>
  <c r="C160" i="37"/>
  <c r="C160" i="40"/>
  <c r="C160" i="44"/>
  <c r="N14" i="32"/>
  <c r="O14" i="32"/>
  <c r="P14" i="32"/>
  <c r="J61" i="32"/>
  <c r="F6" i="45"/>
  <c r="K6" i="45"/>
  <c r="P6" i="45"/>
  <c r="K5" i="14"/>
  <c r="P5" i="14"/>
  <c r="K6" i="29"/>
  <c r="AA61" i="32"/>
  <c r="N7" i="33"/>
  <c r="P7" i="33"/>
  <c r="AE7" i="33"/>
  <c r="H160" i="36"/>
  <c r="H160" i="38"/>
  <c r="H160" i="41"/>
  <c r="H160" i="37"/>
  <c r="H160" i="40"/>
  <c r="H160" i="44"/>
  <c r="AE14" i="32"/>
  <c r="AF14" i="32"/>
  <c r="AG14" i="32"/>
  <c r="K61" i="32"/>
  <c r="AB61" i="32"/>
  <c r="O7" i="33"/>
  <c r="AF7" i="33"/>
  <c r="I160" i="36"/>
  <c r="I160" i="38"/>
  <c r="I160" i="41"/>
  <c r="I160" i="37"/>
  <c r="I160" i="40"/>
  <c r="I160" i="44"/>
  <c r="N14" i="24"/>
  <c r="AE14" i="24"/>
  <c r="AV14" i="24"/>
  <c r="AR7" i="25"/>
  <c r="CM7" i="25"/>
  <c r="P160" i="36"/>
  <c r="P160" i="38"/>
  <c r="P160" i="41"/>
  <c r="P160" i="37"/>
  <c r="P160" i="40"/>
  <c r="P160" i="44"/>
  <c r="O14" i="24"/>
  <c r="AF14" i="24"/>
  <c r="AW14" i="24"/>
  <c r="AS7" i="25"/>
  <c r="CN7" i="25"/>
  <c r="Q160" i="36"/>
  <c r="Q160" i="38"/>
  <c r="Q160" i="41"/>
  <c r="Q160" i="37"/>
  <c r="Q160" i="40"/>
  <c r="Q160" i="44"/>
  <c r="R160" i="37"/>
  <c r="R160" i="44"/>
  <c r="AB160" i="44"/>
  <c r="AG160" i="44"/>
  <c r="N20" i="22"/>
  <c r="AE20" i="22"/>
  <c r="U4" i="14"/>
  <c r="Z4" i="14"/>
  <c r="AE4" i="14"/>
  <c r="AJ4" i="14"/>
  <c r="AO4" i="14"/>
  <c r="AT4" i="14"/>
  <c r="I6" i="64"/>
  <c r="AY4" i="14"/>
  <c r="I6" i="65"/>
  <c r="BI4" i="14"/>
  <c r="P5" i="29"/>
  <c r="AV20" i="22"/>
  <c r="AO6" i="25"/>
  <c r="N20" i="23"/>
  <c r="AE20" i="23"/>
  <c r="AV20" i="23"/>
  <c r="AL6" i="25"/>
  <c r="AT6" i="25"/>
  <c r="CJ6" i="25"/>
  <c r="M159" i="36"/>
  <c r="BN4" i="14"/>
  <c r="M159" i="38"/>
  <c r="M159" i="41"/>
  <c r="M159" i="37"/>
  <c r="M159" i="40"/>
  <c r="M159" i="44"/>
  <c r="AE159" i="44"/>
  <c r="R13" i="26"/>
  <c r="S13" i="26"/>
  <c r="Q7" i="20"/>
  <c r="T13" i="26"/>
  <c r="U13" i="26"/>
  <c r="J60" i="26"/>
  <c r="AF60" i="26"/>
  <c r="AD6" i="31"/>
  <c r="AJ6" i="31"/>
  <c r="BO6" i="31"/>
  <c r="B159" i="36"/>
  <c r="B159" i="38"/>
  <c r="B159" i="41"/>
  <c r="B159" i="37"/>
  <c r="B159" i="40"/>
  <c r="B159" i="44"/>
  <c r="S159" i="44"/>
  <c r="AJ159" i="44"/>
  <c r="CG6" i="25"/>
  <c r="J159" i="36"/>
  <c r="J159" i="38"/>
  <c r="J159" i="41"/>
  <c r="J159" i="37"/>
  <c r="J159" i="40"/>
  <c r="J159" i="44"/>
  <c r="AD159" i="44"/>
  <c r="AI159" i="44"/>
  <c r="R14" i="30"/>
  <c r="AN14" i="30"/>
  <c r="BJ14" i="30"/>
  <c r="AF6" i="31"/>
  <c r="BQ6" i="31"/>
  <c r="D159" i="36"/>
  <c r="D159" i="38"/>
  <c r="D159" i="41"/>
  <c r="D159" i="37"/>
  <c r="D159" i="40"/>
  <c r="D159" i="44"/>
  <c r="AC159" i="44"/>
  <c r="AH159" i="44"/>
  <c r="AJ13" i="26"/>
  <c r="AK13" i="26"/>
  <c r="AL13" i="26"/>
  <c r="K60" i="26"/>
  <c r="AG60" i="26"/>
  <c r="AE6" i="31"/>
  <c r="BP6" i="31"/>
  <c r="C159" i="36"/>
  <c r="C159" i="38"/>
  <c r="C159" i="41"/>
  <c r="C159" i="37"/>
  <c r="C159" i="40"/>
  <c r="C159" i="44"/>
  <c r="O13" i="32"/>
  <c r="P13" i="32"/>
  <c r="J60" i="32"/>
  <c r="F5" i="45"/>
  <c r="K5" i="45"/>
  <c r="P5" i="45"/>
  <c r="K4" i="14"/>
  <c r="P4" i="14"/>
  <c r="H159" i="41"/>
  <c r="H159" i="37"/>
  <c r="AE13" i="32"/>
  <c r="AF13" i="32"/>
  <c r="AG13" i="32"/>
  <c r="K60" i="32"/>
  <c r="I159" i="41"/>
  <c r="I159" i="37"/>
  <c r="N13" i="24"/>
  <c r="AE13" i="24"/>
  <c r="AV13" i="24"/>
  <c r="AR6" i="25"/>
  <c r="CM6" i="25"/>
  <c r="P159" i="36"/>
  <c r="P159" i="38"/>
  <c r="P159" i="41"/>
  <c r="P159" i="37"/>
  <c r="P159" i="40"/>
  <c r="P159" i="44"/>
  <c r="O13" i="24"/>
  <c r="AF13" i="24"/>
  <c r="AW13" i="24"/>
  <c r="AS6" i="25"/>
  <c r="CN6" i="25"/>
  <c r="Q159" i="36"/>
  <c r="Q159" i="38"/>
  <c r="Q159" i="41"/>
  <c r="Q159" i="37"/>
  <c r="Q159" i="40"/>
  <c r="Q159" i="44"/>
  <c r="R159" i="37"/>
  <c r="R159" i="44"/>
  <c r="AE19" i="22"/>
  <c r="P4" i="29"/>
  <c r="AV19" i="22"/>
  <c r="AO5" i="25"/>
  <c r="AE19" i="23"/>
  <c r="AV19" i="23"/>
  <c r="AL5" i="25"/>
  <c r="AT5" i="25"/>
  <c r="CJ5" i="25"/>
  <c r="M158" i="36"/>
  <c r="M158" i="38"/>
  <c r="M158" i="41"/>
  <c r="M158" i="37"/>
  <c r="M158" i="40"/>
  <c r="M158" i="44"/>
  <c r="AE158" i="44"/>
  <c r="J59" i="26"/>
  <c r="AF59" i="26"/>
  <c r="AD5" i="31"/>
  <c r="AJ5" i="31"/>
  <c r="BO5" i="31"/>
  <c r="B158" i="36"/>
  <c r="B158" i="38"/>
  <c r="B158" i="41"/>
  <c r="B158" i="37"/>
  <c r="B158" i="40"/>
  <c r="B158" i="44"/>
  <c r="S158" i="44"/>
  <c r="AJ158" i="44"/>
  <c r="CG5" i="25"/>
  <c r="J158" i="36"/>
  <c r="J158" i="38"/>
  <c r="J158" i="41"/>
  <c r="J158" i="37"/>
  <c r="J158" i="40"/>
  <c r="J158" i="44"/>
  <c r="AD158" i="44"/>
  <c r="AI158" i="44"/>
  <c r="AN13" i="30"/>
  <c r="F4" i="29"/>
  <c r="BJ13" i="30"/>
  <c r="AF5" i="31"/>
  <c r="BQ5" i="31"/>
  <c r="D158" i="36"/>
  <c r="D158" i="38"/>
  <c r="D158" i="41"/>
  <c r="D158" i="37"/>
  <c r="D158" i="40"/>
  <c r="D158" i="44"/>
  <c r="AC158" i="44"/>
  <c r="AH158" i="44"/>
  <c r="K59" i="26"/>
  <c r="AG59" i="26"/>
  <c r="AE5" i="31"/>
  <c r="BP5" i="31"/>
  <c r="C158" i="36"/>
  <c r="C158" i="38"/>
  <c r="C158" i="41"/>
  <c r="C158" i="37"/>
  <c r="C158" i="40"/>
  <c r="C158" i="44"/>
  <c r="J59" i="32"/>
  <c r="H158" i="41"/>
  <c r="H158" i="37"/>
  <c r="K59" i="32"/>
  <c r="I158" i="41"/>
  <c r="I158" i="37"/>
  <c r="AE12" i="24"/>
  <c r="AV12" i="24"/>
  <c r="AR5" i="25"/>
  <c r="CM5" i="25"/>
  <c r="P158" i="36"/>
  <c r="P158" i="38"/>
  <c r="P158" i="41"/>
  <c r="P158" i="37"/>
  <c r="P158" i="40"/>
  <c r="P158" i="44"/>
  <c r="AF12" i="24"/>
  <c r="AW12" i="24"/>
  <c r="AS5" i="25"/>
  <c r="CN5" i="25"/>
  <c r="Q158" i="36"/>
  <c r="Q158" i="38"/>
  <c r="Q158" i="41"/>
  <c r="Q158" i="37"/>
  <c r="Q158" i="40"/>
  <c r="Q158" i="44"/>
  <c r="R120" i="36"/>
  <c r="R158" i="36"/>
  <c r="U5" i="13"/>
  <c r="U5" i="29"/>
  <c r="R159" i="38"/>
  <c r="U6" i="13"/>
  <c r="U6" i="29"/>
  <c r="R160" i="38"/>
  <c r="U8" i="13"/>
  <c r="U8" i="29"/>
  <c r="R162" i="38"/>
  <c r="U9" i="13"/>
  <c r="U9" i="29"/>
  <c r="R163" i="38"/>
  <c r="U10" i="13"/>
  <c r="U10" i="29"/>
  <c r="R164" i="38"/>
  <c r="U11" i="13"/>
  <c r="U11" i="29"/>
  <c r="R165" i="38"/>
  <c r="R158" i="38"/>
  <c r="R158" i="41"/>
  <c r="R158" i="37"/>
  <c r="R158" i="40"/>
  <c r="R158" i="44"/>
  <c r="AE18" i="22"/>
  <c r="P3" i="29"/>
  <c r="AV18" i="22"/>
  <c r="AO4" i="25"/>
  <c r="AE18" i="23"/>
  <c r="AV18" i="23"/>
  <c r="AL4" i="25"/>
  <c r="AT4" i="25"/>
  <c r="CJ4" i="25"/>
  <c r="M157" i="36"/>
  <c r="M157" i="38"/>
  <c r="M157" i="41"/>
  <c r="M157" i="37"/>
  <c r="M157" i="40"/>
  <c r="M157" i="44"/>
  <c r="AE157" i="44"/>
  <c r="J58" i="26"/>
  <c r="AF58" i="26"/>
  <c r="AD4" i="31"/>
  <c r="AJ4" i="31"/>
  <c r="BO4" i="31"/>
  <c r="B157" i="36"/>
  <c r="B157" i="38"/>
  <c r="B157" i="41"/>
  <c r="B157" i="37"/>
  <c r="B157" i="40"/>
  <c r="B157" i="44"/>
  <c r="S157" i="44"/>
  <c r="AJ157" i="44"/>
  <c r="CG4" i="25"/>
  <c r="J157" i="36"/>
  <c r="J157" i="38"/>
  <c r="J157" i="41"/>
  <c r="J157" i="37"/>
  <c r="J157" i="40"/>
  <c r="J157" i="44"/>
  <c r="AD157" i="44"/>
  <c r="AI157" i="44"/>
  <c r="AN12" i="30"/>
  <c r="F3" i="29"/>
  <c r="BJ12" i="30"/>
  <c r="AF4" i="31"/>
  <c r="BQ4" i="31"/>
  <c r="D157" i="36"/>
  <c r="D157" i="38"/>
  <c r="D157" i="41"/>
  <c r="D157" i="37"/>
  <c r="D157" i="40"/>
  <c r="D157" i="44"/>
  <c r="AC157" i="44"/>
  <c r="AH157" i="44"/>
  <c r="K58" i="26"/>
  <c r="AG58" i="26"/>
  <c r="AE4" i="31"/>
  <c r="BP4" i="31"/>
  <c r="C157" i="36"/>
  <c r="C157" i="38"/>
  <c r="C157" i="41"/>
  <c r="C157" i="37"/>
  <c r="C157" i="40"/>
  <c r="C157" i="44"/>
  <c r="J58" i="32"/>
  <c r="H157" i="41"/>
  <c r="H157" i="37"/>
  <c r="K58" i="32"/>
  <c r="I157" i="41"/>
  <c r="I157" i="37"/>
  <c r="AE11" i="24"/>
  <c r="AV11" i="24"/>
  <c r="AR4" i="25"/>
  <c r="CM4" i="25"/>
  <c r="P157" i="36"/>
  <c r="P157" i="38"/>
  <c r="P157" i="41"/>
  <c r="P157" i="37"/>
  <c r="P157" i="40"/>
  <c r="P157" i="44"/>
  <c r="AF11" i="24"/>
  <c r="AW11" i="24"/>
  <c r="AS4" i="25"/>
  <c r="CN4" i="25"/>
  <c r="Q157" i="36"/>
  <c r="Q157" i="38"/>
  <c r="Q157" i="41"/>
  <c r="Q157" i="37"/>
  <c r="Q157" i="40"/>
  <c r="Q157" i="44"/>
  <c r="R119" i="36"/>
  <c r="R157" i="36"/>
  <c r="R157" i="38"/>
  <c r="R157" i="41"/>
  <c r="R157" i="37"/>
  <c r="R157" i="40"/>
  <c r="R157" i="44"/>
  <c r="S39" i="32"/>
  <c r="T39" i="32"/>
  <c r="U39" i="32"/>
  <c r="V39" i="32"/>
  <c r="W39" i="32"/>
  <c r="X39" i="32"/>
  <c r="Y39" i="32"/>
  <c r="Z39" i="32"/>
  <c r="AA39" i="32"/>
  <c r="AB40" i="32"/>
  <c r="AB41" i="32"/>
  <c r="AB42" i="32"/>
  <c r="AB43" i="32"/>
  <c r="AB39" i="32"/>
  <c r="S35" i="32"/>
  <c r="T35" i="32"/>
  <c r="U35" i="32"/>
  <c r="V35" i="32"/>
  <c r="W35" i="32"/>
  <c r="X35" i="32"/>
  <c r="Y35" i="32"/>
  <c r="Z35" i="32"/>
  <c r="AA35" i="32"/>
  <c r="AB36" i="32"/>
  <c r="AB37" i="32"/>
  <c r="AB38" i="32"/>
  <c r="AB35" i="32"/>
  <c r="S30" i="32"/>
  <c r="T30" i="32"/>
  <c r="U30" i="32"/>
  <c r="V30" i="32"/>
  <c r="W30" i="32"/>
  <c r="X30" i="32"/>
  <c r="Y30" i="32"/>
  <c r="Z30" i="32"/>
  <c r="AA30" i="32"/>
  <c r="AB31" i="32"/>
  <c r="AB32" i="32"/>
  <c r="AB33" i="32"/>
  <c r="AB34" i="32"/>
  <c r="AB30" i="32"/>
  <c r="S20" i="32"/>
  <c r="T20" i="32"/>
  <c r="U20" i="32"/>
  <c r="V20" i="32"/>
  <c r="W20" i="32"/>
  <c r="X20" i="32"/>
  <c r="Y20" i="32"/>
  <c r="Z20" i="32"/>
  <c r="AA20" i="32"/>
  <c r="AB21" i="32"/>
  <c r="AB22" i="32"/>
  <c r="AB23" i="32"/>
  <c r="AB24" i="32"/>
  <c r="AB25" i="32"/>
  <c r="AB26" i="32"/>
  <c r="AB27" i="32"/>
  <c r="AB28" i="32"/>
  <c r="AB29" i="32"/>
  <c r="AB20" i="32"/>
  <c r="AB14" i="32"/>
  <c r="AB15" i="32"/>
  <c r="AB16" i="32"/>
  <c r="AB17" i="32"/>
  <c r="AB18" i="32"/>
  <c r="AB19" i="32"/>
  <c r="AB13" i="32"/>
  <c r="T5" i="37"/>
  <c r="AF5" i="37"/>
  <c r="X37" i="37"/>
  <c r="AF37" i="37"/>
  <c r="AG37" i="37"/>
  <c r="X20" i="26"/>
  <c r="Y20" i="26"/>
  <c r="Z20" i="26"/>
  <c r="AA20" i="26"/>
  <c r="AB20" i="26"/>
  <c r="AC20" i="26"/>
  <c r="AD20" i="26"/>
  <c r="AE20" i="26"/>
  <c r="AF20" i="26"/>
  <c r="AG21" i="26"/>
  <c r="AG22" i="26"/>
  <c r="AG23" i="26"/>
  <c r="AG24" i="26"/>
  <c r="AG25" i="26"/>
  <c r="AG26" i="26"/>
  <c r="AG27" i="26"/>
  <c r="AG28" i="26"/>
  <c r="AG29" i="26"/>
  <c r="AG20" i="26"/>
  <c r="AH21" i="26"/>
  <c r="AH22" i="26"/>
  <c r="AH23" i="26"/>
  <c r="AH24" i="26"/>
  <c r="AH25" i="26"/>
  <c r="AH26" i="26"/>
  <c r="AH27" i="26"/>
  <c r="AH28" i="26"/>
  <c r="AH29" i="26"/>
  <c r="AH20" i="26"/>
  <c r="X30" i="26"/>
  <c r="Y30" i="26"/>
  <c r="Z30" i="26"/>
  <c r="AA30" i="26"/>
  <c r="AB30" i="26"/>
  <c r="AC30" i="26"/>
  <c r="AD30" i="26"/>
  <c r="AE30" i="26"/>
  <c r="AF30" i="26"/>
  <c r="AG31" i="26"/>
  <c r="AG32" i="26"/>
  <c r="AG33" i="26"/>
  <c r="AG34" i="26"/>
  <c r="AG30" i="26"/>
  <c r="AH31" i="26"/>
  <c r="AH32" i="26"/>
  <c r="AH33" i="26"/>
  <c r="AH34" i="26"/>
  <c r="AH30" i="26"/>
  <c r="X35" i="26"/>
  <c r="Y35" i="26"/>
  <c r="Z35" i="26"/>
  <c r="AA35" i="26"/>
  <c r="AB35" i="26"/>
  <c r="AC35" i="26"/>
  <c r="AD35" i="26"/>
  <c r="AE35" i="26"/>
  <c r="AF35" i="26"/>
  <c r="AG36" i="26"/>
  <c r="AG37" i="26"/>
  <c r="AG38" i="26"/>
  <c r="AG35" i="26"/>
  <c r="AH36" i="26"/>
  <c r="AH37" i="26"/>
  <c r="AH38" i="26"/>
  <c r="AH35" i="26"/>
  <c r="AI36" i="26"/>
  <c r="AI37" i="26"/>
  <c r="AI38" i="26"/>
  <c r="AI35" i="26"/>
  <c r="X39" i="26"/>
  <c r="Y39" i="26"/>
  <c r="Z39" i="26"/>
  <c r="AA39" i="26"/>
  <c r="AB39" i="26"/>
  <c r="AC39" i="26"/>
  <c r="AD39" i="26"/>
  <c r="AE39" i="26"/>
  <c r="AF39" i="26"/>
  <c r="AG40" i="26"/>
  <c r="AG41" i="26"/>
  <c r="AG42" i="26"/>
  <c r="AG43" i="26"/>
  <c r="AG39" i="26"/>
  <c r="AG14" i="26"/>
  <c r="AG15" i="26"/>
  <c r="AG16" i="26"/>
  <c r="AG17" i="26"/>
  <c r="AG18" i="26"/>
  <c r="AG19" i="26"/>
  <c r="AG13" i="26"/>
  <c r="AC43" i="32"/>
  <c r="AH43" i="26"/>
  <c r="AH40" i="26"/>
  <c r="AH41" i="26"/>
  <c r="AH42" i="26"/>
  <c r="AH39" i="26"/>
  <c r="W30" i="26"/>
  <c r="AI21" i="26"/>
  <c r="AI22" i="26"/>
  <c r="AI23" i="26"/>
  <c r="AI24" i="26"/>
  <c r="AI25" i="26"/>
  <c r="AI26" i="26"/>
  <c r="AI27" i="26"/>
  <c r="AI28" i="26"/>
  <c r="AI29" i="26"/>
  <c r="AI20" i="26"/>
  <c r="AH14" i="26"/>
  <c r="AH15" i="26"/>
  <c r="AH16" i="26"/>
  <c r="AH17" i="26"/>
  <c r="AH18" i="26"/>
  <c r="AH19" i="26"/>
  <c r="AH13" i="26"/>
  <c r="AC21" i="32"/>
  <c r="AC22" i="32"/>
  <c r="AC23" i="32"/>
  <c r="AC24" i="32"/>
  <c r="AC25" i="32"/>
  <c r="AC26" i="32"/>
  <c r="AC27" i="32"/>
  <c r="AC28" i="32"/>
  <c r="AC29" i="32"/>
  <c r="AC20" i="32"/>
  <c r="AC36" i="32"/>
  <c r="AC37" i="32"/>
  <c r="AC38" i="32"/>
  <c r="AC35" i="32"/>
  <c r="AC31" i="32"/>
  <c r="AC32" i="32"/>
  <c r="AC33" i="32"/>
  <c r="AC34" i="32"/>
  <c r="AC30" i="32"/>
  <c r="AD31" i="32"/>
  <c r="AD32" i="32"/>
  <c r="AD33" i="32"/>
  <c r="AD34" i="32"/>
  <c r="AD30" i="32"/>
  <c r="AC40" i="32"/>
  <c r="AC41" i="32"/>
  <c r="AC42" i="32"/>
  <c r="AC39" i="32"/>
  <c r="AD43" i="32"/>
  <c r="AD40" i="32"/>
  <c r="AD41" i="32"/>
  <c r="AD42" i="32"/>
  <c r="AD39" i="32"/>
  <c r="AC14" i="32"/>
  <c r="AC15" i="32"/>
  <c r="AC16" i="32"/>
  <c r="AC17" i="32"/>
  <c r="AC18" i="32"/>
  <c r="AC19" i="32"/>
  <c r="AC13" i="32"/>
  <c r="D39" i="24"/>
  <c r="E39" i="24"/>
  <c r="F39" i="24"/>
  <c r="G39" i="24"/>
  <c r="H39" i="24"/>
  <c r="I39" i="24"/>
  <c r="J39" i="24"/>
  <c r="K39" i="24"/>
  <c r="L39" i="24"/>
  <c r="M39" i="24"/>
  <c r="N39" i="24"/>
  <c r="B20" i="32"/>
  <c r="C20" i="32"/>
  <c r="D20" i="32"/>
  <c r="E20" i="32"/>
  <c r="F20" i="32"/>
  <c r="G20" i="32"/>
  <c r="H20" i="32"/>
  <c r="I20" i="32"/>
  <c r="J20" i="32"/>
  <c r="K21" i="32"/>
  <c r="K22" i="32"/>
  <c r="K23" i="32"/>
  <c r="K24" i="32"/>
  <c r="K25" i="32"/>
  <c r="K26" i="32"/>
  <c r="K27" i="32"/>
  <c r="K28" i="32"/>
  <c r="K29" i="32"/>
  <c r="K20" i="32"/>
  <c r="L21" i="32"/>
  <c r="L22" i="32"/>
  <c r="L23" i="32"/>
  <c r="L24" i="32"/>
  <c r="L25" i="32"/>
  <c r="L26" i="32"/>
  <c r="L27" i="32"/>
  <c r="L28" i="32"/>
  <c r="L29" i="32"/>
  <c r="L20" i="32"/>
  <c r="C35" i="32"/>
  <c r="D35" i="32"/>
  <c r="E35" i="32"/>
  <c r="F35" i="32"/>
  <c r="G35" i="32"/>
  <c r="H35" i="32"/>
  <c r="I35" i="32"/>
  <c r="J35" i="32"/>
  <c r="K36" i="32"/>
  <c r="K37" i="32"/>
  <c r="K38" i="32"/>
  <c r="K35" i="32"/>
  <c r="L36" i="32"/>
  <c r="L37" i="32"/>
  <c r="L38" i="32"/>
  <c r="L35" i="32"/>
  <c r="C30" i="32"/>
  <c r="D30" i="32"/>
  <c r="E30" i="32"/>
  <c r="F30" i="32"/>
  <c r="G30" i="32"/>
  <c r="H30" i="32"/>
  <c r="I30" i="32"/>
  <c r="J30" i="32"/>
  <c r="K31" i="32"/>
  <c r="K32" i="32"/>
  <c r="K33" i="32"/>
  <c r="K34" i="32"/>
  <c r="K30" i="32"/>
  <c r="L31" i="32"/>
  <c r="L32" i="32"/>
  <c r="L33" i="32"/>
  <c r="L34" i="32"/>
  <c r="L30" i="32"/>
  <c r="C39" i="32"/>
  <c r="D39" i="32"/>
  <c r="E39" i="32"/>
  <c r="F39" i="32"/>
  <c r="G39" i="32"/>
  <c r="H39" i="32"/>
  <c r="I39" i="32"/>
  <c r="J39" i="32"/>
  <c r="K40" i="32"/>
  <c r="K41" i="32"/>
  <c r="K42" i="32"/>
  <c r="K43" i="32"/>
  <c r="K39" i="32"/>
  <c r="L40" i="32"/>
  <c r="L41" i="32"/>
  <c r="L42" i="32"/>
  <c r="L43" i="32"/>
  <c r="L39" i="32"/>
  <c r="B39" i="26"/>
  <c r="C39" i="26"/>
  <c r="D39" i="26"/>
  <c r="E39" i="26"/>
  <c r="F39" i="26"/>
  <c r="G39" i="26"/>
  <c r="H39" i="26"/>
  <c r="I39" i="26"/>
  <c r="J39" i="26"/>
  <c r="K39" i="26"/>
  <c r="L39" i="26"/>
  <c r="M39" i="26"/>
  <c r="N39" i="26"/>
  <c r="O39" i="26"/>
  <c r="P39" i="26"/>
  <c r="C35" i="26"/>
  <c r="D35" i="26"/>
  <c r="E35" i="26"/>
  <c r="F35" i="26"/>
  <c r="G35" i="26"/>
  <c r="H35" i="26"/>
  <c r="I35" i="26"/>
  <c r="J35" i="26"/>
  <c r="K35" i="26"/>
  <c r="L35" i="26"/>
  <c r="M35" i="26"/>
  <c r="N35" i="26"/>
  <c r="O35" i="26"/>
  <c r="P35" i="26"/>
  <c r="Q35" i="26"/>
  <c r="C30" i="26"/>
  <c r="D30" i="26"/>
  <c r="E30" i="26"/>
  <c r="F30" i="26"/>
  <c r="G30" i="26"/>
  <c r="H30" i="26"/>
  <c r="I30" i="26"/>
  <c r="J30" i="26"/>
  <c r="K30" i="26"/>
  <c r="L30" i="26"/>
  <c r="M30" i="26"/>
  <c r="N30" i="26"/>
  <c r="O30" i="26"/>
  <c r="P30" i="26"/>
  <c r="D20" i="26"/>
  <c r="E20" i="26"/>
  <c r="F20" i="26"/>
  <c r="G20" i="26"/>
  <c r="H20" i="26"/>
  <c r="I20" i="26"/>
  <c r="J20" i="26"/>
  <c r="K20" i="26"/>
  <c r="L20" i="26"/>
  <c r="M20" i="26"/>
  <c r="N20" i="26"/>
  <c r="O20" i="26"/>
  <c r="P20" i="26"/>
  <c r="Q20" i="26"/>
  <c r="T5" i="13"/>
  <c r="T5" i="29"/>
  <c r="T6" i="13"/>
  <c r="T6" i="29"/>
  <c r="T7" i="29"/>
  <c r="T8" i="29"/>
  <c r="T9" i="29"/>
  <c r="T10" i="29"/>
  <c r="T11" i="29"/>
  <c r="T4" i="29"/>
  <c r="T13" i="29"/>
  <c r="T14" i="29"/>
  <c r="T15" i="29"/>
  <c r="T16" i="29"/>
  <c r="T17" i="29"/>
  <c r="T18" i="29"/>
  <c r="T19" i="29"/>
  <c r="T20" i="29"/>
  <c r="T21" i="29"/>
  <c r="T12" i="29"/>
  <c r="T23" i="29"/>
  <c r="T24" i="29"/>
  <c r="T25" i="29"/>
  <c r="T26" i="29"/>
  <c r="T22" i="29"/>
  <c r="T28" i="29"/>
  <c r="T29" i="29"/>
  <c r="T30" i="29"/>
  <c r="T27" i="29"/>
  <c r="T32" i="29"/>
  <c r="T33" i="29"/>
  <c r="T34" i="29"/>
  <c r="T35" i="29"/>
  <c r="T31" i="29"/>
  <c r="T31" i="13"/>
  <c r="T27" i="13"/>
  <c r="T22" i="13"/>
  <c r="T12" i="13"/>
  <c r="L14" i="32"/>
  <c r="L15" i="32"/>
  <c r="L16" i="32"/>
  <c r="L17" i="32"/>
  <c r="L18" i="32"/>
  <c r="L19" i="32"/>
  <c r="L13" i="32"/>
  <c r="K13" i="32"/>
  <c r="M13" i="32"/>
  <c r="K14" i="32"/>
  <c r="M14" i="32"/>
  <c r="K15" i="32"/>
  <c r="M15" i="32"/>
  <c r="K16" i="32"/>
  <c r="M16" i="32"/>
  <c r="K17" i="32"/>
  <c r="M17" i="32"/>
  <c r="K18" i="32"/>
  <c r="M18" i="32"/>
  <c r="K19" i="32"/>
  <c r="M19" i="32"/>
  <c r="M21" i="32"/>
  <c r="M22" i="32"/>
  <c r="M23" i="32"/>
  <c r="M24" i="32"/>
  <c r="M25" i="32"/>
  <c r="M26" i="32"/>
  <c r="M27" i="32"/>
  <c r="M28" i="32"/>
  <c r="M29" i="32"/>
  <c r="M31" i="32"/>
  <c r="M32" i="32"/>
  <c r="M33" i="32"/>
  <c r="M34" i="32"/>
  <c r="M36" i="32"/>
  <c r="M37" i="32"/>
  <c r="M38" i="32"/>
  <c r="M40" i="32"/>
  <c r="M41" i="32"/>
  <c r="M42" i="32"/>
  <c r="M43" i="32"/>
  <c r="H3" i="46"/>
  <c r="I3" i="46"/>
  <c r="J3" i="46"/>
  <c r="G3" i="46"/>
  <c r="K12" i="32"/>
  <c r="AM10" i="30"/>
  <c r="AL10" i="30"/>
  <c r="AK10" i="30"/>
  <c r="AJ10" i="30"/>
  <c r="H51" i="16"/>
  <c r="H42" i="16"/>
  <c r="H43" i="16"/>
  <c r="H44" i="16"/>
  <c r="H45" i="16"/>
  <c r="H46" i="16"/>
  <c r="H47" i="16"/>
  <c r="H48" i="16"/>
  <c r="H49" i="16"/>
  <c r="H50" i="16"/>
  <c r="H52" i="16"/>
  <c r="I42" i="16"/>
  <c r="H27" i="16"/>
  <c r="H26" i="16"/>
  <c r="H28" i="16"/>
  <c r="H29" i="16"/>
  <c r="H30" i="16"/>
  <c r="H31" i="16"/>
  <c r="H32" i="16"/>
  <c r="H33" i="16"/>
  <c r="H34" i="16"/>
  <c r="H35" i="16"/>
  <c r="H36" i="16"/>
  <c r="H37" i="16"/>
  <c r="H38" i="16"/>
  <c r="I27" i="16"/>
  <c r="I28" i="16"/>
  <c r="I29" i="16"/>
  <c r="I30" i="16"/>
  <c r="I31" i="16"/>
  <c r="I32" i="16"/>
  <c r="I33" i="16"/>
  <c r="I34" i="16"/>
  <c r="I35" i="16"/>
  <c r="I36" i="16"/>
  <c r="I37" i="16"/>
  <c r="I38" i="16"/>
  <c r="I26" i="16"/>
  <c r="H5" i="16"/>
  <c r="H4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I5" i="16"/>
  <c r="H104" i="16"/>
  <c r="H105" i="16"/>
  <c r="H106" i="16"/>
  <c r="H107" i="16"/>
  <c r="H108" i="16"/>
  <c r="H109" i="16"/>
  <c r="H110" i="16"/>
  <c r="H111" i="16"/>
  <c r="H112" i="16"/>
  <c r="H103" i="16"/>
  <c r="H94" i="16"/>
  <c r="H95" i="16"/>
  <c r="H96" i="16"/>
  <c r="H97" i="16"/>
  <c r="H98" i="16"/>
  <c r="H93" i="16"/>
  <c r="H82" i="16"/>
  <c r="H83" i="16"/>
  <c r="H84" i="16"/>
  <c r="H85" i="16"/>
  <c r="H86" i="16"/>
  <c r="H87" i="16"/>
  <c r="H81" i="16"/>
  <c r="H68" i="16"/>
  <c r="H69" i="16"/>
  <c r="H70" i="16"/>
  <c r="H71" i="16"/>
  <c r="H72" i="16"/>
  <c r="H73" i="16"/>
  <c r="H74" i="16"/>
  <c r="H75" i="16"/>
  <c r="H67" i="16"/>
  <c r="H61" i="16"/>
  <c r="H57" i="16"/>
  <c r="H58" i="16"/>
  <c r="H59" i="16"/>
  <c r="H60" i="16"/>
  <c r="H56" i="16"/>
  <c r="K46" i="16"/>
  <c r="K47" i="16"/>
  <c r="I46" i="16"/>
  <c r="G46" i="16"/>
  <c r="BM12" i="14"/>
  <c r="BM13" i="14"/>
  <c r="BM14" i="14"/>
  <c r="BM15" i="14"/>
  <c r="BM16" i="14"/>
  <c r="BM17" i="14"/>
  <c r="BM18" i="14"/>
  <c r="BM19" i="14"/>
  <c r="BM20" i="14"/>
  <c r="BM22" i="14"/>
  <c r="BM23" i="14"/>
  <c r="BM24" i="14"/>
  <c r="BM25" i="14"/>
  <c r="BM27" i="14"/>
  <c r="BM28" i="14"/>
  <c r="BM29" i="14"/>
  <c r="BM31" i="14"/>
  <c r="BM32" i="14"/>
  <c r="BM33" i="14"/>
  <c r="BM34" i="14"/>
  <c r="BM4" i="14"/>
  <c r="BM5" i="14"/>
  <c r="BM6" i="14"/>
  <c r="BM7" i="14"/>
  <c r="BM8" i="14"/>
  <c r="BM9" i="14"/>
  <c r="BM10" i="14"/>
  <c r="G31" i="12"/>
  <c r="H31" i="12"/>
  <c r="I31" i="12"/>
  <c r="J31" i="12"/>
  <c r="K31" i="12"/>
  <c r="L31" i="12"/>
  <c r="M31" i="12"/>
  <c r="N31" i="12"/>
  <c r="O31" i="12"/>
  <c r="Q31" i="12"/>
  <c r="R31" i="12"/>
  <c r="S31" i="12"/>
  <c r="T31" i="12"/>
  <c r="V31" i="12"/>
  <c r="W31" i="12"/>
  <c r="X31" i="12"/>
  <c r="Y31" i="12"/>
  <c r="Z31" i="12"/>
  <c r="AA31" i="12"/>
  <c r="AB31" i="12"/>
  <c r="AC31" i="12"/>
  <c r="AD31" i="12"/>
  <c r="AE31" i="12"/>
  <c r="AF31" i="12"/>
  <c r="AG31" i="12"/>
  <c r="AH31" i="12"/>
  <c r="AI31" i="12"/>
  <c r="AJ31" i="12"/>
  <c r="AK31" i="12"/>
  <c r="AL31" i="12"/>
  <c r="AM31" i="12"/>
  <c r="AN31" i="12"/>
  <c r="AO31" i="12"/>
  <c r="AP31" i="12"/>
  <c r="AQ31" i="12"/>
  <c r="AR31" i="12"/>
  <c r="AS31" i="12"/>
  <c r="AT31" i="12"/>
  <c r="AU31" i="12"/>
  <c r="AV31" i="12"/>
  <c r="AW31" i="12"/>
  <c r="AX31" i="12"/>
  <c r="B12" i="12"/>
  <c r="C12" i="12"/>
  <c r="D12" i="12"/>
  <c r="E12" i="12"/>
  <c r="B22" i="12"/>
  <c r="C22" i="12"/>
  <c r="D22" i="12"/>
  <c r="E22" i="12"/>
  <c r="B31" i="12"/>
  <c r="C31" i="12"/>
  <c r="D31" i="12"/>
  <c r="E31" i="12"/>
  <c r="B27" i="12"/>
  <c r="C27" i="12"/>
  <c r="D27" i="12"/>
  <c r="E27" i="12"/>
  <c r="F27" i="12"/>
  <c r="G27" i="12"/>
  <c r="H27" i="12"/>
  <c r="I27" i="12"/>
  <c r="J27" i="12"/>
  <c r="K27" i="12"/>
  <c r="L27" i="12"/>
  <c r="M27" i="12"/>
  <c r="N27" i="12"/>
  <c r="O27" i="12"/>
  <c r="Q27" i="12"/>
  <c r="R27" i="12"/>
  <c r="S27" i="12"/>
  <c r="T27" i="12"/>
  <c r="V27" i="12"/>
  <c r="W27" i="12"/>
  <c r="X27" i="12"/>
  <c r="Y27" i="12"/>
  <c r="Z27" i="12"/>
  <c r="AA27" i="12"/>
  <c r="AB27" i="12"/>
  <c r="AC27" i="12"/>
  <c r="AD27" i="12"/>
  <c r="AE27" i="12"/>
  <c r="AF27" i="12"/>
  <c r="AG27" i="12"/>
  <c r="AH27" i="12"/>
  <c r="AI27" i="12"/>
  <c r="AJ27" i="12"/>
  <c r="AK27" i="12"/>
  <c r="AL27" i="12"/>
  <c r="AM27" i="12"/>
  <c r="AN27" i="12"/>
  <c r="AO27" i="12"/>
  <c r="AP27" i="12"/>
  <c r="AQ27" i="12"/>
  <c r="AR27" i="12"/>
  <c r="AS27" i="12"/>
  <c r="AU27" i="12"/>
  <c r="AV27" i="12"/>
  <c r="AW27" i="12"/>
  <c r="AX27" i="12"/>
  <c r="G22" i="12"/>
  <c r="H22" i="12"/>
  <c r="I22" i="12"/>
  <c r="J22" i="12"/>
  <c r="K22" i="12"/>
  <c r="L22" i="12"/>
  <c r="M22" i="12"/>
  <c r="N22" i="12"/>
  <c r="O22" i="12"/>
  <c r="P22" i="12"/>
  <c r="Q22" i="12"/>
  <c r="R22" i="12"/>
  <c r="S22" i="12"/>
  <c r="T22" i="12"/>
  <c r="V22" i="12"/>
  <c r="W22" i="12"/>
  <c r="X22" i="12"/>
  <c r="Y22" i="12"/>
  <c r="Z22" i="12"/>
  <c r="AA22" i="12"/>
  <c r="AB22" i="12"/>
  <c r="AC22" i="12"/>
  <c r="AD22" i="12"/>
  <c r="AE22" i="12"/>
  <c r="AF22" i="12"/>
  <c r="AG22" i="12"/>
  <c r="AH22" i="12"/>
  <c r="AI22" i="12"/>
  <c r="AJ22" i="12"/>
  <c r="AK22" i="12"/>
  <c r="AL22" i="12"/>
  <c r="AM22" i="12"/>
  <c r="AN22" i="12"/>
  <c r="AO22" i="12"/>
  <c r="AP22" i="12"/>
  <c r="AQ22" i="12"/>
  <c r="AR22" i="12"/>
  <c r="AS22" i="12"/>
  <c r="AT22" i="12"/>
  <c r="AU22" i="12"/>
  <c r="AV22" i="12"/>
  <c r="AW22" i="12"/>
  <c r="AX22" i="12"/>
  <c r="AY22" i="12"/>
  <c r="F12" i="12"/>
  <c r="G12" i="12"/>
  <c r="H12" i="12"/>
  <c r="I12" i="12"/>
  <c r="J12" i="12"/>
  <c r="K12" i="12"/>
  <c r="L12" i="12"/>
  <c r="M12" i="12"/>
  <c r="N12" i="12"/>
  <c r="O12" i="12"/>
  <c r="P12" i="12"/>
  <c r="Q12" i="12"/>
  <c r="R12" i="12"/>
  <c r="S12" i="12"/>
  <c r="T12" i="12"/>
  <c r="V12" i="12"/>
  <c r="W12" i="12"/>
  <c r="X12" i="12"/>
  <c r="Y12" i="12"/>
  <c r="Z12" i="12"/>
  <c r="AA12" i="12"/>
  <c r="AB12" i="12"/>
  <c r="AC12" i="12"/>
  <c r="AD12" i="12"/>
  <c r="AE12" i="12"/>
  <c r="AF12" i="12"/>
  <c r="AG12" i="12"/>
  <c r="AH12" i="12"/>
  <c r="AI12" i="12"/>
  <c r="AK12" i="12"/>
  <c r="AL12" i="12"/>
  <c r="AM12" i="12"/>
  <c r="AN12" i="12"/>
  <c r="AO12" i="12"/>
  <c r="AP12" i="12"/>
  <c r="AQ12" i="12"/>
  <c r="AR12" i="12"/>
  <c r="AS12" i="12"/>
  <c r="AT12" i="12"/>
  <c r="AU12" i="12"/>
  <c r="AV12" i="12"/>
  <c r="AW12" i="12"/>
  <c r="AX12" i="12"/>
  <c r="AY12" i="12"/>
  <c r="I7" i="18"/>
  <c r="I8" i="18"/>
  <c r="I9" i="18"/>
  <c r="I10" i="18"/>
  <c r="I11" i="18"/>
  <c r="I6" i="18"/>
  <c r="I6" i="17"/>
  <c r="I7" i="17"/>
  <c r="I8" i="17"/>
  <c r="I9" i="17"/>
  <c r="I10" i="17"/>
  <c r="I11" i="17"/>
  <c r="I5" i="17"/>
  <c r="I13" i="19"/>
  <c r="I14" i="19"/>
  <c r="I12" i="19"/>
  <c r="I5" i="19"/>
  <c r="I6" i="19"/>
  <c r="I7" i="19"/>
  <c r="I4" i="19"/>
  <c r="H119" i="16"/>
  <c r="H120" i="16"/>
  <c r="H121" i="16"/>
  <c r="H122" i="16"/>
  <c r="H123" i="16"/>
  <c r="H124" i="16"/>
  <c r="H118" i="16"/>
  <c r="H117" i="16"/>
  <c r="H132" i="16"/>
  <c r="H131" i="16"/>
  <c r="H130" i="16"/>
  <c r="H129" i="16"/>
  <c r="H140" i="16"/>
  <c r="H141" i="16"/>
  <c r="H139" i="16"/>
  <c r="H138" i="16"/>
  <c r="H149" i="16"/>
  <c r="H148" i="16"/>
  <c r="H156" i="16"/>
  <c r="H155" i="16"/>
  <c r="H163" i="16"/>
  <c r="H162" i="16"/>
  <c r="H170" i="16"/>
  <c r="H169" i="16"/>
  <c r="F28" i="53"/>
  <c r="B143" i="15"/>
  <c r="B142" i="15"/>
  <c r="B141" i="15"/>
  <c r="B140" i="15"/>
  <c r="B134" i="15"/>
  <c r="B133" i="15"/>
  <c r="B132" i="15"/>
  <c r="B131" i="15"/>
  <c r="B138" i="15"/>
  <c r="B137" i="15"/>
  <c r="B136" i="15"/>
  <c r="B124" i="15"/>
  <c r="B125" i="15"/>
  <c r="B126" i="15"/>
  <c r="B127" i="15"/>
  <c r="B128" i="15"/>
  <c r="B129" i="15"/>
  <c r="B123" i="15"/>
  <c r="B122" i="15"/>
  <c r="B121" i="15"/>
  <c r="B114" i="15"/>
  <c r="B115" i="15"/>
  <c r="B116" i="15"/>
  <c r="B117" i="15"/>
  <c r="B118" i="15"/>
  <c r="B119" i="15"/>
  <c r="B113" i="15"/>
  <c r="B39" i="32"/>
  <c r="B35" i="32"/>
  <c r="B30" i="32"/>
  <c r="B35" i="24"/>
  <c r="C35" i="24"/>
  <c r="D35" i="24"/>
  <c r="E35" i="24"/>
  <c r="F35" i="24"/>
  <c r="G35" i="24"/>
  <c r="H35" i="24"/>
  <c r="I35" i="24"/>
  <c r="B39" i="24"/>
  <c r="C39" i="24"/>
  <c r="B30" i="24"/>
  <c r="C30" i="24"/>
  <c r="D30" i="24"/>
  <c r="E30" i="24"/>
  <c r="F30" i="24"/>
  <c r="G30" i="24"/>
  <c r="H30" i="24"/>
  <c r="I30" i="24"/>
  <c r="B20" i="24"/>
  <c r="C20" i="24"/>
  <c r="D20" i="24"/>
  <c r="E20" i="24"/>
  <c r="F20" i="24"/>
  <c r="G20" i="24"/>
  <c r="H20" i="24"/>
  <c r="I20" i="24"/>
  <c r="C46" i="22"/>
  <c r="D46" i="22"/>
  <c r="E46" i="22"/>
  <c r="F46" i="22"/>
  <c r="G46" i="22"/>
  <c r="H46" i="22"/>
  <c r="I46" i="22"/>
  <c r="J46" i="22"/>
  <c r="C42" i="22"/>
  <c r="D42" i="22"/>
  <c r="E42" i="22"/>
  <c r="F42" i="22"/>
  <c r="G42" i="22"/>
  <c r="H42" i="22"/>
  <c r="I42" i="22"/>
  <c r="J42" i="22"/>
  <c r="C37" i="22"/>
  <c r="D37" i="22"/>
  <c r="E37" i="22"/>
  <c r="F37" i="22"/>
  <c r="G37" i="22"/>
  <c r="H37" i="22"/>
  <c r="I37" i="22"/>
  <c r="J37" i="22"/>
  <c r="C27" i="22"/>
  <c r="D27" i="22"/>
  <c r="E27" i="22"/>
  <c r="F27" i="22"/>
  <c r="G27" i="22"/>
  <c r="H27" i="22"/>
  <c r="I27" i="22"/>
  <c r="J27" i="22"/>
  <c r="B46" i="23"/>
  <c r="C46" i="23"/>
  <c r="D46" i="23"/>
  <c r="E46" i="23"/>
  <c r="F46" i="23"/>
  <c r="G46" i="23"/>
  <c r="H46" i="23"/>
  <c r="I46" i="23"/>
  <c r="B42" i="23"/>
  <c r="C42" i="23"/>
  <c r="D42" i="23"/>
  <c r="E42" i="23"/>
  <c r="F42" i="23"/>
  <c r="G42" i="23"/>
  <c r="H42" i="23"/>
  <c r="I42" i="23"/>
  <c r="B37" i="23"/>
  <c r="C37" i="23"/>
  <c r="D37" i="23"/>
  <c r="E37" i="23"/>
  <c r="F37" i="23"/>
  <c r="G37" i="23"/>
  <c r="H37" i="23"/>
  <c r="I37" i="23"/>
  <c r="B27" i="23"/>
  <c r="C27" i="23"/>
  <c r="D27" i="23"/>
  <c r="E27" i="23"/>
  <c r="F27" i="23"/>
  <c r="G27" i="23"/>
  <c r="H27" i="23"/>
  <c r="I27" i="23"/>
  <c r="C40" i="30"/>
  <c r="D40" i="30"/>
  <c r="E40" i="30"/>
  <c r="F40" i="30"/>
  <c r="G40" i="30"/>
  <c r="H40" i="30"/>
  <c r="I40" i="30"/>
  <c r="J40" i="30"/>
  <c r="K40" i="30"/>
  <c r="L40" i="30"/>
  <c r="M40" i="30"/>
  <c r="C36" i="30"/>
  <c r="D36" i="30"/>
  <c r="E36" i="30"/>
  <c r="F36" i="30"/>
  <c r="G36" i="30"/>
  <c r="H36" i="30"/>
  <c r="I36" i="30"/>
  <c r="J36" i="30"/>
  <c r="K36" i="30"/>
  <c r="L36" i="30"/>
  <c r="M36" i="30"/>
  <c r="C31" i="30"/>
  <c r="D31" i="30"/>
  <c r="E31" i="30"/>
  <c r="F31" i="30"/>
  <c r="G31" i="30"/>
  <c r="H31" i="30"/>
  <c r="I31" i="30"/>
  <c r="J31" i="30"/>
  <c r="K31" i="30"/>
  <c r="L31" i="30"/>
  <c r="M31" i="30"/>
  <c r="C21" i="30"/>
  <c r="D21" i="30"/>
  <c r="E21" i="30"/>
  <c r="F21" i="30"/>
  <c r="G21" i="30"/>
  <c r="H21" i="30"/>
  <c r="I21" i="30"/>
  <c r="J21" i="30"/>
  <c r="K21" i="30"/>
  <c r="L21" i="30"/>
  <c r="M21" i="30"/>
  <c r="B35" i="26"/>
  <c r="B30" i="26"/>
  <c r="B20" i="26"/>
  <c r="C20" i="26"/>
  <c r="AC36" i="76"/>
  <c r="AC89" i="76"/>
  <c r="AC88" i="76"/>
  <c r="AC43" i="76"/>
  <c r="AC77" i="76"/>
  <c r="AC82" i="76"/>
  <c r="AC81" i="76"/>
  <c r="AC41" i="76"/>
  <c r="AC68" i="76"/>
  <c r="AC73" i="76"/>
  <c r="AC72" i="76"/>
  <c r="AC71" i="76"/>
  <c r="AC40" i="76"/>
  <c r="AC79" i="76"/>
  <c r="AC37" i="76"/>
  <c r="AC86" i="76"/>
  <c r="AC63" i="76"/>
  <c r="AC55" i="76"/>
  <c r="AC62" i="76"/>
  <c r="AC54" i="76"/>
  <c r="AC61" i="76"/>
  <c r="AC53" i="76"/>
  <c r="AC42" i="76"/>
  <c r="AC67" i="76"/>
  <c r="AC60" i="76"/>
  <c r="AC52" i="76"/>
  <c r="AC50" i="76"/>
  <c r="AC49" i="76"/>
  <c r="AC48" i="76"/>
  <c r="AC47" i="76"/>
  <c r="K25" i="18"/>
  <c r="M25" i="18"/>
  <c r="K18" i="18"/>
  <c r="K26" i="18"/>
  <c r="M26" i="18"/>
  <c r="K27" i="18"/>
  <c r="M27" i="18"/>
  <c r="K19" i="18"/>
  <c r="K20" i="18"/>
  <c r="K21" i="18"/>
  <c r="L27" i="18"/>
  <c r="I25" i="18"/>
  <c r="I18" i="18"/>
  <c r="I26" i="18"/>
  <c r="I27" i="18"/>
  <c r="I20" i="18"/>
  <c r="I19" i="18"/>
  <c r="I21" i="18"/>
  <c r="J27" i="18"/>
  <c r="G18" i="18"/>
  <c r="G21" i="18"/>
  <c r="H27" i="18"/>
  <c r="E18" i="18"/>
  <c r="E21" i="18"/>
  <c r="F27" i="18"/>
  <c r="C18" i="18"/>
  <c r="C21" i="18"/>
  <c r="D27" i="18"/>
  <c r="L26" i="18"/>
  <c r="J26" i="18"/>
  <c r="L25" i="18"/>
  <c r="J25" i="18"/>
  <c r="K23" i="17"/>
  <c r="M23" i="17"/>
  <c r="K24" i="17"/>
  <c r="C12" i="17"/>
  <c r="M24" i="17"/>
  <c r="K25" i="17"/>
  <c r="M25" i="17"/>
  <c r="L23" i="17"/>
  <c r="L25" i="17"/>
  <c r="I16" i="17"/>
  <c r="I23" i="17"/>
  <c r="I17" i="17"/>
  <c r="I24" i="17"/>
  <c r="I25" i="17"/>
  <c r="J23" i="17"/>
  <c r="J24" i="17"/>
  <c r="J25" i="17"/>
  <c r="H25" i="17"/>
  <c r="F25" i="17"/>
  <c r="D25" i="17"/>
  <c r="L24" i="17"/>
  <c r="K15" i="19"/>
  <c r="L12" i="19"/>
  <c r="L15" i="19"/>
  <c r="I15" i="19"/>
  <c r="J12" i="19"/>
  <c r="J13" i="19"/>
  <c r="J14" i="19"/>
  <c r="J15" i="19"/>
  <c r="H15" i="19"/>
  <c r="F15" i="19"/>
  <c r="D15" i="19"/>
  <c r="L14" i="19"/>
  <c r="L13" i="19"/>
  <c r="J149" i="16"/>
  <c r="J169" i="16"/>
  <c r="K169" i="16"/>
  <c r="K171" i="16"/>
  <c r="J155" i="16"/>
  <c r="J170" i="16"/>
  <c r="J171" i="16"/>
  <c r="H142" i="16"/>
  <c r="I169" i="16"/>
  <c r="I170" i="16"/>
  <c r="I171" i="16"/>
  <c r="H171" i="16"/>
  <c r="G171" i="16"/>
  <c r="E171" i="16"/>
  <c r="C171" i="16"/>
  <c r="K170" i="16"/>
  <c r="J162" i="16"/>
  <c r="K162" i="16"/>
  <c r="K164" i="16"/>
  <c r="J148" i="16"/>
  <c r="J163" i="16"/>
  <c r="J164" i="16"/>
  <c r="I162" i="16"/>
  <c r="I163" i="16"/>
  <c r="I164" i="16"/>
  <c r="H164" i="16"/>
  <c r="G164" i="16"/>
  <c r="E164" i="16"/>
  <c r="C164" i="16"/>
  <c r="K163" i="16"/>
  <c r="K155" i="16"/>
  <c r="K157" i="16"/>
  <c r="J156" i="16"/>
  <c r="J157" i="16"/>
  <c r="I155" i="16"/>
  <c r="I156" i="16"/>
  <c r="I157" i="16"/>
  <c r="H157" i="16"/>
  <c r="G157" i="16"/>
  <c r="E157" i="16"/>
  <c r="C157" i="16"/>
  <c r="K156" i="16"/>
  <c r="K148" i="16"/>
  <c r="K150" i="16"/>
  <c r="J150" i="16"/>
  <c r="I148" i="16"/>
  <c r="I149" i="16"/>
  <c r="I150" i="16"/>
  <c r="H150" i="16"/>
  <c r="G150" i="16"/>
  <c r="E150" i="16"/>
  <c r="C150" i="16"/>
  <c r="K149" i="16"/>
  <c r="M91" i="76"/>
  <c r="M130" i="76"/>
  <c r="AE34" i="77"/>
  <c r="M122" i="76"/>
  <c r="Y34" i="77"/>
  <c r="M70" i="76"/>
  <c r="M109" i="76"/>
  <c r="N34" i="77"/>
  <c r="L91" i="76"/>
  <c r="L130" i="76"/>
  <c r="AE33" i="77"/>
  <c r="L122" i="76"/>
  <c r="Y33" i="77"/>
  <c r="L70" i="76"/>
  <c r="L109" i="76"/>
  <c r="N33" i="77"/>
  <c r="J91" i="76"/>
  <c r="J130" i="76"/>
  <c r="AE32" i="77"/>
  <c r="J122" i="76"/>
  <c r="Y32" i="77"/>
  <c r="J70" i="76"/>
  <c r="J109" i="76"/>
  <c r="N32" i="77"/>
  <c r="H91" i="76"/>
  <c r="H130" i="76"/>
  <c r="AE31" i="77"/>
  <c r="H122" i="76"/>
  <c r="Y31" i="77"/>
  <c r="H70" i="76"/>
  <c r="H109" i="76"/>
  <c r="N31" i="77"/>
  <c r="Y91" i="76"/>
  <c r="Y130" i="76"/>
  <c r="AE29" i="77"/>
  <c r="Y122" i="76"/>
  <c r="Y29" i="77"/>
  <c r="Y70" i="76"/>
  <c r="Y109" i="76"/>
  <c r="N29" i="77"/>
  <c r="V91" i="76"/>
  <c r="V130" i="76"/>
  <c r="AE28" i="77"/>
  <c r="V122" i="76"/>
  <c r="Y28" i="77"/>
  <c r="V70" i="76"/>
  <c r="V109" i="76"/>
  <c r="N28" i="77"/>
  <c r="Q91" i="76"/>
  <c r="Q130" i="76"/>
  <c r="AE27" i="77"/>
  <c r="Q122" i="76"/>
  <c r="Y27" i="77"/>
  <c r="Q70" i="76"/>
  <c r="Q109" i="76"/>
  <c r="N27" i="77"/>
  <c r="Z91" i="76"/>
  <c r="Z130" i="76"/>
  <c r="AE25" i="77"/>
  <c r="Z122" i="76"/>
  <c r="Y25" i="77"/>
  <c r="Z70" i="76"/>
  <c r="Z109" i="76"/>
  <c r="N25" i="77"/>
  <c r="T91" i="76"/>
  <c r="T130" i="76"/>
  <c r="AE24" i="77"/>
  <c r="T122" i="76"/>
  <c r="Y24" i="77"/>
  <c r="T70" i="76"/>
  <c r="T109" i="76"/>
  <c r="N24" i="77"/>
  <c r="N91" i="76"/>
  <c r="N130" i="76"/>
  <c r="AE23" i="77"/>
  <c r="N122" i="76"/>
  <c r="Y23" i="77"/>
  <c r="N70" i="76"/>
  <c r="N109" i="76"/>
  <c r="N23" i="77"/>
  <c r="I91" i="76"/>
  <c r="I130" i="76"/>
  <c r="AE22" i="77"/>
  <c r="I122" i="76"/>
  <c r="Y22" i="77"/>
  <c r="I70" i="76"/>
  <c r="I109" i="76"/>
  <c r="N22" i="77"/>
  <c r="AA91" i="76"/>
  <c r="AA130" i="76"/>
  <c r="AE20" i="77"/>
  <c r="AA122" i="76"/>
  <c r="Y20" i="77"/>
  <c r="AA70" i="76"/>
  <c r="AA109" i="76"/>
  <c r="N20" i="77"/>
  <c r="U91" i="76"/>
  <c r="U130" i="76"/>
  <c r="AE19" i="77"/>
  <c r="U122" i="76"/>
  <c r="Y19" i="77"/>
  <c r="U70" i="76"/>
  <c r="U109" i="76"/>
  <c r="N19" i="77"/>
  <c r="S91" i="76"/>
  <c r="S130" i="76"/>
  <c r="AE18" i="77"/>
  <c r="S122" i="76"/>
  <c r="Y18" i="77"/>
  <c r="S70" i="76"/>
  <c r="S109" i="76"/>
  <c r="N18" i="77"/>
  <c r="R91" i="76"/>
  <c r="R130" i="76"/>
  <c r="AE17" i="77"/>
  <c r="R122" i="76"/>
  <c r="Y17" i="77"/>
  <c r="R70" i="76"/>
  <c r="R109" i="76"/>
  <c r="N17" i="77"/>
  <c r="P91" i="76"/>
  <c r="P130" i="76"/>
  <c r="AE16" i="77"/>
  <c r="P122" i="76"/>
  <c r="Y16" i="77"/>
  <c r="P70" i="76"/>
  <c r="P109" i="76"/>
  <c r="N16" i="77"/>
  <c r="K91" i="76"/>
  <c r="K130" i="76"/>
  <c r="AE15" i="77"/>
  <c r="K122" i="76"/>
  <c r="Y15" i="77"/>
  <c r="AQ42" i="76"/>
  <c r="K67" i="76"/>
  <c r="K70" i="76"/>
  <c r="K109" i="76"/>
  <c r="N15" i="77"/>
  <c r="G91" i="76"/>
  <c r="G130" i="76"/>
  <c r="AE14" i="77"/>
  <c r="G122" i="76"/>
  <c r="Y14" i="77"/>
  <c r="G70" i="76"/>
  <c r="G109" i="76"/>
  <c r="N14" i="77"/>
  <c r="F91" i="76"/>
  <c r="F130" i="76"/>
  <c r="AE13" i="77"/>
  <c r="F122" i="76"/>
  <c r="Y13" i="77"/>
  <c r="F70" i="76"/>
  <c r="F109" i="76"/>
  <c r="N13" i="77"/>
  <c r="C91" i="76"/>
  <c r="C130" i="76"/>
  <c r="AE12" i="77"/>
  <c r="C122" i="76"/>
  <c r="Y12" i="77"/>
  <c r="C70" i="76"/>
  <c r="C109" i="76"/>
  <c r="N12" i="77"/>
  <c r="AB91" i="76"/>
  <c r="AB130" i="76"/>
  <c r="AE10" i="77"/>
  <c r="AB122" i="76"/>
  <c r="Y10" i="77"/>
  <c r="AB70" i="76"/>
  <c r="AB109" i="76"/>
  <c r="N10" i="77"/>
  <c r="X91" i="76"/>
  <c r="X130" i="76"/>
  <c r="AE9" i="77"/>
  <c r="X122" i="76"/>
  <c r="Y9" i="77"/>
  <c r="X70" i="76"/>
  <c r="X109" i="76"/>
  <c r="N9" i="77"/>
  <c r="W91" i="76"/>
  <c r="W130" i="76"/>
  <c r="AE8" i="77"/>
  <c r="W122" i="76"/>
  <c r="Y8" i="77"/>
  <c r="W70" i="76"/>
  <c r="W109" i="76"/>
  <c r="N8" i="77"/>
  <c r="O91" i="76"/>
  <c r="O130" i="76"/>
  <c r="AE7" i="77"/>
  <c r="O122" i="76"/>
  <c r="Y7" i="77"/>
  <c r="O70" i="76"/>
  <c r="O109" i="76"/>
  <c r="N7" i="77"/>
  <c r="E91" i="76"/>
  <c r="E130" i="76"/>
  <c r="AE6" i="77"/>
  <c r="E122" i="76"/>
  <c r="Y6" i="77"/>
  <c r="E70" i="76"/>
  <c r="E109" i="76"/>
  <c r="N6" i="77"/>
  <c r="D91" i="76"/>
  <c r="D130" i="76"/>
  <c r="AE5" i="77"/>
  <c r="D122" i="76"/>
  <c r="Y5" i="77"/>
  <c r="D70" i="76"/>
  <c r="D109" i="76"/>
  <c r="N5" i="77"/>
  <c r="B91" i="76"/>
  <c r="B130" i="76"/>
  <c r="AE4" i="77"/>
  <c r="B122" i="76"/>
  <c r="Y4" i="77"/>
  <c r="B70" i="76"/>
  <c r="B109" i="76"/>
  <c r="N4" i="77"/>
  <c r="AC34" i="77"/>
  <c r="W34" i="77"/>
  <c r="S34" i="77"/>
  <c r="L34" i="77"/>
  <c r="F34" i="77"/>
  <c r="AC33" i="77"/>
  <c r="W33" i="77"/>
  <c r="S33" i="77"/>
  <c r="L33" i="77"/>
  <c r="F33" i="77"/>
  <c r="AC32" i="77"/>
  <c r="W32" i="77"/>
  <c r="S32" i="77"/>
  <c r="L32" i="77"/>
  <c r="F32" i="77"/>
  <c r="AC31" i="77"/>
  <c r="W31" i="77"/>
  <c r="S31" i="77"/>
  <c r="L31" i="77"/>
  <c r="F31" i="77"/>
  <c r="AC29" i="77"/>
  <c r="W29" i="77"/>
  <c r="S29" i="77"/>
  <c r="L29" i="77"/>
  <c r="F29" i="77"/>
  <c r="AC28" i="77"/>
  <c r="W28" i="77"/>
  <c r="S28" i="77"/>
  <c r="L28" i="77"/>
  <c r="F28" i="77"/>
  <c r="AC27" i="77"/>
  <c r="W27" i="77"/>
  <c r="S27" i="77"/>
  <c r="L27" i="77"/>
  <c r="F27" i="77"/>
  <c r="AC25" i="77"/>
  <c r="W25" i="77"/>
  <c r="S25" i="77"/>
  <c r="L25" i="77"/>
  <c r="F25" i="77"/>
  <c r="AC24" i="77"/>
  <c r="W24" i="77"/>
  <c r="S24" i="77"/>
  <c r="L24" i="77"/>
  <c r="F24" i="77"/>
  <c r="AC23" i="77"/>
  <c r="W23" i="77"/>
  <c r="S23" i="77"/>
  <c r="L23" i="77"/>
  <c r="F23" i="77"/>
  <c r="AC22" i="77"/>
  <c r="W22" i="77"/>
  <c r="S22" i="77"/>
  <c r="L22" i="77"/>
  <c r="F22" i="77"/>
  <c r="AC20" i="77"/>
  <c r="W20" i="77"/>
  <c r="S20" i="77"/>
  <c r="L20" i="77"/>
  <c r="F20" i="77"/>
  <c r="AC19" i="77"/>
  <c r="W19" i="77"/>
  <c r="S19" i="77"/>
  <c r="L19" i="77"/>
  <c r="F19" i="77"/>
  <c r="AC18" i="77"/>
  <c r="W18" i="77"/>
  <c r="S18" i="77"/>
  <c r="L18" i="77"/>
  <c r="F18" i="77"/>
  <c r="AC17" i="77"/>
  <c r="W17" i="77"/>
  <c r="S17" i="77"/>
  <c r="L17" i="77"/>
  <c r="F17" i="77"/>
  <c r="AC16" i="77"/>
  <c r="W16" i="77"/>
  <c r="S16" i="77"/>
  <c r="L16" i="77"/>
  <c r="F16" i="77"/>
  <c r="AC15" i="77"/>
  <c r="W15" i="77"/>
  <c r="S15" i="77"/>
  <c r="L15" i="77"/>
  <c r="F15" i="77"/>
  <c r="AC14" i="77"/>
  <c r="W14" i="77"/>
  <c r="S14" i="77"/>
  <c r="L14" i="77"/>
  <c r="F14" i="77"/>
  <c r="AC13" i="77"/>
  <c r="W13" i="77"/>
  <c r="S13" i="77"/>
  <c r="L13" i="77"/>
  <c r="F13" i="77"/>
  <c r="AC12" i="77"/>
  <c r="W12" i="77"/>
  <c r="S12" i="77"/>
  <c r="L12" i="77"/>
  <c r="F12" i="77"/>
  <c r="AC10" i="77"/>
  <c r="W10" i="77"/>
  <c r="S10" i="77"/>
  <c r="L10" i="77"/>
  <c r="F10" i="77"/>
  <c r="AC9" i="77"/>
  <c r="W9" i="77"/>
  <c r="S9" i="77"/>
  <c r="L9" i="77"/>
  <c r="F9" i="77"/>
  <c r="AC8" i="77"/>
  <c r="W8" i="77"/>
  <c r="S8" i="77"/>
  <c r="L8" i="77"/>
  <c r="F8" i="77"/>
  <c r="AC7" i="77"/>
  <c r="W7" i="77"/>
  <c r="S7" i="77"/>
  <c r="L7" i="77"/>
  <c r="F7" i="77"/>
  <c r="AC6" i="77"/>
  <c r="W6" i="77"/>
  <c r="S6" i="77"/>
  <c r="L6" i="77"/>
  <c r="F6" i="77"/>
  <c r="AC5" i="77"/>
  <c r="W5" i="77"/>
  <c r="S5" i="77"/>
  <c r="L5" i="77"/>
  <c r="F5" i="77"/>
  <c r="AC4" i="77"/>
  <c r="W4" i="77"/>
  <c r="S4" i="77"/>
  <c r="L4" i="77"/>
  <c r="F4" i="77"/>
  <c r="AC126" i="76"/>
  <c r="AC127" i="76"/>
  <c r="AC91" i="76"/>
  <c r="AC130" i="76"/>
  <c r="AC131" i="76"/>
  <c r="AB131" i="76"/>
  <c r="AA131" i="76"/>
  <c r="Z131" i="76"/>
  <c r="Y131" i="76"/>
  <c r="X131" i="76"/>
  <c r="W131" i="76"/>
  <c r="V131" i="76"/>
  <c r="U131" i="76"/>
  <c r="T131" i="76"/>
  <c r="S131" i="76"/>
  <c r="R131" i="76"/>
  <c r="Q131" i="76"/>
  <c r="P131" i="76"/>
  <c r="O131" i="76"/>
  <c r="N131" i="76"/>
  <c r="M131" i="76"/>
  <c r="L131" i="76"/>
  <c r="K131" i="76"/>
  <c r="J131" i="76"/>
  <c r="I131" i="76"/>
  <c r="H131" i="76"/>
  <c r="G131" i="76"/>
  <c r="F131" i="76"/>
  <c r="E131" i="76"/>
  <c r="D131" i="76"/>
  <c r="C131" i="76"/>
  <c r="B131" i="76"/>
  <c r="AC122" i="76"/>
  <c r="AC118" i="76"/>
  <c r="AC119" i="76"/>
  <c r="AC120" i="76"/>
  <c r="AB120" i="76"/>
  <c r="AA120" i="76"/>
  <c r="Z120" i="76"/>
  <c r="Y120" i="76"/>
  <c r="X120" i="76"/>
  <c r="W120" i="76"/>
  <c r="V120" i="76"/>
  <c r="U120" i="76"/>
  <c r="T120" i="76"/>
  <c r="S120" i="76"/>
  <c r="R120" i="76"/>
  <c r="Q120" i="76"/>
  <c r="P120" i="76"/>
  <c r="O120" i="76"/>
  <c r="N120" i="76"/>
  <c r="M120" i="76"/>
  <c r="L120" i="76"/>
  <c r="K120" i="76"/>
  <c r="J120" i="76"/>
  <c r="I120" i="76"/>
  <c r="H120" i="76"/>
  <c r="G120" i="76"/>
  <c r="F120" i="76"/>
  <c r="E120" i="76"/>
  <c r="D120" i="76"/>
  <c r="C120" i="76"/>
  <c r="B120" i="76"/>
  <c r="AC111" i="76"/>
  <c r="AC112" i="76"/>
  <c r="AC113" i="76"/>
  <c r="AC114" i="76"/>
  <c r="AB114" i="76"/>
  <c r="AA114" i="76"/>
  <c r="Z114" i="76"/>
  <c r="Y114" i="76"/>
  <c r="X114" i="76"/>
  <c r="W114" i="76"/>
  <c r="V114" i="76"/>
  <c r="U114" i="76"/>
  <c r="T114" i="76"/>
  <c r="S114" i="76"/>
  <c r="R114" i="76"/>
  <c r="Q114" i="76"/>
  <c r="P114" i="76"/>
  <c r="O114" i="76"/>
  <c r="N114" i="76"/>
  <c r="M114" i="76"/>
  <c r="L114" i="76"/>
  <c r="K114" i="76"/>
  <c r="J114" i="76"/>
  <c r="I114" i="76"/>
  <c r="H114" i="76"/>
  <c r="G114" i="76"/>
  <c r="F114" i="76"/>
  <c r="E114" i="76"/>
  <c r="D114" i="76"/>
  <c r="C114" i="76"/>
  <c r="B114" i="76"/>
  <c r="AC70" i="76"/>
  <c r="AC109" i="76"/>
  <c r="AC101" i="76"/>
  <c r="AC102" i="76"/>
  <c r="AC103" i="76"/>
  <c r="AC104" i="76"/>
  <c r="AC105" i="76"/>
  <c r="AB105" i="76"/>
  <c r="AA105" i="76"/>
  <c r="Z105" i="76"/>
  <c r="Y105" i="76"/>
  <c r="X105" i="76"/>
  <c r="W105" i="76"/>
  <c r="V105" i="76"/>
  <c r="U105" i="76"/>
  <c r="T105" i="76"/>
  <c r="S105" i="76"/>
  <c r="R105" i="76"/>
  <c r="Q105" i="76"/>
  <c r="P105" i="76"/>
  <c r="O105" i="76"/>
  <c r="N105" i="76"/>
  <c r="M105" i="76"/>
  <c r="L105" i="76"/>
  <c r="K105" i="76"/>
  <c r="J105" i="76"/>
  <c r="I105" i="76"/>
  <c r="H105" i="76"/>
  <c r="G105" i="76"/>
  <c r="F105" i="76"/>
  <c r="E105" i="76"/>
  <c r="D105" i="76"/>
  <c r="C105" i="76"/>
  <c r="B105" i="76"/>
  <c r="AC95" i="76"/>
  <c r="AC96" i="76"/>
  <c r="AC97" i="76"/>
  <c r="AC98" i="76"/>
  <c r="AC99" i="76"/>
  <c r="AB99" i="76"/>
  <c r="AA99" i="76"/>
  <c r="Z99" i="76"/>
  <c r="Y99" i="76"/>
  <c r="X99" i="76"/>
  <c r="W99" i="76"/>
  <c r="V99" i="76"/>
  <c r="U99" i="76"/>
  <c r="T99" i="76"/>
  <c r="S99" i="76"/>
  <c r="R99" i="76"/>
  <c r="Q99" i="76"/>
  <c r="P99" i="76"/>
  <c r="O99" i="76"/>
  <c r="N99" i="76"/>
  <c r="M99" i="76"/>
  <c r="L99" i="76"/>
  <c r="K99" i="76"/>
  <c r="J99" i="76"/>
  <c r="I99" i="76"/>
  <c r="H99" i="76"/>
  <c r="G99" i="76"/>
  <c r="F99" i="76"/>
  <c r="E99" i="76"/>
  <c r="D99" i="76"/>
  <c r="C99" i="76"/>
  <c r="B99" i="76"/>
  <c r="B38" i="76"/>
  <c r="C38" i="76"/>
  <c r="D38" i="76"/>
  <c r="E38" i="76"/>
  <c r="F38" i="76"/>
  <c r="G38" i="76"/>
  <c r="H38" i="76"/>
  <c r="I38" i="76"/>
  <c r="J38" i="76"/>
  <c r="L38" i="76"/>
  <c r="M38" i="76"/>
  <c r="N38" i="76"/>
  <c r="O38" i="76"/>
  <c r="P38" i="76"/>
  <c r="Q38" i="76"/>
  <c r="R38" i="76"/>
  <c r="S38" i="76"/>
  <c r="T38" i="76"/>
  <c r="U38" i="76"/>
  <c r="V38" i="76"/>
  <c r="W38" i="76"/>
  <c r="X38" i="76"/>
  <c r="Y38" i="76"/>
  <c r="Z38" i="76"/>
  <c r="AA38" i="76"/>
  <c r="AB38" i="76"/>
  <c r="AC38" i="76"/>
  <c r="B39" i="76"/>
  <c r="C39" i="76"/>
  <c r="D39" i="76"/>
  <c r="E39" i="76"/>
  <c r="F39" i="76"/>
  <c r="G39" i="76"/>
  <c r="H39" i="76"/>
  <c r="I39" i="76"/>
  <c r="J39" i="76"/>
  <c r="L39" i="76"/>
  <c r="M39" i="76"/>
  <c r="N39" i="76"/>
  <c r="O39" i="76"/>
  <c r="P39" i="76"/>
  <c r="Q39" i="76"/>
  <c r="R39" i="76"/>
  <c r="S39" i="76"/>
  <c r="T39" i="76"/>
  <c r="U39" i="76"/>
  <c r="V39" i="76"/>
  <c r="W39" i="76"/>
  <c r="X39" i="76"/>
  <c r="Y39" i="76"/>
  <c r="Z39" i="76"/>
  <c r="AA39" i="76"/>
  <c r="AB39" i="76"/>
  <c r="AC39" i="76"/>
  <c r="B44" i="76"/>
  <c r="C44" i="76"/>
  <c r="D44" i="76"/>
  <c r="E44" i="76"/>
  <c r="F44" i="76"/>
  <c r="G44" i="76"/>
  <c r="H44" i="76"/>
  <c r="I44" i="76"/>
  <c r="J44" i="76"/>
  <c r="L44" i="76"/>
  <c r="M44" i="76"/>
  <c r="N44" i="76"/>
  <c r="O44" i="76"/>
  <c r="P44" i="76"/>
  <c r="Q44" i="76"/>
  <c r="R44" i="76"/>
  <c r="S44" i="76"/>
  <c r="T44" i="76"/>
  <c r="U44" i="76"/>
  <c r="V44" i="76"/>
  <c r="W44" i="76"/>
  <c r="X44" i="76"/>
  <c r="Y44" i="76"/>
  <c r="Z44" i="76"/>
  <c r="AA44" i="76"/>
  <c r="AB44" i="76"/>
  <c r="AC44" i="76"/>
  <c r="AC58" i="76"/>
  <c r="AB58" i="76"/>
  <c r="AA58" i="76"/>
  <c r="Z58" i="76"/>
  <c r="Y58" i="76"/>
  <c r="X58" i="76"/>
  <c r="W58" i="76"/>
  <c r="V58" i="76"/>
  <c r="U58" i="76"/>
  <c r="T58" i="76"/>
  <c r="S58" i="76"/>
  <c r="R58" i="76"/>
  <c r="Q58" i="76"/>
  <c r="P58" i="76"/>
  <c r="O58" i="76"/>
  <c r="N58" i="76"/>
  <c r="M58" i="76"/>
  <c r="L58" i="76"/>
  <c r="K58" i="76"/>
  <c r="J58" i="76"/>
  <c r="I58" i="76"/>
  <c r="H58" i="76"/>
  <c r="G58" i="76"/>
  <c r="F58" i="76"/>
  <c r="E58" i="76"/>
  <c r="D58" i="76"/>
  <c r="C58" i="76"/>
  <c r="B58" i="76"/>
  <c r="B35" i="76"/>
  <c r="C35" i="76"/>
  <c r="D35" i="76"/>
  <c r="E35" i="76"/>
  <c r="F35" i="76"/>
  <c r="G35" i="76"/>
  <c r="H35" i="76"/>
  <c r="I35" i="76"/>
  <c r="J35" i="76"/>
  <c r="L35" i="76"/>
  <c r="M35" i="76"/>
  <c r="N35" i="76"/>
  <c r="O35" i="76"/>
  <c r="P35" i="76"/>
  <c r="Q35" i="76"/>
  <c r="R35" i="76"/>
  <c r="S35" i="76"/>
  <c r="T35" i="76"/>
  <c r="U35" i="76"/>
  <c r="V35" i="76"/>
  <c r="W35" i="76"/>
  <c r="X35" i="76"/>
  <c r="Y35" i="76"/>
  <c r="Z35" i="76"/>
  <c r="AA35" i="76"/>
  <c r="AB35" i="76"/>
  <c r="AC35" i="76"/>
  <c r="AC57" i="76"/>
  <c r="AB57" i="76"/>
  <c r="AA57" i="76"/>
  <c r="Z57" i="76"/>
  <c r="Y57" i="76"/>
  <c r="X57" i="76"/>
  <c r="W57" i="76"/>
  <c r="V57" i="76"/>
  <c r="U57" i="76"/>
  <c r="T57" i="76"/>
  <c r="S57" i="76"/>
  <c r="R57" i="76"/>
  <c r="Q57" i="76"/>
  <c r="P57" i="76"/>
  <c r="O57" i="76"/>
  <c r="N57" i="76"/>
  <c r="M57" i="76"/>
  <c r="L57" i="76"/>
  <c r="K57" i="76"/>
  <c r="J57" i="76"/>
  <c r="I57" i="76"/>
  <c r="H57" i="76"/>
  <c r="G57" i="76"/>
  <c r="F57" i="76"/>
  <c r="E57" i="76"/>
  <c r="D57" i="76"/>
  <c r="C57" i="76"/>
  <c r="B57" i="76"/>
  <c r="AC45" i="76"/>
  <c r="BI45" i="76"/>
  <c r="AB45" i="76"/>
  <c r="BH45" i="76"/>
  <c r="AA45" i="76"/>
  <c r="BG45" i="76"/>
  <c r="Z45" i="76"/>
  <c r="BF45" i="76"/>
  <c r="Y45" i="76"/>
  <c r="BE45" i="76"/>
  <c r="X45" i="76"/>
  <c r="BD45" i="76"/>
  <c r="W45" i="76"/>
  <c r="BC45" i="76"/>
  <c r="V45" i="76"/>
  <c r="BB45" i="76"/>
  <c r="U45" i="76"/>
  <c r="BA45" i="76"/>
  <c r="T45" i="76"/>
  <c r="AZ45" i="76"/>
  <c r="S45" i="76"/>
  <c r="AY45" i="76"/>
  <c r="R45" i="76"/>
  <c r="AX45" i="76"/>
  <c r="Q45" i="76"/>
  <c r="AW45" i="76"/>
  <c r="P45" i="76"/>
  <c r="AV45" i="76"/>
  <c r="O45" i="76"/>
  <c r="AU45" i="76"/>
  <c r="N45" i="76"/>
  <c r="AT45" i="76"/>
  <c r="M45" i="76"/>
  <c r="AS45" i="76"/>
  <c r="L45" i="76"/>
  <c r="AR45" i="76"/>
  <c r="AQ45" i="76"/>
  <c r="J45" i="76"/>
  <c r="AP45" i="76"/>
  <c r="I45" i="76"/>
  <c r="AO45" i="76"/>
  <c r="H45" i="76"/>
  <c r="AN45" i="76"/>
  <c r="G45" i="76"/>
  <c r="AM45" i="76"/>
  <c r="F45" i="76"/>
  <c r="AL45" i="76"/>
  <c r="E45" i="76"/>
  <c r="AK45" i="76"/>
  <c r="D45" i="76"/>
  <c r="AJ45" i="76"/>
  <c r="C45" i="76"/>
  <c r="AI45" i="76"/>
  <c r="B45" i="76"/>
  <c r="AH45" i="76"/>
  <c r="BI44" i="76"/>
  <c r="BH44" i="76"/>
  <c r="BG44" i="76"/>
  <c r="BF44" i="76"/>
  <c r="BE44" i="76"/>
  <c r="BD44" i="76"/>
  <c r="BC44" i="76"/>
  <c r="BB44" i="76"/>
  <c r="BA44" i="76"/>
  <c r="AZ44" i="76"/>
  <c r="AY44" i="76"/>
  <c r="AX44" i="76"/>
  <c r="AW44" i="76"/>
  <c r="AV44" i="76"/>
  <c r="AU44" i="76"/>
  <c r="AT44" i="76"/>
  <c r="AS44" i="76"/>
  <c r="AR44" i="76"/>
  <c r="AP44" i="76"/>
  <c r="AO44" i="76"/>
  <c r="AN44" i="76"/>
  <c r="AM44" i="76"/>
  <c r="AL44" i="76"/>
  <c r="AK44" i="76"/>
  <c r="AJ44" i="76"/>
  <c r="AI44" i="76"/>
  <c r="AH44" i="76"/>
  <c r="BI43" i="76"/>
  <c r="BH43" i="76"/>
  <c r="BG43" i="76"/>
  <c r="BF43" i="76"/>
  <c r="BE43" i="76"/>
  <c r="BD43" i="76"/>
  <c r="BC43" i="76"/>
  <c r="BB43" i="76"/>
  <c r="BA43" i="76"/>
  <c r="AZ43" i="76"/>
  <c r="AY43" i="76"/>
  <c r="AX43" i="76"/>
  <c r="AW43" i="76"/>
  <c r="AV43" i="76"/>
  <c r="AU43" i="76"/>
  <c r="AT43" i="76"/>
  <c r="AS43" i="76"/>
  <c r="AR43" i="76"/>
  <c r="AQ43" i="76"/>
  <c r="AP43" i="76"/>
  <c r="AO43" i="76"/>
  <c r="AN43" i="76"/>
  <c r="AM43" i="76"/>
  <c r="AL43" i="76"/>
  <c r="AK43" i="76"/>
  <c r="AJ43" i="76"/>
  <c r="AI43" i="76"/>
  <c r="AH43" i="76"/>
  <c r="BI42" i="76"/>
  <c r="BH42" i="76"/>
  <c r="BG42" i="76"/>
  <c r="BF42" i="76"/>
  <c r="BE42" i="76"/>
  <c r="BD42" i="76"/>
  <c r="BC42" i="76"/>
  <c r="BB42" i="76"/>
  <c r="BA42" i="76"/>
  <c r="AZ42" i="76"/>
  <c r="AY42" i="76"/>
  <c r="AX42" i="76"/>
  <c r="AW42" i="76"/>
  <c r="AV42" i="76"/>
  <c r="AU42" i="76"/>
  <c r="AT42" i="76"/>
  <c r="AS42" i="76"/>
  <c r="AR42" i="76"/>
  <c r="AP42" i="76"/>
  <c r="AO42" i="76"/>
  <c r="AN42" i="76"/>
  <c r="AM42" i="76"/>
  <c r="AL42" i="76"/>
  <c r="AK42" i="76"/>
  <c r="AJ42" i="76"/>
  <c r="AI42" i="76"/>
  <c r="AH42" i="76"/>
  <c r="BI41" i="76"/>
  <c r="BH41" i="76"/>
  <c r="BG41" i="76"/>
  <c r="BF41" i="76"/>
  <c r="BE41" i="76"/>
  <c r="BD41" i="76"/>
  <c r="BC41" i="76"/>
  <c r="BB41" i="76"/>
  <c r="BA41" i="76"/>
  <c r="AZ41" i="76"/>
  <c r="AY41" i="76"/>
  <c r="AX41" i="76"/>
  <c r="AW41" i="76"/>
  <c r="AV41" i="76"/>
  <c r="AU41" i="76"/>
  <c r="AT41" i="76"/>
  <c r="AS41" i="76"/>
  <c r="AR41" i="76"/>
  <c r="AP41" i="76"/>
  <c r="AO41" i="76"/>
  <c r="AN41" i="76"/>
  <c r="AM41" i="76"/>
  <c r="AL41" i="76"/>
  <c r="AK41" i="76"/>
  <c r="AJ41" i="76"/>
  <c r="AI41" i="76"/>
  <c r="AH41" i="76"/>
  <c r="BI40" i="76"/>
  <c r="BH40" i="76"/>
  <c r="BG40" i="76"/>
  <c r="BF40" i="76"/>
  <c r="BE40" i="76"/>
  <c r="BD40" i="76"/>
  <c r="BC40" i="76"/>
  <c r="BB40" i="76"/>
  <c r="BA40" i="76"/>
  <c r="AZ40" i="76"/>
  <c r="AY40" i="76"/>
  <c r="AX40" i="76"/>
  <c r="AW40" i="76"/>
  <c r="AV40" i="76"/>
  <c r="AU40" i="76"/>
  <c r="AT40" i="76"/>
  <c r="AS40" i="76"/>
  <c r="AR40" i="76"/>
  <c r="AQ40" i="76"/>
  <c r="AP40" i="76"/>
  <c r="AO40" i="76"/>
  <c r="AN40" i="76"/>
  <c r="AM40" i="76"/>
  <c r="AL40" i="76"/>
  <c r="AK40" i="76"/>
  <c r="AJ40" i="76"/>
  <c r="AI40" i="76"/>
  <c r="AH40" i="76"/>
  <c r="BI39" i="76"/>
  <c r="BH39" i="76"/>
  <c r="BG39" i="76"/>
  <c r="BF39" i="76"/>
  <c r="BE39" i="76"/>
  <c r="BD39" i="76"/>
  <c r="BC39" i="76"/>
  <c r="BB39" i="76"/>
  <c r="BA39" i="76"/>
  <c r="AZ39" i="76"/>
  <c r="AY39" i="76"/>
  <c r="AX39" i="76"/>
  <c r="AW39" i="76"/>
  <c r="AV39" i="76"/>
  <c r="AU39" i="76"/>
  <c r="AT39" i="76"/>
  <c r="AS39" i="76"/>
  <c r="AR39" i="76"/>
  <c r="AP39" i="76"/>
  <c r="AO39" i="76"/>
  <c r="AN39" i="76"/>
  <c r="AM39" i="76"/>
  <c r="AL39" i="76"/>
  <c r="AK39" i="76"/>
  <c r="AJ39" i="76"/>
  <c r="AI39" i="76"/>
  <c r="AH39" i="76"/>
  <c r="BI38" i="76"/>
  <c r="BH38" i="76"/>
  <c r="BG38" i="76"/>
  <c r="BF38" i="76"/>
  <c r="BE38" i="76"/>
  <c r="BD38" i="76"/>
  <c r="BC38" i="76"/>
  <c r="BB38" i="76"/>
  <c r="BA38" i="76"/>
  <c r="AZ38" i="76"/>
  <c r="AY38" i="76"/>
  <c r="AX38" i="76"/>
  <c r="AW38" i="76"/>
  <c r="AV38" i="76"/>
  <c r="AU38" i="76"/>
  <c r="AT38" i="76"/>
  <c r="AS38" i="76"/>
  <c r="AR38" i="76"/>
  <c r="AP38" i="76"/>
  <c r="AO38" i="76"/>
  <c r="AN38" i="76"/>
  <c r="AM38" i="76"/>
  <c r="AL38" i="76"/>
  <c r="AK38" i="76"/>
  <c r="AJ38" i="76"/>
  <c r="AI38" i="76"/>
  <c r="AH38" i="76"/>
  <c r="BI37" i="76"/>
  <c r="BH37" i="76"/>
  <c r="BG37" i="76"/>
  <c r="BF37" i="76"/>
  <c r="BE37" i="76"/>
  <c r="BD37" i="76"/>
  <c r="BC37" i="76"/>
  <c r="BB37" i="76"/>
  <c r="BA37" i="76"/>
  <c r="AZ37" i="76"/>
  <c r="AY37" i="76"/>
  <c r="AX37" i="76"/>
  <c r="AW37" i="76"/>
  <c r="AV37" i="76"/>
  <c r="AU37" i="76"/>
  <c r="AT37" i="76"/>
  <c r="AS37" i="76"/>
  <c r="AR37" i="76"/>
  <c r="AQ37" i="76"/>
  <c r="AP37" i="76"/>
  <c r="AO37" i="76"/>
  <c r="AN37" i="76"/>
  <c r="AM37" i="76"/>
  <c r="AL37" i="76"/>
  <c r="AK37" i="76"/>
  <c r="AJ37" i="76"/>
  <c r="AI37" i="76"/>
  <c r="AH37" i="76"/>
  <c r="BI36" i="76"/>
  <c r="BH36" i="76"/>
  <c r="BG36" i="76"/>
  <c r="BF36" i="76"/>
  <c r="BE36" i="76"/>
  <c r="BD36" i="76"/>
  <c r="BC36" i="76"/>
  <c r="BB36" i="76"/>
  <c r="BA36" i="76"/>
  <c r="AZ36" i="76"/>
  <c r="AY36" i="76"/>
  <c r="AX36" i="76"/>
  <c r="AW36" i="76"/>
  <c r="AV36" i="76"/>
  <c r="AU36" i="76"/>
  <c r="AT36" i="76"/>
  <c r="AS36" i="76"/>
  <c r="AR36" i="76"/>
  <c r="AQ36" i="76"/>
  <c r="AP36" i="76"/>
  <c r="AO36" i="76"/>
  <c r="AN36" i="76"/>
  <c r="AM36" i="76"/>
  <c r="AL36" i="76"/>
  <c r="AK36" i="76"/>
  <c r="AJ36" i="76"/>
  <c r="AI36" i="76"/>
  <c r="AH36" i="76"/>
  <c r="BI35" i="76"/>
  <c r="BH35" i="76"/>
  <c r="BG35" i="76"/>
  <c r="BF35" i="76"/>
  <c r="BE35" i="76"/>
  <c r="BD35" i="76"/>
  <c r="BC35" i="76"/>
  <c r="BB35" i="76"/>
  <c r="BA35" i="76"/>
  <c r="AZ35" i="76"/>
  <c r="AY35" i="76"/>
  <c r="AX35" i="76"/>
  <c r="AW35" i="76"/>
  <c r="AV35" i="76"/>
  <c r="AU35" i="76"/>
  <c r="AT35" i="76"/>
  <c r="AS35" i="76"/>
  <c r="AR35" i="76"/>
  <c r="AP35" i="76"/>
  <c r="AO35" i="76"/>
  <c r="AN35" i="76"/>
  <c r="AM35" i="76"/>
  <c r="AL35" i="76"/>
  <c r="AK35" i="76"/>
  <c r="AJ35" i="76"/>
  <c r="AI35" i="76"/>
  <c r="AH35" i="76"/>
  <c r="AB32" i="76"/>
  <c r="AA32" i="76"/>
  <c r="Z32" i="76"/>
  <c r="Y32" i="76"/>
  <c r="X32" i="76"/>
  <c r="W32" i="76"/>
  <c r="V32" i="76"/>
  <c r="U32" i="76"/>
  <c r="T32" i="76"/>
  <c r="S32" i="76"/>
  <c r="R32" i="76"/>
  <c r="Q32" i="76"/>
  <c r="P32" i="76"/>
  <c r="O32" i="76"/>
  <c r="N32" i="76"/>
  <c r="M32" i="76"/>
  <c r="L32" i="76"/>
  <c r="K32" i="76"/>
  <c r="J32" i="76"/>
  <c r="I32" i="76"/>
  <c r="H32" i="76"/>
  <c r="G32" i="76"/>
  <c r="F32" i="76"/>
  <c r="E32" i="76"/>
  <c r="D32" i="76"/>
  <c r="C32" i="76"/>
  <c r="B32" i="76"/>
  <c r="AB17" i="76"/>
  <c r="BH17" i="76"/>
  <c r="AA17" i="76"/>
  <c r="BG17" i="76"/>
  <c r="Z17" i="76"/>
  <c r="BF17" i="76"/>
  <c r="Y17" i="76"/>
  <c r="BE17" i="76"/>
  <c r="X17" i="76"/>
  <c r="BD17" i="76"/>
  <c r="W17" i="76"/>
  <c r="BC17" i="76"/>
  <c r="V17" i="76"/>
  <c r="BB17" i="76"/>
  <c r="U17" i="76"/>
  <c r="BA17" i="76"/>
  <c r="T17" i="76"/>
  <c r="AZ17" i="76"/>
  <c r="S17" i="76"/>
  <c r="AY17" i="76"/>
  <c r="R17" i="76"/>
  <c r="AX17" i="76"/>
  <c r="Q17" i="76"/>
  <c r="AW17" i="76"/>
  <c r="P17" i="76"/>
  <c r="AV17" i="76"/>
  <c r="O17" i="76"/>
  <c r="AU17" i="76"/>
  <c r="N17" i="76"/>
  <c r="AT17" i="76"/>
  <c r="M17" i="76"/>
  <c r="AS17" i="76"/>
  <c r="L17" i="76"/>
  <c r="AR17" i="76"/>
  <c r="K17" i="76"/>
  <c r="AQ17" i="76"/>
  <c r="J17" i="76"/>
  <c r="AP17" i="76"/>
  <c r="I17" i="76"/>
  <c r="AO17" i="76"/>
  <c r="H17" i="76"/>
  <c r="AN17" i="76"/>
  <c r="G17" i="76"/>
  <c r="AM17" i="76"/>
  <c r="F17" i="76"/>
  <c r="AL17" i="76"/>
  <c r="E17" i="76"/>
  <c r="AK17" i="76"/>
  <c r="D17" i="76"/>
  <c r="AJ17" i="76"/>
  <c r="C17" i="76"/>
  <c r="AI17" i="76"/>
  <c r="B17" i="76"/>
  <c r="AH17" i="76"/>
  <c r="BH16" i="76"/>
  <c r="BG16" i="76"/>
  <c r="BF16" i="76"/>
  <c r="BE16" i="76"/>
  <c r="BD16" i="76"/>
  <c r="BC16" i="76"/>
  <c r="BB16" i="76"/>
  <c r="BA16" i="76"/>
  <c r="AZ16" i="76"/>
  <c r="AY16" i="76"/>
  <c r="AX16" i="76"/>
  <c r="AW16" i="76"/>
  <c r="AV16" i="76"/>
  <c r="AU16" i="76"/>
  <c r="AT16" i="76"/>
  <c r="AS16" i="76"/>
  <c r="AR16" i="76"/>
  <c r="AQ16" i="76"/>
  <c r="AP16" i="76"/>
  <c r="AO16" i="76"/>
  <c r="AN16" i="76"/>
  <c r="AM16" i="76"/>
  <c r="AL16" i="76"/>
  <c r="AK16" i="76"/>
  <c r="AJ16" i="76"/>
  <c r="AI16" i="76"/>
  <c r="AH16" i="76"/>
  <c r="BH15" i="76"/>
  <c r="BG15" i="76"/>
  <c r="BF15" i="76"/>
  <c r="BE15" i="76"/>
  <c r="BD15" i="76"/>
  <c r="BC15" i="76"/>
  <c r="BB15" i="76"/>
  <c r="BA15" i="76"/>
  <c r="AZ15" i="76"/>
  <c r="AY15" i="76"/>
  <c r="AX15" i="76"/>
  <c r="AW15" i="76"/>
  <c r="AV15" i="76"/>
  <c r="AU15" i="76"/>
  <c r="AT15" i="76"/>
  <c r="AS15" i="76"/>
  <c r="AR15" i="76"/>
  <c r="AQ15" i="76"/>
  <c r="AP15" i="76"/>
  <c r="AO15" i="76"/>
  <c r="AN15" i="76"/>
  <c r="AM15" i="76"/>
  <c r="AL15" i="76"/>
  <c r="AK15" i="76"/>
  <c r="AJ15" i="76"/>
  <c r="AI15" i="76"/>
  <c r="AH15" i="76"/>
  <c r="BH14" i="76"/>
  <c r="BG14" i="76"/>
  <c r="BF14" i="76"/>
  <c r="BE14" i="76"/>
  <c r="BD14" i="76"/>
  <c r="BC14" i="76"/>
  <c r="BB14" i="76"/>
  <c r="BA14" i="76"/>
  <c r="AZ14" i="76"/>
  <c r="AY14" i="76"/>
  <c r="AX14" i="76"/>
  <c r="AW14" i="76"/>
  <c r="AV14" i="76"/>
  <c r="AU14" i="76"/>
  <c r="AT14" i="76"/>
  <c r="AS14" i="76"/>
  <c r="AR14" i="76"/>
  <c r="AQ14" i="76"/>
  <c r="AP14" i="76"/>
  <c r="AO14" i="76"/>
  <c r="AN14" i="76"/>
  <c r="AM14" i="76"/>
  <c r="AL14" i="76"/>
  <c r="AK14" i="76"/>
  <c r="AJ14" i="76"/>
  <c r="AI14" i="76"/>
  <c r="AH14" i="76"/>
  <c r="BH13" i="76"/>
  <c r="BG13" i="76"/>
  <c r="BF13" i="76"/>
  <c r="BE13" i="76"/>
  <c r="BD13" i="76"/>
  <c r="BC13" i="76"/>
  <c r="BB13" i="76"/>
  <c r="BA13" i="76"/>
  <c r="AZ13" i="76"/>
  <c r="AY13" i="76"/>
  <c r="AX13" i="76"/>
  <c r="AW13" i="76"/>
  <c r="AV13" i="76"/>
  <c r="AU13" i="76"/>
  <c r="AT13" i="76"/>
  <c r="AS13" i="76"/>
  <c r="AR13" i="76"/>
  <c r="AQ13" i="76"/>
  <c r="AP13" i="76"/>
  <c r="AO13" i="76"/>
  <c r="AN13" i="76"/>
  <c r="AM13" i="76"/>
  <c r="AL13" i="76"/>
  <c r="AK13" i="76"/>
  <c r="AJ13" i="76"/>
  <c r="AI13" i="76"/>
  <c r="AH13" i="76"/>
  <c r="O25" i="53"/>
  <c r="J25" i="53"/>
  <c r="T25" i="53"/>
  <c r="BP4" i="14"/>
  <c r="BQ4" i="14"/>
  <c r="BR4" i="14"/>
  <c r="BS4" i="14"/>
  <c r="X47" i="37"/>
  <c r="Z62" i="37"/>
  <c r="AA3" i="45"/>
  <c r="AB3" i="45"/>
  <c r="AC3" i="45"/>
  <c r="S3" i="45"/>
  <c r="Q3" i="45"/>
  <c r="R3" i="45"/>
  <c r="E4" i="46"/>
  <c r="P4" i="13"/>
  <c r="F4" i="46"/>
  <c r="F5" i="46"/>
  <c r="F6" i="46"/>
  <c r="F7" i="46"/>
  <c r="F8" i="46"/>
  <c r="F9" i="46"/>
  <c r="F10" i="46"/>
  <c r="F11" i="46"/>
  <c r="E12" i="46"/>
  <c r="P12" i="13"/>
  <c r="F12" i="46"/>
  <c r="F13" i="46"/>
  <c r="F14" i="46"/>
  <c r="F15" i="46"/>
  <c r="F16" i="46"/>
  <c r="F17" i="46"/>
  <c r="F18" i="46"/>
  <c r="F19" i="46"/>
  <c r="F20" i="46"/>
  <c r="F21" i="46"/>
  <c r="E22" i="46"/>
  <c r="P22" i="13"/>
  <c r="F22" i="46"/>
  <c r="F23" i="46"/>
  <c r="F24" i="46"/>
  <c r="F25" i="46"/>
  <c r="F26" i="46"/>
  <c r="E27" i="46"/>
  <c r="P27" i="13"/>
  <c r="F27" i="46"/>
  <c r="F28" i="46"/>
  <c r="F29" i="46"/>
  <c r="F30" i="46"/>
  <c r="E31" i="46"/>
  <c r="P31" i="13"/>
  <c r="F31" i="46"/>
  <c r="F32" i="46"/>
  <c r="F33" i="46"/>
  <c r="F34" i="46"/>
  <c r="F35" i="46"/>
  <c r="E28" i="53"/>
  <c r="O3" i="65"/>
  <c r="I13" i="21"/>
  <c r="I23" i="21"/>
  <c r="I28" i="21"/>
  <c r="I32" i="21"/>
  <c r="B98" i="15"/>
  <c r="B92" i="15"/>
  <c r="B93" i="15"/>
  <c r="B107" i="15"/>
  <c r="B106" i="15"/>
  <c r="B105" i="15"/>
  <c r="B104" i="15"/>
  <c r="B102" i="15"/>
  <c r="B101" i="15"/>
  <c r="B100" i="15"/>
  <c r="B97" i="15"/>
  <c r="B96" i="15"/>
  <c r="B95" i="15"/>
  <c r="B91" i="15"/>
  <c r="B90" i="15"/>
  <c r="B89" i="15"/>
  <c r="B88" i="15"/>
  <c r="B87" i="15"/>
  <c r="B86" i="15"/>
  <c r="B85" i="15"/>
  <c r="B78" i="15"/>
  <c r="B79" i="15"/>
  <c r="B80" i="15"/>
  <c r="B81" i="15"/>
  <c r="B82" i="15"/>
  <c r="B83" i="15"/>
  <c r="B77" i="15"/>
  <c r="F22" i="12"/>
  <c r="R31" i="13"/>
  <c r="S31" i="13"/>
  <c r="R27" i="13"/>
  <c r="S27" i="13"/>
  <c r="R22" i="13"/>
  <c r="R12" i="13"/>
  <c r="R4" i="13"/>
  <c r="S4" i="13"/>
  <c r="L39" i="15"/>
  <c r="K39" i="15"/>
  <c r="J39" i="15"/>
  <c r="B50" i="15"/>
  <c r="B51" i="15"/>
  <c r="B52" i="15"/>
  <c r="B53" i="15"/>
  <c r="B54" i="15"/>
  <c r="B55" i="15"/>
  <c r="B56" i="15"/>
  <c r="B57" i="15"/>
  <c r="B49" i="15"/>
  <c r="B60" i="15"/>
  <c r="B61" i="15"/>
  <c r="B62" i="15"/>
  <c r="B59" i="15"/>
  <c r="B65" i="15"/>
  <c r="B66" i="15"/>
  <c r="B64" i="15"/>
  <c r="B69" i="15"/>
  <c r="B70" i="15"/>
  <c r="B71" i="15"/>
  <c r="B68" i="15"/>
  <c r="B42" i="15"/>
  <c r="B43" i="15"/>
  <c r="B44" i="15"/>
  <c r="B45" i="15"/>
  <c r="B46" i="15"/>
  <c r="B47" i="15"/>
  <c r="B41" i="15"/>
  <c r="F12" i="48"/>
  <c r="C31" i="48"/>
  <c r="C27" i="48"/>
  <c r="C22" i="48"/>
  <c r="C12" i="48"/>
  <c r="AK38" i="37"/>
  <c r="H113" i="16"/>
  <c r="H88" i="16"/>
  <c r="H62" i="16"/>
  <c r="H99" i="16"/>
  <c r="H76" i="16"/>
  <c r="B125" i="16"/>
  <c r="C118" i="16"/>
  <c r="C119" i="16"/>
  <c r="C120" i="16"/>
  <c r="C121" i="16"/>
  <c r="C122" i="16"/>
  <c r="C123" i="16"/>
  <c r="C124" i="16"/>
  <c r="C117" i="16"/>
  <c r="B58" i="15"/>
  <c r="B63" i="15"/>
  <c r="H39" i="15"/>
  <c r="B67" i="15"/>
  <c r="I39" i="15"/>
  <c r="O26" i="53"/>
  <c r="O27" i="53"/>
  <c r="O9" i="53"/>
  <c r="O10" i="53"/>
  <c r="BM22" i="12"/>
  <c r="BN22" i="12"/>
  <c r="BO22" i="12"/>
  <c r="BP22" i="12"/>
  <c r="BM27" i="12"/>
  <c r="BN27" i="12"/>
  <c r="BO27" i="12"/>
  <c r="BP27" i="12"/>
  <c r="BM31" i="12"/>
  <c r="BN31" i="12"/>
  <c r="BO31" i="12"/>
  <c r="BP31" i="12"/>
  <c r="BG31" i="12"/>
  <c r="BH31" i="12"/>
  <c r="BI31" i="12"/>
  <c r="BJ31" i="12"/>
  <c r="BG27" i="12"/>
  <c r="BH27" i="12"/>
  <c r="BI27" i="12"/>
  <c r="BJ27" i="12"/>
  <c r="BG22" i="12"/>
  <c r="BH22" i="12"/>
  <c r="BI22" i="12"/>
  <c r="BJ22" i="12"/>
  <c r="BG12" i="12"/>
  <c r="BH12" i="12"/>
  <c r="BI12" i="12"/>
  <c r="BJ12" i="12"/>
  <c r="C4" i="12"/>
  <c r="C3" i="12"/>
  <c r="D4" i="12"/>
  <c r="D3" i="12"/>
  <c r="E4" i="12"/>
  <c r="E3" i="12"/>
  <c r="F4" i="12"/>
  <c r="F3" i="12"/>
  <c r="G4" i="12"/>
  <c r="G3" i="12"/>
  <c r="H4" i="12"/>
  <c r="H3" i="12"/>
  <c r="I4" i="12"/>
  <c r="I3" i="12"/>
  <c r="J4" i="12"/>
  <c r="J3" i="12"/>
  <c r="K4" i="12"/>
  <c r="K3" i="12"/>
  <c r="L4" i="12"/>
  <c r="L3" i="12"/>
  <c r="M4" i="12"/>
  <c r="M3" i="12"/>
  <c r="N4" i="12"/>
  <c r="N3" i="12"/>
  <c r="O4" i="12"/>
  <c r="O3" i="12"/>
  <c r="P4" i="12"/>
  <c r="P3" i="12"/>
  <c r="Q3" i="12"/>
  <c r="R3" i="12"/>
  <c r="S4" i="12"/>
  <c r="S3" i="12"/>
  <c r="T4" i="12"/>
  <c r="T3" i="12"/>
  <c r="V4" i="12"/>
  <c r="V3" i="12"/>
  <c r="W4" i="12"/>
  <c r="W3" i="12"/>
  <c r="X4" i="12"/>
  <c r="X3" i="12"/>
  <c r="Y4" i="12"/>
  <c r="Y3" i="12"/>
  <c r="Z4" i="12"/>
  <c r="Z3" i="12"/>
  <c r="AA4" i="12"/>
  <c r="AA3" i="12"/>
  <c r="AB4" i="12"/>
  <c r="AB3" i="12"/>
  <c r="AC4" i="12"/>
  <c r="AC3" i="12"/>
  <c r="AD4" i="12"/>
  <c r="AD3" i="12"/>
  <c r="AE4" i="12"/>
  <c r="AE3" i="12"/>
  <c r="AF4" i="12"/>
  <c r="AF3" i="12"/>
  <c r="AG4" i="12"/>
  <c r="AG3" i="12"/>
  <c r="AH4" i="12"/>
  <c r="AH3" i="12"/>
  <c r="AI4" i="12"/>
  <c r="AI3" i="12"/>
  <c r="AJ4" i="12"/>
  <c r="AJ3" i="12"/>
  <c r="AK4" i="12"/>
  <c r="AK3" i="12"/>
  <c r="AL4" i="12"/>
  <c r="AL3" i="12"/>
  <c r="AM4" i="12"/>
  <c r="AM3" i="12"/>
  <c r="AN4" i="12"/>
  <c r="AN3" i="12"/>
  <c r="AO4" i="12"/>
  <c r="AO3" i="12"/>
  <c r="AP4" i="12"/>
  <c r="AP3" i="12"/>
  <c r="AQ4" i="12"/>
  <c r="AQ3" i="12"/>
  <c r="AR4" i="12"/>
  <c r="AR3" i="12"/>
  <c r="AS4" i="12"/>
  <c r="AS3" i="12"/>
  <c r="AT4" i="12"/>
  <c r="AT3" i="12"/>
  <c r="AU4" i="12"/>
  <c r="AU3" i="12"/>
  <c r="AV4" i="12"/>
  <c r="AV3" i="12"/>
  <c r="AW4" i="12"/>
  <c r="AW3" i="12"/>
  <c r="AX4" i="12"/>
  <c r="AX3" i="12"/>
  <c r="AY4" i="12"/>
  <c r="AY3" i="12"/>
  <c r="O7" i="53"/>
  <c r="O8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J27" i="53"/>
  <c r="BJ4" i="12"/>
  <c r="BH4" i="12"/>
  <c r="BO4" i="12"/>
  <c r="BI4" i="12"/>
  <c r="BP4" i="12"/>
  <c r="BN4" i="12"/>
  <c r="BM4" i="12"/>
  <c r="BG4" i="12"/>
  <c r="J23" i="53"/>
  <c r="T23" i="53"/>
  <c r="T10" i="53"/>
  <c r="J14" i="53"/>
  <c r="T14" i="53"/>
  <c r="J20" i="53"/>
  <c r="T20" i="53"/>
  <c r="J26" i="53"/>
  <c r="T26" i="53"/>
  <c r="J12" i="53"/>
  <c r="J16" i="53"/>
  <c r="T16" i="53"/>
  <c r="J22" i="53"/>
  <c r="T22" i="53"/>
  <c r="J9" i="53"/>
  <c r="T9" i="53"/>
  <c r="J11" i="53"/>
  <c r="T11" i="53"/>
  <c r="J13" i="53"/>
  <c r="T13" i="53"/>
  <c r="J15" i="53"/>
  <c r="T15" i="53"/>
  <c r="J19" i="53"/>
  <c r="T19" i="53"/>
  <c r="J21" i="53"/>
  <c r="T21" i="53"/>
  <c r="T12" i="53"/>
  <c r="T27" i="53"/>
  <c r="BO3" i="12"/>
  <c r="BM3" i="12"/>
  <c r="BI3" i="12"/>
  <c r="BG3" i="12"/>
  <c r="BP3" i="12"/>
  <c r="BN3" i="12"/>
  <c r="BJ3" i="12"/>
  <c r="BH3" i="12"/>
  <c r="AE2" i="73"/>
  <c r="AJ2" i="73"/>
  <c r="AO2" i="73"/>
  <c r="AA2" i="73"/>
  <c r="AE27" i="73"/>
  <c r="AJ27" i="73"/>
  <c r="AO27" i="73"/>
  <c r="AF27" i="73"/>
  <c r="AG27" i="73"/>
  <c r="AH27" i="73"/>
  <c r="AI27" i="73"/>
  <c r="AF2" i="73"/>
  <c r="AG2" i="73"/>
  <c r="AH2" i="73"/>
  <c r="AI2" i="73"/>
  <c r="AE3" i="73"/>
  <c r="AJ3" i="73"/>
  <c r="AO3" i="73"/>
  <c r="AF3" i="73"/>
  <c r="AG3" i="73"/>
  <c r="AH3" i="73"/>
  <c r="AI3" i="73"/>
  <c r="AE7" i="73"/>
  <c r="AJ7" i="73"/>
  <c r="AO7" i="73"/>
  <c r="AF7" i="73"/>
  <c r="AG7" i="73"/>
  <c r="AH7" i="73"/>
  <c r="AI7" i="73"/>
  <c r="AE15" i="73"/>
  <c r="AJ15" i="73"/>
  <c r="AO15" i="73"/>
  <c r="AF15" i="73"/>
  <c r="AG15" i="73"/>
  <c r="AH15" i="73"/>
  <c r="AI15" i="73"/>
  <c r="AE6" i="73"/>
  <c r="AJ6" i="73"/>
  <c r="AO6" i="73"/>
  <c r="AF6" i="73"/>
  <c r="AG6" i="73"/>
  <c r="AH6" i="73"/>
  <c r="AI6" i="73"/>
  <c r="AE13" i="73"/>
  <c r="AJ13" i="73"/>
  <c r="AO13" i="73"/>
  <c r="AF13" i="73"/>
  <c r="AG13" i="73"/>
  <c r="AH13" i="73"/>
  <c r="AI13" i="73"/>
  <c r="AE16" i="73"/>
  <c r="AJ16" i="73"/>
  <c r="AO16" i="73"/>
  <c r="AF16" i="73"/>
  <c r="AG16" i="73"/>
  <c r="AH16" i="73"/>
  <c r="AI16" i="73"/>
  <c r="AE19" i="73"/>
  <c r="AJ19" i="73"/>
  <c r="AO19" i="73"/>
  <c r="AF19" i="73"/>
  <c r="AG19" i="73"/>
  <c r="AH19" i="73"/>
  <c r="AI19" i="73"/>
  <c r="AE4" i="73"/>
  <c r="AJ4" i="73"/>
  <c r="AO4" i="73"/>
  <c r="AF4" i="73"/>
  <c r="AG4" i="73"/>
  <c r="AH4" i="73"/>
  <c r="AI4" i="73"/>
  <c r="AE5" i="73"/>
  <c r="AJ5" i="73"/>
  <c r="AO5" i="73"/>
  <c r="AF5" i="73"/>
  <c r="AG5" i="73"/>
  <c r="AH5" i="73"/>
  <c r="AI5" i="73"/>
  <c r="AE9" i="73"/>
  <c r="AJ9" i="73"/>
  <c r="AO9" i="73"/>
  <c r="AF9" i="73"/>
  <c r="AG9" i="73"/>
  <c r="AH9" i="73"/>
  <c r="AI9" i="73"/>
  <c r="AE12" i="73"/>
  <c r="AJ12" i="73"/>
  <c r="AO12" i="73"/>
  <c r="AF12" i="73"/>
  <c r="AG12" i="73"/>
  <c r="AH12" i="73"/>
  <c r="AI12" i="73"/>
  <c r="AE11" i="73"/>
  <c r="AJ11" i="73"/>
  <c r="AO11" i="73"/>
  <c r="AF11" i="73"/>
  <c r="AG11" i="73"/>
  <c r="AH11" i="73"/>
  <c r="AI11" i="73"/>
  <c r="AE8" i="73"/>
  <c r="AJ8" i="73"/>
  <c r="AO8" i="73"/>
  <c r="AF8" i="73"/>
  <c r="AG8" i="73"/>
  <c r="AH8" i="73"/>
  <c r="AI8" i="73"/>
  <c r="AE14" i="73"/>
  <c r="AJ14" i="73"/>
  <c r="AO14" i="73"/>
  <c r="AF14" i="73"/>
  <c r="AG14" i="73"/>
  <c r="AH14" i="73"/>
  <c r="AI14" i="73"/>
  <c r="AE10" i="73"/>
  <c r="AJ10" i="73"/>
  <c r="AO10" i="73"/>
  <c r="AF10" i="73"/>
  <c r="AG10" i="73"/>
  <c r="AH10" i="73"/>
  <c r="AI10" i="73"/>
  <c r="AE18" i="73"/>
  <c r="AJ18" i="73"/>
  <c r="AO18" i="73"/>
  <c r="AF18" i="73"/>
  <c r="AG18" i="73"/>
  <c r="AH18" i="73"/>
  <c r="AI18" i="73"/>
  <c r="AE17" i="73"/>
  <c r="AJ17" i="73"/>
  <c r="AO17" i="73"/>
  <c r="AF17" i="73"/>
  <c r="AG17" i="73"/>
  <c r="AH17" i="73"/>
  <c r="AI17" i="73"/>
  <c r="AE20" i="73"/>
  <c r="AJ20" i="73"/>
  <c r="AO20" i="73"/>
  <c r="AF20" i="73"/>
  <c r="AG20" i="73"/>
  <c r="AH20" i="73"/>
  <c r="AI20" i="73"/>
  <c r="AE23" i="73"/>
  <c r="AJ23" i="73"/>
  <c r="AO23" i="73"/>
  <c r="AF23" i="73"/>
  <c r="AG23" i="73"/>
  <c r="AH23" i="73"/>
  <c r="AI23" i="73"/>
  <c r="AE22" i="73"/>
  <c r="AJ22" i="73"/>
  <c r="AO22" i="73"/>
  <c r="AF22" i="73"/>
  <c r="AG22" i="73"/>
  <c r="AH22" i="73"/>
  <c r="AI22" i="73"/>
  <c r="AE21" i="73"/>
  <c r="AJ21" i="73"/>
  <c r="AO21" i="73"/>
  <c r="AF21" i="73"/>
  <c r="AG21" i="73"/>
  <c r="AH21" i="73"/>
  <c r="AI21" i="73"/>
  <c r="AE24" i="73"/>
  <c r="AJ24" i="73"/>
  <c r="AO24" i="73"/>
  <c r="AF24" i="73"/>
  <c r="AG24" i="73"/>
  <c r="AH24" i="73"/>
  <c r="AI24" i="73"/>
  <c r="AE28" i="73"/>
  <c r="AJ28" i="73"/>
  <c r="AO28" i="73"/>
  <c r="AF28" i="73"/>
  <c r="AG28" i="73"/>
  <c r="AH28" i="73"/>
  <c r="AI28" i="73"/>
  <c r="AE26" i="73"/>
  <c r="AJ26" i="73"/>
  <c r="AO26" i="73"/>
  <c r="AF26" i="73"/>
  <c r="AG26" i="73"/>
  <c r="AH26" i="73"/>
  <c r="AI26" i="73"/>
  <c r="AE25" i="73"/>
  <c r="AJ25" i="73"/>
  <c r="AO25" i="73"/>
  <c r="AF25" i="73"/>
  <c r="AG25" i="73"/>
  <c r="AH25" i="73"/>
  <c r="AI25" i="73"/>
  <c r="AC27" i="73"/>
  <c r="AM27" i="73"/>
  <c r="AD27" i="73"/>
  <c r="AN27" i="73"/>
  <c r="AC2" i="73"/>
  <c r="AM2" i="73"/>
  <c r="AD2" i="73"/>
  <c r="AN2" i="73"/>
  <c r="AC3" i="73"/>
  <c r="AM3" i="73"/>
  <c r="AD3" i="73"/>
  <c r="AN3" i="73"/>
  <c r="AC7" i="73"/>
  <c r="AM7" i="73"/>
  <c r="AD7" i="73"/>
  <c r="AN7" i="73"/>
  <c r="AC15" i="73"/>
  <c r="AM15" i="73"/>
  <c r="AD15" i="73"/>
  <c r="AN15" i="73"/>
  <c r="AC6" i="73"/>
  <c r="AM6" i="73"/>
  <c r="AD6" i="73"/>
  <c r="AN6" i="73"/>
  <c r="AC13" i="73"/>
  <c r="AM13" i="73"/>
  <c r="AD13" i="73"/>
  <c r="AN13" i="73"/>
  <c r="AC16" i="73"/>
  <c r="AM16" i="73"/>
  <c r="AD16" i="73"/>
  <c r="AN16" i="73"/>
  <c r="AC19" i="73"/>
  <c r="AM19" i="73"/>
  <c r="AD19" i="73"/>
  <c r="AN19" i="73"/>
  <c r="AC4" i="73"/>
  <c r="AM4" i="73"/>
  <c r="AD4" i="73"/>
  <c r="AN4" i="73"/>
  <c r="AC5" i="73"/>
  <c r="AM5" i="73"/>
  <c r="AD5" i="73"/>
  <c r="AN5" i="73"/>
  <c r="AC9" i="73"/>
  <c r="AM9" i="73"/>
  <c r="AD9" i="73"/>
  <c r="AN9" i="73"/>
  <c r="AC12" i="73"/>
  <c r="AM12" i="73"/>
  <c r="AD12" i="73"/>
  <c r="AN12" i="73"/>
  <c r="AC11" i="73"/>
  <c r="AM11" i="73"/>
  <c r="AD11" i="73"/>
  <c r="AN11" i="73"/>
  <c r="AC8" i="73"/>
  <c r="AM8" i="73"/>
  <c r="AD8" i="73"/>
  <c r="AN8" i="73"/>
  <c r="AC14" i="73"/>
  <c r="AM14" i="73"/>
  <c r="AD14" i="73"/>
  <c r="AN14" i="73"/>
  <c r="AC10" i="73"/>
  <c r="AM10" i="73"/>
  <c r="AD10" i="73"/>
  <c r="AN10" i="73"/>
  <c r="AC18" i="73"/>
  <c r="AM18" i="73"/>
  <c r="AD18" i="73"/>
  <c r="AN18" i="73"/>
  <c r="AC17" i="73"/>
  <c r="AM17" i="73"/>
  <c r="AD17" i="73"/>
  <c r="AN17" i="73"/>
  <c r="AC20" i="73"/>
  <c r="AM20" i="73"/>
  <c r="AD20" i="73"/>
  <c r="AN20" i="73"/>
  <c r="AC23" i="73"/>
  <c r="AM23" i="73"/>
  <c r="AD23" i="73"/>
  <c r="AN23" i="73"/>
  <c r="AC22" i="73"/>
  <c r="AM22" i="73"/>
  <c r="AD22" i="73"/>
  <c r="AN22" i="73"/>
  <c r="AC21" i="73"/>
  <c r="AM21" i="73"/>
  <c r="AD21" i="73"/>
  <c r="AN21" i="73"/>
  <c r="AC24" i="73"/>
  <c r="AM24" i="73"/>
  <c r="AD24" i="73"/>
  <c r="AN24" i="73"/>
  <c r="AC28" i="73"/>
  <c r="AM28" i="73"/>
  <c r="AD28" i="73"/>
  <c r="AN28" i="73"/>
  <c r="AC26" i="73"/>
  <c r="AM26" i="73"/>
  <c r="AD26" i="73"/>
  <c r="AN26" i="73"/>
  <c r="AC25" i="73"/>
  <c r="AM25" i="73"/>
  <c r="AD25" i="73"/>
  <c r="AN25" i="73"/>
  <c r="AB27" i="73"/>
  <c r="AL27" i="73"/>
  <c r="AB2" i="73"/>
  <c r="AL2" i="73"/>
  <c r="AB3" i="73"/>
  <c r="AL3" i="73"/>
  <c r="AB7" i="73"/>
  <c r="AL7" i="73"/>
  <c r="AB15" i="73"/>
  <c r="AL15" i="73"/>
  <c r="AB6" i="73"/>
  <c r="AL6" i="73"/>
  <c r="AB13" i="73"/>
  <c r="AL13" i="73"/>
  <c r="AB16" i="73"/>
  <c r="AL16" i="73"/>
  <c r="AB19" i="73"/>
  <c r="AL19" i="73"/>
  <c r="AB4" i="73"/>
  <c r="AL4" i="73"/>
  <c r="AB5" i="73"/>
  <c r="AL5" i="73"/>
  <c r="AB9" i="73"/>
  <c r="AL9" i="73"/>
  <c r="AB12" i="73"/>
  <c r="AL12" i="73"/>
  <c r="AB11" i="73"/>
  <c r="AL11" i="73"/>
  <c r="AB8" i="73"/>
  <c r="AL8" i="73"/>
  <c r="AB14" i="73"/>
  <c r="AL14" i="73"/>
  <c r="AB10" i="73"/>
  <c r="AL10" i="73"/>
  <c r="AB18" i="73"/>
  <c r="AL18" i="73"/>
  <c r="AB17" i="73"/>
  <c r="AL17" i="73"/>
  <c r="AB20" i="73"/>
  <c r="AL20" i="73"/>
  <c r="AB23" i="73"/>
  <c r="AL23" i="73"/>
  <c r="AB22" i="73"/>
  <c r="AL22" i="73"/>
  <c r="AB21" i="73"/>
  <c r="AL21" i="73"/>
  <c r="AB24" i="73"/>
  <c r="AL24" i="73"/>
  <c r="AB28" i="73"/>
  <c r="AL28" i="73"/>
  <c r="AB26" i="73"/>
  <c r="AL26" i="73"/>
  <c r="AB25" i="73"/>
  <c r="AL25" i="73"/>
  <c r="AK2" i="73"/>
  <c r="AA3" i="73"/>
  <c r="AK3" i="73"/>
  <c r="AA7" i="73"/>
  <c r="AK7" i="73"/>
  <c r="AA15" i="73"/>
  <c r="AK15" i="73"/>
  <c r="AA6" i="73"/>
  <c r="AK6" i="73"/>
  <c r="AA13" i="73"/>
  <c r="AK13" i="73"/>
  <c r="AA16" i="73"/>
  <c r="AK16" i="73"/>
  <c r="AA19" i="73"/>
  <c r="AK19" i="73"/>
  <c r="AA4" i="73"/>
  <c r="AK4" i="73"/>
  <c r="AA5" i="73"/>
  <c r="AK5" i="73"/>
  <c r="AA9" i="73"/>
  <c r="AK9" i="73"/>
  <c r="AA12" i="73"/>
  <c r="AK12" i="73"/>
  <c r="AA11" i="73"/>
  <c r="AK11" i="73"/>
  <c r="AA8" i="73"/>
  <c r="AK8" i="73"/>
  <c r="AA14" i="73"/>
  <c r="AK14" i="73"/>
  <c r="AA10" i="73"/>
  <c r="AK10" i="73"/>
  <c r="AA18" i="73"/>
  <c r="AK18" i="73"/>
  <c r="AA17" i="73"/>
  <c r="AK17" i="73"/>
  <c r="AA20" i="73"/>
  <c r="AK20" i="73"/>
  <c r="AA23" i="73"/>
  <c r="AK23" i="73"/>
  <c r="AA22" i="73"/>
  <c r="AK22" i="73"/>
  <c r="AA21" i="73"/>
  <c r="AK21" i="73"/>
  <c r="AA24" i="73"/>
  <c r="AK24" i="73"/>
  <c r="AA28" i="73"/>
  <c r="AK28" i="73"/>
  <c r="AA26" i="73"/>
  <c r="AK26" i="73"/>
  <c r="AA25" i="73"/>
  <c r="AK25" i="73"/>
  <c r="AA27" i="73"/>
  <c r="AK27" i="73"/>
  <c r="U26" i="73"/>
  <c r="U28" i="73"/>
  <c r="U24" i="73"/>
  <c r="U12" i="73"/>
  <c r="U21" i="73"/>
  <c r="U25" i="73"/>
  <c r="U20" i="73"/>
  <c r="U11" i="73"/>
  <c r="U9" i="73"/>
  <c r="U3" i="73"/>
  <c r="U4" i="73"/>
  <c r="U10" i="73"/>
  <c r="U6" i="73"/>
  <c r="U5" i="73"/>
  <c r="U22" i="73"/>
  <c r="U17" i="73"/>
  <c r="U8" i="73"/>
  <c r="U7" i="73"/>
  <c r="U15" i="73"/>
  <c r="U27" i="73"/>
  <c r="U2" i="73"/>
  <c r="U19" i="73"/>
  <c r="U16" i="73"/>
  <c r="U23" i="73"/>
  <c r="U13" i="73"/>
  <c r="U14" i="73"/>
  <c r="U18" i="73"/>
  <c r="P26" i="73"/>
  <c r="Z26" i="73"/>
  <c r="Q26" i="73"/>
  <c r="R26" i="73"/>
  <c r="S26" i="73"/>
  <c r="T26" i="73"/>
  <c r="P28" i="73"/>
  <c r="Z28" i="73"/>
  <c r="Q28" i="73"/>
  <c r="R28" i="73"/>
  <c r="S28" i="73"/>
  <c r="T28" i="73"/>
  <c r="P24" i="73"/>
  <c r="Z24" i="73"/>
  <c r="Q24" i="73"/>
  <c r="R24" i="73"/>
  <c r="S24" i="73"/>
  <c r="T24" i="73"/>
  <c r="P12" i="73"/>
  <c r="Z12" i="73"/>
  <c r="Q12" i="73"/>
  <c r="R12" i="73"/>
  <c r="S12" i="73"/>
  <c r="T12" i="73"/>
  <c r="P21" i="73"/>
  <c r="Z21" i="73"/>
  <c r="Q21" i="73"/>
  <c r="R21" i="73"/>
  <c r="S21" i="73"/>
  <c r="T21" i="73"/>
  <c r="P25" i="73"/>
  <c r="Z25" i="73"/>
  <c r="Q25" i="73"/>
  <c r="R25" i="73"/>
  <c r="S25" i="73"/>
  <c r="T25" i="73"/>
  <c r="P20" i="73"/>
  <c r="Z20" i="73"/>
  <c r="Q20" i="73"/>
  <c r="R20" i="73"/>
  <c r="S20" i="73"/>
  <c r="T20" i="73"/>
  <c r="P11" i="73"/>
  <c r="Z11" i="73"/>
  <c r="Q11" i="73"/>
  <c r="R11" i="73"/>
  <c r="S11" i="73"/>
  <c r="T11" i="73"/>
  <c r="P9" i="73"/>
  <c r="Z9" i="73"/>
  <c r="Q9" i="73"/>
  <c r="R9" i="73"/>
  <c r="S9" i="73"/>
  <c r="T9" i="73"/>
  <c r="P3" i="73"/>
  <c r="Z3" i="73"/>
  <c r="Q3" i="73"/>
  <c r="R3" i="73"/>
  <c r="S3" i="73"/>
  <c r="T3" i="73"/>
  <c r="P4" i="73"/>
  <c r="Z4" i="73"/>
  <c r="Q4" i="73"/>
  <c r="R4" i="73"/>
  <c r="S4" i="73"/>
  <c r="T4" i="73"/>
  <c r="P10" i="73"/>
  <c r="Z10" i="73"/>
  <c r="Q10" i="73"/>
  <c r="R10" i="73"/>
  <c r="S10" i="73"/>
  <c r="T10" i="73"/>
  <c r="P6" i="73"/>
  <c r="Z6" i="73"/>
  <c r="Q6" i="73"/>
  <c r="R6" i="73"/>
  <c r="S6" i="73"/>
  <c r="T6" i="73"/>
  <c r="P5" i="73"/>
  <c r="Z5" i="73"/>
  <c r="Q5" i="73"/>
  <c r="R5" i="73"/>
  <c r="S5" i="73"/>
  <c r="T5" i="73"/>
  <c r="P22" i="73"/>
  <c r="Z22" i="73"/>
  <c r="Q22" i="73"/>
  <c r="R22" i="73"/>
  <c r="S22" i="73"/>
  <c r="T22" i="73"/>
  <c r="P17" i="73"/>
  <c r="Z17" i="73"/>
  <c r="Q17" i="73"/>
  <c r="R17" i="73"/>
  <c r="S17" i="73"/>
  <c r="T17" i="73"/>
  <c r="P8" i="73"/>
  <c r="Z8" i="73"/>
  <c r="Q8" i="73"/>
  <c r="R8" i="73"/>
  <c r="S8" i="73"/>
  <c r="T8" i="73"/>
  <c r="P7" i="73"/>
  <c r="Z7" i="73"/>
  <c r="Q7" i="73"/>
  <c r="R7" i="73"/>
  <c r="S7" i="73"/>
  <c r="T7" i="73"/>
  <c r="P15" i="73"/>
  <c r="Z15" i="73"/>
  <c r="Q15" i="73"/>
  <c r="R15" i="73"/>
  <c r="S15" i="73"/>
  <c r="T15" i="73"/>
  <c r="P27" i="73"/>
  <c r="Z27" i="73"/>
  <c r="Q27" i="73"/>
  <c r="R27" i="73"/>
  <c r="S27" i="73"/>
  <c r="T27" i="73"/>
  <c r="P2" i="73"/>
  <c r="Z2" i="73"/>
  <c r="Q2" i="73"/>
  <c r="R2" i="73"/>
  <c r="S2" i="73"/>
  <c r="T2" i="73"/>
  <c r="P19" i="73"/>
  <c r="Z19" i="73"/>
  <c r="Q19" i="73"/>
  <c r="R19" i="73"/>
  <c r="S19" i="73"/>
  <c r="T19" i="73"/>
  <c r="P16" i="73"/>
  <c r="Z16" i="73"/>
  <c r="Q16" i="73"/>
  <c r="R16" i="73"/>
  <c r="S16" i="73"/>
  <c r="T16" i="73"/>
  <c r="P23" i="73"/>
  <c r="Z23" i="73"/>
  <c r="Q23" i="73"/>
  <c r="R23" i="73"/>
  <c r="S23" i="73"/>
  <c r="T23" i="73"/>
  <c r="P13" i="73"/>
  <c r="Z13" i="73"/>
  <c r="Q13" i="73"/>
  <c r="R13" i="73"/>
  <c r="S13" i="73"/>
  <c r="T13" i="73"/>
  <c r="P14" i="73"/>
  <c r="Z14" i="73"/>
  <c r="Q14" i="73"/>
  <c r="R14" i="73"/>
  <c r="S14" i="73"/>
  <c r="T14" i="73"/>
  <c r="P18" i="73"/>
  <c r="Z18" i="73"/>
  <c r="Q18" i="73"/>
  <c r="R18" i="73"/>
  <c r="S18" i="73"/>
  <c r="T18" i="73"/>
  <c r="M26" i="73"/>
  <c r="W26" i="73"/>
  <c r="N26" i="73"/>
  <c r="X26" i="73"/>
  <c r="O26" i="73"/>
  <c r="Y26" i="73"/>
  <c r="M28" i="73"/>
  <c r="W28" i="73"/>
  <c r="N28" i="73"/>
  <c r="X28" i="73"/>
  <c r="O28" i="73"/>
  <c r="Y28" i="73"/>
  <c r="M24" i="73"/>
  <c r="W24" i="73"/>
  <c r="N24" i="73"/>
  <c r="X24" i="73"/>
  <c r="O24" i="73"/>
  <c r="Y24" i="73"/>
  <c r="M12" i="73"/>
  <c r="W12" i="73"/>
  <c r="N12" i="73"/>
  <c r="X12" i="73"/>
  <c r="O12" i="73"/>
  <c r="Y12" i="73"/>
  <c r="M21" i="73"/>
  <c r="W21" i="73"/>
  <c r="N21" i="73"/>
  <c r="X21" i="73"/>
  <c r="O21" i="73"/>
  <c r="Y21" i="73"/>
  <c r="M25" i="73"/>
  <c r="W25" i="73"/>
  <c r="N25" i="73"/>
  <c r="X25" i="73"/>
  <c r="O25" i="73"/>
  <c r="Y25" i="73"/>
  <c r="M20" i="73"/>
  <c r="W20" i="73"/>
  <c r="N20" i="73"/>
  <c r="X20" i="73"/>
  <c r="O20" i="73"/>
  <c r="Y20" i="73"/>
  <c r="M11" i="73"/>
  <c r="W11" i="73"/>
  <c r="N11" i="73"/>
  <c r="X11" i="73"/>
  <c r="O11" i="73"/>
  <c r="Y11" i="73"/>
  <c r="M9" i="73"/>
  <c r="W9" i="73"/>
  <c r="N9" i="73"/>
  <c r="X9" i="73"/>
  <c r="O9" i="73"/>
  <c r="Y9" i="73"/>
  <c r="M3" i="73"/>
  <c r="W3" i="73"/>
  <c r="N3" i="73"/>
  <c r="X3" i="73"/>
  <c r="O3" i="73"/>
  <c r="Y3" i="73"/>
  <c r="M4" i="73"/>
  <c r="W4" i="73"/>
  <c r="N4" i="73"/>
  <c r="X4" i="73"/>
  <c r="O4" i="73"/>
  <c r="Y4" i="73"/>
  <c r="M10" i="73"/>
  <c r="W10" i="73"/>
  <c r="N10" i="73"/>
  <c r="X10" i="73"/>
  <c r="O10" i="73"/>
  <c r="Y10" i="73"/>
  <c r="M6" i="73"/>
  <c r="W6" i="73"/>
  <c r="N6" i="73"/>
  <c r="X6" i="73"/>
  <c r="O6" i="73"/>
  <c r="Y6" i="73"/>
  <c r="M5" i="73"/>
  <c r="W5" i="73"/>
  <c r="N5" i="73"/>
  <c r="X5" i="73"/>
  <c r="O5" i="73"/>
  <c r="Y5" i="73"/>
  <c r="M22" i="73"/>
  <c r="W22" i="73"/>
  <c r="N22" i="73"/>
  <c r="X22" i="73"/>
  <c r="O22" i="73"/>
  <c r="Y22" i="73"/>
  <c r="M17" i="73"/>
  <c r="W17" i="73"/>
  <c r="N17" i="73"/>
  <c r="X17" i="73"/>
  <c r="O17" i="73"/>
  <c r="Y17" i="73"/>
  <c r="M8" i="73"/>
  <c r="W8" i="73"/>
  <c r="N8" i="73"/>
  <c r="X8" i="73"/>
  <c r="O8" i="73"/>
  <c r="Y8" i="73"/>
  <c r="M7" i="73"/>
  <c r="W7" i="73"/>
  <c r="N7" i="73"/>
  <c r="X7" i="73"/>
  <c r="O7" i="73"/>
  <c r="Y7" i="73"/>
  <c r="M15" i="73"/>
  <c r="W15" i="73"/>
  <c r="N15" i="73"/>
  <c r="X15" i="73"/>
  <c r="O15" i="73"/>
  <c r="Y15" i="73"/>
  <c r="M27" i="73"/>
  <c r="W27" i="73"/>
  <c r="N27" i="73"/>
  <c r="X27" i="73"/>
  <c r="O27" i="73"/>
  <c r="Y27" i="73"/>
  <c r="M2" i="73"/>
  <c r="W2" i="73"/>
  <c r="N2" i="73"/>
  <c r="X2" i="73"/>
  <c r="O2" i="73"/>
  <c r="Y2" i="73"/>
  <c r="M19" i="73"/>
  <c r="W19" i="73"/>
  <c r="N19" i="73"/>
  <c r="X19" i="73"/>
  <c r="O19" i="73"/>
  <c r="Y19" i="73"/>
  <c r="M16" i="73"/>
  <c r="W16" i="73"/>
  <c r="N16" i="73"/>
  <c r="X16" i="73"/>
  <c r="O16" i="73"/>
  <c r="Y16" i="73"/>
  <c r="M23" i="73"/>
  <c r="W23" i="73"/>
  <c r="N23" i="73"/>
  <c r="X23" i="73"/>
  <c r="O23" i="73"/>
  <c r="Y23" i="73"/>
  <c r="M13" i="73"/>
  <c r="W13" i="73"/>
  <c r="N13" i="73"/>
  <c r="X13" i="73"/>
  <c r="O13" i="73"/>
  <c r="Y13" i="73"/>
  <c r="M14" i="73"/>
  <c r="W14" i="73"/>
  <c r="N14" i="73"/>
  <c r="X14" i="73"/>
  <c r="O14" i="73"/>
  <c r="Y14" i="73"/>
  <c r="M18" i="73"/>
  <c r="W18" i="73"/>
  <c r="N18" i="73"/>
  <c r="X18" i="73"/>
  <c r="O18" i="73"/>
  <c r="Y18" i="73"/>
  <c r="L28" i="73"/>
  <c r="V28" i="73"/>
  <c r="L24" i="73"/>
  <c r="V24" i="73"/>
  <c r="L12" i="73"/>
  <c r="V12" i="73"/>
  <c r="L21" i="73"/>
  <c r="V21" i="73"/>
  <c r="L25" i="73"/>
  <c r="V25" i="73"/>
  <c r="L20" i="73"/>
  <c r="V20" i="73"/>
  <c r="L11" i="73"/>
  <c r="V11" i="73"/>
  <c r="L9" i="73"/>
  <c r="V9" i="73"/>
  <c r="L3" i="73"/>
  <c r="V3" i="73"/>
  <c r="L4" i="73"/>
  <c r="V4" i="73"/>
  <c r="L10" i="73"/>
  <c r="V10" i="73"/>
  <c r="L6" i="73"/>
  <c r="V6" i="73"/>
  <c r="L5" i="73"/>
  <c r="V5" i="73"/>
  <c r="L22" i="73"/>
  <c r="V22" i="73"/>
  <c r="L17" i="73"/>
  <c r="V17" i="73"/>
  <c r="L8" i="73"/>
  <c r="V8" i="73"/>
  <c r="L7" i="73"/>
  <c r="V7" i="73"/>
  <c r="L15" i="73"/>
  <c r="V15" i="73"/>
  <c r="L27" i="73"/>
  <c r="V27" i="73"/>
  <c r="L2" i="73"/>
  <c r="V2" i="73"/>
  <c r="L19" i="73"/>
  <c r="V19" i="73"/>
  <c r="L16" i="73"/>
  <c r="V16" i="73"/>
  <c r="L23" i="73"/>
  <c r="V23" i="73"/>
  <c r="L13" i="73"/>
  <c r="V13" i="73"/>
  <c r="L14" i="73"/>
  <c r="V14" i="73"/>
  <c r="L18" i="73"/>
  <c r="V18" i="73"/>
  <c r="L26" i="73"/>
  <c r="V26" i="73"/>
  <c r="W158" i="40"/>
  <c r="W159" i="40"/>
  <c r="W160" i="40"/>
  <c r="W161" i="40"/>
  <c r="W162" i="40"/>
  <c r="W163" i="40"/>
  <c r="W164" i="40"/>
  <c r="W165" i="40"/>
  <c r="W166" i="40"/>
  <c r="W167" i="40"/>
  <c r="W168" i="40"/>
  <c r="W169" i="40"/>
  <c r="W170" i="40"/>
  <c r="W171" i="40"/>
  <c r="W172" i="40"/>
  <c r="W173" i="40"/>
  <c r="W174" i="40"/>
  <c r="W175" i="40"/>
  <c r="W176" i="40"/>
  <c r="W177" i="40"/>
  <c r="W178" i="40"/>
  <c r="W179" i="40"/>
  <c r="W180" i="40"/>
  <c r="W181" i="40"/>
  <c r="W182" i="40"/>
  <c r="W183" i="40"/>
  <c r="W184" i="40"/>
  <c r="W185" i="40"/>
  <c r="W186" i="40"/>
  <c r="W187" i="40"/>
  <c r="W188" i="40"/>
  <c r="W189" i="40"/>
  <c r="W157" i="40"/>
  <c r="AP13" i="37"/>
  <c r="AQ13" i="37"/>
  <c r="AR13" i="37"/>
  <c r="AS13" i="37"/>
  <c r="AP14" i="37"/>
  <c r="AQ14" i="37"/>
  <c r="AR14" i="37"/>
  <c r="AS14" i="37"/>
  <c r="AO14" i="37"/>
  <c r="AO13" i="37"/>
  <c r="F4" i="50"/>
  <c r="AL4" i="54"/>
  <c r="AM4" i="54"/>
  <c r="F5" i="50"/>
  <c r="AL5" i="54"/>
  <c r="AM25" i="69"/>
  <c r="F5" i="49"/>
  <c r="AM5" i="54"/>
  <c r="AN25" i="69"/>
  <c r="F6" i="50"/>
  <c r="AL6" i="54"/>
  <c r="AM7" i="69"/>
  <c r="F6" i="49"/>
  <c r="AM6" i="54"/>
  <c r="F7" i="50"/>
  <c r="AL7" i="54"/>
  <c r="F7" i="49"/>
  <c r="AM7" i="54"/>
  <c r="F8" i="50"/>
  <c r="AL8" i="54"/>
  <c r="F8" i="49"/>
  <c r="AM8" i="54"/>
  <c r="BR16" i="68"/>
  <c r="F9" i="50"/>
  <c r="AL9" i="54"/>
  <c r="AM21" i="69"/>
  <c r="F9" i="49"/>
  <c r="AM9" i="54"/>
  <c r="AN21" i="69"/>
  <c r="F10" i="50"/>
  <c r="AL10" i="54"/>
  <c r="F10" i="49"/>
  <c r="AM10" i="54"/>
  <c r="BR22" i="68"/>
  <c r="F11" i="50"/>
  <c r="AL11" i="54"/>
  <c r="F11" i="49"/>
  <c r="AM11" i="54"/>
  <c r="F12" i="50"/>
  <c r="AL12" i="54"/>
  <c r="AM12" i="54"/>
  <c r="F13" i="50"/>
  <c r="AL13" i="54"/>
  <c r="F13" i="49"/>
  <c r="AM13" i="54"/>
  <c r="F14" i="50"/>
  <c r="AL14" i="54"/>
  <c r="AM27" i="69"/>
  <c r="F14" i="49"/>
  <c r="AM14" i="54"/>
  <c r="F15" i="50"/>
  <c r="AL15" i="54"/>
  <c r="F15" i="49"/>
  <c r="AM15" i="54"/>
  <c r="F16" i="50"/>
  <c r="AL16" i="54"/>
  <c r="F16" i="49"/>
  <c r="AM16" i="54"/>
  <c r="BR29" i="68"/>
  <c r="F17" i="50"/>
  <c r="AL17" i="54"/>
  <c r="F17" i="49"/>
  <c r="AM17" i="54"/>
  <c r="F18" i="50"/>
  <c r="AL18" i="54"/>
  <c r="F18" i="49"/>
  <c r="AM18" i="54"/>
  <c r="BR27" i="68"/>
  <c r="F19" i="50"/>
  <c r="AL19" i="54"/>
  <c r="F19" i="49"/>
  <c r="AM19" i="54"/>
  <c r="F20" i="50"/>
  <c r="AL20" i="54"/>
  <c r="F20" i="49"/>
  <c r="AM20" i="54"/>
  <c r="BR25" i="68"/>
  <c r="F21" i="50"/>
  <c r="AL21" i="54"/>
  <c r="F21" i="49"/>
  <c r="AM21" i="54"/>
  <c r="F22" i="50"/>
  <c r="AL22" i="54"/>
  <c r="AM22" i="54"/>
  <c r="F23" i="50"/>
  <c r="AL23" i="54"/>
  <c r="F23" i="49"/>
  <c r="AM23" i="54"/>
  <c r="F24" i="50"/>
  <c r="AL24" i="54"/>
  <c r="F24" i="49"/>
  <c r="AM24" i="54"/>
  <c r="BR11" i="68"/>
  <c r="F25" i="50"/>
  <c r="AL25" i="54"/>
  <c r="AM5" i="69"/>
  <c r="F25" i="49"/>
  <c r="AM25" i="54"/>
  <c r="AN5" i="69"/>
  <c r="F26" i="50"/>
  <c r="AL26" i="54"/>
  <c r="AM3" i="69"/>
  <c r="F26" i="49"/>
  <c r="AM26" i="54"/>
  <c r="F27" i="50"/>
  <c r="AL27" i="54"/>
  <c r="AM27" i="54"/>
  <c r="F28" i="50"/>
  <c r="AL28" i="54"/>
  <c r="F28" i="49"/>
  <c r="AM28" i="54"/>
  <c r="BR6" i="68"/>
  <c r="F29" i="50"/>
  <c r="AL29" i="54"/>
  <c r="F29" i="49"/>
  <c r="AM29" i="54"/>
  <c r="F30" i="50"/>
  <c r="AL30" i="54"/>
  <c r="AM23" i="69"/>
  <c r="F30" i="49"/>
  <c r="AM30" i="54"/>
  <c r="F31" i="50"/>
  <c r="AL31" i="54"/>
  <c r="AM31" i="54"/>
  <c r="F32" i="50"/>
  <c r="AL32" i="54"/>
  <c r="F32" i="49"/>
  <c r="AM32" i="54"/>
  <c r="BR3" i="68"/>
  <c r="F33" i="50"/>
  <c r="AL33" i="54"/>
  <c r="AM19" i="69"/>
  <c r="F33" i="49"/>
  <c r="AM33" i="54"/>
  <c r="AN19" i="69"/>
  <c r="F34" i="50"/>
  <c r="AL34" i="54"/>
  <c r="F34" i="49"/>
  <c r="AM34" i="54"/>
  <c r="BR13" i="68"/>
  <c r="F35" i="50"/>
  <c r="AL35" i="54"/>
  <c r="F35" i="49"/>
  <c r="AM35" i="54"/>
  <c r="AD4" i="54"/>
  <c r="AE4" i="54"/>
  <c r="AD5" i="54"/>
  <c r="AE25" i="69"/>
  <c r="AE5" i="54"/>
  <c r="AF25" i="69"/>
  <c r="AD6" i="54"/>
  <c r="AE23" i="69"/>
  <c r="AE6" i="54"/>
  <c r="AD7" i="54"/>
  <c r="AE7" i="69"/>
  <c r="AE7" i="54"/>
  <c r="AF7" i="69"/>
  <c r="AD8" i="54"/>
  <c r="AE35" i="69"/>
  <c r="AE8" i="54"/>
  <c r="AD9" i="54"/>
  <c r="AE15" i="69"/>
  <c r="AE9" i="54"/>
  <c r="AF15" i="69"/>
  <c r="AD10" i="54"/>
  <c r="AE51" i="69"/>
  <c r="AE10" i="54"/>
  <c r="AD11" i="54"/>
  <c r="AE37" i="69"/>
  <c r="AE11" i="54"/>
  <c r="AF37" i="69"/>
  <c r="AD12" i="54"/>
  <c r="AE12" i="54"/>
  <c r="AD13" i="54"/>
  <c r="AE53" i="69"/>
  <c r="AE13" i="54"/>
  <c r="AF53" i="69"/>
  <c r="AD14" i="54"/>
  <c r="AE29" i="69"/>
  <c r="AE14" i="54"/>
  <c r="AD15" i="54"/>
  <c r="AE47" i="69"/>
  <c r="AE15" i="54"/>
  <c r="AF47" i="69"/>
  <c r="AD16" i="54"/>
  <c r="AE49" i="69"/>
  <c r="AE16" i="54"/>
  <c r="AD17" i="54"/>
  <c r="AE43" i="69"/>
  <c r="AE17" i="54"/>
  <c r="AF43" i="69"/>
  <c r="AD18" i="54"/>
  <c r="AE41" i="69"/>
  <c r="AE18" i="54"/>
  <c r="AD19" i="54"/>
  <c r="AE55" i="69"/>
  <c r="AE19" i="54"/>
  <c r="AF55" i="69"/>
  <c r="AD20" i="54"/>
  <c r="AE19" i="69"/>
  <c r="AE20" i="54"/>
  <c r="AD21" i="54"/>
  <c r="AE45" i="69"/>
  <c r="AE21" i="54"/>
  <c r="AF45" i="69"/>
  <c r="AD22" i="54"/>
  <c r="AE22" i="54"/>
  <c r="AD23" i="54"/>
  <c r="AE39" i="69"/>
  <c r="AE23" i="54"/>
  <c r="AF39" i="69"/>
  <c r="AD24" i="54"/>
  <c r="AE9" i="69"/>
  <c r="AE24" i="54"/>
  <c r="AD25" i="54"/>
  <c r="AE13" i="69"/>
  <c r="AE25" i="54"/>
  <c r="AF13" i="69"/>
  <c r="AD26" i="54"/>
  <c r="AE3" i="69"/>
  <c r="AE26" i="54"/>
  <c r="AD27" i="54"/>
  <c r="AE27" i="54"/>
  <c r="AD28" i="54"/>
  <c r="AE27" i="69"/>
  <c r="AE28" i="54"/>
  <c r="AD29" i="54"/>
  <c r="AE5" i="69"/>
  <c r="AE29" i="54"/>
  <c r="AF5" i="69"/>
  <c r="AD30" i="54"/>
  <c r="AE17" i="69"/>
  <c r="AE30" i="54"/>
  <c r="AD31" i="54"/>
  <c r="AE31" i="54"/>
  <c r="AD32" i="54"/>
  <c r="AE11" i="69"/>
  <c r="AE32" i="54"/>
  <c r="AD33" i="54"/>
  <c r="AE21" i="69"/>
  <c r="AE33" i="54"/>
  <c r="AF21" i="69"/>
  <c r="AD34" i="54"/>
  <c r="AE31" i="69"/>
  <c r="AE34" i="54"/>
  <c r="AD35" i="54"/>
  <c r="AE33" i="69"/>
  <c r="AE35" i="54"/>
  <c r="AF33" i="69"/>
  <c r="AD3" i="54"/>
  <c r="AE3" i="54"/>
  <c r="V4" i="54"/>
  <c r="W4" i="54"/>
  <c r="V5" i="54"/>
  <c r="W11" i="69"/>
  <c r="W5" i="54"/>
  <c r="X11" i="69"/>
  <c r="V6" i="54"/>
  <c r="W31" i="69"/>
  <c r="W6" i="54"/>
  <c r="V7" i="54"/>
  <c r="W15" i="69"/>
  <c r="W7" i="54"/>
  <c r="X15" i="69"/>
  <c r="V8" i="54"/>
  <c r="W43" i="69"/>
  <c r="W8" i="54"/>
  <c r="AP19" i="68"/>
  <c r="V9" i="54"/>
  <c r="W19" i="69"/>
  <c r="W9" i="54"/>
  <c r="X19" i="69"/>
  <c r="V10" i="54"/>
  <c r="W47" i="69"/>
  <c r="W10" i="54"/>
  <c r="AP16" i="68"/>
  <c r="V11" i="54"/>
  <c r="W37" i="69"/>
  <c r="W11" i="54"/>
  <c r="X37" i="69"/>
  <c r="V12" i="54"/>
  <c r="W12" i="54"/>
  <c r="V13" i="54"/>
  <c r="W13" i="54"/>
  <c r="V14" i="54"/>
  <c r="W25" i="69"/>
  <c r="W14" i="54"/>
  <c r="V15" i="54"/>
  <c r="W15" i="54"/>
  <c r="V16" i="54"/>
  <c r="W49" i="69"/>
  <c r="W16" i="54"/>
  <c r="AP28" i="68"/>
  <c r="V17" i="54"/>
  <c r="W45" i="69"/>
  <c r="W17" i="54"/>
  <c r="X45" i="69"/>
  <c r="V18" i="54"/>
  <c r="W41" i="69"/>
  <c r="W18" i="54"/>
  <c r="AP24" i="68"/>
  <c r="V19" i="54"/>
  <c r="W19" i="54"/>
  <c r="V20" i="54"/>
  <c r="W23" i="69"/>
  <c r="W20" i="54"/>
  <c r="V21" i="54"/>
  <c r="W39" i="69"/>
  <c r="W21" i="54"/>
  <c r="X39" i="69"/>
  <c r="V22" i="54"/>
  <c r="W22" i="54"/>
  <c r="V23" i="54"/>
  <c r="W35" i="69"/>
  <c r="W23" i="54"/>
  <c r="X35" i="69"/>
  <c r="V24" i="54"/>
  <c r="W9" i="69"/>
  <c r="W24" i="54"/>
  <c r="V25" i="54"/>
  <c r="W21" i="69"/>
  <c r="W25" i="54"/>
  <c r="X21" i="69"/>
  <c r="V26" i="54"/>
  <c r="W26" i="54"/>
  <c r="AP6" i="68"/>
  <c r="V27" i="54"/>
  <c r="W27" i="54"/>
  <c r="V28" i="54"/>
  <c r="W27" i="69"/>
  <c r="W28" i="54"/>
  <c r="V29" i="54"/>
  <c r="W29" i="54"/>
  <c r="V30" i="54"/>
  <c r="W13" i="69"/>
  <c r="W30" i="54"/>
  <c r="V31" i="54"/>
  <c r="W31" i="54"/>
  <c r="V32" i="54"/>
  <c r="W32" i="54"/>
  <c r="AP3" i="68"/>
  <c r="V33" i="54"/>
  <c r="W17" i="69"/>
  <c r="W33" i="54"/>
  <c r="X17" i="69"/>
  <c r="V34" i="54"/>
  <c r="W29" i="69"/>
  <c r="W34" i="54"/>
  <c r="V35" i="54"/>
  <c r="W33" i="69"/>
  <c r="W35" i="54"/>
  <c r="X33" i="69"/>
  <c r="N4" i="54"/>
  <c r="O4" i="54"/>
  <c r="N5" i="54"/>
  <c r="O27" i="69"/>
  <c r="O5" i="54"/>
  <c r="P27" i="69"/>
  <c r="N6" i="54"/>
  <c r="O29" i="69"/>
  <c r="O6" i="54"/>
  <c r="AB15" i="68"/>
  <c r="N7" i="54"/>
  <c r="O11" i="69"/>
  <c r="O7" i="54"/>
  <c r="P11" i="69"/>
  <c r="N8" i="54"/>
  <c r="O41" i="69"/>
  <c r="O8" i="54"/>
  <c r="AB18" i="68"/>
  <c r="AB46" i="68"/>
  <c r="N9" i="54"/>
  <c r="O17" i="69"/>
  <c r="O9" i="54"/>
  <c r="P17" i="69"/>
  <c r="N10" i="54"/>
  <c r="O10" i="54"/>
  <c r="AB20" i="68"/>
  <c r="N11" i="54"/>
  <c r="O37" i="69"/>
  <c r="O11" i="54"/>
  <c r="P37" i="69"/>
  <c r="N12" i="54"/>
  <c r="O12" i="54"/>
  <c r="N13" i="54"/>
  <c r="O13" i="54"/>
  <c r="N14" i="54"/>
  <c r="O14" i="54"/>
  <c r="AB21" i="68"/>
  <c r="N15" i="54"/>
  <c r="O49" i="69"/>
  <c r="O15" i="54"/>
  <c r="P49" i="69"/>
  <c r="N16" i="54"/>
  <c r="O51" i="69"/>
  <c r="O16" i="54"/>
  <c r="AB28" i="68"/>
  <c r="N17" i="54"/>
  <c r="O17" i="54"/>
  <c r="N18" i="54"/>
  <c r="O18" i="54"/>
  <c r="AB25" i="68"/>
  <c r="N19" i="54"/>
  <c r="O19" i="54"/>
  <c r="N20" i="54"/>
  <c r="O19" i="69"/>
  <c r="O20" i="54"/>
  <c r="AB23" i="68"/>
  <c r="N21" i="54"/>
  <c r="O39" i="69"/>
  <c r="O21" i="54"/>
  <c r="P39" i="69"/>
  <c r="N22" i="54"/>
  <c r="O22" i="54"/>
  <c r="N23" i="54"/>
  <c r="O33" i="69"/>
  <c r="O23" i="54"/>
  <c r="P33" i="69"/>
  <c r="N24" i="54"/>
  <c r="O7" i="69"/>
  <c r="O24" i="54"/>
  <c r="AB11" i="68"/>
  <c r="N25" i="54"/>
  <c r="O15" i="69"/>
  <c r="O25" i="54"/>
  <c r="P15" i="69"/>
  <c r="N26" i="54"/>
  <c r="O26" i="54"/>
  <c r="AB5" i="68"/>
  <c r="N27" i="54"/>
  <c r="O27" i="54"/>
  <c r="N28" i="54"/>
  <c r="O23" i="69"/>
  <c r="O28" i="54"/>
  <c r="AB8" i="68"/>
  <c r="N29" i="54"/>
  <c r="O5" i="69"/>
  <c r="O29" i="54"/>
  <c r="P5" i="69"/>
  <c r="N30" i="54"/>
  <c r="O13" i="69"/>
  <c r="O30" i="54"/>
  <c r="AB4" i="68"/>
  <c r="N31" i="54"/>
  <c r="O31" i="54"/>
  <c r="N32" i="54"/>
  <c r="O9" i="69"/>
  <c r="O32" i="54"/>
  <c r="AB3" i="68"/>
  <c r="N33" i="54"/>
  <c r="O25" i="69"/>
  <c r="O33" i="54"/>
  <c r="P25" i="69"/>
  <c r="N34" i="54"/>
  <c r="O21" i="69"/>
  <c r="O34" i="54"/>
  <c r="AB13" i="68"/>
  <c r="N35" i="54"/>
  <c r="O35" i="69"/>
  <c r="O35" i="54"/>
  <c r="P35" i="69"/>
  <c r="F4" i="54"/>
  <c r="G4" i="54"/>
  <c r="F5" i="54"/>
  <c r="G25" i="69"/>
  <c r="G5" i="54"/>
  <c r="H25" i="69"/>
  <c r="F6" i="54"/>
  <c r="G37" i="69"/>
  <c r="G6" i="54"/>
  <c r="N15" i="68"/>
  <c r="F7" i="54"/>
  <c r="G7" i="54"/>
  <c r="F8" i="54"/>
  <c r="G39" i="69"/>
  <c r="G8" i="54"/>
  <c r="N18" i="68"/>
  <c r="F9" i="54"/>
  <c r="G9" i="54"/>
  <c r="F10" i="54"/>
  <c r="G21" i="69"/>
  <c r="G10" i="54"/>
  <c r="N14" i="68"/>
  <c r="F11" i="54"/>
  <c r="G45" i="69"/>
  <c r="G11" i="54"/>
  <c r="H45" i="69"/>
  <c r="F12" i="54"/>
  <c r="G12" i="54"/>
  <c r="F13" i="54"/>
  <c r="G53" i="69"/>
  <c r="G13" i="54"/>
  <c r="H53" i="69"/>
  <c r="F14" i="54"/>
  <c r="G14" i="54"/>
  <c r="N23" i="68"/>
  <c r="F15" i="54"/>
  <c r="G51" i="69"/>
  <c r="G15" i="54"/>
  <c r="H51" i="69"/>
  <c r="F16" i="54"/>
  <c r="G49" i="69"/>
  <c r="G16" i="54"/>
  <c r="N28" i="68"/>
  <c r="F17" i="54"/>
  <c r="G17" i="54"/>
  <c r="F18" i="54"/>
  <c r="G18" i="54"/>
  <c r="N20" i="68"/>
  <c r="F19" i="54"/>
  <c r="G55" i="69"/>
  <c r="G19" i="54"/>
  <c r="H55" i="69"/>
  <c r="F20" i="54"/>
  <c r="G20" i="54"/>
  <c r="N21" i="68"/>
  <c r="F21" i="54"/>
  <c r="G47" i="69"/>
  <c r="G21" i="54"/>
  <c r="H47" i="69"/>
  <c r="F22" i="54"/>
  <c r="G22" i="54"/>
  <c r="F23" i="54"/>
  <c r="G35" i="69"/>
  <c r="G23" i="54"/>
  <c r="H35" i="69"/>
  <c r="F24" i="54"/>
  <c r="G9" i="69"/>
  <c r="G24" i="54"/>
  <c r="N12" i="68"/>
  <c r="F25" i="54"/>
  <c r="G17" i="69"/>
  <c r="G25" i="54"/>
  <c r="H17" i="69"/>
  <c r="F26" i="54"/>
  <c r="G26" i="54"/>
  <c r="N4" i="68"/>
  <c r="F27" i="54"/>
  <c r="G27" i="54"/>
  <c r="F28" i="54"/>
  <c r="G33" i="69"/>
  <c r="G28" i="54"/>
  <c r="N7" i="68"/>
  <c r="F29" i="54"/>
  <c r="G29" i="54"/>
  <c r="F30" i="54"/>
  <c r="G13" i="69"/>
  <c r="G30" i="54"/>
  <c r="N6" i="68"/>
  <c r="F31" i="54"/>
  <c r="G31" i="54"/>
  <c r="F32" i="54"/>
  <c r="G7" i="69"/>
  <c r="G32" i="54"/>
  <c r="N3" i="68"/>
  <c r="F33" i="54"/>
  <c r="G27" i="69"/>
  <c r="G33" i="54"/>
  <c r="H27" i="69"/>
  <c r="F34" i="54"/>
  <c r="G31" i="69"/>
  <c r="G34" i="54"/>
  <c r="N13" i="68"/>
  <c r="F35" i="54"/>
  <c r="G29" i="69"/>
  <c r="G35" i="54"/>
  <c r="H29" i="69"/>
  <c r="O3" i="54"/>
  <c r="W3" i="54"/>
  <c r="AM3" i="54"/>
  <c r="G3" i="54"/>
  <c r="N3" i="54"/>
  <c r="V3" i="54"/>
  <c r="F3" i="50"/>
  <c r="AL3" i="54"/>
  <c r="F3" i="54"/>
  <c r="F5" i="66"/>
  <c r="L5" i="66"/>
  <c r="AK5" i="54"/>
  <c r="F6" i="66"/>
  <c r="L6" i="66"/>
  <c r="AK6" i="54"/>
  <c r="AL7" i="69"/>
  <c r="F7" i="66"/>
  <c r="L7" i="66"/>
  <c r="AK7" i="54"/>
  <c r="BN25" i="68"/>
  <c r="F8" i="66"/>
  <c r="L8" i="66"/>
  <c r="AK8" i="54"/>
  <c r="F9" i="66"/>
  <c r="L9" i="66"/>
  <c r="AK9" i="54"/>
  <c r="F10" i="66"/>
  <c r="L10" i="66"/>
  <c r="AK10" i="54"/>
  <c r="F11" i="66"/>
  <c r="L11" i="66"/>
  <c r="AK11" i="54"/>
  <c r="BN15" i="68"/>
  <c r="F13" i="66"/>
  <c r="L13" i="66"/>
  <c r="AK13" i="54"/>
  <c r="BN27" i="68"/>
  <c r="F14" i="66"/>
  <c r="L14" i="66"/>
  <c r="AK14" i="54"/>
  <c r="AL27" i="69"/>
  <c r="F15" i="66"/>
  <c r="L15" i="66"/>
  <c r="AK15" i="54"/>
  <c r="BN21" i="68"/>
  <c r="F16" i="66"/>
  <c r="L16" i="66"/>
  <c r="AK16" i="54"/>
  <c r="F17" i="66"/>
  <c r="L17" i="66"/>
  <c r="AK17" i="54"/>
  <c r="BN22" i="68"/>
  <c r="F18" i="66"/>
  <c r="L18" i="66"/>
  <c r="AK18" i="54"/>
  <c r="F19" i="66"/>
  <c r="L19" i="66"/>
  <c r="AK19" i="54"/>
  <c r="F20" i="66"/>
  <c r="L20" i="66"/>
  <c r="AK20" i="54"/>
  <c r="F21" i="66"/>
  <c r="L21" i="66"/>
  <c r="AK21" i="54"/>
  <c r="BN18" i="68"/>
  <c r="F23" i="66"/>
  <c r="L23" i="66"/>
  <c r="AK23" i="54"/>
  <c r="BN11" i="68"/>
  <c r="F24" i="66"/>
  <c r="L24" i="66"/>
  <c r="AK24" i="54"/>
  <c r="F25" i="66"/>
  <c r="L25" i="66"/>
  <c r="AK25" i="54"/>
  <c r="F26" i="66"/>
  <c r="L26" i="66"/>
  <c r="AK26" i="54"/>
  <c r="AL3" i="69"/>
  <c r="F28" i="66"/>
  <c r="L28" i="66"/>
  <c r="AK28" i="54"/>
  <c r="F29" i="66"/>
  <c r="L29" i="66"/>
  <c r="AK29" i="54"/>
  <c r="BN7" i="68"/>
  <c r="BN35" i="68"/>
  <c r="F30" i="66"/>
  <c r="L30" i="66"/>
  <c r="AK30" i="54"/>
  <c r="AL23" i="69"/>
  <c r="F32" i="66"/>
  <c r="L32" i="66"/>
  <c r="AK32" i="54"/>
  <c r="F33" i="66"/>
  <c r="L33" i="66"/>
  <c r="AK33" i="54"/>
  <c r="F34" i="66"/>
  <c r="L34" i="66"/>
  <c r="AK34" i="54"/>
  <c r="F35" i="66"/>
  <c r="L35" i="66"/>
  <c r="AK35" i="54"/>
  <c r="BN8" i="68"/>
  <c r="E5" i="66"/>
  <c r="K5" i="66"/>
  <c r="AC5" i="54"/>
  <c r="E6" i="66"/>
  <c r="K6" i="66"/>
  <c r="AC6" i="54"/>
  <c r="AD23" i="69"/>
  <c r="E7" i="66"/>
  <c r="K7" i="66"/>
  <c r="AC7" i="54"/>
  <c r="E8" i="66"/>
  <c r="K8" i="66"/>
  <c r="AC8" i="54"/>
  <c r="AD35" i="69"/>
  <c r="E9" i="66"/>
  <c r="K9" i="66"/>
  <c r="AC9" i="54"/>
  <c r="E10" i="66"/>
  <c r="K10" i="66"/>
  <c r="AC10" i="54"/>
  <c r="AD51" i="69"/>
  <c r="E11" i="66"/>
  <c r="K11" i="66"/>
  <c r="AC11" i="54"/>
  <c r="E13" i="66"/>
  <c r="K13" i="66"/>
  <c r="AC13" i="54"/>
  <c r="E14" i="66"/>
  <c r="K14" i="66"/>
  <c r="AC14" i="54"/>
  <c r="AD29" i="69"/>
  <c r="E15" i="66"/>
  <c r="K15" i="66"/>
  <c r="AC15" i="54"/>
  <c r="E16" i="66"/>
  <c r="K16" i="66"/>
  <c r="AC16" i="54"/>
  <c r="AD49" i="69"/>
  <c r="E17" i="66"/>
  <c r="K17" i="66"/>
  <c r="AC17" i="54"/>
  <c r="E18" i="66"/>
  <c r="K18" i="66"/>
  <c r="AC18" i="54"/>
  <c r="AD41" i="69"/>
  <c r="E19" i="66"/>
  <c r="K19" i="66"/>
  <c r="AC19" i="54"/>
  <c r="AD55" i="69"/>
  <c r="E20" i="66"/>
  <c r="K20" i="66"/>
  <c r="AC20" i="54"/>
  <c r="AD19" i="69"/>
  <c r="E21" i="66"/>
  <c r="K21" i="66"/>
  <c r="AC21" i="54"/>
  <c r="E23" i="66"/>
  <c r="K23" i="66"/>
  <c r="AC23" i="54"/>
  <c r="E24" i="66"/>
  <c r="K24" i="66"/>
  <c r="AC24" i="54"/>
  <c r="AD9" i="69"/>
  <c r="E25" i="66"/>
  <c r="K25" i="66"/>
  <c r="AC25" i="54"/>
  <c r="E26" i="66"/>
  <c r="K26" i="66"/>
  <c r="AC26" i="54"/>
  <c r="AD3" i="69"/>
  <c r="E28" i="66"/>
  <c r="K28" i="66"/>
  <c r="AC28" i="54"/>
  <c r="AD27" i="69"/>
  <c r="E29" i="66"/>
  <c r="K29" i="66"/>
  <c r="AC29" i="54"/>
  <c r="E30" i="66"/>
  <c r="K30" i="66"/>
  <c r="AC30" i="54"/>
  <c r="AD17" i="69"/>
  <c r="E32" i="66"/>
  <c r="K32" i="66"/>
  <c r="AC32" i="54"/>
  <c r="AD11" i="69"/>
  <c r="E33" i="66"/>
  <c r="K33" i="66"/>
  <c r="AC33" i="54"/>
  <c r="E34" i="66"/>
  <c r="K34" i="66"/>
  <c r="AC34" i="54"/>
  <c r="AD31" i="69"/>
  <c r="E35" i="66"/>
  <c r="K35" i="66"/>
  <c r="AC35" i="54"/>
  <c r="D5" i="66"/>
  <c r="J5" i="66"/>
  <c r="U5" i="54"/>
  <c r="D6" i="66"/>
  <c r="J6" i="66"/>
  <c r="U6" i="54"/>
  <c r="V31" i="69"/>
  <c r="D7" i="66"/>
  <c r="J7" i="66"/>
  <c r="U7" i="54"/>
  <c r="D8" i="66"/>
  <c r="J8" i="66"/>
  <c r="U8" i="54"/>
  <c r="V43" i="69"/>
  <c r="D9" i="66"/>
  <c r="J9" i="66"/>
  <c r="U9" i="54"/>
  <c r="D10" i="66"/>
  <c r="J10" i="66"/>
  <c r="U10" i="54"/>
  <c r="V47" i="69"/>
  <c r="D11" i="66"/>
  <c r="J11" i="66"/>
  <c r="U11" i="54"/>
  <c r="AL15" i="68"/>
  <c r="D13" i="66"/>
  <c r="J13" i="66"/>
  <c r="U13" i="54"/>
  <c r="AL27" i="68"/>
  <c r="D14" i="66"/>
  <c r="J14" i="66"/>
  <c r="U14" i="54"/>
  <c r="V25" i="69"/>
  <c r="D15" i="66"/>
  <c r="J15" i="66"/>
  <c r="U15" i="54"/>
  <c r="AL20" i="68"/>
  <c r="AL55" i="68"/>
  <c r="D16" i="66"/>
  <c r="J16" i="66"/>
  <c r="U16" i="54"/>
  <c r="V49" i="69"/>
  <c r="D17" i="66"/>
  <c r="J17" i="66"/>
  <c r="U17" i="54"/>
  <c r="AL22" i="68"/>
  <c r="D18" i="66"/>
  <c r="J18" i="66"/>
  <c r="U18" i="54"/>
  <c r="V41" i="69"/>
  <c r="D19" i="66"/>
  <c r="J19" i="66"/>
  <c r="U19" i="54"/>
  <c r="D20" i="66"/>
  <c r="J20" i="66"/>
  <c r="U20" i="54"/>
  <c r="V23" i="69"/>
  <c r="D21" i="66"/>
  <c r="J21" i="66"/>
  <c r="U21" i="54"/>
  <c r="AL19" i="68"/>
  <c r="D23" i="66"/>
  <c r="J23" i="66"/>
  <c r="U23" i="54"/>
  <c r="AL12" i="68"/>
  <c r="D24" i="66"/>
  <c r="J24" i="66"/>
  <c r="U24" i="54"/>
  <c r="V9" i="69"/>
  <c r="D25" i="66"/>
  <c r="J25" i="66"/>
  <c r="U25" i="54"/>
  <c r="D26" i="66"/>
  <c r="J26" i="66"/>
  <c r="U26" i="54"/>
  <c r="D28" i="66"/>
  <c r="J28" i="66"/>
  <c r="U28" i="54"/>
  <c r="V27" i="69"/>
  <c r="D29" i="66"/>
  <c r="J29" i="66"/>
  <c r="U29" i="54"/>
  <c r="AL7" i="68"/>
  <c r="D30" i="66"/>
  <c r="J30" i="66"/>
  <c r="U30" i="54"/>
  <c r="V13" i="69"/>
  <c r="D32" i="66"/>
  <c r="J32" i="66"/>
  <c r="U32" i="54"/>
  <c r="D33" i="66"/>
  <c r="J33" i="66"/>
  <c r="U33" i="54"/>
  <c r="D34" i="66"/>
  <c r="J34" i="66"/>
  <c r="U34" i="54"/>
  <c r="V29" i="69"/>
  <c r="D35" i="66"/>
  <c r="J35" i="66"/>
  <c r="U35" i="54"/>
  <c r="C5" i="66"/>
  <c r="I5" i="66"/>
  <c r="M5" i="54"/>
  <c r="X21" i="68"/>
  <c r="C6" i="66"/>
  <c r="I6" i="66"/>
  <c r="M6" i="54"/>
  <c r="N29" i="69"/>
  <c r="C7" i="66"/>
  <c r="I7" i="66"/>
  <c r="M7" i="54"/>
  <c r="X25" i="68"/>
  <c r="C8" i="66"/>
  <c r="I8" i="66"/>
  <c r="M8" i="54"/>
  <c r="N41" i="69"/>
  <c r="C9" i="66"/>
  <c r="I9" i="66"/>
  <c r="M9" i="54"/>
  <c r="X14" i="68"/>
  <c r="C10" i="66"/>
  <c r="I10" i="66"/>
  <c r="M10" i="54"/>
  <c r="C11" i="66"/>
  <c r="I11" i="66"/>
  <c r="M11" i="54"/>
  <c r="X16" i="68"/>
  <c r="C13" i="66"/>
  <c r="I13" i="66"/>
  <c r="M13" i="54"/>
  <c r="X27" i="68"/>
  <c r="C14" i="66"/>
  <c r="I14" i="66"/>
  <c r="M14" i="54"/>
  <c r="C15" i="66"/>
  <c r="I15" i="66"/>
  <c r="M15" i="54"/>
  <c r="X20" i="68"/>
  <c r="C16" i="66"/>
  <c r="I16" i="66"/>
  <c r="M16" i="54"/>
  <c r="N51" i="69"/>
  <c r="C17" i="66"/>
  <c r="I17" i="66"/>
  <c r="M17" i="54"/>
  <c r="X22" i="68"/>
  <c r="C18" i="66"/>
  <c r="I18" i="66"/>
  <c r="M18" i="54"/>
  <c r="C19" i="66"/>
  <c r="I19" i="66"/>
  <c r="M19" i="54"/>
  <c r="C20" i="66"/>
  <c r="I20" i="66"/>
  <c r="M20" i="54"/>
  <c r="N19" i="69"/>
  <c r="C21" i="66"/>
  <c r="I21" i="66"/>
  <c r="M21" i="54"/>
  <c r="X19" i="68"/>
  <c r="X50" i="68"/>
  <c r="C23" i="66"/>
  <c r="I23" i="66"/>
  <c r="M23" i="54"/>
  <c r="X12" i="68"/>
  <c r="C24" i="66"/>
  <c r="I24" i="66"/>
  <c r="M24" i="54"/>
  <c r="N7" i="69"/>
  <c r="C25" i="66"/>
  <c r="I25" i="66"/>
  <c r="M25" i="54"/>
  <c r="X13" i="68"/>
  <c r="X40" i="68"/>
  <c r="C26" i="66"/>
  <c r="I26" i="66"/>
  <c r="M26" i="54"/>
  <c r="C28" i="66"/>
  <c r="I28" i="66"/>
  <c r="M28" i="54"/>
  <c r="N23" i="69"/>
  <c r="C29" i="66"/>
  <c r="I29" i="66"/>
  <c r="M29" i="54"/>
  <c r="X7" i="68"/>
  <c r="C30" i="66"/>
  <c r="I30" i="66"/>
  <c r="M30" i="54"/>
  <c r="N13" i="69"/>
  <c r="C32" i="66"/>
  <c r="I32" i="66"/>
  <c r="M32" i="54"/>
  <c r="N9" i="69"/>
  <c r="C33" i="66"/>
  <c r="I33" i="66"/>
  <c r="M33" i="54"/>
  <c r="X9" i="68"/>
  <c r="X44" i="68"/>
  <c r="C34" i="66"/>
  <c r="I34" i="66"/>
  <c r="M34" i="54"/>
  <c r="N21" i="69"/>
  <c r="C35" i="66"/>
  <c r="I35" i="66"/>
  <c r="M35" i="54"/>
  <c r="X8" i="68"/>
  <c r="B5" i="66"/>
  <c r="H5" i="66"/>
  <c r="E5" i="54"/>
  <c r="F25" i="69"/>
  <c r="B6" i="66"/>
  <c r="H6" i="66"/>
  <c r="E6" i="54"/>
  <c r="F37" i="69"/>
  <c r="B7" i="66"/>
  <c r="H7" i="66"/>
  <c r="E7" i="54"/>
  <c r="B8" i="66"/>
  <c r="H8" i="66"/>
  <c r="E8" i="54"/>
  <c r="F39" i="69"/>
  <c r="B9" i="66"/>
  <c r="H9" i="66"/>
  <c r="E9" i="54"/>
  <c r="B10" i="66"/>
  <c r="H10" i="66"/>
  <c r="E10" i="54"/>
  <c r="F21" i="69"/>
  <c r="B11" i="66"/>
  <c r="H11" i="66"/>
  <c r="E11" i="54"/>
  <c r="F45" i="69"/>
  <c r="B13" i="66"/>
  <c r="H13" i="66"/>
  <c r="E13" i="54"/>
  <c r="F53" i="69"/>
  <c r="B14" i="66"/>
  <c r="H14" i="66"/>
  <c r="E14" i="54"/>
  <c r="B15" i="66"/>
  <c r="H15" i="66"/>
  <c r="E15" i="54"/>
  <c r="F51" i="69"/>
  <c r="B16" i="66"/>
  <c r="H16" i="66"/>
  <c r="E16" i="54"/>
  <c r="F49" i="69"/>
  <c r="B17" i="66"/>
  <c r="H17" i="66"/>
  <c r="E17" i="54"/>
  <c r="B18" i="66"/>
  <c r="H18" i="66"/>
  <c r="E18" i="54"/>
  <c r="B19" i="66"/>
  <c r="H19" i="66"/>
  <c r="E19" i="54"/>
  <c r="F55" i="69"/>
  <c r="B20" i="66"/>
  <c r="H20" i="66"/>
  <c r="E20" i="54"/>
  <c r="B21" i="66"/>
  <c r="H21" i="66"/>
  <c r="E21" i="54"/>
  <c r="F47" i="69"/>
  <c r="B23" i="66"/>
  <c r="H23" i="66"/>
  <c r="E23" i="54"/>
  <c r="F35" i="69"/>
  <c r="B24" i="66"/>
  <c r="H24" i="66"/>
  <c r="E24" i="54"/>
  <c r="F9" i="69"/>
  <c r="B25" i="66"/>
  <c r="H25" i="66"/>
  <c r="E25" i="54"/>
  <c r="F17" i="69"/>
  <c r="B26" i="66"/>
  <c r="H26" i="66"/>
  <c r="E26" i="54"/>
  <c r="B28" i="66"/>
  <c r="H28" i="66"/>
  <c r="E28" i="54"/>
  <c r="F33" i="69"/>
  <c r="B29" i="66"/>
  <c r="H29" i="66"/>
  <c r="E29" i="54"/>
  <c r="B30" i="66"/>
  <c r="H30" i="66"/>
  <c r="E30" i="54"/>
  <c r="F13" i="69"/>
  <c r="B32" i="66"/>
  <c r="H32" i="66"/>
  <c r="E32" i="54"/>
  <c r="F7" i="69"/>
  <c r="B33" i="66"/>
  <c r="H33" i="66"/>
  <c r="E33" i="54"/>
  <c r="F27" i="69"/>
  <c r="B34" i="66"/>
  <c r="H34" i="66"/>
  <c r="E34" i="54"/>
  <c r="F31" i="69"/>
  <c r="B35" i="66"/>
  <c r="H35" i="66"/>
  <c r="E35" i="54"/>
  <c r="F29" i="69"/>
  <c r="F31" i="48"/>
  <c r="F27" i="48"/>
  <c r="F22" i="48"/>
  <c r="F4" i="48"/>
  <c r="R18" i="36"/>
  <c r="R56" i="36"/>
  <c r="R94" i="36"/>
  <c r="R132" i="36"/>
  <c r="R170" i="36"/>
  <c r="R13" i="36"/>
  <c r="R51" i="36"/>
  <c r="R89" i="36"/>
  <c r="R127" i="36"/>
  <c r="R165" i="36"/>
  <c r="R12" i="36"/>
  <c r="R50" i="36"/>
  <c r="R88" i="36"/>
  <c r="R126" i="36"/>
  <c r="R164" i="36"/>
  <c r="R11" i="36"/>
  <c r="R49" i="36"/>
  <c r="R87" i="36"/>
  <c r="R125" i="36"/>
  <c r="R163" i="36"/>
  <c r="R10" i="36"/>
  <c r="R48" i="36"/>
  <c r="R86" i="36"/>
  <c r="R124" i="36"/>
  <c r="R162" i="36"/>
  <c r="R8" i="36"/>
  <c r="R46" i="36"/>
  <c r="R84" i="36"/>
  <c r="R122" i="36"/>
  <c r="R160" i="36"/>
  <c r="R7" i="36"/>
  <c r="R45" i="36"/>
  <c r="R83" i="36"/>
  <c r="R121" i="36"/>
  <c r="R159" i="36"/>
  <c r="P21" i="23"/>
  <c r="L160" i="37"/>
  <c r="P22" i="23"/>
  <c r="L161" i="37"/>
  <c r="P23" i="23"/>
  <c r="L162" i="37"/>
  <c r="P24" i="23"/>
  <c r="L163" i="37"/>
  <c r="P25" i="23"/>
  <c r="L164" i="37"/>
  <c r="P26" i="23"/>
  <c r="P28" i="23"/>
  <c r="P29" i="23"/>
  <c r="L168" i="37"/>
  <c r="P30" i="23"/>
  <c r="L169" i="37"/>
  <c r="P31" i="23"/>
  <c r="L170" i="37"/>
  <c r="P32" i="23"/>
  <c r="L171" i="37"/>
  <c r="P33" i="23"/>
  <c r="L172" i="37"/>
  <c r="P34" i="23"/>
  <c r="L173" i="37"/>
  <c r="P35" i="23"/>
  <c r="P36" i="23"/>
  <c r="L175" i="37"/>
  <c r="P38" i="23"/>
  <c r="L177" i="37"/>
  <c r="P39" i="23"/>
  <c r="L178" i="37"/>
  <c r="P40" i="23"/>
  <c r="L179" i="37"/>
  <c r="P41" i="23"/>
  <c r="L180" i="37"/>
  <c r="P43" i="23"/>
  <c r="L182" i="37"/>
  <c r="P44" i="23"/>
  <c r="L183" i="37"/>
  <c r="P45" i="23"/>
  <c r="P47" i="23"/>
  <c r="L186" i="37"/>
  <c r="P48" i="23"/>
  <c r="L187" i="37"/>
  <c r="P49" i="23"/>
  <c r="L188" i="37"/>
  <c r="P50" i="23"/>
  <c r="L189" i="37"/>
  <c r="P20" i="23"/>
  <c r="R122" i="37"/>
  <c r="R123" i="37"/>
  <c r="R124" i="37"/>
  <c r="R125" i="37"/>
  <c r="R126" i="37"/>
  <c r="R127" i="37"/>
  <c r="R129" i="37"/>
  <c r="R130" i="37"/>
  <c r="R131" i="37"/>
  <c r="R132" i="37"/>
  <c r="R133" i="37"/>
  <c r="R134" i="37"/>
  <c r="R135" i="37"/>
  <c r="R136" i="37"/>
  <c r="R137" i="37"/>
  <c r="R139" i="37"/>
  <c r="R140" i="37"/>
  <c r="R141" i="37"/>
  <c r="R142" i="37"/>
  <c r="R144" i="37"/>
  <c r="R145" i="37"/>
  <c r="R146" i="37"/>
  <c r="R148" i="37"/>
  <c r="R149" i="37"/>
  <c r="R150" i="37"/>
  <c r="R151" i="37"/>
  <c r="M35" i="24"/>
  <c r="M30" i="24"/>
  <c r="M20" i="24"/>
  <c r="D12" i="24"/>
  <c r="D11" i="24"/>
  <c r="G12" i="24"/>
  <c r="G11" i="24"/>
  <c r="X159" i="37"/>
  <c r="X160" i="37"/>
  <c r="X161" i="37"/>
  <c r="X162" i="37"/>
  <c r="X163" i="37"/>
  <c r="X164" i="37"/>
  <c r="X165" i="37"/>
  <c r="X167" i="37"/>
  <c r="X168" i="37"/>
  <c r="X169" i="37"/>
  <c r="X170" i="37"/>
  <c r="X171" i="37"/>
  <c r="X172" i="37"/>
  <c r="X173" i="37"/>
  <c r="X174" i="37"/>
  <c r="X175" i="37"/>
  <c r="X177" i="37"/>
  <c r="X178" i="37"/>
  <c r="X179" i="37"/>
  <c r="X180" i="37"/>
  <c r="X182" i="37"/>
  <c r="X183" i="37"/>
  <c r="X184" i="37"/>
  <c r="X186" i="37"/>
  <c r="X187" i="37"/>
  <c r="X188" i="37"/>
  <c r="X189" i="37"/>
  <c r="Y159" i="37"/>
  <c r="Y160" i="37"/>
  <c r="Y161" i="37"/>
  <c r="Y162" i="37"/>
  <c r="Y163" i="37"/>
  <c r="Y164" i="37"/>
  <c r="Y165" i="37"/>
  <c r="Y167" i="37"/>
  <c r="Y168" i="37"/>
  <c r="Y169" i="37"/>
  <c r="Y170" i="37"/>
  <c r="Y171" i="37"/>
  <c r="Y172" i="37"/>
  <c r="Y173" i="37"/>
  <c r="Y174" i="37"/>
  <c r="Y175" i="37"/>
  <c r="Y177" i="37"/>
  <c r="Y178" i="37"/>
  <c r="Y179" i="37"/>
  <c r="Y180" i="37"/>
  <c r="Y182" i="37"/>
  <c r="Y183" i="37"/>
  <c r="Y184" i="37"/>
  <c r="Y186" i="37"/>
  <c r="Y187" i="37"/>
  <c r="Y188" i="37"/>
  <c r="Y189" i="37"/>
  <c r="Z159" i="37"/>
  <c r="Z160" i="37"/>
  <c r="Z161" i="37"/>
  <c r="Z162" i="37"/>
  <c r="Z163" i="37"/>
  <c r="Z164" i="37"/>
  <c r="Z165" i="37"/>
  <c r="Z167" i="37"/>
  <c r="Z168" i="37"/>
  <c r="Z169" i="37"/>
  <c r="Z170" i="37"/>
  <c r="Z171" i="37"/>
  <c r="Z172" i="37"/>
  <c r="Z173" i="37"/>
  <c r="Z174" i="37"/>
  <c r="Z175" i="37"/>
  <c r="Z177" i="37"/>
  <c r="Z178" i="37"/>
  <c r="Z179" i="37"/>
  <c r="Z180" i="37"/>
  <c r="Z182" i="37"/>
  <c r="Z183" i="37"/>
  <c r="Z184" i="37"/>
  <c r="Z186" i="37"/>
  <c r="Z187" i="37"/>
  <c r="Z188" i="37"/>
  <c r="Z189" i="37"/>
  <c r="AA159" i="37"/>
  <c r="AA160" i="37"/>
  <c r="AA161" i="37"/>
  <c r="AA162" i="37"/>
  <c r="AA163" i="37"/>
  <c r="AA164" i="37"/>
  <c r="AA165" i="37"/>
  <c r="AA167" i="37"/>
  <c r="AA168" i="37"/>
  <c r="AA169" i="37"/>
  <c r="AA170" i="37"/>
  <c r="AA171" i="37"/>
  <c r="AA172" i="37"/>
  <c r="AA173" i="37"/>
  <c r="AA174" i="37"/>
  <c r="AA175" i="37"/>
  <c r="AA177" i="37"/>
  <c r="AA178" i="37"/>
  <c r="AA179" i="37"/>
  <c r="AA180" i="37"/>
  <c r="AA182" i="37"/>
  <c r="AA183" i="37"/>
  <c r="AA184" i="37"/>
  <c r="AA186" i="37"/>
  <c r="AA187" i="37"/>
  <c r="AA188" i="37"/>
  <c r="AA189" i="37"/>
  <c r="P39" i="24"/>
  <c r="J35" i="24"/>
  <c r="P35" i="24"/>
  <c r="J30" i="24"/>
  <c r="P30" i="24"/>
  <c r="J20" i="24"/>
  <c r="P20" i="24"/>
  <c r="J12" i="24"/>
  <c r="M12" i="24"/>
  <c r="P12" i="24"/>
  <c r="J11" i="24"/>
  <c r="M11" i="24"/>
  <c r="P11" i="24"/>
  <c r="R121" i="37"/>
  <c r="L165" i="37"/>
  <c r="L174" i="37"/>
  <c r="L184" i="37"/>
  <c r="R159" i="41"/>
  <c r="R160" i="41"/>
  <c r="R162" i="41"/>
  <c r="R163" i="41"/>
  <c r="R164" i="41"/>
  <c r="R165" i="41"/>
  <c r="R170" i="41"/>
  <c r="AQ10" i="30"/>
  <c r="BM10" i="30"/>
  <c r="AP10" i="30"/>
  <c r="BL10" i="30"/>
  <c r="AO10" i="30"/>
  <c r="BK10" i="30"/>
  <c r="AN10" i="30"/>
  <c r="BJ10" i="30"/>
  <c r="U10" i="30"/>
  <c r="T10" i="30"/>
  <c r="S10" i="30"/>
  <c r="J4" i="30"/>
  <c r="J3" i="30"/>
  <c r="J2" i="30"/>
  <c r="H4" i="30"/>
  <c r="H3" i="30"/>
  <c r="H2" i="30"/>
  <c r="AG56" i="26"/>
  <c r="AF56" i="26"/>
  <c r="AG55" i="26"/>
  <c r="AF55" i="26"/>
  <c r="AG54" i="26"/>
  <c r="AF54" i="26"/>
  <c r="AG53" i="26"/>
  <c r="AF53" i="26"/>
  <c r="AG52" i="26"/>
  <c r="AF52" i="26"/>
  <c r="AG51" i="26"/>
  <c r="AF51" i="26"/>
  <c r="AG50" i="26"/>
  <c r="AF50" i="26"/>
  <c r="AG49" i="26"/>
  <c r="AF49" i="26"/>
  <c r="O12" i="26"/>
  <c r="J17" i="53"/>
  <c r="T17" i="53"/>
  <c r="P19" i="23"/>
  <c r="X48" i="68"/>
  <c r="J24" i="53"/>
  <c r="T24" i="53"/>
  <c r="J18" i="53"/>
  <c r="T18" i="53"/>
  <c r="J8" i="53"/>
  <c r="T8" i="53"/>
  <c r="J7" i="53"/>
  <c r="T2" i="53"/>
  <c r="P42" i="23"/>
  <c r="P37" i="23"/>
  <c r="N42" i="22"/>
  <c r="P27" i="23"/>
  <c r="N46" i="22"/>
  <c r="N27" i="22"/>
  <c r="S4" i="29"/>
  <c r="S12" i="29"/>
  <c r="R22" i="29"/>
  <c r="S27" i="29"/>
  <c r="S31" i="29"/>
  <c r="L167" i="37"/>
  <c r="L159" i="37"/>
  <c r="R120" i="37"/>
  <c r="P46" i="23"/>
  <c r="N37" i="22"/>
  <c r="H39" i="69"/>
  <c r="H49" i="69"/>
  <c r="N49" i="69"/>
  <c r="P51" i="69"/>
  <c r="P41" i="69"/>
  <c r="N39" i="69"/>
  <c r="N37" i="69"/>
  <c r="N35" i="69"/>
  <c r="N33" i="69"/>
  <c r="P29" i="69"/>
  <c r="N27" i="69"/>
  <c r="N25" i="69"/>
  <c r="P23" i="69"/>
  <c r="P21" i="69"/>
  <c r="P19" i="69"/>
  <c r="N17" i="69"/>
  <c r="N15" i="69"/>
  <c r="P13" i="69"/>
  <c r="N11" i="69"/>
  <c r="P9" i="69"/>
  <c r="P7" i="69"/>
  <c r="N5" i="69"/>
  <c r="X49" i="69"/>
  <c r="X47" i="69"/>
  <c r="V45" i="69"/>
  <c r="X43" i="69"/>
  <c r="X41" i="69"/>
  <c r="V39" i="69"/>
  <c r="V37" i="69"/>
  <c r="V35" i="69"/>
  <c r="AL8" i="68"/>
  <c r="AL47" i="68"/>
  <c r="V33" i="69"/>
  <c r="AL9" i="68"/>
  <c r="V17" i="69"/>
  <c r="AL13" i="68"/>
  <c r="AL41" i="68"/>
  <c r="V21" i="69"/>
  <c r="AL14" i="68"/>
  <c r="V19" i="69"/>
  <c r="AL25" i="68"/>
  <c r="V15" i="69"/>
  <c r="AL21" i="68"/>
  <c r="V11" i="69"/>
  <c r="AZ8" i="68"/>
  <c r="AD33" i="69"/>
  <c r="AZ9" i="68"/>
  <c r="AD21" i="69"/>
  <c r="AZ7" i="68"/>
  <c r="AD5" i="69"/>
  <c r="AZ14" i="68"/>
  <c r="AD13" i="69"/>
  <c r="AZ12" i="68"/>
  <c r="AD39" i="69"/>
  <c r="AZ19" i="68"/>
  <c r="AD45" i="69"/>
  <c r="AZ22" i="68"/>
  <c r="AD43" i="69"/>
  <c r="AZ20" i="68"/>
  <c r="AD47" i="69"/>
  <c r="AZ27" i="68"/>
  <c r="AD53" i="69"/>
  <c r="AZ15" i="68"/>
  <c r="AD37" i="69"/>
  <c r="AZ13" i="68"/>
  <c r="AD15" i="69"/>
  <c r="AZ26" i="68"/>
  <c r="AD7" i="69"/>
  <c r="AZ21" i="68"/>
  <c r="AD25" i="69"/>
  <c r="BN9" i="68"/>
  <c r="BN39" i="68"/>
  <c r="AL19" i="69"/>
  <c r="BN14" i="68"/>
  <c r="AL5" i="69"/>
  <c r="BN13" i="68"/>
  <c r="BN41" i="68"/>
  <c r="AL21" i="69"/>
  <c r="BN19" i="68"/>
  <c r="AL25" i="69"/>
  <c r="AP13" i="68"/>
  <c r="X29" i="69"/>
  <c r="AP4" i="68"/>
  <c r="X13" i="69"/>
  <c r="AP8" i="68"/>
  <c r="AP44" i="68"/>
  <c r="X27" i="69"/>
  <c r="AP10" i="68"/>
  <c r="X9" i="69"/>
  <c r="AP23" i="68"/>
  <c r="X23" i="69"/>
  <c r="AP22" i="68"/>
  <c r="X25" i="69"/>
  <c r="AP14" i="68"/>
  <c r="X31" i="69"/>
  <c r="BD13" i="68"/>
  <c r="AF31" i="69"/>
  <c r="BD3" i="68"/>
  <c r="AF11" i="69"/>
  <c r="BD4" i="68"/>
  <c r="AF17" i="69"/>
  <c r="BD8" i="68"/>
  <c r="AF27" i="69"/>
  <c r="BD5" i="68"/>
  <c r="AF3" i="69"/>
  <c r="BD10" i="68"/>
  <c r="AF9" i="69"/>
  <c r="BD23" i="68"/>
  <c r="AF19" i="69"/>
  <c r="BD26" i="68"/>
  <c r="AF41" i="69"/>
  <c r="BD28" i="68"/>
  <c r="AF49" i="69"/>
  <c r="BD22" i="68"/>
  <c r="AF29" i="69"/>
  <c r="BD19" i="68"/>
  <c r="AF51" i="69"/>
  <c r="BD18" i="68"/>
  <c r="AF35" i="69"/>
  <c r="BD14" i="68"/>
  <c r="AF23" i="69"/>
  <c r="BR5" i="68"/>
  <c r="AN23" i="69"/>
  <c r="BR4" i="68"/>
  <c r="BR32" i="68"/>
  <c r="AN3" i="69"/>
  <c r="BR21" i="68"/>
  <c r="AN27" i="69"/>
  <c r="BR14" i="68"/>
  <c r="AN7" i="69"/>
  <c r="N19" i="22"/>
  <c r="N18" i="22"/>
  <c r="H7" i="69"/>
  <c r="H9" i="69"/>
  <c r="H13" i="69"/>
  <c r="H21" i="69"/>
  <c r="H31" i="69"/>
  <c r="H33" i="69"/>
  <c r="H37" i="69"/>
  <c r="E17" i="67"/>
  <c r="J10" i="68"/>
  <c r="J38" i="68"/>
  <c r="E5" i="67"/>
  <c r="J4" i="68"/>
  <c r="E8" i="67"/>
  <c r="J3" i="68"/>
  <c r="E18" i="67"/>
  <c r="J6" i="68"/>
  <c r="E3" i="67"/>
  <c r="E31" i="67"/>
  <c r="F3" i="69"/>
  <c r="J5" i="68"/>
  <c r="E6" i="67"/>
  <c r="E33" i="67"/>
  <c r="J11" i="68"/>
  <c r="E13" i="67"/>
  <c r="E41" i="67"/>
  <c r="F23" i="69"/>
  <c r="J17" i="68"/>
  <c r="J45" i="68"/>
  <c r="E22" i="67"/>
  <c r="E50" i="67"/>
  <c r="F41" i="69"/>
  <c r="J19" i="68"/>
  <c r="E26" i="67"/>
  <c r="J29" i="68"/>
  <c r="E9" i="67"/>
  <c r="E37" i="67"/>
  <c r="F15" i="69"/>
  <c r="J26" i="68"/>
  <c r="E12" i="67"/>
  <c r="E45" i="67"/>
  <c r="J15" i="68"/>
  <c r="E21" i="67"/>
  <c r="J28" i="68"/>
  <c r="E20" i="67"/>
  <c r="J24" i="68"/>
  <c r="M12" i="67"/>
  <c r="X10" i="68"/>
  <c r="R12" i="29"/>
  <c r="S22" i="29"/>
  <c r="R27" i="29"/>
  <c r="R31" i="29"/>
  <c r="E16" i="67"/>
  <c r="E44" i="67"/>
  <c r="J8" i="68"/>
  <c r="E15" i="67"/>
  <c r="E46" i="67"/>
  <c r="J9" i="68"/>
  <c r="E4" i="67"/>
  <c r="E32" i="67"/>
  <c r="F5" i="69"/>
  <c r="J7" i="68"/>
  <c r="J32" i="68"/>
  <c r="E10" i="67"/>
  <c r="J13" i="68"/>
  <c r="E19" i="67"/>
  <c r="E49" i="67"/>
  <c r="J12" i="68"/>
  <c r="E25" i="67"/>
  <c r="E54" i="67"/>
  <c r="J18" i="68"/>
  <c r="E29" i="67"/>
  <c r="J23" i="68"/>
  <c r="E23" i="67"/>
  <c r="E51" i="67"/>
  <c r="F43" i="69"/>
  <c r="J22" i="68"/>
  <c r="E27" i="67"/>
  <c r="J20" i="68"/>
  <c r="J48" i="68"/>
  <c r="E28" i="67"/>
  <c r="E55" i="67"/>
  <c r="J27" i="68"/>
  <c r="J55" i="68"/>
  <c r="E24" i="67"/>
  <c r="J16" i="68"/>
  <c r="E11" i="67"/>
  <c r="E39" i="67"/>
  <c r="F19" i="69"/>
  <c r="J14" i="68"/>
  <c r="E7" i="67"/>
  <c r="E35" i="67"/>
  <c r="F11" i="69"/>
  <c r="J25" i="68"/>
  <c r="E14" i="67"/>
  <c r="E34" i="67"/>
  <c r="J21" i="68"/>
  <c r="X36" i="68"/>
  <c r="X38" i="68"/>
  <c r="AL40" i="68"/>
  <c r="AZ37" i="68"/>
  <c r="AZ48" i="68"/>
  <c r="BN43" i="68"/>
  <c r="N31" i="68"/>
  <c r="N48" i="68"/>
  <c r="AB31" i="68"/>
  <c r="AP31" i="68"/>
  <c r="AP36" i="68"/>
  <c r="BD47" i="68"/>
  <c r="BD32" i="68"/>
  <c r="BR31" i="68"/>
  <c r="M6" i="67"/>
  <c r="M8" i="67"/>
  <c r="M13" i="67"/>
  <c r="M3" i="67"/>
  <c r="M31" i="67"/>
  <c r="N3" i="69"/>
  <c r="M5" i="67"/>
  <c r="M34" i="67"/>
  <c r="M11" i="67"/>
  <c r="M41" i="67"/>
  <c r="M23" i="67"/>
  <c r="M51" i="67"/>
  <c r="N43" i="69"/>
  <c r="M27" i="67"/>
  <c r="M17" i="67"/>
  <c r="M45" i="67"/>
  <c r="N31" i="69"/>
  <c r="M25" i="67"/>
  <c r="M53" i="67"/>
  <c r="N47" i="69"/>
  <c r="M22" i="67"/>
  <c r="M16" i="67"/>
  <c r="U16" i="67"/>
  <c r="U4" i="67"/>
  <c r="U32" i="67"/>
  <c r="V5" i="69"/>
  <c r="U8" i="67"/>
  <c r="U15" i="67"/>
  <c r="U44" i="67"/>
  <c r="U3" i="67"/>
  <c r="U31" i="67"/>
  <c r="V3" i="69"/>
  <c r="U6" i="67"/>
  <c r="U13" i="67"/>
  <c r="U22" i="67"/>
  <c r="U26" i="67"/>
  <c r="U14" i="67"/>
  <c r="U43" i="67"/>
  <c r="U25" i="67"/>
  <c r="U54" i="67"/>
  <c r="U23" i="67"/>
  <c r="U17" i="67"/>
  <c r="U36" i="67"/>
  <c r="AC18" i="67"/>
  <c r="AC46" i="67"/>
  <c r="AC7" i="67"/>
  <c r="AC35" i="67"/>
  <c r="AC10" i="67"/>
  <c r="AC38" i="67"/>
  <c r="AC16" i="67"/>
  <c r="AC44" i="67"/>
  <c r="AC3" i="67"/>
  <c r="AC31" i="67"/>
  <c r="AC6" i="67"/>
  <c r="AC34" i="67"/>
  <c r="AC11" i="67"/>
  <c r="AC39" i="67"/>
  <c r="AC22" i="67"/>
  <c r="AC50" i="67"/>
  <c r="AC27" i="67"/>
  <c r="AC55" i="67"/>
  <c r="AC17" i="67"/>
  <c r="AC45" i="67"/>
  <c r="AC26" i="67"/>
  <c r="AC54" i="67"/>
  <c r="AC19" i="67"/>
  <c r="AC47" i="67"/>
  <c r="AC13" i="67"/>
  <c r="AC41" i="67"/>
  <c r="AK18" i="67"/>
  <c r="AK46" i="67"/>
  <c r="AL33" i="69"/>
  <c r="AK8" i="67"/>
  <c r="AK36" i="67"/>
  <c r="AL13" i="69"/>
  <c r="AK13" i="67"/>
  <c r="AK16" i="67"/>
  <c r="AK44" i="67"/>
  <c r="AL29" i="69"/>
  <c r="AK3" i="67"/>
  <c r="AK9" i="67"/>
  <c r="AK37" i="67"/>
  <c r="AL15" i="69"/>
  <c r="AK10" i="67"/>
  <c r="AK38" i="67"/>
  <c r="AL17" i="69"/>
  <c r="AK19" i="67"/>
  <c r="AK47" i="67"/>
  <c r="AL35" i="69"/>
  <c r="AK27" i="67"/>
  <c r="AK55" i="67"/>
  <c r="AL51" i="69"/>
  <c r="AK15" i="67"/>
  <c r="AK23" i="67"/>
  <c r="AK51" i="67"/>
  <c r="AL43" i="69"/>
  <c r="AK21" i="67"/>
  <c r="AK49" i="67"/>
  <c r="AL39" i="69"/>
  <c r="AK5" i="67"/>
  <c r="AK31" i="67"/>
  <c r="G16" i="67"/>
  <c r="G44" i="67"/>
  <c r="F17" i="67"/>
  <c r="G15" i="67"/>
  <c r="F5" i="67"/>
  <c r="F8" i="67"/>
  <c r="G4" i="67"/>
  <c r="G32" i="67"/>
  <c r="H5" i="69"/>
  <c r="F18" i="67"/>
  <c r="F3" i="67"/>
  <c r="F31" i="67"/>
  <c r="G3" i="69"/>
  <c r="G10" i="67"/>
  <c r="G43" i="67"/>
  <c r="F6" i="67"/>
  <c r="F33" i="67"/>
  <c r="G19" i="67"/>
  <c r="G25" i="67"/>
  <c r="F13" i="67"/>
  <c r="F41" i="67"/>
  <c r="G23" i="69"/>
  <c r="G29" i="67"/>
  <c r="F22" i="67"/>
  <c r="F50" i="67"/>
  <c r="G41" i="69"/>
  <c r="G23" i="67"/>
  <c r="G51" i="67"/>
  <c r="H43" i="69"/>
  <c r="F26" i="67"/>
  <c r="G27" i="67"/>
  <c r="G57" i="67"/>
  <c r="F9" i="67"/>
  <c r="F37" i="67"/>
  <c r="G15" i="69"/>
  <c r="G28" i="67"/>
  <c r="G55" i="67"/>
  <c r="G24" i="67"/>
  <c r="G53" i="67"/>
  <c r="F12" i="67"/>
  <c r="F45" i="67"/>
  <c r="G11" i="67"/>
  <c r="G39" i="67"/>
  <c r="H19" i="69"/>
  <c r="F21" i="67"/>
  <c r="G7" i="67"/>
  <c r="G35" i="67"/>
  <c r="H11" i="69"/>
  <c r="F20" i="67"/>
  <c r="G14" i="67"/>
  <c r="O19" i="67"/>
  <c r="N12" i="67"/>
  <c r="O14" i="67"/>
  <c r="N6" i="67"/>
  <c r="N8" i="67"/>
  <c r="O4" i="67"/>
  <c r="N13" i="67"/>
  <c r="N3" i="67"/>
  <c r="N31" i="67"/>
  <c r="O3" i="69"/>
  <c r="O9" i="67"/>
  <c r="N5" i="67"/>
  <c r="N34" i="67"/>
  <c r="O18" i="67"/>
  <c r="O47" i="67"/>
  <c r="O21" i="67"/>
  <c r="N11" i="67"/>
  <c r="N41" i="67"/>
  <c r="O29" i="67"/>
  <c r="O57" i="67"/>
  <c r="AB27" i="68"/>
  <c r="P55" i="69"/>
  <c r="N23" i="67"/>
  <c r="N51" i="67"/>
  <c r="O43" i="69"/>
  <c r="O24" i="67"/>
  <c r="O52" i="67"/>
  <c r="P45" i="69"/>
  <c r="N27" i="67"/>
  <c r="O26" i="67"/>
  <c r="N17" i="67"/>
  <c r="N45" i="67"/>
  <c r="O31" i="69"/>
  <c r="O28" i="67"/>
  <c r="O56" i="67"/>
  <c r="P53" i="69"/>
  <c r="O20" i="67"/>
  <c r="N25" i="67"/>
  <c r="N53" i="67"/>
  <c r="O47" i="69"/>
  <c r="O10" i="67"/>
  <c r="N22" i="67"/>
  <c r="O7" i="67"/>
  <c r="O32" i="67"/>
  <c r="N16" i="67"/>
  <c r="O15" i="67"/>
  <c r="O38" i="67"/>
  <c r="W18" i="67"/>
  <c r="V16" i="67"/>
  <c r="W10" i="67"/>
  <c r="V4" i="67"/>
  <c r="V32" i="67"/>
  <c r="W5" i="69"/>
  <c r="V8" i="67"/>
  <c r="W5" i="67"/>
  <c r="W33" i="67"/>
  <c r="X7" i="69"/>
  <c r="V15" i="67"/>
  <c r="V44" i="67"/>
  <c r="V3" i="67"/>
  <c r="V31" i="67"/>
  <c r="W3" i="69"/>
  <c r="W12" i="67"/>
  <c r="V6" i="67"/>
  <c r="W19" i="67"/>
  <c r="W21" i="67"/>
  <c r="V13" i="67"/>
  <c r="W29" i="67"/>
  <c r="W57" i="67"/>
  <c r="AP27" i="68"/>
  <c r="X55" i="69"/>
  <c r="V22" i="67"/>
  <c r="W24" i="67"/>
  <c r="V26" i="67"/>
  <c r="W27" i="67"/>
  <c r="W55" i="67"/>
  <c r="X51" i="69"/>
  <c r="V14" i="67"/>
  <c r="V43" i="67"/>
  <c r="W28" i="67"/>
  <c r="W56" i="67"/>
  <c r="X53" i="69"/>
  <c r="W20" i="67"/>
  <c r="W49" i="67"/>
  <c r="V25" i="67"/>
  <c r="V54" i="67"/>
  <c r="W11" i="67"/>
  <c r="W40" i="67"/>
  <c r="V23" i="67"/>
  <c r="W9" i="67"/>
  <c r="W38" i="67"/>
  <c r="V17" i="67"/>
  <c r="V36" i="67"/>
  <c r="W7" i="67"/>
  <c r="AE15" i="67"/>
  <c r="AD18" i="67"/>
  <c r="AD46" i="67"/>
  <c r="AE12" i="67"/>
  <c r="AD7" i="67"/>
  <c r="AD35" i="67"/>
  <c r="AD10" i="67"/>
  <c r="AD38" i="67"/>
  <c r="AE4" i="67"/>
  <c r="AD16" i="67"/>
  <c r="AD44" i="67"/>
  <c r="AD3" i="67"/>
  <c r="AD31" i="67"/>
  <c r="AE8" i="67"/>
  <c r="AD6" i="67"/>
  <c r="AD34" i="67"/>
  <c r="AE21" i="67"/>
  <c r="AE49" i="67"/>
  <c r="AE24" i="67"/>
  <c r="AE52" i="67"/>
  <c r="AD11" i="67"/>
  <c r="AD39" i="67"/>
  <c r="AE29" i="67"/>
  <c r="AE57" i="67"/>
  <c r="BD27" i="68"/>
  <c r="BD55" i="68"/>
  <c r="AD22" i="67"/>
  <c r="AD50" i="67"/>
  <c r="AE23" i="67"/>
  <c r="AE51" i="67"/>
  <c r="AD27" i="67"/>
  <c r="AD55" i="67"/>
  <c r="AE25" i="67"/>
  <c r="AD17" i="67"/>
  <c r="AD45" i="67"/>
  <c r="AE28" i="67"/>
  <c r="AE56" i="67"/>
  <c r="AE20" i="67"/>
  <c r="AE48" i="67"/>
  <c r="AD26" i="67"/>
  <c r="AD54" i="67"/>
  <c r="AE9" i="67"/>
  <c r="AD19" i="67"/>
  <c r="AD47" i="67"/>
  <c r="AE5" i="67"/>
  <c r="AD13" i="67"/>
  <c r="AD41" i="67"/>
  <c r="AE14" i="67"/>
  <c r="AE42" i="67"/>
  <c r="AM17" i="67"/>
  <c r="AM45" i="67"/>
  <c r="AN31" i="69"/>
  <c r="AL18" i="67"/>
  <c r="AL46" i="67"/>
  <c r="AM33" i="69"/>
  <c r="AM11" i="67"/>
  <c r="AM39" i="67"/>
  <c r="AL8" i="67"/>
  <c r="AL36" i="67"/>
  <c r="AM13" i="69"/>
  <c r="AL13" i="67"/>
  <c r="AM7" i="67"/>
  <c r="AM35" i="67"/>
  <c r="AN11" i="69"/>
  <c r="AL16" i="67"/>
  <c r="AL44" i="67"/>
  <c r="AM29" i="69"/>
  <c r="AL3" i="67"/>
  <c r="AM4" i="67"/>
  <c r="AL9" i="67"/>
  <c r="AL37" i="67"/>
  <c r="AM15" i="69"/>
  <c r="AM22" i="67"/>
  <c r="AM50" i="67"/>
  <c r="AN41" i="69"/>
  <c r="AM24" i="67"/>
  <c r="AM52" i="67"/>
  <c r="AN45" i="69"/>
  <c r="AL10" i="67"/>
  <c r="AL38" i="67"/>
  <c r="AM17" i="69"/>
  <c r="AM29" i="67"/>
  <c r="AM57" i="67"/>
  <c r="BR26" i="68"/>
  <c r="AN55" i="69"/>
  <c r="AL19" i="67"/>
  <c r="AL47" i="67"/>
  <c r="AM35" i="69"/>
  <c r="AM25" i="67"/>
  <c r="AM53" i="67"/>
  <c r="AN47" i="69"/>
  <c r="AL27" i="67"/>
  <c r="AL55" i="67"/>
  <c r="AM51" i="69"/>
  <c r="AM26" i="67"/>
  <c r="AM54" i="67"/>
  <c r="AN49" i="69"/>
  <c r="AL15" i="67"/>
  <c r="AM28" i="67"/>
  <c r="AM56" i="67"/>
  <c r="AN53" i="69"/>
  <c r="AM20" i="67"/>
  <c r="AM48" i="67"/>
  <c r="AN37" i="69"/>
  <c r="AL23" i="67"/>
  <c r="AL51" i="67"/>
  <c r="AM43" i="69"/>
  <c r="AM12" i="67"/>
  <c r="AL21" i="67"/>
  <c r="AL49" i="67"/>
  <c r="AM39" i="69"/>
  <c r="AM6" i="67"/>
  <c r="AM34" i="67"/>
  <c r="AN9" i="69"/>
  <c r="AL5" i="67"/>
  <c r="AL31" i="67"/>
  <c r="AM14" i="67"/>
  <c r="X5" i="68"/>
  <c r="X33" i="68"/>
  <c r="AL5" i="68"/>
  <c r="AZ5" i="68"/>
  <c r="BN23" i="68"/>
  <c r="N5" i="68"/>
  <c r="AB14" i="68"/>
  <c r="AB32" i="68"/>
  <c r="AL4" i="68"/>
  <c r="AL32" i="68"/>
  <c r="AZ24" i="68"/>
  <c r="BN4" i="68"/>
  <c r="BN32" i="68"/>
  <c r="AB6" i="68"/>
  <c r="AP7" i="68"/>
  <c r="BD7" i="68"/>
  <c r="BR7" i="68"/>
  <c r="BR33" i="68"/>
  <c r="N25" i="68"/>
  <c r="N34" i="68"/>
  <c r="X11" i="68"/>
  <c r="X39" i="68"/>
  <c r="AP20" i="68"/>
  <c r="BD15" i="68"/>
  <c r="BR15" i="68"/>
  <c r="BR34" i="68"/>
  <c r="N19" i="68"/>
  <c r="N35" i="68"/>
  <c r="X4" i="68"/>
  <c r="X32" i="68"/>
  <c r="AL11" i="68"/>
  <c r="AL39" i="68"/>
  <c r="AZ11" i="68"/>
  <c r="AZ39" i="68"/>
  <c r="BR8" i="68"/>
  <c r="AB16" i="68"/>
  <c r="AB36" i="68"/>
  <c r="AL24" i="68"/>
  <c r="AZ4" i="68"/>
  <c r="AZ36" i="68"/>
  <c r="BN6" i="68"/>
  <c r="BN34" i="68"/>
  <c r="X24" i="68"/>
  <c r="AL3" i="68"/>
  <c r="AL37" i="68"/>
  <c r="BD6" i="68"/>
  <c r="BN12" i="68"/>
  <c r="BN37" i="68"/>
  <c r="AB19" i="68"/>
  <c r="AP15" i="68"/>
  <c r="BD16" i="68"/>
  <c r="BN17" i="68"/>
  <c r="N16" i="68"/>
  <c r="X3" i="68"/>
  <c r="AP12" i="68"/>
  <c r="AZ3" i="68"/>
  <c r="BR10" i="68"/>
  <c r="AB7" i="68"/>
  <c r="AP17" i="68"/>
  <c r="AZ17" i="68"/>
  <c r="AZ40" i="68"/>
  <c r="BN26" i="68"/>
  <c r="X17" i="68"/>
  <c r="X45" i="68"/>
  <c r="AP5" i="68"/>
  <c r="AP41" i="68"/>
  <c r="BD11" i="68"/>
  <c r="BD41" i="68"/>
  <c r="BR19" i="68"/>
  <c r="BR41" i="68"/>
  <c r="AL17" i="68"/>
  <c r="BD20" i="68"/>
  <c r="BN3" i="68"/>
  <c r="N8" i="68"/>
  <c r="X6" i="68"/>
  <c r="AL26" i="68"/>
  <c r="AL43" i="68"/>
  <c r="AZ6" i="68"/>
  <c r="AZ34" i="68"/>
  <c r="BR18" i="68"/>
  <c r="N11" i="68"/>
  <c r="AB12" i="68"/>
  <c r="AL6" i="68"/>
  <c r="AZ25" i="68"/>
  <c r="BN5" i="68"/>
  <c r="BN33" i="68"/>
  <c r="X26" i="68"/>
  <c r="AL10" i="68"/>
  <c r="AZ10" i="68"/>
  <c r="AZ38" i="68"/>
  <c r="BR9" i="68"/>
  <c r="N10" i="68"/>
  <c r="N46" i="68"/>
  <c r="X28" i="68"/>
  <c r="AL28" i="68"/>
  <c r="BD9" i="68"/>
  <c r="BD46" i="68"/>
  <c r="BN10" i="68"/>
  <c r="BN46" i="68"/>
  <c r="AB9" i="68"/>
  <c r="AB37" i="68"/>
  <c r="AP9" i="68"/>
  <c r="AP37" i="68"/>
  <c r="AZ28" i="68"/>
  <c r="BN20" i="68"/>
  <c r="AB10" i="68"/>
  <c r="AB48" i="68"/>
  <c r="AP11" i="68"/>
  <c r="BD17" i="68"/>
  <c r="BR17" i="68"/>
  <c r="N9" i="68"/>
  <c r="N37" i="68"/>
  <c r="AB17" i="68"/>
  <c r="AB45" i="68"/>
  <c r="AP18" i="68"/>
  <c r="BD12" i="68"/>
  <c r="BD40" i="68"/>
  <c r="BN28" i="68"/>
  <c r="BN49" i="68"/>
  <c r="AB22" i="68"/>
  <c r="AB50" i="68"/>
  <c r="AP21" i="68"/>
  <c r="AZ18" i="68"/>
  <c r="AZ50" i="68"/>
  <c r="BR12" i="68"/>
  <c r="BR40" i="68"/>
  <c r="N26" i="68"/>
  <c r="X18" i="68"/>
  <c r="AL18" i="68"/>
  <c r="AL46" i="68"/>
  <c r="BD24" i="68"/>
  <c r="BN16" i="68"/>
  <c r="AB26" i="68"/>
  <c r="AL29" i="68"/>
  <c r="AL57" i="68"/>
  <c r="BD21" i="68"/>
  <c r="BR20" i="68"/>
  <c r="N17" i="68"/>
  <c r="N45" i="68"/>
  <c r="X15" i="68"/>
  <c r="AP26" i="68"/>
  <c r="AZ29" i="68"/>
  <c r="BR23" i="68"/>
  <c r="BR51" i="68"/>
  <c r="N24" i="68"/>
  <c r="N52" i="68"/>
  <c r="X29" i="68"/>
  <c r="AL16" i="68"/>
  <c r="BD25" i="68"/>
  <c r="BR24" i="68"/>
  <c r="N29" i="68"/>
  <c r="AB24" i="68"/>
  <c r="AB55" i="68"/>
  <c r="AP25" i="68"/>
  <c r="AP55" i="68"/>
  <c r="AZ16" i="68"/>
  <c r="BN29" i="68"/>
  <c r="BN55" i="68"/>
  <c r="N27" i="68"/>
  <c r="AB29" i="68"/>
  <c r="AP29" i="68"/>
  <c r="BD29" i="68"/>
  <c r="BR28" i="68"/>
  <c r="BR56" i="68"/>
  <c r="N22" i="68"/>
  <c r="M19" i="67"/>
  <c r="M14" i="67"/>
  <c r="M44" i="67"/>
  <c r="M4" i="67"/>
  <c r="M9" i="67"/>
  <c r="M40" i="67"/>
  <c r="M18" i="67"/>
  <c r="M47" i="67"/>
  <c r="M21" i="67"/>
  <c r="M50" i="67"/>
  <c r="M29" i="67"/>
  <c r="M57" i="67"/>
  <c r="X23" i="68"/>
  <c r="N55" i="69"/>
  <c r="M24" i="67"/>
  <c r="M52" i="67"/>
  <c r="N45" i="69"/>
  <c r="M26" i="67"/>
  <c r="M55" i="67"/>
  <c r="M28" i="67"/>
  <c r="M56" i="67"/>
  <c r="N53" i="69"/>
  <c r="M20" i="67"/>
  <c r="M10" i="67"/>
  <c r="M36" i="67"/>
  <c r="M7" i="67"/>
  <c r="M32" i="67"/>
  <c r="M15" i="67"/>
  <c r="M38" i="67"/>
  <c r="U18" i="67"/>
  <c r="U10" i="67"/>
  <c r="U5" i="67"/>
  <c r="U33" i="67"/>
  <c r="V7" i="69"/>
  <c r="U12" i="67"/>
  <c r="U41" i="67"/>
  <c r="U19" i="67"/>
  <c r="U21" i="67"/>
  <c r="U50" i="67"/>
  <c r="U29" i="67"/>
  <c r="U57" i="67"/>
  <c r="AL23" i="68"/>
  <c r="V55" i="69"/>
  <c r="U24" i="67"/>
  <c r="U53" i="67"/>
  <c r="U27" i="67"/>
  <c r="U55" i="67"/>
  <c r="V51" i="69"/>
  <c r="U28" i="67"/>
  <c r="U56" i="67"/>
  <c r="V53" i="69"/>
  <c r="U20" i="67"/>
  <c r="U11" i="67"/>
  <c r="U40" i="67"/>
  <c r="U9" i="67"/>
  <c r="U38" i="67"/>
  <c r="U7" i="67"/>
  <c r="AC15" i="67"/>
  <c r="AC43" i="67"/>
  <c r="AC12" i="67"/>
  <c r="AC40" i="67"/>
  <c r="AC4" i="67"/>
  <c r="AC32" i="67"/>
  <c r="AC8" i="67"/>
  <c r="AC36" i="67"/>
  <c r="AC21" i="67"/>
  <c r="AC49" i="67"/>
  <c r="AC24" i="67"/>
  <c r="AC52" i="67"/>
  <c r="AC29" i="67"/>
  <c r="AC57" i="67"/>
  <c r="AZ23" i="68"/>
  <c r="AZ51" i="68"/>
  <c r="AC23" i="67"/>
  <c r="AC51" i="67"/>
  <c r="AC25" i="67"/>
  <c r="AC53" i="67"/>
  <c r="AC28" i="67"/>
  <c r="AC56" i="67"/>
  <c r="AC20" i="67"/>
  <c r="AC48" i="67"/>
  <c r="AC9" i="67"/>
  <c r="AC37" i="67"/>
  <c r="AC5" i="67"/>
  <c r="AC33" i="67"/>
  <c r="AC14" i="67"/>
  <c r="AC42" i="67"/>
  <c r="AK17" i="67"/>
  <c r="AK45" i="67"/>
  <c r="AL31" i="69"/>
  <c r="AK11" i="67"/>
  <c r="AK39" i="67"/>
  <c r="AK7" i="67"/>
  <c r="AK35" i="67"/>
  <c r="AL11" i="69"/>
  <c r="AK4" i="67"/>
  <c r="AK33" i="67"/>
  <c r="AK22" i="67"/>
  <c r="AK50" i="67"/>
  <c r="AL41" i="69"/>
  <c r="AK24" i="67"/>
  <c r="AK52" i="67"/>
  <c r="AL45" i="69"/>
  <c r="AK29" i="67"/>
  <c r="AK57" i="67"/>
  <c r="BN24" i="68"/>
  <c r="AL55" i="69"/>
  <c r="AK25" i="67"/>
  <c r="AK53" i="67"/>
  <c r="AL47" i="69"/>
  <c r="AK26" i="67"/>
  <c r="AK54" i="67"/>
  <c r="AL49" i="69"/>
  <c r="AK28" i="67"/>
  <c r="AK56" i="67"/>
  <c r="AL53" i="69"/>
  <c r="AK20" i="67"/>
  <c r="AK48" i="67"/>
  <c r="AL37" i="69"/>
  <c r="AK12" i="67"/>
  <c r="AK41" i="67"/>
  <c r="AK6" i="67"/>
  <c r="AK34" i="67"/>
  <c r="AL9" i="69"/>
  <c r="AK14" i="67"/>
  <c r="AK43" i="67"/>
  <c r="F16" i="67"/>
  <c r="F44" i="67"/>
  <c r="G17" i="67"/>
  <c r="G38" i="67"/>
  <c r="F15" i="67"/>
  <c r="F46" i="67"/>
  <c r="G5" i="67"/>
  <c r="G8" i="67"/>
  <c r="F4" i="67"/>
  <c r="F32" i="67"/>
  <c r="G5" i="69"/>
  <c r="G18" i="67"/>
  <c r="G47" i="67"/>
  <c r="G3" i="67"/>
  <c r="G31" i="67"/>
  <c r="H3" i="69"/>
  <c r="F10" i="67"/>
  <c r="F43" i="67"/>
  <c r="G6" i="67"/>
  <c r="G33" i="67"/>
  <c r="F19" i="67"/>
  <c r="F49" i="67"/>
  <c r="F25" i="67"/>
  <c r="F54" i="67"/>
  <c r="G13" i="67"/>
  <c r="G41" i="67"/>
  <c r="H23" i="69"/>
  <c r="F29" i="67"/>
  <c r="G22" i="67"/>
  <c r="G50" i="67"/>
  <c r="H41" i="69"/>
  <c r="F23" i="67"/>
  <c r="F51" i="67"/>
  <c r="G43" i="69"/>
  <c r="G26" i="67"/>
  <c r="G52" i="67"/>
  <c r="F27" i="67"/>
  <c r="F57" i="67"/>
  <c r="G9" i="67"/>
  <c r="G37" i="67"/>
  <c r="H15" i="69"/>
  <c r="F28" i="67"/>
  <c r="F55" i="67"/>
  <c r="F24" i="67"/>
  <c r="F53" i="67"/>
  <c r="G12" i="67"/>
  <c r="G45" i="67"/>
  <c r="F11" i="67"/>
  <c r="F39" i="67"/>
  <c r="G19" i="69"/>
  <c r="G21" i="67"/>
  <c r="F7" i="67"/>
  <c r="F35" i="67"/>
  <c r="G11" i="69"/>
  <c r="G20" i="67"/>
  <c r="G42" i="67"/>
  <c r="F14" i="67"/>
  <c r="F34" i="67"/>
  <c r="N19" i="67"/>
  <c r="O12" i="67"/>
  <c r="O42" i="67"/>
  <c r="N14" i="67"/>
  <c r="N44" i="67"/>
  <c r="O6" i="67"/>
  <c r="O35" i="67"/>
  <c r="O8" i="67"/>
  <c r="N4" i="67"/>
  <c r="N33" i="67"/>
  <c r="O13" i="67"/>
  <c r="O43" i="67"/>
  <c r="O3" i="67"/>
  <c r="O31" i="67"/>
  <c r="P3" i="69"/>
  <c r="N9" i="67"/>
  <c r="N40" i="67"/>
  <c r="O5" i="67"/>
  <c r="O34" i="67"/>
  <c r="N18" i="67"/>
  <c r="N47" i="67"/>
  <c r="N21" i="67"/>
  <c r="N50" i="67"/>
  <c r="O11" i="67"/>
  <c r="O41" i="67"/>
  <c r="N29" i="67"/>
  <c r="N57" i="67"/>
  <c r="O55" i="69"/>
  <c r="Z29" i="68"/>
  <c r="Z57" i="68"/>
  <c r="O23" i="67"/>
  <c r="O51" i="67"/>
  <c r="P43" i="69"/>
  <c r="N24" i="67"/>
  <c r="N52" i="67"/>
  <c r="O45" i="69"/>
  <c r="O27" i="67"/>
  <c r="O54" i="67"/>
  <c r="N26" i="67"/>
  <c r="N55" i="67"/>
  <c r="O17" i="67"/>
  <c r="O45" i="67"/>
  <c r="P31" i="69"/>
  <c r="N28" i="67"/>
  <c r="N56" i="67"/>
  <c r="O53" i="69"/>
  <c r="N20" i="67"/>
  <c r="O25" i="67"/>
  <c r="O53" i="67"/>
  <c r="P47" i="69"/>
  <c r="N10" i="67"/>
  <c r="N36" i="67"/>
  <c r="O22" i="67"/>
  <c r="O46" i="67"/>
  <c r="N7" i="67"/>
  <c r="N32" i="67"/>
  <c r="O16" i="67"/>
  <c r="O37" i="67"/>
  <c r="N15" i="67"/>
  <c r="N38" i="67"/>
  <c r="V18" i="67"/>
  <c r="W16" i="67"/>
  <c r="V10" i="67"/>
  <c r="W4" i="67"/>
  <c r="W32" i="67"/>
  <c r="X5" i="69"/>
  <c r="W8" i="67"/>
  <c r="W37" i="67"/>
  <c r="V5" i="67"/>
  <c r="V33" i="67"/>
  <c r="W7" i="69"/>
  <c r="W15" i="67"/>
  <c r="W3" i="67"/>
  <c r="W31" i="67"/>
  <c r="X3" i="69"/>
  <c r="V12" i="67"/>
  <c r="V41" i="67"/>
  <c r="W6" i="67"/>
  <c r="W35" i="67"/>
  <c r="V19" i="67"/>
  <c r="V21" i="67"/>
  <c r="V50" i="67"/>
  <c r="W13" i="67"/>
  <c r="V29" i="67"/>
  <c r="V57" i="67"/>
  <c r="W55" i="69"/>
  <c r="AN29" i="68"/>
  <c r="AN57" i="68"/>
  <c r="W22" i="67"/>
  <c r="V24" i="67"/>
  <c r="V53" i="67"/>
  <c r="W26" i="67"/>
  <c r="W52" i="67"/>
  <c r="V27" i="67"/>
  <c r="V55" i="67"/>
  <c r="W51" i="69"/>
  <c r="W14" i="67"/>
  <c r="W43" i="67"/>
  <c r="V28" i="67"/>
  <c r="V56" i="67"/>
  <c r="W53" i="69"/>
  <c r="V20" i="67"/>
  <c r="W25" i="67"/>
  <c r="V11" i="67"/>
  <c r="V40" i="67"/>
  <c r="W23" i="67"/>
  <c r="W46" i="67"/>
  <c r="V9" i="67"/>
  <c r="V38" i="67"/>
  <c r="W17" i="67"/>
  <c r="W36" i="67"/>
  <c r="V7" i="67"/>
  <c r="V34" i="67"/>
  <c r="AD15" i="67"/>
  <c r="AD43" i="67"/>
  <c r="AE18" i="67"/>
  <c r="AD12" i="67"/>
  <c r="AD40" i="67"/>
  <c r="AE7" i="67"/>
  <c r="AE36" i="67"/>
  <c r="AE10" i="67"/>
  <c r="AD4" i="67"/>
  <c r="AD32" i="67"/>
  <c r="AE16" i="67"/>
  <c r="AE43" i="67"/>
  <c r="AE3" i="67"/>
  <c r="AE31" i="67"/>
  <c r="AD8" i="67"/>
  <c r="AD36" i="67"/>
  <c r="AE6" i="67"/>
  <c r="AE35" i="67"/>
  <c r="AD21" i="67"/>
  <c r="AD49" i="67"/>
  <c r="AD24" i="67"/>
  <c r="AD52" i="67"/>
  <c r="AE11" i="67"/>
  <c r="AE40" i="67"/>
  <c r="AD29" i="67"/>
  <c r="AD57" i="67"/>
  <c r="BB29" i="68"/>
  <c r="BB57" i="68"/>
  <c r="AE22" i="67"/>
  <c r="AE50" i="67"/>
  <c r="AD23" i="67"/>
  <c r="AD51" i="67"/>
  <c r="AE27" i="67"/>
  <c r="AE53" i="67"/>
  <c r="AD25" i="67"/>
  <c r="AD53" i="67"/>
  <c r="AE17" i="67"/>
  <c r="AE44" i="67"/>
  <c r="AD28" i="67"/>
  <c r="AD56" i="67"/>
  <c r="AD20" i="67"/>
  <c r="AD48" i="67"/>
  <c r="AE26" i="67"/>
  <c r="AE55" i="67"/>
  <c r="AD9" i="67"/>
  <c r="AD37" i="67"/>
  <c r="AE19" i="67"/>
  <c r="AE47" i="67"/>
  <c r="AD5" i="67"/>
  <c r="AD33" i="67"/>
  <c r="AE13" i="67"/>
  <c r="AE32" i="67"/>
  <c r="AD14" i="67"/>
  <c r="AD42" i="67"/>
  <c r="AL17" i="67"/>
  <c r="AL45" i="67"/>
  <c r="AM31" i="69"/>
  <c r="AM18" i="67"/>
  <c r="AM46" i="67"/>
  <c r="AN33" i="69"/>
  <c r="AL11" i="67"/>
  <c r="AL39" i="67"/>
  <c r="AM8" i="67"/>
  <c r="AM36" i="67"/>
  <c r="AN13" i="69"/>
  <c r="AM13" i="67"/>
  <c r="AM42" i="67"/>
  <c r="AL7" i="67"/>
  <c r="AL35" i="67"/>
  <c r="AM11" i="69"/>
  <c r="AM16" i="67"/>
  <c r="AM44" i="67"/>
  <c r="AN29" i="69"/>
  <c r="AM3" i="67"/>
  <c r="AM32" i="67"/>
  <c r="AL4" i="67"/>
  <c r="AL33" i="67"/>
  <c r="AM9" i="67"/>
  <c r="AM37" i="67"/>
  <c r="AN15" i="69"/>
  <c r="AL22" i="67"/>
  <c r="AL50" i="67"/>
  <c r="AM41" i="69"/>
  <c r="AL24" i="67"/>
  <c r="AL52" i="67"/>
  <c r="AM45" i="69"/>
  <c r="AM10" i="67"/>
  <c r="AM38" i="67"/>
  <c r="AN17" i="69"/>
  <c r="AL29" i="67"/>
  <c r="AL57" i="67"/>
  <c r="AM55" i="69"/>
  <c r="BP29" i="68"/>
  <c r="BP57" i="68"/>
  <c r="AM19" i="67"/>
  <c r="AM47" i="67"/>
  <c r="AN35" i="69"/>
  <c r="AL25" i="67"/>
  <c r="AL53" i="67"/>
  <c r="AM47" i="69"/>
  <c r="AM27" i="67"/>
  <c r="AM55" i="67"/>
  <c r="AN51" i="69"/>
  <c r="AL26" i="67"/>
  <c r="AL54" i="67"/>
  <c r="AM49" i="69"/>
  <c r="AM15" i="67"/>
  <c r="AM40" i="67"/>
  <c r="AL28" i="67"/>
  <c r="AL56" i="67"/>
  <c r="AM53" i="69"/>
  <c r="AL20" i="67"/>
  <c r="AL48" i="67"/>
  <c r="AM37" i="69"/>
  <c r="AM23" i="67"/>
  <c r="AM51" i="67"/>
  <c r="AN43" i="69"/>
  <c r="AL12" i="67"/>
  <c r="AL41" i="67"/>
  <c r="AM21" i="67"/>
  <c r="AM49" i="67"/>
  <c r="AN39" i="69"/>
  <c r="AL6" i="67"/>
  <c r="AL34" i="67"/>
  <c r="AM9" i="69"/>
  <c r="AM5" i="67"/>
  <c r="AL14" i="67"/>
  <c r="AL43" i="67"/>
  <c r="L4" i="68"/>
  <c r="Z4" i="68"/>
  <c r="AN4" i="68"/>
  <c r="BB4" i="68"/>
  <c r="BP16" i="68"/>
  <c r="L8" i="68"/>
  <c r="Z11" i="68"/>
  <c r="AN3" i="68"/>
  <c r="BB17" i="68"/>
  <c r="BP4" i="68"/>
  <c r="BP32" i="68"/>
  <c r="L13" i="68"/>
  <c r="Z9" i="68"/>
  <c r="AN8" i="68"/>
  <c r="BB8" i="68"/>
  <c r="BP6" i="68"/>
  <c r="L20" i="68"/>
  <c r="Z12" i="68"/>
  <c r="AN20" i="68"/>
  <c r="BB11" i="68"/>
  <c r="BP12" i="68"/>
  <c r="L11" i="68"/>
  <c r="Z3" i="68"/>
  <c r="AN12" i="68"/>
  <c r="BB12" i="68"/>
  <c r="BP8" i="68"/>
  <c r="L3" i="68"/>
  <c r="Z15" i="68"/>
  <c r="AN16" i="68"/>
  <c r="BB3" i="68"/>
  <c r="BP3" i="68"/>
  <c r="L21" i="68"/>
  <c r="Z17" i="68"/>
  <c r="AN6" i="68"/>
  <c r="BB5" i="68"/>
  <c r="BP13" i="68"/>
  <c r="L6" i="68"/>
  <c r="Z20" i="68"/>
  <c r="AN11" i="68"/>
  <c r="BB16" i="68"/>
  <c r="BP22" i="68"/>
  <c r="L16" i="68"/>
  <c r="Z6" i="68"/>
  <c r="AN14" i="68"/>
  <c r="BB7" i="68"/>
  <c r="BP14" i="68"/>
  <c r="L7" i="68"/>
  <c r="Z5" i="68"/>
  <c r="AN17" i="68"/>
  <c r="BB22" i="68"/>
  <c r="BP21" i="68"/>
  <c r="L23" i="68"/>
  <c r="Z22" i="68"/>
  <c r="AN5" i="68"/>
  <c r="BB14" i="68"/>
  <c r="BP15" i="68"/>
  <c r="L17" i="68"/>
  <c r="Z8" i="68"/>
  <c r="AN22" i="68"/>
  <c r="BB19" i="68"/>
  <c r="BP7" i="68"/>
  <c r="L5" i="68"/>
  <c r="Z10" i="68"/>
  <c r="AN21" i="68"/>
  <c r="BB9" i="68"/>
  <c r="BP19" i="68"/>
  <c r="L12" i="68"/>
  <c r="Z14" i="68"/>
  <c r="AN9" i="68"/>
  <c r="BB21" i="68"/>
  <c r="BP9" i="68"/>
  <c r="L15" i="68"/>
  <c r="Z21" i="68"/>
  <c r="AN10" i="68"/>
  <c r="BB10" i="68"/>
  <c r="BP11" i="68"/>
  <c r="L14" i="68"/>
  <c r="Z24" i="68"/>
  <c r="AN24" i="68"/>
  <c r="BB13" i="68"/>
  <c r="BP10" i="68"/>
  <c r="L9" i="68"/>
  <c r="Z7" i="68"/>
  <c r="AN13" i="68"/>
  <c r="BB24" i="68"/>
  <c r="BP23" i="68"/>
  <c r="L24" i="68"/>
  <c r="Z13" i="68"/>
  <c r="AN7" i="68"/>
  <c r="BB18" i="68"/>
  <c r="BP18" i="68"/>
  <c r="L10" i="68"/>
  <c r="Z18" i="68"/>
  <c r="AN19" i="68"/>
  <c r="BB6" i="68"/>
  <c r="BP24" i="68"/>
  <c r="L22" i="68"/>
  <c r="L50" i="68"/>
  <c r="Z19" i="68"/>
  <c r="AN18" i="68"/>
  <c r="BB23" i="68"/>
  <c r="BP5" i="68"/>
  <c r="BP33" i="68"/>
  <c r="L27" i="68"/>
  <c r="Z23" i="68"/>
  <c r="Z51" i="68"/>
  <c r="AN23" i="68"/>
  <c r="AN51" i="68"/>
  <c r="BB26" i="68"/>
  <c r="BP17" i="68"/>
  <c r="L28" i="68"/>
  <c r="Z26" i="68"/>
  <c r="AN28" i="68"/>
  <c r="BB20" i="68"/>
  <c r="BP20" i="68"/>
  <c r="L18" i="68"/>
  <c r="Z16" i="68"/>
  <c r="AN26" i="68"/>
  <c r="BB28" i="68"/>
  <c r="BP25" i="68"/>
  <c r="BP53" i="68"/>
  <c r="L19" i="68"/>
  <c r="Z28" i="68"/>
  <c r="AN15" i="68"/>
  <c r="BB25" i="68"/>
  <c r="BP26" i="68"/>
  <c r="BP54" i="68"/>
  <c r="L26" i="68"/>
  <c r="Z25" i="68"/>
  <c r="AN25" i="68"/>
  <c r="BB15" i="68"/>
  <c r="BP28" i="68"/>
  <c r="L29" i="68"/>
  <c r="Z27" i="68"/>
  <c r="AN27" i="68"/>
  <c r="BB27" i="68"/>
  <c r="BP27" i="68"/>
  <c r="L25" i="68"/>
  <c r="L31" i="68"/>
  <c r="AN31" i="68"/>
  <c r="BD31" i="68"/>
  <c r="BP31" i="68"/>
  <c r="AP32" i="68"/>
  <c r="J34" i="68"/>
  <c r="Z34" i="68"/>
  <c r="BB34" i="68"/>
  <c r="L35" i="68"/>
  <c r="AB35" i="68"/>
  <c r="AN35" i="68"/>
  <c r="BP35" i="68"/>
  <c r="N36" i="68"/>
  <c r="AL36" i="68"/>
  <c r="BN36" i="68"/>
  <c r="X37" i="68"/>
  <c r="AN37" i="68"/>
  <c r="BD37" i="68"/>
  <c r="BP37" i="68"/>
  <c r="Z38" i="68"/>
  <c r="AL38" i="68"/>
  <c r="BB38" i="68"/>
  <c r="BR38" i="68"/>
  <c r="J40" i="68"/>
  <c r="AB41" i="68"/>
  <c r="N42" i="68"/>
  <c r="AN43" i="68"/>
  <c r="AZ43" i="68"/>
  <c r="J44" i="68"/>
  <c r="Z44" i="68"/>
  <c r="BN44" i="68"/>
  <c r="BR44" i="68"/>
  <c r="L45" i="68"/>
  <c r="BD45" i="68"/>
  <c r="Z46" i="68"/>
  <c r="AP46" i="68"/>
  <c r="L47" i="68"/>
  <c r="X47" i="68"/>
  <c r="AZ47" i="68"/>
  <c r="AL48" i="68"/>
  <c r="BD49" i="68"/>
  <c r="BP49" i="68"/>
  <c r="N50" i="68"/>
  <c r="AL50" i="68"/>
  <c r="BN50" i="68"/>
  <c r="BR50" i="68"/>
  <c r="BN52" i="68"/>
  <c r="BD53" i="68"/>
  <c r="BR54" i="68"/>
  <c r="X55" i="68"/>
  <c r="AN55" i="68"/>
  <c r="AZ55" i="68"/>
  <c r="BP55" i="68"/>
  <c r="L57" i="68"/>
  <c r="AB57" i="68"/>
  <c r="BD57" i="68"/>
  <c r="BR35" i="68"/>
  <c r="BR39" i="68"/>
  <c r="BR43" i="68"/>
  <c r="BR47" i="68"/>
  <c r="BR49" i="68"/>
  <c r="BR53" i="68"/>
  <c r="BR55" i="68"/>
  <c r="BR57" i="68"/>
  <c r="BR36" i="68"/>
  <c r="BR42" i="68"/>
  <c r="BR46" i="68"/>
  <c r="BP34" i="68"/>
  <c r="BP36" i="68"/>
  <c r="BP40" i="68"/>
  <c r="BP42" i="68"/>
  <c r="BP44" i="68"/>
  <c r="BP50" i="68"/>
  <c r="BP52" i="68"/>
  <c r="BP56" i="68"/>
  <c r="BP41" i="68"/>
  <c r="BP43" i="68"/>
  <c r="BP47" i="68"/>
  <c r="BP51" i="68"/>
  <c r="BN45" i="68"/>
  <c r="BN47" i="68"/>
  <c r="BN51" i="68"/>
  <c r="BN53" i="68"/>
  <c r="BN57" i="68"/>
  <c r="BN40" i="68"/>
  <c r="BN42" i="68"/>
  <c r="BN48" i="68"/>
  <c r="BN54" i="68"/>
  <c r="BN56" i="68"/>
  <c r="BD38" i="68"/>
  <c r="BD42" i="68"/>
  <c r="BD44" i="68"/>
  <c r="BD48" i="68"/>
  <c r="BD50" i="68"/>
  <c r="BD52" i="68"/>
  <c r="BD54" i="68"/>
  <c r="BD56" i="68"/>
  <c r="BD33" i="68"/>
  <c r="BD35" i="68"/>
  <c r="BD43" i="68"/>
  <c r="BD51" i="68"/>
  <c r="BB39" i="68"/>
  <c r="BB45" i="68"/>
  <c r="BB47" i="68"/>
  <c r="BB49" i="68"/>
  <c r="BB51" i="68"/>
  <c r="BB32" i="68"/>
  <c r="BB36" i="68"/>
  <c r="BB40" i="68"/>
  <c r="BB42" i="68"/>
  <c r="BB44" i="68"/>
  <c r="BB50" i="68"/>
  <c r="BB52" i="68"/>
  <c r="BB54" i="68"/>
  <c r="BB56" i="68"/>
  <c r="AZ42" i="68"/>
  <c r="AZ52" i="68"/>
  <c r="AZ54" i="68"/>
  <c r="AZ56" i="68"/>
  <c r="AZ33" i="68"/>
  <c r="AZ35" i="68"/>
  <c r="AZ41" i="68"/>
  <c r="AZ45" i="68"/>
  <c r="AZ49" i="68"/>
  <c r="AZ53" i="68"/>
  <c r="AZ57" i="68"/>
  <c r="AP35" i="68"/>
  <c r="AP43" i="68"/>
  <c r="AP45" i="68"/>
  <c r="AP47" i="68"/>
  <c r="AP51" i="68"/>
  <c r="AP34" i="68"/>
  <c r="AP38" i="68"/>
  <c r="AP40" i="68"/>
  <c r="AP42" i="68"/>
  <c r="AP48" i="68"/>
  <c r="AP50" i="68"/>
  <c r="AP52" i="68"/>
  <c r="AP54" i="68"/>
  <c r="AP56" i="68"/>
  <c r="AN32" i="68"/>
  <c r="AN36" i="68"/>
  <c r="AN40" i="68"/>
  <c r="AN42" i="68"/>
  <c r="AN44" i="68"/>
  <c r="AN48" i="68"/>
  <c r="AN50" i="68"/>
  <c r="AN52" i="68"/>
  <c r="AN54" i="68"/>
  <c r="AN56" i="68"/>
  <c r="AN39" i="68"/>
  <c r="AN45" i="68"/>
  <c r="AN49" i="68"/>
  <c r="AL33" i="68"/>
  <c r="AL35" i="68"/>
  <c r="AL45" i="68"/>
  <c r="AL49" i="68"/>
  <c r="AL53" i="68"/>
  <c r="AL42" i="68"/>
  <c r="AL52" i="68"/>
  <c r="AL54" i="68"/>
  <c r="AL56" i="68"/>
  <c r="AB34" i="68"/>
  <c r="AB42" i="68"/>
  <c r="AB44" i="68"/>
  <c r="AB54" i="68"/>
  <c r="AB56" i="68"/>
  <c r="AB33" i="68"/>
  <c r="AB39" i="68"/>
  <c r="AB43" i="68"/>
  <c r="AB47" i="68"/>
  <c r="AB49" i="68"/>
  <c r="AB51" i="68"/>
  <c r="AB53" i="68"/>
  <c r="Z37" i="68"/>
  <c r="Z39" i="68"/>
  <c r="Z43" i="68"/>
  <c r="Z45" i="68"/>
  <c r="Z49" i="68"/>
  <c r="Z32" i="68"/>
  <c r="Z40" i="68"/>
  <c r="Z48" i="68"/>
  <c r="Z50" i="68"/>
  <c r="Z52" i="68"/>
  <c r="Z54" i="68"/>
  <c r="Z56" i="68"/>
  <c r="X42" i="68"/>
  <c r="X52" i="68"/>
  <c r="X54" i="68"/>
  <c r="X56" i="68"/>
  <c r="X35" i="68"/>
  <c r="X41" i="68"/>
  <c r="X49" i="68"/>
  <c r="X53" i="68"/>
  <c r="X57" i="68"/>
  <c r="N33" i="68"/>
  <c r="N41" i="68"/>
  <c r="N43" i="68"/>
  <c r="N47" i="68"/>
  <c r="N49" i="68"/>
  <c r="N51" i="68"/>
  <c r="N53" i="68"/>
  <c r="N57" i="68"/>
  <c r="N32" i="68"/>
  <c r="N40" i="68"/>
  <c r="N44" i="68"/>
  <c r="N54" i="68"/>
  <c r="N56" i="68"/>
  <c r="L39" i="68"/>
  <c r="L41" i="68"/>
  <c r="L49" i="68"/>
  <c r="L51" i="68"/>
  <c r="L55" i="68"/>
  <c r="L32" i="68"/>
  <c r="L36" i="68"/>
  <c r="L38" i="68"/>
  <c r="L44" i="68"/>
  <c r="L46" i="68"/>
  <c r="L48" i="68"/>
  <c r="L52" i="68"/>
  <c r="L54" i="68"/>
  <c r="L56" i="68"/>
  <c r="J33" i="68"/>
  <c r="J35" i="68"/>
  <c r="J42" i="68"/>
  <c r="J39" i="68"/>
  <c r="J43" i="68"/>
  <c r="J47" i="68"/>
  <c r="J49" i="68"/>
  <c r="J51" i="68"/>
  <c r="J53" i="68"/>
  <c r="J57" i="68"/>
  <c r="J46" i="68"/>
  <c r="J50" i="68"/>
  <c r="J52" i="68"/>
  <c r="J54" i="68"/>
  <c r="J56" i="68"/>
  <c r="Q4" i="29"/>
  <c r="R4" i="29"/>
  <c r="R3" i="29"/>
  <c r="S35" i="26"/>
  <c r="S30" i="26"/>
  <c r="S39" i="26"/>
  <c r="S20" i="26"/>
  <c r="S12" i="26"/>
  <c r="T3" i="29"/>
  <c r="U4" i="29"/>
  <c r="U22" i="29"/>
  <c r="U31" i="29"/>
  <c r="U12" i="29"/>
  <c r="U27" i="29"/>
  <c r="L181" i="37"/>
  <c r="L176" i="37"/>
  <c r="L185" i="37"/>
  <c r="L166" i="37"/>
  <c r="F3" i="48"/>
  <c r="L158" i="37"/>
  <c r="L157" i="37"/>
  <c r="J5" i="30"/>
  <c r="K3" i="30"/>
  <c r="R36" i="30"/>
  <c r="R31" i="30"/>
  <c r="R13" i="30"/>
  <c r="R40" i="30"/>
  <c r="R21" i="30"/>
  <c r="K4" i="30"/>
  <c r="K2" i="30"/>
  <c r="M33" i="67"/>
  <c r="E53" i="67"/>
  <c r="E57" i="67"/>
  <c r="I28" i="53"/>
  <c r="G28" i="53"/>
  <c r="T7" i="53"/>
  <c r="S3" i="29"/>
  <c r="P18" i="23"/>
  <c r="U34" i="67"/>
  <c r="E43" i="67"/>
  <c r="AE46" i="67"/>
  <c r="AE45" i="67"/>
  <c r="W54" i="67"/>
  <c r="W44" i="67"/>
  <c r="N55" i="68"/>
  <c r="J31" i="68"/>
  <c r="W42" i="67"/>
  <c r="V48" i="67"/>
  <c r="BD36" i="68"/>
  <c r="U48" i="67"/>
  <c r="AM43" i="67"/>
  <c r="AM41" i="67"/>
  <c r="AL40" i="67"/>
  <c r="AM33" i="67"/>
  <c r="AL32" i="67"/>
  <c r="AL42" i="67"/>
  <c r="AM31" i="67"/>
  <c r="AK40" i="67"/>
  <c r="AK32" i="67"/>
  <c r="AK42" i="67"/>
  <c r="AE34" i="67"/>
  <c r="AE38" i="67"/>
  <c r="AE54" i="67"/>
  <c r="AE37" i="67"/>
  <c r="AE33" i="67"/>
  <c r="AE41" i="67"/>
  <c r="AE39" i="67"/>
  <c r="V39" i="67"/>
  <c r="W45" i="67"/>
  <c r="V47" i="67"/>
  <c r="U39" i="67"/>
  <c r="U47" i="67"/>
  <c r="W34" i="67"/>
  <c r="V46" i="67"/>
  <c r="V52" i="67"/>
  <c r="W53" i="67"/>
  <c r="V51" i="67"/>
  <c r="V42" i="67"/>
  <c r="W50" i="67"/>
  <c r="W48" i="67"/>
  <c r="V35" i="67"/>
  <c r="W41" i="67"/>
  <c r="V37" i="67"/>
  <c r="W39" i="67"/>
  <c r="V45" i="67"/>
  <c r="W47" i="67"/>
  <c r="V49" i="67"/>
  <c r="W51" i="67"/>
  <c r="U49" i="67"/>
  <c r="U46" i="67"/>
  <c r="U52" i="67"/>
  <c r="U51" i="67"/>
  <c r="U42" i="67"/>
  <c r="U35" i="67"/>
  <c r="U37" i="67"/>
  <c r="U45" i="67"/>
  <c r="N49" i="67"/>
  <c r="M49" i="67"/>
  <c r="N37" i="67"/>
  <c r="N46" i="67"/>
  <c r="O36" i="67"/>
  <c r="O49" i="67"/>
  <c r="O55" i="67"/>
  <c r="N54" i="67"/>
  <c r="M42" i="67"/>
  <c r="O39" i="67"/>
  <c r="N48" i="67"/>
  <c r="M48" i="67"/>
  <c r="O50" i="67"/>
  <c r="O40" i="67"/>
  <c r="N43" i="67"/>
  <c r="O33" i="67"/>
  <c r="N39" i="67"/>
  <c r="N35" i="67"/>
  <c r="O44" i="67"/>
  <c r="N42" i="67"/>
  <c r="O48" i="67"/>
  <c r="M37" i="67"/>
  <c r="M46" i="67"/>
  <c r="M54" i="67"/>
  <c r="M43" i="67"/>
  <c r="M39" i="67"/>
  <c r="M35" i="67"/>
  <c r="E56" i="67"/>
  <c r="E48" i="67"/>
  <c r="E47" i="67"/>
  <c r="E36" i="67"/>
  <c r="G48" i="67"/>
  <c r="F56" i="67"/>
  <c r="G40" i="67"/>
  <c r="G36" i="67"/>
  <c r="G34" i="67"/>
  <c r="F42" i="67"/>
  <c r="F48" i="67"/>
  <c r="F52" i="67"/>
  <c r="G56" i="67"/>
  <c r="G54" i="67"/>
  <c r="G49" i="67"/>
  <c r="F47" i="67"/>
  <c r="F40" i="67"/>
  <c r="F36" i="67"/>
  <c r="G46" i="67"/>
  <c r="F38" i="67"/>
  <c r="E42" i="67"/>
  <c r="E52" i="67"/>
  <c r="E40" i="67"/>
  <c r="E38" i="67"/>
  <c r="BB55" i="68"/>
  <c r="Z55" i="68"/>
  <c r="BB53" i="68"/>
  <c r="AN53" i="68"/>
  <c r="Z53" i="68"/>
  <c r="L53" i="68"/>
  <c r="BP48" i="68"/>
  <c r="BB48" i="68"/>
  <c r="AN47" i="68"/>
  <c r="Z47" i="68"/>
  <c r="BP46" i="68"/>
  <c r="BB46" i="68"/>
  <c r="AN46" i="68"/>
  <c r="BP45" i="68"/>
  <c r="BB43" i="68"/>
  <c r="L43" i="68"/>
  <c r="Z42" i="68"/>
  <c r="L42" i="68"/>
  <c r="BB41" i="68"/>
  <c r="AN41" i="68"/>
  <c r="Z41" i="68"/>
  <c r="L40" i="68"/>
  <c r="BP39" i="68"/>
  <c r="BP38" i="68"/>
  <c r="AN38" i="68"/>
  <c r="BB37" i="68"/>
  <c r="L37" i="68"/>
  <c r="Z36" i="68"/>
  <c r="BB35" i="68"/>
  <c r="Z35" i="68"/>
  <c r="AN34" i="68"/>
  <c r="L34" i="68"/>
  <c r="BB33" i="68"/>
  <c r="AN33" i="68"/>
  <c r="Z33" i="68"/>
  <c r="L33" i="68"/>
  <c r="BB31" i="68"/>
  <c r="Z31" i="68"/>
  <c r="AP53" i="68"/>
  <c r="AB52" i="68"/>
  <c r="X51" i="68"/>
  <c r="AP49" i="68"/>
  <c r="X46" i="68"/>
  <c r="BR45" i="68"/>
  <c r="AL44" i="68"/>
  <c r="X43" i="68"/>
  <c r="AB40" i="68"/>
  <c r="BN38" i="68"/>
  <c r="BD34" i="68"/>
  <c r="X34" i="68"/>
  <c r="AP33" i="68"/>
  <c r="AZ31" i="68"/>
  <c r="X31" i="68"/>
  <c r="BD39" i="68"/>
  <c r="N38" i="68"/>
  <c r="AL34" i="68"/>
  <c r="J37" i="68"/>
  <c r="J36" i="68"/>
  <c r="BR52" i="68"/>
  <c r="AL51" i="68"/>
  <c r="BR48" i="68"/>
  <c r="AZ44" i="68"/>
  <c r="AP39" i="68"/>
  <c r="N39" i="68"/>
  <c r="AB38" i="68"/>
  <c r="AZ32" i="68"/>
  <c r="BN31" i="68"/>
  <c r="AL31" i="68"/>
  <c r="AP57" i="68"/>
  <c r="BR37" i="68"/>
  <c r="AZ46" i="68"/>
  <c r="J41" i="68"/>
  <c r="S11" i="26"/>
  <c r="O11" i="26"/>
  <c r="E164" i="38"/>
  <c r="G164" i="38"/>
  <c r="F164" i="38"/>
  <c r="E162" i="38"/>
  <c r="G162" i="38"/>
  <c r="F162" i="38"/>
  <c r="E160" i="38"/>
  <c r="G160" i="38"/>
  <c r="F160" i="38"/>
  <c r="E174" i="38"/>
  <c r="G174" i="38"/>
  <c r="F174" i="38"/>
  <c r="E172" i="38"/>
  <c r="G172" i="38"/>
  <c r="F172" i="38"/>
  <c r="E170" i="38"/>
  <c r="G170" i="38"/>
  <c r="F170" i="38"/>
  <c r="E168" i="38"/>
  <c r="G168" i="38"/>
  <c r="F168" i="38"/>
  <c r="E179" i="38"/>
  <c r="G179" i="38"/>
  <c r="F179" i="38"/>
  <c r="E182" i="38"/>
  <c r="G182" i="38"/>
  <c r="F182" i="38"/>
  <c r="E184" i="38"/>
  <c r="G184" i="38"/>
  <c r="F184" i="38"/>
  <c r="E186" i="38"/>
  <c r="G186" i="38"/>
  <c r="F186" i="38"/>
  <c r="E189" i="38"/>
  <c r="G189" i="38"/>
  <c r="F189" i="38"/>
  <c r="E187" i="38"/>
  <c r="G187" i="38"/>
  <c r="F187" i="38"/>
  <c r="U3" i="29"/>
  <c r="E159" i="38"/>
  <c r="G159" i="38"/>
  <c r="F159" i="38"/>
  <c r="E165" i="38"/>
  <c r="G165" i="38"/>
  <c r="F165" i="38"/>
  <c r="E163" i="38"/>
  <c r="G163" i="38"/>
  <c r="F163" i="38"/>
  <c r="E161" i="38"/>
  <c r="G161" i="38"/>
  <c r="F161" i="38"/>
  <c r="E167" i="38"/>
  <c r="G167" i="38"/>
  <c r="F167" i="38"/>
  <c r="E175" i="38"/>
  <c r="G175" i="38"/>
  <c r="F175" i="38"/>
  <c r="E173" i="38"/>
  <c r="G173" i="38"/>
  <c r="F173" i="38"/>
  <c r="E171" i="38"/>
  <c r="G171" i="38"/>
  <c r="F171" i="38"/>
  <c r="E169" i="38"/>
  <c r="G169" i="38"/>
  <c r="F169" i="38"/>
  <c r="E177" i="38"/>
  <c r="G177" i="38"/>
  <c r="F177" i="38"/>
  <c r="E180" i="38"/>
  <c r="G180" i="38"/>
  <c r="F180" i="38"/>
  <c r="E178" i="38"/>
  <c r="G178" i="38"/>
  <c r="F178" i="38"/>
  <c r="E183" i="38"/>
  <c r="G183" i="38"/>
  <c r="F183" i="38"/>
  <c r="E188" i="38"/>
  <c r="G188" i="38"/>
  <c r="F188" i="38"/>
  <c r="R12" i="30"/>
  <c r="T14" i="30"/>
  <c r="T16" i="30"/>
  <c r="T18" i="30"/>
  <c r="T20" i="30"/>
  <c r="T23" i="30"/>
  <c r="T25" i="30"/>
  <c r="T27" i="30"/>
  <c r="T29" i="30"/>
  <c r="T32" i="30"/>
  <c r="T34" i="30"/>
  <c r="T37" i="30"/>
  <c r="T39" i="30"/>
  <c r="T42" i="30"/>
  <c r="T44" i="30"/>
  <c r="T15" i="30"/>
  <c r="T17" i="30"/>
  <c r="T19" i="30"/>
  <c r="T22" i="30"/>
  <c r="T24" i="30"/>
  <c r="T26" i="30"/>
  <c r="T28" i="30"/>
  <c r="T30" i="30"/>
  <c r="T33" i="30"/>
  <c r="T35" i="30"/>
  <c r="T38" i="30"/>
  <c r="T41" i="30"/>
  <c r="T43" i="30"/>
  <c r="S15" i="30"/>
  <c r="S17" i="30"/>
  <c r="S19" i="30"/>
  <c r="S22" i="30"/>
  <c r="S24" i="30"/>
  <c r="S26" i="30"/>
  <c r="S28" i="30"/>
  <c r="S30" i="30"/>
  <c r="S33" i="30"/>
  <c r="S35" i="30"/>
  <c r="S38" i="30"/>
  <c r="S41" i="30"/>
  <c r="S43" i="30"/>
  <c r="S14" i="30"/>
  <c r="S16" i="30"/>
  <c r="S18" i="30"/>
  <c r="S20" i="30"/>
  <c r="S23" i="30"/>
  <c r="S25" i="30"/>
  <c r="S27" i="30"/>
  <c r="S29" i="30"/>
  <c r="S32" i="30"/>
  <c r="S34" i="30"/>
  <c r="S37" i="30"/>
  <c r="S39" i="30"/>
  <c r="S42" i="30"/>
  <c r="S44" i="30"/>
  <c r="U15" i="30"/>
  <c r="U17" i="30"/>
  <c r="U19" i="30"/>
  <c r="U22" i="30"/>
  <c r="U24" i="30"/>
  <c r="U26" i="30"/>
  <c r="U28" i="30"/>
  <c r="U30" i="30"/>
  <c r="U33" i="30"/>
  <c r="U35" i="30"/>
  <c r="U38" i="30"/>
  <c r="U41" i="30"/>
  <c r="U43" i="30"/>
  <c r="U14" i="30"/>
  <c r="U16" i="30"/>
  <c r="U18" i="30"/>
  <c r="U20" i="30"/>
  <c r="U23" i="30"/>
  <c r="U25" i="30"/>
  <c r="U27" i="30"/>
  <c r="U29" i="30"/>
  <c r="U32" i="30"/>
  <c r="U34" i="30"/>
  <c r="U37" i="30"/>
  <c r="U39" i="30"/>
  <c r="U42" i="30"/>
  <c r="U44" i="30"/>
  <c r="K5" i="30"/>
  <c r="G176" i="38"/>
  <c r="F166" i="38"/>
  <c r="E166" i="38"/>
  <c r="G158" i="38"/>
  <c r="F185" i="38"/>
  <c r="E185" i="38"/>
  <c r="G181" i="38"/>
  <c r="F176" i="38"/>
  <c r="E176" i="38"/>
  <c r="G166" i="38"/>
  <c r="F158" i="38"/>
  <c r="E158" i="38"/>
  <c r="G185" i="38"/>
  <c r="F181" i="38"/>
  <c r="E181" i="38"/>
  <c r="G187" i="37"/>
  <c r="G182" i="37"/>
  <c r="G177" i="37"/>
  <c r="G172" i="37"/>
  <c r="G168" i="37"/>
  <c r="G163" i="37"/>
  <c r="G159" i="37"/>
  <c r="G186" i="37"/>
  <c r="G180" i="37"/>
  <c r="G175" i="37"/>
  <c r="G171" i="37"/>
  <c r="G167" i="37"/>
  <c r="G162" i="37"/>
  <c r="E189" i="37"/>
  <c r="E184" i="37"/>
  <c r="E179" i="37"/>
  <c r="E174" i="37"/>
  <c r="E170" i="37"/>
  <c r="E165" i="37"/>
  <c r="E161" i="37"/>
  <c r="E188" i="37"/>
  <c r="E183" i="37"/>
  <c r="E178" i="37"/>
  <c r="E173" i="37"/>
  <c r="E169" i="37"/>
  <c r="E164" i="37"/>
  <c r="E160" i="37"/>
  <c r="F186" i="37"/>
  <c r="F180" i="37"/>
  <c r="F175" i="37"/>
  <c r="F171" i="37"/>
  <c r="F167" i="37"/>
  <c r="F162" i="37"/>
  <c r="F189" i="37"/>
  <c r="F184" i="37"/>
  <c r="F179" i="37"/>
  <c r="F174" i="37"/>
  <c r="F170" i="37"/>
  <c r="F165" i="37"/>
  <c r="F161" i="37"/>
  <c r="G189" i="37"/>
  <c r="G184" i="37"/>
  <c r="G179" i="37"/>
  <c r="G174" i="37"/>
  <c r="G170" i="37"/>
  <c r="G165" i="37"/>
  <c r="G161" i="37"/>
  <c r="G188" i="37"/>
  <c r="G183" i="37"/>
  <c r="G178" i="37"/>
  <c r="G173" i="37"/>
  <c r="G169" i="37"/>
  <c r="G164" i="37"/>
  <c r="G160" i="37"/>
  <c r="E187" i="37"/>
  <c r="E182" i="37"/>
  <c r="E177" i="37"/>
  <c r="E172" i="37"/>
  <c r="E168" i="37"/>
  <c r="E163" i="37"/>
  <c r="E159" i="37"/>
  <c r="E186" i="37"/>
  <c r="E180" i="37"/>
  <c r="E175" i="37"/>
  <c r="E171" i="37"/>
  <c r="E167" i="37"/>
  <c r="E162" i="37"/>
  <c r="F188" i="37"/>
  <c r="F183" i="37"/>
  <c r="F178" i="37"/>
  <c r="F173" i="37"/>
  <c r="F169" i="37"/>
  <c r="F164" i="37"/>
  <c r="F160" i="37"/>
  <c r="F187" i="37"/>
  <c r="F182" i="37"/>
  <c r="F177" i="37"/>
  <c r="F176" i="37"/>
  <c r="F172" i="37"/>
  <c r="F168" i="37"/>
  <c r="F163" i="37"/>
  <c r="F159" i="37"/>
  <c r="F158" i="37"/>
  <c r="U36" i="30"/>
  <c r="U31" i="30"/>
  <c r="T40" i="30"/>
  <c r="S36" i="30"/>
  <c r="S31" i="30"/>
  <c r="S13" i="30"/>
  <c r="S40" i="30"/>
  <c r="S21" i="30"/>
  <c r="T36" i="30"/>
  <c r="T31" i="30"/>
  <c r="T13" i="30"/>
  <c r="U13" i="30"/>
  <c r="U40" i="30"/>
  <c r="U21" i="30"/>
  <c r="T21" i="30"/>
  <c r="C32" i="65"/>
  <c r="C13" i="65"/>
  <c r="C28" i="65"/>
  <c r="C23" i="65"/>
  <c r="C5" i="65"/>
  <c r="C4" i="65"/>
  <c r="U162" i="37"/>
  <c r="AC162" i="37"/>
  <c r="U171" i="37"/>
  <c r="AC171" i="37"/>
  <c r="U180" i="37"/>
  <c r="AC180" i="37"/>
  <c r="E157" i="38"/>
  <c r="F157" i="38"/>
  <c r="G157" i="38"/>
  <c r="F181" i="37"/>
  <c r="U175" i="37"/>
  <c r="AC175" i="37"/>
  <c r="F166" i="37"/>
  <c r="F185" i="37"/>
  <c r="U160" i="37"/>
  <c r="AC160" i="37"/>
  <c r="U164" i="37"/>
  <c r="AC164" i="37"/>
  <c r="U169" i="37"/>
  <c r="AC169" i="37"/>
  <c r="U173" i="37"/>
  <c r="AC173" i="37"/>
  <c r="U178" i="37"/>
  <c r="AC178" i="37"/>
  <c r="U183" i="37"/>
  <c r="AC183" i="37"/>
  <c r="U188" i="37"/>
  <c r="AC188" i="37"/>
  <c r="U161" i="37"/>
  <c r="AC161" i="37"/>
  <c r="U165" i="37"/>
  <c r="AC165" i="37"/>
  <c r="U170" i="37"/>
  <c r="AC170" i="37"/>
  <c r="U174" i="37"/>
  <c r="AC174" i="37"/>
  <c r="U179" i="37"/>
  <c r="AC179" i="37"/>
  <c r="U184" i="37"/>
  <c r="AC184" i="37"/>
  <c r="U189" i="37"/>
  <c r="AC189" i="37"/>
  <c r="G166" i="37"/>
  <c r="G185" i="37"/>
  <c r="G158" i="37"/>
  <c r="G176" i="37"/>
  <c r="G181" i="37"/>
  <c r="E166" i="37"/>
  <c r="U167" i="37"/>
  <c r="AC167" i="37"/>
  <c r="E185" i="37"/>
  <c r="U185" i="37"/>
  <c r="U186" i="37"/>
  <c r="AC186" i="37"/>
  <c r="E158" i="37"/>
  <c r="U159" i="37"/>
  <c r="AC159" i="37"/>
  <c r="E176" i="37"/>
  <c r="U176" i="37"/>
  <c r="U177" i="37"/>
  <c r="AC177" i="37"/>
  <c r="E181" i="37"/>
  <c r="U182" i="37"/>
  <c r="AC182" i="37"/>
  <c r="F157" i="37"/>
  <c r="U163" i="37"/>
  <c r="AC163" i="37"/>
  <c r="U168" i="37"/>
  <c r="AC168" i="37"/>
  <c r="U172" i="37"/>
  <c r="AC172" i="37"/>
  <c r="U187" i="37"/>
  <c r="AC187" i="37"/>
  <c r="U12" i="30"/>
  <c r="S12" i="30"/>
  <c r="T12" i="30"/>
  <c r="C5" i="64"/>
  <c r="C13" i="64"/>
  <c r="C23" i="64"/>
  <c r="C28" i="64"/>
  <c r="C32" i="64"/>
  <c r="U181" i="37"/>
  <c r="G157" i="37"/>
  <c r="E157" i="37"/>
  <c r="U158" i="37"/>
  <c r="U166" i="37"/>
  <c r="C4" i="64"/>
  <c r="P16" i="22"/>
  <c r="AG16" i="22"/>
  <c r="AX16" i="22"/>
  <c r="O16" i="22"/>
  <c r="AF16" i="22"/>
  <c r="AW16" i="22"/>
  <c r="AE16" i="22"/>
  <c r="AV16" i="22"/>
  <c r="P15" i="22"/>
  <c r="AG15" i="22"/>
  <c r="AX15" i="22"/>
  <c r="O15" i="22"/>
  <c r="AF15" i="22"/>
  <c r="AW15" i="22"/>
  <c r="AE15" i="22"/>
  <c r="AV15" i="22"/>
  <c r="P14" i="22"/>
  <c r="AG14" i="22"/>
  <c r="AX14" i="22"/>
  <c r="O14" i="22"/>
  <c r="AF14" i="22"/>
  <c r="AW14" i="22"/>
  <c r="AE14" i="22"/>
  <c r="AV14" i="22"/>
  <c r="P13" i="22"/>
  <c r="AG13" i="22"/>
  <c r="AX13" i="22"/>
  <c r="O13" i="22"/>
  <c r="AF13" i="22"/>
  <c r="AW13" i="22"/>
  <c r="AE13" i="22"/>
  <c r="AV13" i="22"/>
  <c r="P12" i="22"/>
  <c r="AG12" i="22"/>
  <c r="AX12" i="22"/>
  <c r="O12" i="22"/>
  <c r="AF12" i="22"/>
  <c r="AW12" i="22"/>
  <c r="AE12" i="22"/>
  <c r="AV12" i="22"/>
  <c r="P11" i="22"/>
  <c r="AG11" i="22"/>
  <c r="AX11" i="22"/>
  <c r="O11" i="22"/>
  <c r="AF11" i="22"/>
  <c r="AW11" i="22"/>
  <c r="AE11" i="22"/>
  <c r="AV11" i="22"/>
  <c r="P10" i="22"/>
  <c r="AG10" i="22"/>
  <c r="AX10" i="22"/>
  <c r="O10" i="22"/>
  <c r="AF10" i="22"/>
  <c r="AW10" i="22"/>
  <c r="AE10" i="22"/>
  <c r="AV10" i="22"/>
  <c r="P9" i="22"/>
  <c r="AG9" i="22"/>
  <c r="AX9" i="22"/>
  <c r="O9" i="22"/>
  <c r="AF9" i="22"/>
  <c r="AW9" i="22"/>
  <c r="AE9" i="22"/>
  <c r="AV9" i="22"/>
  <c r="P16" i="23"/>
  <c r="AG16" i="23"/>
  <c r="AX16" i="23"/>
  <c r="O16" i="23"/>
  <c r="AF16" i="23"/>
  <c r="AW16" i="23"/>
  <c r="AE16" i="23"/>
  <c r="AV16" i="23"/>
  <c r="P15" i="23"/>
  <c r="AG15" i="23"/>
  <c r="AX15" i="23"/>
  <c r="O15" i="23"/>
  <c r="AF15" i="23"/>
  <c r="AW15" i="23"/>
  <c r="AE15" i="23"/>
  <c r="AV15" i="23"/>
  <c r="P14" i="23"/>
  <c r="AG14" i="23"/>
  <c r="AX14" i="23"/>
  <c r="O14" i="23"/>
  <c r="AF14" i="23"/>
  <c r="AW14" i="23"/>
  <c r="AE14" i="23"/>
  <c r="AV14" i="23"/>
  <c r="P13" i="23"/>
  <c r="AG13" i="23"/>
  <c r="AX13" i="23"/>
  <c r="O13" i="23"/>
  <c r="AF13" i="23"/>
  <c r="AW13" i="23"/>
  <c r="AE13" i="23"/>
  <c r="AV13" i="23"/>
  <c r="P12" i="23"/>
  <c r="AG12" i="23"/>
  <c r="AX12" i="23"/>
  <c r="O12" i="23"/>
  <c r="AF12" i="23"/>
  <c r="AW12" i="23"/>
  <c r="AE12" i="23"/>
  <c r="AV12" i="23"/>
  <c r="P11" i="23"/>
  <c r="AG11" i="23"/>
  <c r="AX11" i="23"/>
  <c r="O11" i="23"/>
  <c r="AF11" i="23"/>
  <c r="AW11" i="23"/>
  <c r="AE11" i="23"/>
  <c r="AV11" i="23"/>
  <c r="P10" i="23"/>
  <c r="AG10" i="23"/>
  <c r="AX10" i="23"/>
  <c r="O10" i="23"/>
  <c r="AF10" i="23"/>
  <c r="AW10" i="23"/>
  <c r="AE10" i="23"/>
  <c r="AV10" i="23"/>
  <c r="P9" i="23"/>
  <c r="AG9" i="23"/>
  <c r="AX9" i="23"/>
  <c r="O9" i="23"/>
  <c r="AF9" i="23"/>
  <c r="AW9" i="23"/>
  <c r="AE9" i="23"/>
  <c r="AV9" i="23"/>
  <c r="F21" i="27"/>
  <c r="F10" i="27"/>
  <c r="F9" i="27"/>
  <c r="F8" i="27"/>
  <c r="J3" i="22"/>
  <c r="J2" i="22"/>
  <c r="K18" i="17"/>
  <c r="J2" i="32"/>
  <c r="I105" i="16"/>
  <c r="U157" i="37"/>
  <c r="E159" i="41"/>
  <c r="E161" i="41"/>
  <c r="E163" i="41"/>
  <c r="E165" i="41"/>
  <c r="E167" i="41"/>
  <c r="E169" i="41"/>
  <c r="E171" i="41"/>
  <c r="E173" i="41"/>
  <c r="E175" i="41"/>
  <c r="E177" i="41"/>
  <c r="E179" i="41"/>
  <c r="E181" i="41"/>
  <c r="E183" i="41"/>
  <c r="E185" i="41"/>
  <c r="E187" i="41"/>
  <c r="E189" i="41"/>
  <c r="E157" i="41"/>
  <c r="E158" i="41"/>
  <c r="E160" i="41"/>
  <c r="E162" i="41"/>
  <c r="E164" i="41"/>
  <c r="E166" i="41"/>
  <c r="E168" i="41"/>
  <c r="E170" i="41"/>
  <c r="E172" i="41"/>
  <c r="E174" i="41"/>
  <c r="E176" i="41"/>
  <c r="E178" i="41"/>
  <c r="E180" i="41"/>
  <c r="E182" i="41"/>
  <c r="E184" i="41"/>
  <c r="E186" i="41"/>
  <c r="E188" i="41"/>
  <c r="G159" i="41"/>
  <c r="G161" i="41"/>
  <c r="G163" i="41"/>
  <c r="G165" i="41"/>
  <c r="G167" i="41"/>
  <c r="G169" i="41"/>
  <c r="G171" i="41"/>
  <c r="G173" i="41"/>
  <c r="G175" i="41"/>
  <c r="G177" i="41"/>
  <c r="G179" i="41"/>
  <c r="G181" i="41"/>
  <c r="G183" i="41"/>
  <c r="G185" i="41"/>
  <c r="G187" i="41"/>
  <c r="G189" i="41"/>
  <c r="G157" i="41"/>
  <c r="G158" i="41"/>
  <c r="G160" i="41"/>
  <c r="G162" i="41"/>
  <c r="G164" i="41"/>
  <c r="G166" i="41"/>
  <c r="G168" i="41"/>
  <c r="G170" i="41"/>
  <c r="G172" i="41"/>
  <c r="G174" i="41"/>
  <c r="G176" i="41"/>
  <c r="G178" i="41"/>
  <c r="G180" i="41"/>
  <c r="G182" i="41"/>
  <c r="G184" i="41"/>
  <c r="G186" i="41"/>
  <c r="G188" i="41"/>
  <c r="F159" i="41"/>
  <c r="F161" i="41"/>
  <c r="F163" i="41"/>
  <c r="F165" i="41"/>
  <c r="F167" i="41"/>
  <c r="F169" i="41"/>
  <c r="F171" i="41"/>
  <c r="F173" i="41"/>
  <c r="F175" i="41"/>
  <c r="F177" i="41"/>
  <c r="F179" i="41"/>
  <c r="F181" i="41"/>
  <c r="F183" i="41"/>
  <c r="F185" i="41"/>
  <c r="F187" i="41"/>
  <c r="F189" i="41"/>
  <c r="F158" i="41"/>
  <c r="F160" i="41"/>
  <c r="F162" i="41"/>
  <c r="F164" i="41"/>
  <c r="F166" i="41"/>
  <c r="F168" i="41"/>
  <c r="F170" i="41"/>
  <c r="F172" i="41"/>
  <c r="F174" i="41"/>
  <c r="F176" i="41"/>
  <c r="F178" i="41"/>
  <c r="F180" i="41"/>
  <c r="F182" i="41"/>
  <c r="F184" i="41"/>
  <c r="F186" i="41"/>
  <c r="F188" i="41"/>
  <c r="F157" i="41"/>
  <c r="O17" i="22"/>
  <c r="N159" i="41"/>
  <c r="N161" i="41"/>
  <c r="N163" i="41"/>
  <c r="N165" i="41"/>
  <c r="N167" i="41"/>
  <c r="N169" i="41"/>
  <c r="N171" i="41"/>
  <c r="N173" i="41"/>
  <c r="N175" i="41"/>
  <c r="N177" i="41"/>
  <c r="N179" i="41"/>
  <c r="N181" i="41"/>
  <c r="N183" i="41"/>
  <c r="N185" i="41"/>
  <c r="N187" i="41"/>
  <c r="N189" i="41"/>
  <c r="N158" i="41"/>
  <c r="N160" i="41"/>
  <c r="N162" i="41"/>
  <c r="N164" i="41"/>
  <c r="N166" i="41"/>
  <c r="N168" i="41"/>
  <c r="N170" i="41"/>
  <c r="N172" i="41"/>
  <c r="N174" i="41"/>
  <c r="N176" i="41"/>
  <c r="N178" i="41"/>
  <c r="N180" i="41"/>
  <c r="N182" i="41"/>
  <c r="N184" i="41"/>
  <c r="N186" i="41"/>
  <c r="N188" i="41"/>
  <c r="N157" i="41"/>
  <c r="AA57" i="32"/>
  <c r="AE17" i="22"/>
  <c r="AV17" i="22"/>
  <c r="AF17" i="22"/>
  <c r="AW17" i="22"/>
  <c r="J4" i="22"/>
  <c r="K3" i="22"/>
  <c r="K3" i="23"/>
  <c r="I112" i="16"/>
  <c r="I108" i="16"/>
  <c r="I104" i="16"/>
  <c r="I110" i="16"/>
  <c r="I106" i="16"/>
  <c r="I111" i="16"/>
  <c r="I109" i="16"/>
  <c r="I107" i="16"/>
  <c r="I103" i="16"/>
  <c r="K2" i="22"/>
  <c r="K4" i="22"/>
  <c r="O20" i="22"/>
  <c r="O24" i="22"/>
  <c r="O28" i="22"/>
  <c r="O32" i="22"/>
  <c r="O36" i="22"/>
  <c r="O40" i="22"/>
  <c r="O48" i="22"/>
  <c r="O21" i="22"/>
  <c r="O25" i="22"/>
  <c r="O31" i="22"/>
  <c r="O35" i="22"/>
  <c r="O41" i="22"/>
  <c r="O45" i="22"/>
  <c r="O49" i="22"/>
  <c r="P20" i="22"/>
  <c r="P22" i="22"/>
  <c r="P24" i="22"/>
  <c r="P26" i="22"/>
  <c r="P28" i="22"/>
  <c r="P30" i="22"/>
  <c r="P32" i="22"/>
  <c r="P34" i="22"/>
  <c r="P36" i="22"/>
  <c r="P38" i="22"/>
  <c r="P40" i="22"/>
  <c r="P44" i="22"/>
  <c r="P48" i="22"/>
  <c r="P50" i="22"/>
  <c r="P21" i="22"/>
  <c r="P23" i="22"/>
  <c r="P25" i="22"/>
  <c r="P29" i="22"/>
  <c r="P31" i="22"/>
  <c r="P33" i="22"/>
  <c r="P35" i="22"/>
  <c r="P39" i="22"/>
  <c r="P41" i="22"/>
  <c r="P43" i="22"/>
  <c r="P45" i="22"/>
  <c r="P47" i="22"/>
  <c r="P49" i="22"/>
  <c r="O20" i="23"/>
  <c r="O22" i="23"/>
  <c r="O24" i="23"/>
  <c r="O26" i="23"/>
  <c r="O28" i="23"/>
  <c r="O30" i="23"/>
  <c r="O32" i="23"/>
  <c r="O34" i="23"/>
  <c r="O36" i="23"/>
  <c r="O38" i="23"/>
  <c r="O40" i="23"/>
  <c r="O44" i="23"/>
  <c r="O48" i="23"/>
  <c r="O50" i="23"/>
  <c r="O21" i="23"/>
  <c r="O23" i="23"/>
  <c r="O25" i="23"/>
  <c r="O29" i="23"/>
  <c r="O31" i="23"/>
  <c r="O33" i="23"/>
  <c r="O35" i="23"/>
  <c r="O39" i="23"/>
  <c r="O41" i="23"/>
  <c r="O43" i="23"/>
  <c r="O45" i="23"/>
  <c r="O47" i="23"/>
  <c r="O49" i="23"/>
  <c r="K4" i="23"/>
  <c r="I113" i="16"/>
  <c r="N46" i="23"/>
  <c r="N42" i="23"/>
  <c r="O46" i="23"/>
  <c r="O42" i="23"/>
  <c r="O47" i="22"/>
  <c r="O43" i="22"/>
  <c r="AF43" i="22"/>
  <c r="O39" i="22"/>
  <c r="O33" i="22"/>
  <c r="N172" i="37"/>
  <c r="O29" i="22"/>
  <c r="O23" i="22"/>
  <c r="AF23" i="22"/>
  <c r="O50" i="22"/>
  <c r="O44" i="22"/>
  <c r="N183" i="37"/>
  <c r="O38" i="22"/>
  <c r="O34" i="22"/>
  <c r="AF34" i="22"/>
  <c r="O30" i="22"/>
  <c r="O26" i="22"/>
  <c r="AF26" i="22"/>
  <c r="O22" i="22"/>
  <c r="N27" i="23"/>
  <c r="N19" i="23"/>
  <c r="O27" i="23"/>
  <c r="O19" i="23"/>
  <c r="P46" i="22"/>
  <c r="P42" i="22"/>
  <c r="P37" i="22"/>
  <c r="O19" i="22"/>
  <c r="N37" i="23"/>
  <c r="O37" i="23"/>
  <c r="P27" i="22"/>
  <c r="P19" i="22"/>
  <c r="O42" i="22"/>
  <c r="O37" i="22"/>
  <c r="K186" i="37"/>
  <c r="K182" i="37"/>
  <c r="K178" i="37"/>
  <c r="K174" i="37"/>
  <c r="K170" i="37"/>
  <c r="K162" i="37"/>
  <c r="K189" i="37"/>
  <c r="K177" i="37"/>
  <c r="K173" i="37"/>
  <c r="K169" i="37"/>
  <c r="K165" i="37"/>
  <c r="K161" i="37"/>
  <c r="O186" i="37"/>
  <c r="O182" i="37"/>
  <c r="O178" i="37"/>
  <c r="O174" i="37"/>
  <c r="O170" i="37"/>
  <c r="O162" i="37"/>
  <c r="O187" i="37"/>
  <c r="O183" i="37"/>
  <c r="O179" i="37"/>
  <c r="O175" i="37"/>
  <c r="O171" i="37"/>
  <c r="O167" i="37"/>
  <c r="O163" i="37"/>
  <c r="O159" i="37"/>
  <c r="AF47" i="22"/>
  <c r="N186" i="37"/>
  <c r="AF39" i="22"/>
  <c r="N178" i="37"/>
  <c r="W178" i="37"/>
  <c r="AE178" i="37"/>
  <c r="AF35" i="22"/>
  <c r="N174" i="37"/>
  <c r="AF31" i="22"/>
  <c r="N170" i="37"/>
  <c r="W170" i="37"/>
  <c r="AE170" i="37"/>
  <c r="AF50" i="22"/>
  <c r="N189" i="37"/>
  <c r="AF38" i="22"/>
  <c r="N177" i="37"/>
  <c r="N173" i="37"/>
  <c r="AF30" i="22"/>
  <c r="N169" i="37"/>
  <c r="AF22" i="22"/>
  <c r="N161" i="37"/>
  <c r="K188" i="37"/>
  <c r="K184" i="37"/>
  <c r="K180" i="37"/>
  <c r="K172" i="37"/>
  <c r="K168" i="37"/>
  <c r="K164" i="37"/>
  <c r="K160" i="37"/>
  <c r="K187" i="37"/>
  <c r="K183" i="37"/>
  <c r="K179" i="37"/>
  <c r="K175" i="37"/>
  <c r="K171" i="37"/>
  <c r="K167" i="37"/>
  <c r="K163" i="37"/>
  <c r="K159" i="37"/>
  <c r="O188" i="37"/>
  <c r="O184" i="37"/>
  <c r="O180" i="37"/>
  <c r="O172" i="37"/>
  <c r="O168" i="37"/>
  <c r="O164" i="37"/>
  <c r="O160" i="37"/>
  <c r="O189" i="37"/>
  <c r="O177" i="37"/>
  <c r="O173" i="37"/>
  <c r="O169" i="37"/>
  <c r="O165" i="37"/>
  <c r="O161" i="37"/>
  <c r="AF49" i="22"/>
  <c r="N188" i="37"/>
  <c r="W188" i="37"/>
  <c r="AE188" i="37"/>
  <c r="AF45" i="22"/>
  <c r="N184" i="37"/>
  <c r="AF41" i="22"/>
  <c r="N180" i="37"/>
  <c r="W180" i="37"/>
  <c r="AE180" i="37"/>
  <c r="AF33" i="22"/>
  <c r="AF29" i="22"/>
  <c r="N168" i="37"/>
  <c r="AF25" i="22"/>
  <c r="N164" i="37"/>
  <c r="W164" i="37"/>
  <c r="AE164" i="37"/>
  <c r="AF21" i="22"/>
  <c r="N160" i="37"/>
  <c r="AF48" i="22"/>
  <c r="N187" i="37"/>
  <c r="AF44" i="22"/>
  <c r="AF40" i="22"/>
  <c r="N179" i="37"/>
  <c r="AF36" i="22"/>
  <c r="N175" i="37"/>
  <c r="AF32" i="22"/>
  <c r="N171" i="37"/>
  <c r="AF28" i="22"/>
  <c r="N167" i="37"/>
  <c r="AF24" i="22"/>
  <c r="N163" i="37"/>
  <c r="AF20" i="22"/>
  <c r="N159" i="37"/>
  <c r="W160" i="37"/>
  <c r="AE160" i="37"/>
  <c r="W168" i="37"/>
  <c r="AE168" i="37"/>
  <c r="W174" i="37"/>
  <c r="AE174" i="37"/>
  <c r="N182" i="37"/>
  <c r="N165" i="37"/>
  <c r="N162" i="37"/>
  <c r="W184" i="37"/>
  <c r="AE184" i="37"/>
  <c r="W162" i="37"/>
  <c r="AE162" i="37"/>
  <c r="W172" i="37"/>
  <c r="AE172" i="37"/>
  <c r="O27" i="22"/>
  <c r="O46" i="22"/>
  <c r="AF46" i="22"/>
  <c r="P18" i="22"/>
  <c r="O18" i="23"/>
  <c r="N18" i="23"/>
  <c r="AF27" i="22"/>
  <c r="AF19" i="22"/>
  <c r="AF37" i="22"/>
  <c r="AF42" i="22"/>
  <c r="W163" i="37"/>
  <c r="AE163" i="37"/>
  <c r="W171" i="37"/>
  <c r="AE171" i="37"/>
  <c r="W175" i="37"/>
  <c r="AE175" i="37"/>
  <c r="W179" i="37"/>
  <c r="AE179" i="37"/>
  <c r="W183" i="37"/>
  <c r="AE183" i="37"/>
  <c r="W187" i="37"/>
  <c r="AE187" i="37"/>
  <c r="O176" i="37"/>
  <c r="K158" i="37"/>
  <c r="K166" i="37"/>
  <c r="V162" i="37"/>
  <c r="AD162" i="37"/>
  <c r="V170" i="37"/>
  <c r="AD170" i="37"/>
  <c r="V174" i="37"/>
  <c r="AD174" i="37"/>
  <c r="V178" i="37"/>
  <c r="AD178" i="37"/>
  <c r="N158" i="37"/>
  <c r="W159" i="37"/>
  <c r="AE159" i="37"/>
  <c r="N166" i="37"/>
  <c r="W167" i="37"/>
  <c r="AE167" i="37"/>
  <c r="V159" i="37"/>
  <c r="AD159" i="37"/>
  <c r="V167" i="37"/>
  <c r="AD167" i="37"/>
  <c r="V182" i="37"/>
  <c r="AD182" i="37"/>
  <c r="V186" i="37"/>
  <c r="AD186" i="37"/>
  <c r="N176" i="37"/>
  <c r="W177" i="37"/>
  <c r="AE177" i="37"/>
  <c r="N181" i="37"/>
  <c r="W182" i="37"/>
  <c r="AE182" i="37"/>
  <c r="N185" i="37"/>
  <c r="W186" i="37"/>
  <c r="AE186" i="37"/>
  <c r="V177" i="37"/>
  <c r="AD177" i="37"/>
  <c r="V163" i="37"/>
  <c r="AD163" i="37"/>
  <c r="V171" i="37"/>
  <c r="AD171" i="37"/>
  <c r="V175" i="37"/>
  <c r="AD175" i="37"/>
  <c r="V179" i="37"/>
  <c r="AD179" i="37"/>
  <c r="V183" i="37"/>
  <c r="AD183" i="37"/>
  <c r="V187" i="37"/>
  <c r="AD187" i="37"/>
  <c r="W161" i="37"/>
  <c r="AE161" i="37"/>
  <c r="W165" i="37"/>
  <c r="AE165" i="37"/>
  <c r="W169" i="37"/>
  <c r="AE169" i="37"/>
  <c r="W173" i="37"/>
  <c r="AE173" i="37"/>
  <c r="W189" i="37"/>
  <c r="AE189" i="37"/>
  <c r="O158" i="37"/>
  <c r="O166" i="37"/>
  <c r="O181" i="37"/>
  <c r="O185" i="37"/>
  <c r="K176" i="37"/>
  <c r="K181" i="37"/>
  <c r="K185" i="37"/>
  <c r="V161" i="37"/>
  <c r="AD161" i="37"/>
  <c r="V165" i="37"/>
  <c r="AD165" i="37"/>
  <c r="V169" i="37"/>
  <c r="AD169" i="37"/>
  <c r="V173" i="37"/>
  <c r="AD173" i="37"/>
  <c r="V189" i="37"/>
  <c r="AD189" i="37"/>
  <c r="V160" i="37"/>
  <c r="AD160" i="37"/>
  <c r="V164" i="37"/>
  <c r="AD164" i="37"/>
  <c r="V168" i="37"/>
  <c r="AD168" i="37"/>
  <c r="V172" i="37"/>
  <c r="AD172" i="37"/>
  <c r="V180" i="37"/>
  <c r="AD180" i="37"/>
  <c r="V184" i="37"/>
  <c r="AD184" i="37"/>
  <c r="V188" i="37"/>
  <c r="AD188" i="37"/>
  <c r="AF18" i="22"/>
  <c r="W176" i="37"/>
  <c r="O18" i="22"/>
  <c r="V166" i="37"/>
  <c r="K157" i="37"/>
  <c r="O157" i="37"/>
  <c r="V158" i="37"/>
  <c r="N157" i="37"/>
  <c r="W158" i="37"/>
  <c r="V176" i="37"/>
  <c r="W185" i="37"/>
  <c r="W181" i="37"/>
  <c r="V185" i="37"/>
  <c r="V181" i="37"/>
  <c r="W166" i="37"/>
  <c r="E32" i="21"/>
  <c r="R147" i="37"/>
  <c r="E28" i="21"/>
  <c r="R143" i="37"/>
  <c r="E23" i="21"/>
  <c r="R138" i="37"/>
  <c r="E13" i="21"/>
  <c r="R128" i="37"/>
  <c r="E5" i="21"/>
  <c r="Q33" i="20"/>
  <c r="Q29" i="20"/>
  <c r="Q24" i="20"/>
  <c r="Q14" i="20"/>
  <c r="Q6" i="20"/>
  <c r="Q5" i="20"/>
  <c r="H3" i="22"/>
  <c r="J21" i="18"/>
  <c r="I12" i="18"/>
  <c r="J12" i="18"/>
  <c r="J10" i="18"/>
  <c r="J8" i="18"/>
  <c r="J6" i="18"/>
  <c r="I18" i="17"/>
  <c r="I12" i="17"/>
  <c r="J12" i="17"/>
  <c r="J8" i="17"/>
  <c r="I8" i="19"/>
  <c r="J8" i="19"/>
  <c r="J4" i="19"/>
  <c r="H2" i="32"/>
  <c r="H3" i="24"/>
  <c r="I84" i="16"/>
  <c r="I74" i="16"/>
  <c r="I72" i="16"/>
  <c r="I70" i="16"/>
  <c r="I68" i="16"/>
  <c r="I20" i="16"/>
  <c r="I18" i="16"/>
  <c r="I14" i="16"/>
  <c r="I11" i="16"/>
  <c r="I9" i="16"/>
  <c r="I7" i="16"/>
  <c r="E4" i="13"/>
  <c r="F4" i="13"/>
  <c r="Q4" i="13"/>
  <c r="T4" i="13"/>
  <c r="U4" i="13"/>
  <c r="E12" i="13"/>
  <c r="F12" i="13"/>
  <c r="Q12" i="13"/>
  <c r="S12" i="13"/>
  <c r="U12" i="13"/>
  <c r="D22" i="13"/>
  <c r="E22" i="13"/>
  <c r="F22" i="13"/>
  <c r="Q22" i="13"/>
  <c r="S22" i="13"/>
  <c r="U22" i="13"/>
  <c r="D27" i="13"/>
  <c r="E27" i="13"/>
  <c r="F27" i="13"/>
  <c r="Q27" i="13"/>
  <c r="U27" i="13"/>
  <c r="F31" i="13"/>
  <c r="Q31" i="13"/>
  <c r="U31" i="13"/>
  <c r="W157" i="37"/>
  <c r="J19" i="18"/>
  <c r="H2" i="22"/>
  <c r="H3" i="23"/>
  <c r="I19" i="17"/>
  <c r="J17" i="17"/>
  <c r="H2" i="23"/>
  <c r="J6" i="17"/>
  <c r="J10" i="17"/>
  <c r="J6" i="19"/>
  <c r="H2" i="24"/>
  <c r="I97" i="16"/>
  <c r="I95" i="16"/>
  <c r="I98" i="16"/>
  <c r="I96" i="16"/>
  <c r="I94" i="16"/>
  <c r="I93" i="16"/>
  <c r="I99" i="16"/>
  <c r="H3" i="32"/>
  <c r="I82" i="16"/>
  <c r="I86" i="16"/>
  <c r="I58" i="16"/>
  <c r="I60" i="16"/>
  <c r="I56" i="16"/>
  <c r="I57" i="16"/>
  <c r="I59" i="16"/>
  <c r="I61" i="16"/>
  <c r="I62" i="16"/>
  <c r="I44" i="16"/>
  <c r="I47" i="16"/>
  <c r="I49" i="16"/>
  <c r="I51" i="16"/>
  <c r="I43" i="16"/>
  <c r="I45" i="16"/>
  <c r="I48" i="16"/>
  <c r="I50" i="16"/>
  <c r="I52" i="16"/>
  <c r="H3" i="26"/>
  <c r="I4" i="16"/>
  <c r="I6" i="16"/>
  <c r="I8" i="16"/>
  <c r="I10" i="16"/>
  <c r="I12" i="16"/>
  <c r="I16" i="16"/>
  <c r="I21" i="16"/>
  <c r="E4" i="21"/>
  <c r="R119" i="37"/>
  <c r="F3" i="13"/>
  <c r="K3" i="45"/>
  <c r="T3" i="13"/>
  <c r="R3" i="13"/>
  <c r="U3" i="13"/>
  <c r="S3" i="13"/>
  <c r="Q3" i="13"/>
  <c r="P3" i="13"/>
  <c r="V157" i="37"/>
  <c r="J20" i="18"/>
  <c r="J7" i="18"/>
  <c r="J9" i="18"/>
  <c r="J11" i="18"/>
  <c r="J18" i="18"/>
  <c r="J18" i="17"/>
  <c r="J5" i="17"/>
  <c r="J7" i="17"/>
  <c r="J9" i="17"/>
  <c r="J11" i="17"/>
  <c r="J16" i="17"/>
  <c r="J19" i="17"/>
  <c r="J5" i="19"/>
  <c r="J7" i="19"/>
  <c r="I81" i="16"/>
  <c r="I83" i="16"/>
  <c r="I85" i="16"/>
  <c r="I87" i="16"/>
  <c r="I88" i="16"/>
  <c r="I67" i="16"/>
  <c r="I69" i="16"/>
  <c r="I71" i="16"/>
  <c r="I73" i="16"/>
  <c r="I75" i="16"/>
  <c r="I76" i="16"/>
  <c r="I13" i="16"/>
  <c r="I15" i="16"/>
  <c r="I17" i="16"/>
  <c r="I19" i="16"/>
  <c r="I22" i="16"/>
  <c r="H5" i="26"/>
  <c r="H5" i="32"/>
  <c r="H4" i="26"/>
  <c r="H4" i="32"/>
  <c r="H6" i="32"/>
  <c r="H125" i="16"/>
  <c r="F3" i="46"/>
  <c r="I139" i="16"/>
  <c r="I138" i="16"/>
  <c r="I124" i="16"/>
  <c r="I123" i="16"/>
  <c r="I122" i="16"/>
  <c r="I121" i="16"/>
  <c r="I120" i="16"/>
  <c r="I119" i="16"/>
  <c r="I118" i="16"/>
  <c r="I117" i="16"/>
  <c r="I141" i="16"/>
  <c r="I3" i="24"/>
  <c r="I140" i="16"/>
  <c r="I3" i="32"/>
  <c r="I5" i="26"/>
  <c r="I5" i="32"/>
  <c r="I142" i="16"/>
  <c r="I3" i="26"/>
  <c r="H2" i="26"/>
  <c r="H133" i="16"/>
  <c r="K33" i="46"/>
  <c r="K25" i="46"/>
  <c r="K21" i="46"/>
  <c r="K17" i="46"/>
  <c r="K13" i="46"/>
  <c r="K9" i="46"/>
  <c r="K5" i="46"/>
  <c r="K32" i="46"/>
  <c r="K28" i="46"/>
  <c r="K24" i="46"/>
  <c r="K18" i="46"/>
  <c r="K14" i="46"/>
  <c r="K8" i="46"/>
  <c r="K35" i="46"/>
  <c r="K29" i="46"/>
  <c r="K23" i="46"/>
  <c r="K19" i="46"/>
  <c r="K15" i="46"/>
  <c r="K11" i="46"/>
  <c r="K7" i="46"/>
  <c r="K34" i="46"/>
  <c r="K30" i="46"/>
  <c r="K26" i="46"/>
  <c r="K20" i="46"/>
  <c r="K16" i="46"/>
  <c r="K10" i="46"/>
  <c r="K6" i="46"/>
  <c r="Y185" i="37"/>
  <c r="AC185" i="37"/>
  <c r="AA185" i="37"/>
  <c r="AE185" i="37"/>
  <c r="Z185" i="37"/>
  <c r="AD185" i="37"/>
  <c r="Y181" i="37"/>
  <c r="AC181" i="37"/>
  <c r="AA181" i="37"/>
  <c r="AE181" i="37"/>
  <c r="Z181" i="37"/>
  <c r="AD181" i="37"/>
  <c r="Y176" i="37"/>
  <c r="AC176" i="37"/>
  <c r="AA176" i="37"/>
  <c r="AE176" i="37"/>
  <c r="Y166" i="37"/>
  <c r="AC166" i="37"/>
  <c r="X166" i="37"/>
  <c r="F12" i="66"/>
  <c r="L12" i="66"/>
  <c r="AK12" i="54"/>
  <c r="F4" i="66"/>
  <c r="L4" i="66"/>
  <c r="AK4" i="54"/>
  <c r="K147" i="15"/>
  <c r="G147" i="15"/>
  <c r="E147" i="15"/>
  <c r="L147" i="15"/>
  <c r="J147" i="15"/>
  <c r="H147" i="15"/>
  <c r="AA157" i="37"/>
  <c r="AE157" i="37"/>
  <c r="F147" i="15"/>
  <c r="D147" i="15"/>
  <c r="Z157" i="37"/>
  <c r="AD157" i="37"/>
  <c r="BP35" i="12"/>
  <c r="BP34" i="12"/>
  <c r="BP33" i="12"/>
  <c r="BP32" i="12"/>
  <c r="BP30" i="12"/>
  <c r="BP29" i="12"/>
  <c r="BP28" i="12"/>
  <c r="BP26" i="12"/>
  <c r="BP25" i="12"/>
  <c r="BP24" i="12"/>
  <c r="BP23" i="12"/>
  <c r="BP21" i="12"/>
  <c r="BP20" i="12"/>
  <c r="BP19" i="12"/>
  <c r="BP18" i="12"/>
  <c r="BP17" i="12"/>
  <c r="BP16" i="12"/>
  <c r="BP15" i="12"/>
  <c r="BP14" i="12"/>
  <c r="BP13" i="12"/>
  <c r="BP11" i="12"/>
  <c r="BP10" i="12"/>
  <c r="BP9" i="12"/>
  <c r="BP8" i="12"/>
  <c r="BP7" i="12"/>
  <c r="BP6" i="12"/>
  <c r="BP5" i="12"/>
  <c r="BD35" i="12"/>
  <c r="F35" i="75"/>
  <c r="BD34" i="12"/>
  <c r="F34" i="75"/>
  <c r="BD33" i="12"/>
  <c r="F33" i="75"/>
  <c r="BD32" i="12"/>
  <c r="BD30" i="12"/>
  <c r="F30" i="75"/>
  <c r="BD29" i="12"/>
  <c r="F29" i="75"/>
  <c r="BD28" i="12"/>
  <c r="BD26" i="12"/>
  <c r="F26" i="75"/>
  <c r="BD25" i="12"/>
  <c r="F25" i="75"/>
  <c r="BD24" i="12"/>
  <c r="F24" i="75"/>
  <c r="BD23" i="12"/>
  <c r="BD21" i="12"/>
  <c r="F21" i="75"/>
  <c r="BD20" i="12"/>
  <c r="F20" i="75"/>
  <c r="BD19" i="12"/>
  <c r="F19" i="75"/>
  <c r="BD18" i="12"/>
  <c r="F18" i="75"/>
  <c r="BD17" i="12"/>
  <c r="F17" i="75"/>
  <c r="BD16" i="12"/>
  <c r="F16" i="75"/>
  <c r="BD15" i="12"/>
  <c r="F15" i="75"/>
  <c r="BD14" i="12"/>
  <c r="F14" i="75"/>
  <c r="BD13" i="12"/>
  <c r="BD11" i="12"/>
  <c r="F11" i="75"/>
  <c r="BD10" i="12"/>
  <c r="F10" i="75"/>
  <c r="BD9" i="12"/>
  <c r="F9" i="75"/>
  <c r="BD8" i="12"/>
  <c r="F8" i="75"/>
  <c r="BD7" i="12"/>
  <c r="F7" i="75"/>
  <c r="BD6" i="12"/>
  <c r="F6" i="75"/>
  <c r="BJ35" i="12"/>
  <c r="BJ34" i="12"/>
  <c r="BJ33" i="12"/>
  <c r="BJ32" i="12"/>
  <c r="BJ30" i="12"/>
  <c r="BJ29" i="12"/>
  <c r="BJ28" i="12"/>
  <c r="BJ26" i="12"/>
  <c r="BJ25" i="12"/>
  <c r="BJ24" i="12"/>
  <c r="BJ23" i="12"/>
  <c r="BJ21" i="12"/>
  <c r="BJ20" i="12"/>
  <c r="BJ19" i="12"/>
  <c r="BJ18" i="12"/>
  <c r="BJ17" i="12"/>
  <c r="BJ16" i="12"/>
  <c r="BJ15" i="12"/>
  <c r="BJ14" i="12"/>
  <c r="BJ13" i="12"/>
  <c r="BJ11" i="12"/>
  <c r="BJ10" i="12"/>
  <c r="BJ9" i="12"/>
  <c r="BJ8" i="12"/>
  <c r="BJ7" i="12"/>
  <c r="BJ6" i="12"/>
  <c r="BJ5" i="12"/>
  <c r="K3" i="46"/>
  <c r="F13" i="75"/>
  <c r="BD12" i="12"/>
  <c r="F32" i="75"/>
  <c r="BD31" i="12"/>
  <c r="F5" i="75"/>
  <c r="BD4" i="12"/>
  <c r="F23" i="75"/>
  <c r="BD22" i="12"/>
  <c r="F28" i="75"/>
  <c r="BD27" i="12"/>
  <c r="L20" i="24"/>
  <c r="I130" i="16"/>
  <c r="I132" i="16"/>
  <c r="I2" i="24"/>
  <c r="I131" i="16"/>
  <c r="I125" i="16"/>
  <c r="I129" i="16"/>
  <c r="I2" i="26"/>
  <c r="F31" i="66"/>
  <c r="L31" i="66"/>
  <c r="AK31" i="54"/>
  <c r="X185" i="37"/>
  <c r="F27" i="66"/>
  <c r="L27" i="66"/>
  <c r="AK27" i="54"/>
  <c r="X181" i="37"/>
  <c r="Z176" i="37"/>
  <c r="AD176" i="37"/>
  <c r="F22" i="66"/>
  <c r="L22" i="66"/>
  <c r="AK22" i="54"/>
  <c r="X176" i="37"/>
  <c r="Z166" i="37"/>
  <c r="AD166" i="37"/>
  <c r="AA166" i="37"/>
  <c r="AE166" i="37"/>
  <c r="C147" i="15"/>
  <c r="X157" i="37"/>
  <c r="X158" i="37"/>
  <c r="I147" i="15"/>
  <c r="Y157" i="37"/>
  <c r="AC157" i="37"/>
  <c r="Y158" i="37"/>
  <c r="AC158" i="37"/>
  <c r="Z158" i="37"/>
  <c r="AD158" i="37"/>
  <c r="AA158" i="37"/>
  <c r="AE158" i="37"/>
  <c r="AW25" i="22"/>
  <c r="AW35" i="22"/>
  <c r="AW45" i="22"/>
  <c r="AW22" i="22"/>
  <c r="AW30" i="22"/>
  <c r="AW38" i="22"/>
  <c r="AW50" i="22"/>
  <c r="AW29" i="22"/>
  <c r="AW39" i="22"/>
  <c r="AW47" i="22"/>
  <c r="AW24" i="22"/>
  <c r="AW32" i="22"/>
  <c r="AW40" i="22"/>
  <c r="AW21" i="22"/>
  <c r="AW31" i="22"/>
  <c r="AW41" i="22"/>
  <c r="AW49" i="22"/>
  <c r="AW26" i="22"/>
  <c r="AW34" i="22"/>
  <c r="AW44" i="22"/>
  <c r="AW23" i="22"/>
  <c r="AW33" i="22"/>
  <c r="AW43" i="22"/>
  <c r="BT4" i="14"/>
  <c r="AW28" i="22"/>
  <c r="AW36" i="22"/>
  <c r="AW48" i="22"/>
  <c r="BP12" i="12"/>
  <c r="F32" i="70"/>
  <c r="F32" i="51"/>
  <c r="AI32" i="54"/>
  <c r="AH32" i="54"/>
  <c r="F32" i="52"/>
  <c r="F34" i="70"/>
  <c r="F34" i="51"/>
  <c r="AI34" i="54"/>
  <c r="AH34" i="54"/>
  <c r="F34" i="52"/>
  <c r="F33" i="70"/>
  <c r="AH33" i="54"/>
  <c r="F33" i="52"/>
  <c r="F33" i="51"/>
  <c r="AI33" i="54"/>
  <c r="F35" i="70"/>
  <c r="AH35" i="54"/>
  <c r="F35" i="52"/>
  <c r="F35" i="51"/>
  <c r="AI35" i="54"/>
  <c r="F31" i="75"/>
  <c r="F28" i="70"/>
  <c r="AH28" i="54"/>
  <c r="F28" i="51"/>
  <c r="AI28" i="54"/>
  <c r="F28" i="52"/>
  <c r="F30" i="70"/>
  <c r="AH30" i="54"/>
  <c r="F30" i="51"/>
  <c r="AI30" i="54"/>
  <c r="F30" i="52"/>
  <c r="F29" i="52"/>
  <c r="F29" i="70"/>
  <c r="AH29" i="54"/>
  <c r="F29" i="51"/>
  <c r="AI29" i="54"/>
  <c r="F27" i="75"/>
  <c r="AH24" i="54"/>
  <c r="F24" i="52"/>
  <c r="F24" i="51"/>
  <c r="AI24" i="54"/>
  <c r="F24" i="70"/>
  <c r="AH26" i="54"/>
  <c r="F26" i="52"/>
  <c r="F26" i="51"/>
  <c r="AI26" i="54"/>
  <c r="F26" i="70"/>
  <c r="F23" i="70"/>
  <c r="AH23" i="54"/>
  <c r="F23" i="52"/>
  <c r="F23" i="51"/>
  <c r="AI23" i="54"/>
  <c r="F25" i="70"/>
  <c r="AH25" i="54"/>
  <c r="F25" i="52"/>
  <c r="F25" i="51"/>
  <c r="AI25" i="54"/>
  <c r="F22" i="75"/>
  <c r="F12" i="51"/>
  <c r="AI12" i="54"/>
  <c r="AH12" i="54"/>
  <c r="F14" i="52"/>
  <c r="F14" i="51"/>
  <c r="AI14" i="54"/>
  <c r="F14" i="70"/>
  <c r="AH14" i="54"/>
  <c r="F16" i="52"/>
  <c r="F16" i="51"/>
  <c r="AI16" i="54"/>
  <c r="F16" i="70"/>
  <c r="AH16" i="54"/>
  <c r="F18" i="52"/>
  <c r="F18" i="51"/>
  <c r="AI18" i="54"/>
  <c r="F18" i="70"/>
  <c r="AH18" i="54"/>
  <c r="F20" i="52"/>
  <c r="F20" i="51"/>
  <c r="AI20" i="54"/>
  <c r="F20" i="70"/>
  <c r="AH20" i="54"/>
  <c r="F13" i="70"/>
  <c r="AH13" i="54"/>
  <c r="F13" i="52"/>
  <c r="F13" i="51"/>
  <c r="AI13" i="54"/>
  <c r="F15" i="70"/>
  <c r="AH15" i="54"/>
  <c r="F15" i="52"/>
  <c r="F15" i="51"/>
  <c r="AI15" i="54"/>
  <c r="F17" i="70"/>
  <c r="AH17" i="54"/>
  <c r="F17" i="52"/>
  <c r="F17" i="51"/>
  <c r="AI17" i="54"/>
  <c r="F19" i="70"/>
  <c r="AH19" i="54"/>
  <c r="F19" i="52"/>
  <c r="F19" i="51"/>
  <c r="AI19" i="54"/>
  <c r="F21" i="70"/>
  <c r="AH21" i="54"/>
  <c r="F21" i="52"/>
  <c r="F21" i="51"/>
  <c r="AI21" i="54"/>
  <c r="AH6" i="54"/>
  <c r="F6" i="52"/>
  <c r="F6" i="70"/>
  <c r="F6" i="51"/>
  <c r="AI6" i="54"/>
  <c r="AH8" i="54"/>
  <c r="F8" i="52"/>
  <c r="F8" i="70"/>
  <c r="F8" i="51"/>
  <c r="AI8" i="54"/>
  <c r="AH10" i="54"/>
  <c r="F10" i="52"/>
  <c r="F10" i="70"/>
  <c r="F10" i="51"/>
  <c r="AI10" i="54"/>
  <c r="F5" i="70"/>
  <c r="F5" i="51"/>
  <c r="AI5" i="54"/>
  <c r="AH5" i="54"/>
  <c r="F5" i="52"/>
  <c r="F7" i="70"/>
  <c r="F7" i="51"/>
  <c r="AI7" i="54"/>
  <c r="AH7" i="54"/>
  <c r="F7" i="52"/>
  <c r="F9" i="70"/>
  <c r="F9" i="51"/>
  <c r="AI9" i="54"/>
  <c r="AH9" i="54"/>
  <c r="F9" i="52"/>
  <c r="F11" i="70"/>
  <c r="F11" i="51"/>
  <c r="AI11" i="54"/>
  <c r="AH11" i="54"/>
  <c r="F11" i="52"/>
  <c r="F3" i="66"/>
  <c r="L3" i="66"/>
  <c r="AK3" i="54"/>
  <c r="BD3" i="12"/>
  <c r="L35" i="24"/>
  <c r="L30" i="24"/>
  <c r="L12" i="24"/>
  <c r="N12" i="26"/>
  <c r="I133" i="16"/>
  <c r="I2" i="32"/>
  <c r="I4" i="26"/>
  <c r="I4" i="32"/>
  <c r="F12" i="52"/>
  <c r="F12" i="75"/>
  <c r="AH4" i="54"/>
  <c r="F4" i="75"/>
  <c r="AW27" i="22"/>
  <c r="AW20" i="22"/>
  <c r="AW42" i="22"/>
  <c r="AW37" i="22"/>
  <c r="AW19" i="22"/>
  <c r="AW46" i="22"/>
  <c r="AJ11" i="54"/>
  <c r="F11" i="74"/>
  <c r="AJ10" i="54"/>
  <c r="F10" i="74"/>
  <c r="AJ8" i="54"/>
  <c r="F8" i="74"/>
  <c r="AJ6" i="54"/>
  <c r="F6" i="74"/>
  <c r="AJ21" i="54"/>
  <c r="F21" i="74"/>
  <c r="AJ19" i="54"/>
  <c r="F19" i="74"/>
  <c r="AJ17" i="54"/>
  <c r="F17" i="74"/>
  <c r="AJ15" i="54"/>
  <c r="F15" i="74"/>
  <c r="AJ13" i="54"/>
  <c r="F13" i="74"/>
  <c r="AJ20" i="54"/>
  <c r="F20" i="74"/>
  <c r="AJ18" i="54"/>
  <c r="F18" i="74"/>
  <c r="AJ16" i="54"/>
  <c r="F16" i="74"/>
  <c r="AJ14" i="54"/>
  <c r="F14" i="74"/>
  <c r="AJ26" i="54"/>
  <c r="AJ3" i="67"/>
  <c r="F26" i="74"/>
  <c r="AJ24" i="54"/>
  <c r="AJ9" i="67"/>
  <c r="F24" i="74"/>
  <c r="AJ29" i="54"/>
  <c r="AK11" i="69"/>
  <c r="F29" i="74"/>
  <c r="AJ34" i="54"/>
  <c r="F34" i="74"/>
  <c r="AJ32" i="54"/>
  <c r="F32" i="74"/>
  <c r="AJ9" i="54"/>
  <c r="F9" i="74"/>
  <c r="AJ7" i="54"/>
  <c r="F7" i="74"/>
  <c r="AJ5" i="54"/>
  <c r="F5" i="74"/>
  <c r="AJ25" i="54"/>
  <c r="BL5" i="68"/>
  <c r="F25" i="74"/>
  <c r="AJ23" i="54"/>
  <c r="AK41" i="69"/>
  <c r="F23" i="74"/>
  <c r="AJ30" i="54"/>
  <c r="AJ13" i="67"/>
  <c r="F30" i="74"/>
  <c r="AJ28" i="54"/>
  <c r="BL9" i="68"/>
  <c r="F28" i="74"/>
  <c r="AJ35" i="54"/>
  <c r="AK31" i="69"/>
  <c r="F35" i="74"/>
  <c r="AJ33" i="54"/>
  <c r="AJ11" i="67"/>
  <c r="F33" i="74"/>
  <c r="AJ12" i="54"/>
  <c r="F12" i="74"/>
  <c r="F4" i="70"/>
  <c r="F3" i="52"/>
  <c r="F12" i="70"/>
  <c r="F4" i="51"/>
  <c r="AI4" i="54"/>
  <c r="F4" i="52"/>
  <c r="F31" i="70"/>
  <c r="AH31" i="54"/>
  <c r="F31" i="52"/>
  <c r="F31" i="51"/>
  <c r="AI31" i="54"/>
  <c r="AJ17" i="67"/>
  <c r="AK19" i="69"/>
  <c r="BL11" i="68"/>
  <c r="AH18" i="67"/>
  <c r="AI33" i="69"/>
  <c r="BH16" i="68"/>
  <c r="AI13" i="69"/>
  <c r="AH8" i="67"/>
  <c r="BH12" i="68"/>
  <c r="AI17" i="67"/>
  <c r="BJ24" i="68"/>
  <c r="AJ31" i="69"/>
  <c r="AH17" i="67"/>
  <c r="BH13" i="68"/>
  <c r="AI31" i="69"/>
  <c r="AJ19" i="69"/>
  <c r="BJ20" i="68"/>
  <c r="AI11" i="67"/>
  <c r="AI19" i="69"/>
  <c r="AH11" i="67"/>
  <c r="BH21" i="68"/>
  <c r="AK33" i="69"/>
  <c r="AJ18" i="67"/>
  <c r="BL20" i="68"/>
  <c r="AJ33" i="69"/>
  <c r="AI18" i="67"/>
  <c r="BJ28" i="68"/>
  <c r="AJ8" i="67"/>
  <c r="BL6" i="68"/>
  <c r="AK13" i="69"/>
  <c r="AI8" i="67"/>
  <c r="BJ19" i="68"/>
  <c r="AJ13" i="69"/>
  <c r="AJ11" i="69"/>
  <c r="AI7" i="67"/>
  <c r="BJ13" i="68"/>
  <c r="AK23" i="69"/>
  <c r="BL7" i="68"/>
  <c r="AI23" i="69"/>
  <c r="AH13" i="67"/>
  <c r="BH24" i="68"/>
  <c r="AJ16" i="67"/>
  <c r="AK29" i="69"/>
  <c r="AI29" i="69"/>
  <c r="AH16" i="67"/>
  <c r="BH27" i="68"/>
  <c r="F27" i="52"/>
  <c r="F27" i="70"/>
  <c r="AH27" i="54"/>
  <c r="F27" i="51"/>
  <c r="AI27" i="54"/>
  <c r="AI11" i="69"/>
  <c r="BH26" i="68"/>
  <c r="AH7" i="67"/>
  <c r="AJ7" i="67"/>
  <c r="AJ23" i="69"/>
  <c r="BJ26" i="68"/>
  <c r="AI13" i="67"/>
  <c r="AJ29" i="69"/>
  <c r="AI16" i="67"/>
  <c r="BJ25" i="68"/>
  <c r="AH22" i="54"/>
  <c r="F22" i="52"/>
  <c r="F22" i="51"/>
  <c r="AI22" i="54"/>
  <c r="F22" i="70"/>
  <c r="AK5" i="69"/>
  <c r="AJ4" i="67"/>
  <c r="AJ22" i="67"/>
  <c r="AJ3" i="69"/>
  <c r="AI3" i="67"/>
  <c r="BJ12" i="68"/>
  <c r="AI3" i="69"/>
  <c r="AH3" i="67"/>
  <c r="BH29" i="68"/>
  <c r="AI9" i="67"/>
  <c r="BJ15" i="68"/>
  <c r="AJ15" i="69"/>
  <c r="AI15" i="69"/>
  <c r="BH28" i="68"/>
  <c r="AH9" i="67"/>
  <c r="AJ5" i="69"/>
  <c r="AI4" i="67"/>
  <c r="BJ6" i="68"/>
  <c r="AI5" i="69"/>
  <c r="AH4" i="67"/>
  <c r="BH25" i="68"/>
  <c r="AI22" i="67"/>
  <c r="BJ27" i="68"/>
  <c r="AJ41" i="69"/>
  <c r="AH22" i="67"/>
  <c r="BH17" i="68"/>
  <c r="AI41" i="69"/>
  <c r="AK3" i="69"/>
  <c r="BL3" i="68"/>
  <c r="BL8" i="68"/>
  <c r="AK45" i="69"/>
  <c r="AJ24" i="67"/>
  <c r="BL25" i="68"/>
  <c r="AJ29" i="67"/>
  <c r="BL28" i="68"/>
  <c r="AK55" i="69"/>
  <c r="AK47" i="69"/>
  <c r="AJ25" i="67"/>
  <c r="BL24" i="68"/>
  <c r="AJ26" i="67"/>
  <c r="BL22" i="68"/>
  <c r="AK49" i="69"/>
  <c r="AK53" i="69"/>
  <c r="AJ28" i="67"/>
  <c r="BL27" i="68"/>
  <c r="AJ10" i="67"/>
  <c r="BL10" i="68"/>
  <c r="AK17" i="69"/>
  <c r="AK35" i="69"/>
  <c r="AJ19" i="67"/>
  <c r="BL15" i="68"/>
  <c r="AJ27" i="67"/>
  <c r="BL29" i="68"/>
  <c r="AK51" i="69"/>
  <c r="AK27" i="69"/>
  <c r="BL16" i="68"/>
  <c r="AJ15" i="67"/>
  <c r="AJ45" i="69"/>
  <c r="AI24" i="67"/>
  <c r="BJ18" i="68"/>
  <c r="AH24" i="67"/>
  <c r="AI45" i="69"/>
  <c r="BH10" i="68"/>
  <c r="AI29" i="67"/>
  <c r="AJ55" i="69"/>
  <c r="BJ21" i="68"/>
  <c r="AI55" i="69"/>
  <c r="AH29" i="67"/>
  <c r="BH15" i="68"/>
  <c r="AJ47" i="69"/>
  <c r="AI25" i="67"/>
  <c r="BJ17" i="68"/>
  <c r="AH25" i="67"/>
  <c r="AI47" i="69"/>
  <c r="BH14" i="68"/>
  <c r="AI26" i="67"/>
  <c r="BJ16" i="68"/>
  <c r="AJ49" i="69"/>
  <c r="AH26" i="67"/>
  <c r="AI49" i="69"/>
  <c r="BH22" i="68"/>
  <c r="AJ53" i="69"/>
  <c r="AI28" i="67"/>
  <c r="BJ14" i="68"/>
  <c r="AI53" i="69"/>
  <c r="AH28" i="67"/>
  <c r="BH11" i="68"/>
  <c r="AH10" i="67"/>
  <c r="BH8" i="68"/>
  <c r="AI17" i="69"/>
  <c r="AJ17" i="69"/>
  <c r="AI10" i="67"/>
  <c r="BJ7" i="68"/>
  <c r="AI35" i="69"/>
  <c r="BH20" i="68"/>
  <c r="AH19" i="67"/>
  <c r="AI19" i="67"/>
  <c r="BJ9" i="68"/>
  <c r="AJ35" i="69"/>
  <c r="AI51" i="69"/>
  <c r="AH27" i="67"/>
  <c r="BH19" i="68"/>
  <c r="AJ51" i="69"/>
  <c r="AI27" i="67"/>
  <c r="BJ11" i="68"/>
  <c r="AI27" i="69"/>
  <c r="AH15" i="67"/>
  <c r="BH23" i="68"/>
  <c r="AJ27" i="69"/>
  <c r="AI15" i="67"/>
  <c r="BJ5" i="68"/>
  <c r="AI20" i="67"/>
  <c r="BJ29" i="68"/>
  <c r="AJ37" i="69"/>
  <c r="AJ21" i="69"/>
  <c r="BJ22" i="68"/>
  <c r="AI12" i="67"/>
  <c r="AK9" i="69"/>
  <c r="AJ6" i="67"/>
  <c r="BL13" i="68"/>
  <c r="AK25" i="69"/>
  <c r="AJ14" i="67"/>
  <c r="BL18" i="68"/>
  <c r="AI23" i="67"/>
  <c r="BJ23" i="68"/>
  <c r="AJ43" i="69"/>
  <c r="AK43" i="69"/>
  <c r="AJ23" i="67"/>
  <c r="BL21" i="68"/>
  <c r="AJ39" i="69"/>
  <c r="AI21" i="67"/>
  <c r="BJ8" i="68"/>
  <c r="AJ21" i="67"/>
  <c r="BL26" i="68"/>
  <c r="AK39" i="69"/>
  <c r="AJ7" i="69"/>
  <c r="AI5" i="67"/>
  <c r="BJ4" i="68"/>
  <c r="AK7" i="69"/>
  <c r="BL12" i="68"/>
  <c r="AJ5" i="67"/>
  <c r="F3" i="70"/>
  <c r="AJ20" i="67"/>
  <c r="BL23" i="68"/>
  <c r="AK37" i="69"/>
  <c r="AK21" i="69"/>
  <c r="BL17" i="68"/>
  <c r="AJ12" i="67"/>
  <c r="AJ9" i="69"/>
  <c r="AI6" i="67"/>
  <c r="BJ3" i="68"/>
  <c r="AJ25" i="69"/>
  <c r="AI14" i="67"/>
  <c r="BJ10" i="68"/>
  <c r="AI37" i="69"/>
  <c r="AH20" i="67"/>
  <c r="BH9" i="68"/>
  <c r="AI21" i="69"/>
  <c r="AH12" i="67"/>
  <c r="BH7" i="68"/>
  <c r="AI9" i="69"/>
  <c r="AH6" i="67"/>
  <c r="BH6" i="68"/>
  <c r="AI25" i="69"/>
  <c r="AH14" i="67"/>
  <c r="BH4" i="68"/>
  <c r="AI43" i="69"/>
  <c r="AH23" i="67"/>
  <c r="BH5" i="68"/>
  <c r="AH21" i="67"/>
  <c r="AI39" i="69"/>
  <c r="BH18" i="68"/>
  <c r="AI7" i="69"/>
  <c r="AH5" i="67"/>
  <c r="BH3" i="68"/>
  <c r="D31" i="48"/>
  <c r="E31" i="48"/>
  <c r="B31" i="48"/>
  <c r="D27" i="48"/>
  <c r="E27" i="48"/>
  <c r="B27" i="48"/>
  <c r="D22" i="48"/>
  <c r="E22" i="48"/>
  <c r="B22" i="48"/>
  <c r="D12" i="48"/>
  <c r="E12" i="48"/>
  <c r="B12" i="48"/>
  <c r="C4" i="48"/>
  <c r="D4" i="48"/>
  <c r="E4" i="48"/>
  <c r="B4" i="48"/>
  <c r="C3" i="48"/>
  <c r="D3" i="48"/>
  <c r="E3" i="48"/>
  <c r="B3" i="48"/>
  <c r="AA121" i="37"/>
  <c r="AA122" i="37"/>
  <c r="AA123" i="37"/>
  <c r="AA124" i="37"/>
  <c r="AA125" i="37"/>
  <c r="AA126" i="37"/>
  <c r="AA127" i="37"/>
  <c r="AA129" i="37"/>
  <c r="AA130" i="37"/>
  <c r="AA131" i="37"/>
  <c r="AA132" i="37"/>
  <c r="AA133" i="37"/>
  <c r="AA134" i="37"/>
  <c r="AA135" i="37"/>
  <c r="AA136" i="37"/>
  <c r="AA137" i="37"/>
  <c r="AA139" i="37"/>
  <c r="AA140" i="37"/>
  <c r="AA141" i="37"/>
  <c r="AA142" i="37"/>
  <c r="AA144" i="37"/>
  <c r="AA145" i="37"/>
  <c r="AA146" i="37"/>
  <c r="AA148" i="37"/>
  <c r="AA149" i="37"/>
  <c r="AA150" i="37"/>
  <c r="AA151" i="37"/>
  <c r="Z121" i="37"/>
  <c r="Z122" i="37"/>
  <c r="Z123" i="37"/>
  <c r="Z124" i="37"/>
  <c r="Z125" i="37"/>
  <c r="Z126" i="37"/>
  <c r="Z127" i="37"/>
  <c r="Z129" i="37"/>
  <c r="Z130" i="37"/>
  <c r="Z131" i="37"/>
  <c r="Z132" i="37"/>
  <c r="Z133" i="37"/>
  <c r="Z134" i="37"/>
  <c r="Z135" i="37"/>
  <c r="Z136" i="37"/>
  <c r="Z137" i="37"/>
  <c r="Z139" i="37"/>
  <c r="Z140" i="37"/>
  <c r="Z141" i="37"/>
  <c r="Z142" i="37"/>
  <c r="Z144" i="37"/>
  <c r="Z145" i="37"/>
  <c r="Z146" i="37"/>
  <c r="Z148" i="37"/>
  <c r="Z149" i="37"/>
  <c r="Z150" i="37"/>
  <c r="Z151" i="37"/>
  <c r="Y121" i="37"/>
  <c r="Y122" i="37"/>
  <c r="Y123" i="37"/>
  <c r="Y124" i="37"/>
  <c r="Y125" i="37"/>
  <c r="Y126" i="37"/>
  <c r="Y127" i="37"/>
  <c r="Y129" i="37"/>
  <c r="Y130" i="37"/>
  <c r="Y131" i="37"/>
  <c r="Y132" i="37"/>
  <c r="Y133" i="37"/>
  <c r="Y134" i="37"/>
  <c r="Y135" i="37"/>
  <c r="Y136" i="37"/>
  <c r="Y137" i="37"/>
  <c r="Y139" i="37"/>
  <c r="Y140" i="37"/>
  <c r="Y141" i="37"/>
  <c r="Y142" i="37"/>
  <c r="Y144" i="37"/>
  <c r="Y145" i="37"/>
  <c r="Y146" i="37"/>
  <c r="Y148" i="37"/>
  <c r="Y149" i="37"/>
  <c r="Y150" i="37"/>
  <c r="Y151" i="37"/>
  <c r="X121" i="37"/>
  <c r="X122" i="37"/>
  <c r="X123" i="37"/>
  <c r="X124" i="37"/>
  <c r="X125" i="37"/>
  <c r="X126" i="37"/>
  <c r="X127" i="37"/>
  <c r="X129" i="37"/>
  <c r="X130" i="37"/>
  <c r="X131" i="37"/>
  <c r="X132" i="37"/>
  <c r="X133" i="37"/>
  <c r="X134" i="37"/>
  <c r="X135" i="37"/>
  <c r="X136" i="37"/>
  <c r="X137" i="37"/>
  <c r="X139" i="37"/>
  <c r="X140" i="37"/>
  <c r="X141" i="37"/>
  <c r="X142" i="37"/>
  <c r="X144" i="37"/>
  <c r="X145" i="37"/>
  <c r="X146" i="37"/>
  <c r="X148" i="37"/>
  <c r="X149" i="37"/>
  <c r="X150" i="37"/>
  <c r="X151" i="37"/>
  <c r="AA83" i="37"/>
  <c r="AA84" i="37"/>
  <c r="AA85" i="37"/>
  <c r="AA86" i="37"/>
  <c r="AA87" i="37"/>
  <c r="AA88" i="37"/>
  <c r="AA89" i="37"/>
  <c r="AA91" i="37"/>
  <c r="AA92" i="37"/>
  <c r="AA93" i="37"/>
  <c r="AA94" i="37"/>
  <c r="AA95" i="37"/>
  <c r="AA96" i="37"/>
  <c r="AA97" i="37"/>
  <c r="AA98" i="37"/>
  <c r="AA99" i="37"/>
  <c r="AA101" i="37"/>
  <c r="AA102" i="37"/>
  <c r="AA103" i="37"/>
  <c r="AA104" i="37"/>
  <c r="AA106" i="37"/>
  <c r="AA107" i="37"/>
  <c r="AA108" i="37"/>
  <c r="AA110" i="37"/>
  <c r="AA111" i="37"/>
  <c r="AA112" i="37"/>
  <c r="AA113" i="37"/>
  <c r="Z83" i="37"/>
  <c r="Z84" i="37"/>
  <c r="Z85" i="37"/>
  <c r="Z86" i="37"/>
  <c r="Z87" i="37"/>
  <c r="Z88" i="37"/>
  <c r="Z89" i="37"/>
  <c r="Z91" i="37"/>
  <c r="Z92" i="37"/>
  <c r="Z93" i="37"/>
  <c r="Z94" i="37"/>
  <c r="Z95" i="37"/>
  <c r="Z96" i="37"/>
  <c r="Z97" i="37"/>
  <c r="Z98" i="37"/>
  <c r="Z99" i="37"/>
  <c r="Z101" i="37"/>
  <c r="Z102" i="37"/>
  <c r="Z103" i="37"/>
  <c r="Z104" i="37"/>
  <c r="Z106" i="37"/>
  <c r="Z107" i="37"/>
  <c r="Z108" i="37"/>
  <c r="Z110" i="37"/>
  <c r="Z111" i="37"/>
  <c r="Z112" i="37"/>
  <c r="Z113" i="37"/>
  <c r="Y83" i="37"/>
  <c r="Y84" i="37"/>
  <c r="Y85" i="37"/>
  <c r="Y86" i="37"/>
  <c r="Y87" i="37"/>
  <c r="Y88" i="37"/>
  <c r="Y89" i="37"/>
  <c r="Y91" i="37"/>
  <c r="Y92" i="37"/>
  <c r="Y93" i="37"/>
  <c r="Y94" i="37"/>
  <c r="Y95" i="37"/>
  <c r="Y96" i="37"/>
  <c r="Y97" i="37"/>
  <c r="Y98" i="37"/>
  <c r="Y99" i="37"/>
  <c r="Y101" i="37"/>
  <c r="Y102" i="37"/>
  <c r="Y103" i="37"/>
  <c r="Y104" i="37"/>
  <c r="Y106" i="37"/>
  <c r="Y107" i="37"/>
  <c r="Y108" i="37"/>
  <c r="Y110" i="37"/>
  <c r="Y111" i="37"/>
  <c r="Y112" i="37"/>
  <c r="Y113" i="37"/>
  <c r="X83" i="37"/>
  <c r="X84" i="37"/>
  <c r="X85" i="37"/>
  <c r="X86" i="37"/>
  <c r="X87" i="37"/>
  <c r="X88" i="37"/>
  <c r="X89" i="37"/>
  <c r="X91" i="37"/>
  <c r="X92" i="37"/>
  <c r="X93" i="37"/>
  <c r="X94" i="37"/>
  <c r="X95" i="37"/>
  <c r="X96" i="37"/>
  <c r="X97" i="37"/>
  <c r="X98" i="37"/>
  <c r="X99" i="37"/>
  <c r="X101" i="37"/>
  <c r="X102" i="37"/>
  <c r="X103" i="37"/>
  <c r="X104" i="37"/>
  <c r="X106" i="37"/>
  <c r="X107" i="37"/>
  <c r="X108" i="37"/>
  <c r="X110" i="37"/>
  <c r="X111" i="37"/>
  <c r="X112" i="37"/>
  <c r="X113" i="37"/>
  <c r="X45" i="37"/>
  <c r="X46" i="37"/>
  <c r="X48" i="37"/>
  <c r="X49" i="37"/>
  <c r="X50" i="37"/>
  <c r="X51" i="37"/>
  <c r="X53" i="37"/>
  <c r="X54" i="37"/>
  <c r="X55" i="37"/>
  <c r="X56" i="37"/>
  <c r="X57" i="37"/>
  <c r="X58" i="37"/>
  <c r="X59" i="37"/>
  <c r="X60" i="37"/>
  <c r="X61" i="37"/>
  <c r="X63" i="37"/>
  <c r="X64" i="37"/>
  <c r="X65" i="37"/>
  <c r="X66" i="37"/>
  <c r="X68" i="37"/>
  <c r="X69" i="37"/>
  <c r="X70" i="37"/>
  <c r="X72" i="37"/>
  <c r="X73" i="37"/>
  <c r="X74" i="37"/>
  <c r="X75" i="37"/>
  <c r="AA45" i="37"/>
  <c r="AA46" i="37"/>
  <c r="AA47" i="37"/>
  <c r="AA48" i="37"/>
  <c r="AA49" i="37"/>
  <c r="AA50" i="37"/>
  <c r="AA51" i="37"/>
  <c r="AA53" i="37"/>
  <c r="AA54" i="37"/>
  <c r="AA55" i="37"/>
  <c r="AA56" i="37"/>
  <c r="AA57" i="37"/>
  <c r="AA58" i="37"/>
  <c r="AA59" i="37"/>
  <c r="AA60" i="37"/>
  <c r="AA61" i="37"/>
  <c r="AA63" i="37"/>
  <c r="AA64" i="37"/>
  <c r="AA65" i="37"/>
  <c r="AA66" i="37"/>
  <c r="AA68" i="37"/>
  <c r="AA69" i="37"/>
  <c r="AA70" i="37"/>
  <c r="AA72" i="37"/>
  <c r="AA73" i="37"/>
  <c r="AA74" i="37"/>
  <c r="AA75" i="37"/>
  <c r="Z45" i="37"/>
  <c r="Z46" i="37"/>
  <c r="Z47" i="37"/>
  <c r="Z48" i="37"/>
  <c r="Z49" i="37"/>
  <c r="Z50" i="37"/>
  <c r="Z51" i="37"/>
  <c r="Z53" i="37"/>
  <c r="Z54" i="37"/>
  <c r="Z55" i="37"/>
  <c r="Z56" i="37"/>
  <c r="Z57" i="37"/>
  <c r="Z58" i="37"/>
  <c r="Z59" i="37"/>
  <c r="Z60" i="37"/>
  <c r="Z61" i="37"/>
  <c r="Z63" i="37"/>
  <c r="Z64" i="37"/>
  <c r="Z65" i="37"/>
  <c r="Z66" i="37"/>
  <c r="Z68" i="37"/>
  <c r="Z69" i="37"/>
  <c r="Z70" i="37"/>
  <c r="Z72" i="37"/>
  <c r="Z73" i="37"/>
  <c r="Z74" i="37"/>
  <c r="Z75" i="37"/>
  <c r="Y45" i="37"/>
  <c r="Y46" i="37"/>
  <c r="Y47" i="37"/>
  <c r="Y48" i="37"/>
  <c r="Y49" i="37"/>
  <c r="Y50" i="37"/>
  <c r="Y51" i="37"/>
  <c r="Y53" i="37"/>
  <c r="Y54" i="37"/>
  <c r="Y55" i="37"/>
  <c r="Y56" i="37"/>
  <c r="Y57" i="37"/>
  <c r="Y58" i="37"/>
  <c r="Y59" i="37"/>
  <c r="Y60" i="37"/>
  <c r="Y61" i="37"/>
  <c r="Y63" i="37"/>
  <c r="Y64" i="37"/>
  <c r="Y65" i="37"/>
  <c r="Y66" i="37"/>
  <c r="Y68" i="37"/>
  <c r="Y69" i="37"/>
  <c r="Y70" i="37"/>
  <c r="Y72" i="37"/>
  <c r="Y73" i="37"/>
  <c r="Y74" i="37"/>
  <c r="Y75" i="37"/>
  <c r="X7" i="37"/>
  <c r="Y7" i="37"/>
  <c r="Z7" i="37"/>
  <c r="AA7" i="37"/>
  <c r="X8" i="37"/>
  <c r="Y8" i="37"/>
  <c r="Z8" i="37"/>
  <c r="AA8" i="37"/>
  <c r="X9" i="37"/>
  <c r="Y9" i="37"/>
  <c r="Z9" i="37"/>
  <c r="AA9" i="37"/>
  <c r="X10" i="37"/>
  <c r="Y10" i="37"/>
  <c r="Z10" i="37"/>
  <c r="AA10" i="37"/>
  <c r="X11" i="37"/>
  <c r="Y11" i="37"/>
  <c r="Z11" i="37"/>
  <c r="AA11" i="37"/>
  <c r="X12" i="37"/>
  <c r="Y12" i="37"/>
  <c r="Z12" i="37"/>
  <c r="AA12" i="37"/>
  <c r="X13" i="37"/>
  <c r="Y13" i="37"/>
  <c r="Z13" i="37"/>
  <c r="AA13" i="37"/>
  <c r="X15" i="37"/>
  <c r="Y15" i="37"/>
  <c r="Z15" i="37"/>
  <c r="AA15" i="37"/>
  <c r="X16" i="37"/>
  <c r="Y16" i="37"/>
  <c r="Z16" i="37"/>
  <c r="AA16" i="37"/>
  <c r="X17" i="37"/>
  <c r="Y17" i="37"/>
  <c r="Z17" i="37"/>
  <c r="AA17" i="37"/>
  <c r="X18" i="37"/>
  <c r="Y18" i="37"/>
  <c r="Z18" i="37"/>
  <c r="AA18" i="37"/>
  <c r="X19" i="37"/>
  <c r="Y19" i="37"/>
  <c r="Z19" i="37"/>
  <c r="AA19" i="37"/>
  <c r="X20" i="37"/>
  <c r="Y20" i="37"/>
  <c r="Z20" i="37"/>
  <c r="AA20" i="37"/>
  <c r="X21" i="37"/>
  <c r="Y21" i="37"/>
  <c r="Z21" i="37"/>
  <c r="AA21" i="37"/>
  <c r="X22" i="37"/>
  <c r="Y22" i="37"/>
  <c r="Z22" i="37"/>
  <c r="AA22" i="37"/>
  <c r="X23" i="37"/>
  <c r="Y23" i="37"/>
  <c r="Z23" i="37"/>
  <c r="AA23" i="37"/>
  <c r="X25" i="37"/>
  <c r="Y25" i="37"/>
  <c r="Z25" i="37"/>
  <c r="AA25" i="37"/>
  <c r="X26" i="37"/>
  <c r="Y26" i="37"/>
  <c r="Z26" i="37"/>
  <c r="AA26" i="37"/>
  <c r="X27" i="37"/>
  <c r="Y27" i="37"/>
  <c r="Z27" i="37"/>
  <c r="AA27" i="37"/>
  <c r="X28" i="37"/>
  <c r="Y28" i="37"/>
  <c r="Z28" i="37"/>
  <c r="AA28" i="37"/>
  <c r="X30" i="37"/>
  <c r="Y30" i="37"/>
  <c r="Z30" i="37"/>
  <c r="AA30" i="37"/>
  <c r="X31" i="37"/>
  <c r="Y31" i="37"/>
  <c r="Z31" i="37"/>
  <c r="AA31" i="37"/>
  <c r="X32" i="37"/>
  <c r="Y32" i="37"/>
  <c r="Z32" i="37"/>
  <c r="AA32" i="37"/>
  <c r="X34" i="37"/>
  <c r="Y34" i="37"/>
  <c r="Z34" i="37"/>
  <c r="AA34" i="37"/>
  <c r="X35" i="37"/>
  <c r="Y35" i="37"/>
  <c r="Z35" i="37"/>
  <c r="AA35" i="37"/>
  <c r="X36" i="37"/>
  <c r="Y36" i="37"/>
  <c r="Z36" i="37"/>
  <c r="AA36" i="37"/>
  <c r="Y37" i="37"/>
  <c r="Z37" i="37"/>
  <c r="AA37" i="37"/>
  <c r="B48" i="15"/>
  <c r="C12" i="66"/>
  <c r="I12" i="66"/>
  <c r="M12" i="54"/>
  <c r="B40" i="15"/>
  <c r="B120" i="15"/>
  <c r="E12" i="66"/>
  <c r="K12" i="66"/>
  <c r="AC12" i="54"/>
  <c r="B112" i="15"/>
  <c r="E4" i="66"/>
  <c r="K4" i="66"/>
  <c r="AC4" i="54"/>
  <c r="B84" i="15"/>
  <c r="D12" i="66"/>
  <c r="J12" i="66"/>
  <c r="U12" i="54"/>
  <c r="B76" i="15"/>
  <c r="D4" i="66"/>
  <c r="J4" i="66"/>
  <c r="U4" i="54"/>
  <c r="BL4" i="12"/>
  <c r="BL5" i="12"/>
  <c r="BM5" i="12"/>
  <c r="BN5" i="12"/>
  <c r="BO5" i="12"/>
  <c r="BL6" i="12"/>
  <c r="BM6" i="12"/>
  <c r="BN6" i="12"/>
  <c r="BO6" i="12"/>
  <c r="BL7" i="12"/>
  <c r="BM7" i="12"/>
  <c r="BN7" i="12"/>
  <c r="BO7" i="12"/>
  <c r="BL8" i="12"/>
  <c r="BM8" i="12"/>
  <c r="BN8" i="12"/>
  <c r="BO8" i="12"/>
  <c r="BL9" i="12"/>
  <c r="BM9" i="12"/>
  <c r="BN9" i="12"/>
  <c r="BO9" i="12"/>
  <c r="BL10" i="12"/>
  <c r="BM10" i="12"/>
  <c r="BN10" i="12"/>
  <c r="BO10" i="12"/>
  <c r="BL11" i="12"/>
  <c r="BM11" i="12"/>
  <c r="BN11" i="12"/>
  <c r="BO11" i="12"/>
  <c r="BL12" i="12"/>
  <c r="BM12" i="12"/>
  <c r="BN12" i="12"/>
  <c r="BO12" i="12"/>
  <c r="BL13" i="12"/>
  <c r="BM13" i="12"/>
  <c r="BN13" i="12"/>
  <c r="BO13" i="12"/>
  <c r="BL14" i="12"/>
  <c r="BM14" i="12"/>
  <c r="BN14" i="12"/>
  <c r="BO14" i="12"/>
  <c r="BL15" i="12"/>
  <c r="BM15" i="12"/>
  <c r="BN15" i="12"/>
  <c r="BO15" i="12"/>
  <c r="BL16" i="12"/>
  <c r="BM16" i="12"/>
  <c r="BN16" i="12"/>
  <c r="BO16" i="12"/>
  <c r="BL17" i="12"/>
  <c r="BM17" i="12"/>
  <c r="BN17" i="12"/>
  <c r="BO17" i="12"/>
  <c r="BL18" i="12"/>
  <c r="BM18" i="12"/>
  <c r="BN18" i="12"/>
  <c r="BO18" i="12"/>
  <c r="BL19" i="12"/>
  <c r="BM19" i="12"/>
  <c r="BN19" i="12"/>
  <c r="BO19" i="12"/>
  <c r="BL20" i="12"/>
  <c r="BM20" i="12"/>
  <c r="BN20" i="12"/>
  <c r="BO20" i="12"/>
  <c r="BL21" i="12"/>
  <c r="BM21" i="12"/>
  <c r="BN21" i="12"/>
  <c r="BO21" i="12"/>
  <c r="BL22" i="12"/>
  <c r="BL23" i="12"/>
  <c r="BM23" i="12"/>
  <c r="BN23" i="12"/>
  <c r="BO23" i="12"/>
  <c r="BL24" i="12"/>
  <c r="BM24" i="12"/>
  <c r="BN24" i="12"/>
  <c r="BO24" i="12"/>
  <c r="BL25" i="12"/>
  <c r="BM25" i="12"/>
  <c r="BN25" i="12"/>
  <c r="BO25" i="12"/>
  <c r="BL26" i="12"/>
  <c r="BM26" i="12"/>
  <c r="BN26" i="12"/>
  <c r="BO26" i="12"/>
  <c r="BL27" i="12"/>
  <c r="BL28" i="12"/>
  <c r="BM28" i="12"/>
  <c r="BN28" i="12"/>
  <c r="BO28" i="12"/>
  <c r="BL29" i="12"/>
  <c r="BM29" i="12"/>
  <c r="BN29" i="12"/>
  <c r="BO29" i="12"/>
  <c r="BL30" i="12"/>
  <c r="BM30" i="12"/>
  <c r="BN30" i="12"/>
  <c r="BO30" i="12"/>
  <c r="BL31" i="12"/>
  <c r="BL32" i="12"/>
  <c r="BM32" i="12"/>
  <c r="BN32" i="12"/>
  <c r="BO32" i="12"/>
  <c r="BL33" i="12"/>
  <c r="BM33" i="12"/>
  <c r="BN33" i="12"/>
  <c r="BO33" i="12"/>
  <c r="BL34" i="12"/>
  <c r="BM34" i="12"/>
  <c r="BN34" i="12"/>
  <c r="BO34" i="12"/>
  <c r="BL35" i="12"/>
  <c r="BM35" i="12"/>
  <c r="BN35" i="12"/>
  <c r="BO35" i="12"/>
  <c r="BF5" i="12"/>
  <c r="BG5" i="12"/>
  <c r="BH5" i="12"/>
  <c r="BI5" i="12"/>
  <c r="BF6" i="12"/>
  <c r="BG6" i="12"/>
  <c r="BH6" i="12"/>
  <c r="BI6" i="12"/>
  <c r="BF7" i="12"/>
  <c r="BG7" i="12"/>
  <c r="BH7" i="12"/>
  <c r="BI7" i="12"/>
  <c r="BF8" i="12"/>
  <c r="BG8" i="12"/>
  <c r="BH8" i="12"/>
  <c r="BI8" i="12"/>
  <c r="BF9" i="12"/>
  <c r="BG9" i="12"/>
  <c r="BH9" i="12"/>
  <c r="BI9" i="12"/>
  <c r="BF10" i="12"/>
  <c r="BG10" i="12"/>
  <c r="BH10" i="12"/>
  <c r="BI10" i="12"/>
  <c r="BF11" i="12"/>
  <c r="BG11" i="12"/>
  <c r="BH11" i="12"/>
  <c r="BI11" i="12"/>
  <c r="BF13" i="12"/>
  <c r="BG13" i="12"/>
  <c r="BH13" i="12"/>
  <c r="BI13" i="12"/>
  <c r="BF14" i="12"/>
  <c r="BG14" i="12"/>
  <c r="BH14" i="12"/>
  <c r="BI14" i="12"/>
  <c r="BF15" i="12"/>
  <c r="BG15" i="12"/>
  <c r="BH15" i="12"/>
  <c r="BI15" i="12"/>
  <c r="BF16" i="12"/>
  <c r="BG16" i="12"/>
  <c r="BH16" i="12"/>
  <c r="BI16" i="12"/>
  <c r="BF17" i="12"/>
  <c r="BG17" i="12"/>
  <c r="BH17" i="12"/>
  <c r="BI17" i="12"/>
  <c r="BF18" i="12"/>
  <c r="BG18" i="12"/>
  <c r="BH18" i="12"/>
  <c r="BI18" i="12"/>
  <c r="BF19" i="12"/>
  <c r="BG19" i="12"/>
  <c r="BH19" i="12"/>
  <c r="BI19" i="12"/>
  <c r="BF20" i="12"/>
  <c r="BG20" i="12"/>
  <c r="BH20" i="12"/>
  <c r="BI20" i="12"/>
  <c r="BF21" i="12"/>
  <c r="BG21" i="12"/>
  <c r="BH21" i="12"/>
  <c r="BI21" i="12"/>
  <c r="BF23" i="12"/>
  <c r="BG23" i="12"/>
  <c r="BH23" i="12"/>
  <c r="BI23" i="12"/>
  <c r="BF24" i="12"/>
  <c r="BG24" i="12"/>
  <c r="BH24" i="12"/>
  <c r="BI24" i="12"/>
  <c r="BF25" i="12"/>
  <c r="BG25" i="12"/>
  <c r="BH25" i="12"/>
  <c r="BI25" i="12"/>
  <c r="BF26" i="12"/>
  <c r="BG26" i="12"/>
  <c r="BH26" i="12"/>
  <c r="BI26" i="12"/>
  <c r="BF28" i="12"/>
  <c r="BG28" i="12"/>
  <c r="BH28" i="12"/>
  <c r="BI28" i="12"/>
  <c r="BF29" i="12"/>
  <c r="BG29" i="12"/>
  <c r="BH29" i="12"/>
  <c r="BI29" i="12"/>
  <c r="BF30" i="12"/>
  <c r="BG30" i="12"/>
  <c r="BH30" i="12"/>
  <c r="BI30" i="12"/>
  <c r="BF32" i="12"/>
  <c r="BG32" i="12"/>
  <c r="BH32" i="12"/>
  <c r="BI32" i="12"/>
  <c r="BF33" i="12"/>
  <c r="BG33" i="12"/>
  <c r="BH33" i="12"/>
  <c r="BI33" i="12"/>
  <c r="BF34" i="12"/>
  <c r="BG34" i="12"/>
  <c r="BH34" i="12"/>
  <c r="BI34" i="12"/>
  <c r="BF35" i="12"/>
  <c r="BG35" i="12"/>
  <c r="BH35" i="12"/>
  <c r="BI35" i="12"/>
  <c r="BL14" i="68"/>
  <c r="L11" i="24"/>
  <c r="I6" i="32"/>
  <c r="K20" i="24"/>
  <c r="K30" i="24"/>
  <c r="K35" i="24"/>
  <c r="AK15" i="69"/>
  <c r="BL19" i="68"/>
  <c r="C4" i="66"/>
  <c r="I4" i="66"/>
  <c r="M4" i="54"/>
  <c r="BL4" i="68"/>
  <c r="AH3" i="54"/>
  <c r="F3" i="75"/>
  <c r="AW18" i="22"/>
  <c r="AJ3" i="54"/>
  <c r="F3" i="74"/>
  <c r="AJ27" i="54"/>
  <c r="F27" i="74"/>
  <c r="AJ4" i="54"/>
  <c r="F4" i="74"/>
  <c r="AJ22" i="54"/>
  <c r="F22" i="74"/>
  <c r="AJ31" i="54"/>
  <c r="F31" i="74"/>
  <c r="F3" i="51"/>
  <c r="AI3" i="54"/>
  <c r="N11" i="26"/>
  <c r="B12" i="46"/>
  <c r="C12" i="46"/>
  <c r="D12" i="46"/>
  <c r="BF31" i="12"/>
  <c r="BF27" i="12"/>
  <c r="BF22" i="12"/>
  <c r="BF12" i="12"/>
  <c r="B4" i="12"/>
  <c r="BF4" i="12"/>
  <c r="R120" i="41"/>
  <c r="R121" i="41"/>
  <c r="R122" i="41"/>
  <c r="R123" i="41"/>
  <c r="R124" i="41"/>
  <c r="R125" i="41"/>
  <c r="R126" i="41"/>
  <c r="R127" i="41"/>
  <c r="R128" i="41"/>
  <c r="R129" i="41"/>
  <c r="R130" i="41"/>
  <c r="R131" i="41"/>
  <c r="R132" i="41"/>
  <c r="R133" i="41"/>
  <c r="R134" i="41"/>
  <c r="R135" i="41"/>
  <c r="R136" i="41"/>
  <c r="R137" i="41"/>
  <c r="R138" i="41"/>
  <c r="R139" i="41"/>
  <c r="R140" i="41"/>
  <c r="R141" i="41"/>
  <c r="R142" i="41"/>
  <c r="R143" i="41"/>
  <c r="R144" i="41"/>
  <c r="R145" i="41"/>
  <c r="R146" i="41"/>
  <c r="R147" i="41"/>
  <c r="R148" i="41"/>
  <c r="R149" i="41"/>
  <c r="R150" i="41"/>
  <c r="R151" i="41"/>
  <c r="R119" i="41"/>
  <c r="R83" i="41"/>
  <c r="R84" i="41"/>
  <c r="R86" i="41"/>
  <c r="R87" i="41"/>
  <c r="R88" i="41"/>
  <c r="R89" i="41"/>
  <c r="R94" i="41"/>
  <c r="R44" i="41"/>
  <c r="R45" i="41"/>
  <c r="R46" i="41"/>
  <c r="R47" i="41"/>
  <c r="R48" i="41"/>
  <c r="R49" i="41"/>
  <c r="R50" i="41"/>
  <c r="R51" i="41"/>
  <c r="R56" i="41"/>
  <c r="R72" i="41"/>
  <c r="R73" i="41"/>
  <c r="R6" i="41"/>
  <c r="R7" i="41"/>
  <c r="R8" i="41"/>
  <c r="R9" i="41"/>
  <c r="R10" i="41"/>
  <c r="R11" i="41"/>
  <c r="R12" i="41"/>
  <c r="R13" i="41"/>
  <c r="R18" i="41"/>
  <c r="R34" i="41"/>
  <c r="R35" i="41"/>
  <c r="R36" i="41"/>
  <c r="R121" i="44"/>
  <c r="R122" i="44"/>
  <c r="R124" i="44"/>
  <c r="R125" i="44"/>
  <c r="R126" i="44"/>
  <c r="R127" i="44"/>
  <c r="R132" i="44"/>
  <c r="B3" i="12"/>
  <c r="BL3" i="12"/>
  <c r="BF3" i="12"/>
  <c r="T49" i="32"/>
  <c r="U49" i="32"/>
  <c r="V49" i="32"/>
  <c r="X49" i="32"/>
  <c r="T50" i="32"/>
  <c r="U50" i="32"/>
  <c r="V50" i="32"/>
  <c r="X50" i="32"/>
  <c r="T51" i="32"/>
  <c r="U51" i="32"/>
  <c r="V51" i="32"/>
  <c r="X51" i="32"/>
  <c r="T52" i="32"/>
  <c r="U52" i="32"/>
  <c r="V52" i="32"/>
  <c r="X52" i="32"/>
  <c r="T53" i="32"/>
  <c r="U53" i="32"/>
  <c r="V53" i="32"/>
  <c r="X53" i="32"/>
  <c r="T54" i="32"/>
  <c r="U54" i="32"/>
  <c r="V54" i="32"/>
  <c r="X54" i="32"/>
  <c r="T55" i="32"/>
  <c r="U55" i="32"/>
  <c r="V55" i="32"/>
  <c r="X55" i="32"/>
  <c r="T56" i="32"/>
  <c r="U56" i="32"/>
  <c r="V56" i="32"/>
  <c r="X56" i="32"/>
  <c r="S50" i="32"/>
  <c r="S51" i="32"/>
  <c r="S52" i="32"/>
  <c r="S53" i="32"/>
  <c r="S54" i="32"/>
  <c r="S55" i="32"/>
  <c r="S56" i="32"/>
  <c r="S49" i="32"/>
  <c r="Z50" i="26"/>
  <c r="AA50" i="26"/>
  <c r="AB50" i="26"/>
  <c r="AC50" i="26"/>
  <c r="AD50" i="26"/>
  <c r="AE50" i="26"/>
  <c r="Z51" i="26"/>
  <c r="AA51" i="26"/>
  <c r="AB51" i="26"/>
  <c r="AC51" i="26"/>
  <c r="AD51" i="26"/>
  <c r="AE51" i="26"/>
  <c r="Z52" i="26"/>
  <c r="AA52" i="26"/>
  <c r="AB52" i="26"/>
  <c r="AC52" i="26"/>
  <c r="AD52" i="26"/>
  <c r="AE52" i="26"/>
  <c r="Z53" i="26"/>
  <c r="AA53" i="26"/>
  <c r="AB53" i="26"/>
  <c r="AC53" i="26"/>
  <c r="AD53" i="26"/>
  <c r="AE53" i="26"/>
  <c r="Z54" i="26"/>
  <c r="AA54" i="26"/>
  <c r="AB54" i="26"/>
  <c r="AC54" i="26"/>
  <c r="AD54" i="26"/>
  <c r="AE54" i="26"/>
  <c r="Z55" i="26"/>
  <c r="AA55" i="26"/>
  <c r="AB55" i="26"/>
  <c r="AC55" i="26"/>
  <c r="AD55" i="26"/>
  <c r="AE55" i="26"/>
  <c r="Z56" i="26"/>
  <c r="AA56" i="26"/>
  <c r="AB56" i="26"/>
  <c r="AC56" i="26"/>
  <c r="AD56" i="26"/>
  <c r="AE56" i="26"/>
  <c r="AA49" i="26"/>
  <c r="AB49" i="26"/>
  <c r="AC49" i="26"/>
  <c r="AD49" i="26"/>
  <c r="AE49" i="26"/>
  <c r="Z49" i="26"/>
  <c r="BI10" i="30"/>
  <c r="BH10" i="30"/>
  <c r="BG10" i="30"/>
  <c r="BF10" i="30"/>
  <c r="AI10" i="30"/>
  <c r="BE10" i="30"/>
  <c r="AH10" i="30"/>
  <c r="BD10" i="30"/>
  <c r="AG10" i="30"/>
  <c r="BC10" i="30"/>
  <c r="AF10" i="30"/>
  <c r="BB10" i="30"/>
  <c r="AE10" i="30"/>
  <c r="BA10" i="30"/>
  <c r="AD10" i="30"/>
  <c r="AZ10" i="30"/>
  <c r="AC10" i="30"/>
  <c r="AY10" i="30"/>
  <c r="AB10" i="30"/>
  <c r="AX10" i="30"/>
  <c r="AA10" i="30"/>
  <c r="AW10" i="30"/>
  <c r="Z10" i="30"/>
  <c r="AV10" i="30"/>
  <c r="Y10" i="30"/>
  <c r="AU10" i="30"/>
  <c r="X10" i="30"/>
  <c r="AT10" i="30"/>
  <c r="AG11" i="30"/>
  <c r="BC11" i="30"/>
  <c r="AI11" i="30"/>
  <c r="BE11" i="30"/>
  <c r="Y11" i="30"/>
  <c r="AU11" i="30"/>
  <c r="AA11" i="30"/>
  <c r="AW11" i="30"/>
  <c r="B3" i="30"/>
  <c r="D3" i="30"/>
  <c r="F3" i="30"/>
  <c r="B4" i="30"/>
  <c r="D4" i="30"/>
  <c r="F4" i="30"/>
  <c r="D2" i="30"/>
  <c r="F2" i="30"/>
  <c r="B2" i="30"/>
  <c r="R122" i="38"/>
  <c r="R123" i="38"/>
  <c r="R123" i="40"/>
  <c r="R123" i="44"/>
  <c r="R124" i="38"/>
  <c r="R125" i="38"/>
  <c r="R126" i="38"/>
  <c r="R127" i="38"/>
  <c r="R129" i="38"/>
  <c r="R130" i="38"/>
  <c r="R130" i="40"/>
  <c r="R130" i="44"/>
  <c r="R131" i="38"/>
  <c r="R131" i="40"/>
  <c r="R131" i="44"/>
  <c r="R132" i="38"/>
  <c r="R133" i="38"/>
  <c r="R133" i="40"/>
  <c r="R133" i="44"/>
  <c r="R134" i="38"/>
  <c r="R134" i="40"/>
  <c r="R134" i="44"/>
  <c r="R135" i="38"/>
  <c r="R135" i="40"/>
  <c r="R135" i="44"/>
  <c r="R136" i="38"/>
  <c r="R136" i="40"/>
  <c r="R136" i="44"/>
  <c r="R137" i="38"/>
  <c r="R137" i="40"/>
  <c r="R137" i="44"/>
  <c r="Q22" i="29"/>
  <c r="R139" i="38"/>
  <c r="R140" i="38"/>
  <c r="R140" i="40"/>
  <c r="R140" i="44"/>
  <c r="R141" i="38"/>
  <c r="R141" i="40"/>
  <c r="R141" i="44"/>
  <c r="R142" i="38"/>
  <c r="R142" i="40"/>
  <c r="R142" i="44"/>
  <c r="Q27" i="29"/>
  <c r="R144" i="38"/>
  <c r="R145" i="38"/>
  <c r="R145" i="40"/>
  <c r="R145" i="44"/>
  <c r="R146" i="38"/>
  <c r="R146" i="40"/>
  <c r="R146" i="44"/>
  <c r="Q31" i="29"/>
  <c r="R148" i="38"/>
  <c r="R149" i="38"/>
  <c r="R149" i="40"/>
  <c r="R149" i="44"/>
  <c r="R150" i="38"/>
  <c r="R150" i="40"/>
  <c r="R150" i="44"/>
  <c r="R151" i="38"/>
  <c r="R151" i="40"/>
  <c r="R151" i="44"/>
  <c r="R121" i="38"/>
  <c r="R120" i="38"/>
  <c r="Y56" i="26"/>
  <c r="X56" i="26"/>
  <c r="Y55" i="26"/>
  <c r="X55" i="26"/>
  <c r="Y54" i="26"/>
  <c r="X54" i="26"/>
  <c r="Y53" i="26"/>
  <c r="X53" i="26"/>
  <c r="Y52" i="26"/>
  <c r="X52" i="26"/>
  <c r="Y51" i="26"/>
  <c r="X51" i="26"/>
  <c r="Y50" i="26"/>
  <c r="X50" i="26"/>
  <c r="Y49" i="26"/>
  <c r="X49" i="26"/>
  <c r="G12" i="26"/>
  <c r="G11" i="26"/>
  <c r="M122" i="37"/>
  <c r="M123" i="37"/>
  <c r="M124" i="37"/>
  <c r="M125" i="37"/>
  <c r="M126" i="37"/>
  <c r="M127" i="37"/>
  <c r="M130" i="37"/>
  <c r="M131" i="37"/>
  <c r="M132" i="37"/>
  <c r="M133" i="37"/>
  <c r="M134" i="37"/>
  <c r="M135" i="37"/>
  <c r="M136" i="37"/>
  <c r="M137" i="37"/>
  <c r="M140" i="37"/>
  <c r="M141" i="37"/>
  <c r="M142" i="37"/>
  <c r="M145" i="37"/>
  <c r="M146" i="37"/>
  <c r="M149" i="37"/>
  <c r="M150" i="37"/>
  <c r="M151" i="37"/>
  <c r="L122" i="37"/>
  <c r="L123" i="37"/>
  <c r="L124" i="37"/>
  <c r="L125" i="37"/>
  <c r="L126" i="37"/>
  <c r="L127" i="37"/>
  <c r="L130" i="37"/>
  <c r="L131" i="37"/>
  <c r="L132" i="37"/>
  <c r="L133" i="37"/>
  <c r="L134" i="37"/>
  <c r="L135" i="37"/>
  <c r="L136" i="37"/>
  <c r="L137" i="37"/>
  <c r="L140" i="37"/>
  <c r="L141" i="37"/>
  <c r="L142" i="37"/>
  <c r="L145" i="37"/>
  <c r="L146" i="37"/>
  <c r="L149" i="37"/>
  <c r="L150" i="37"/>
  <c r="L151" i="37"/>
  <c r="C12" i="26"/>
  <c r="S9" i="24"/>
  <c r="AJ9" i="24"/>
  <c r="U16" i="23"/>
  <c r="AL16" i="23"/>
  <c r="T16" i="23"/>
  <c r="AK16" i="23"/>
  <c r="S16" i="23"/>
  <c r="AJ16" i="23"/>
  <c r="U15" i="23"/>
  <c r="AL15" i="23"/>
  <c r="T15" i="23"/>
  <c r="AK15" i="23"/>
  <c r="S15" i="23"/>
  <c r="AJ15" i="23"/>
  <c r="U14" i="23"/>
  <c r="AL14" i="23"/>
  <c r="T14" i="23"/>
  <c r="AK14" i="23"/>
  <c r="S14" i="23"/>
  <c r="AJ14" i="23"/>
  <c r="U13" i="23"/>
  <c r="AL13" i="23"/>
  <c r="T13" i="23"/>
  <c r="AK13" i="23"/>
  <c r="S13" i="23"/>
  <c r="AJ13" i="23"/>
  <c r="U12" i="23"/>
  <c r="AL12" i="23"/>
  <c r="T12" i="23"/>
  <c r="AK12" i="23"/>
  <c r="S12" i="23"/>
  <c r="AJ12" i="23"/>
  <c r="U11" i="23"/>
  <c r="AL11" i="23"/>
  <c r="T11" i="23"/>
  <c r="AK11" i="23"/>
  <c r="S11" i="23"/>
  <c r="AJ11" i="23"/>
  <c r="U10" i="23"/>
  <c r="AL10" i="23"/>
  <c r="T10" i="23"/>
  <c r="AK10" i="23"/>
  <c r="S10" i="23"/>
  <c r="AJ10" i="23"/>
  <c r="U9" i="23"/>
  <c r="AL9" i="23"/>
  <c r="T9" i="23"/>
  <c r="AK9" i="23"/>
  <c r="S9" i="23"/>
  <c r="AJ9" i="23"/>
  <c r="T9" i="22"/>
  <c r="AK9" i="22"/>
  <c r="U9" i="22"/>
  <c r="AL9" i="22"/>
  <c r="T10" i="22"/>
  <c r="AK10" i="22"/>
  <c r="U10" i="22"/>
  <c r="AL10" i="22"/>
  <c r="T11" i="22"/>
  <c r="AK11" i="22"/>
  <c r="U11" i="22"/>
  <c r="AL11" i="22"/>
  <c r="T12" i="22"/>
  <c r="AK12" i="22"/>
  <c r="U12" i="22"/>
  <c r="AL12" i="22"/>
  <c r="T13" i="22"/>
  <c r="AK13" i="22"/>
  <c r="U13" i="22"/>
  <c r="AL13" i="22"/>
  <c r="T14" i="22"/>
  <c r="AK14" i="22"/>
  <c r="U14" i="22"/>
  <c r="AL14" i="22"/>
  <c r="T15" i="22"/>
  <c r="AK15" i="22"/>
  <c r="U15" i="22"/>
  <c r="AL15" i="22"/>
  <c r="T16" i="22"/>
  <c r="AK16" i="22"/>
  <c r="U16" i="22"/>
  <c r="AL16" i="22"/>
  <c r="S10" i="22"/>
  <c r="AJ10" i="22"/>
  <c r="S11" i="22"/>
  <c r="AJ11" i="22"/>
  <c r="S12" i="22"/>
  <c r="AJ12" i="22"/>
  <c r="S13" i="22"/>
  <c r="AJ13" i="22"/>
  <c r="S14" i="22"/>
  <c r="AJ14" i="22"/>
  <c r="S15" i="22"/>
  <c r="AJ15" i="22"/>
  <c r="S16" i="22"/>
  <c r="AJ16" i="22"/>
  <c r="S9" i="22"/>
  <c r="AJ9" i="22"/>
  <c r="W9" i="22"/>
  <c r="AN9" i="22"/>
  <c r="X9" i="22"/>
  <c r="AO9" i="22"/>
  <c r="Z9" i="22"/>
  <c r="AQ9" i="22"/>
  <c r="AA9" i="22"/>
  <c r="AR9" i="22"/>
  <c r="AC9" i="22"/>
  <c r="AT9" i="22"/>
  <c r="AD9" i="22"/>
  <c r="AU9" i="22"/>
  <c r="W10" i="22"/>
  <c r="AN10" i="22"/>
  <c r="X10" i="22"/>
  <c r="AO10" i="22"/>
  <c r="Z10" i="22"/>
  <c r="AQ10" i="22"/>
  <c r="AA10" i="22"/>
  <c r="AR10" i="22"/>
  <c r="AC10" i="22"/>
  <c r="AT10" i="22"/>
  <c r="AD10" i="22"/>
  <c r="AU10" i="22"/>
  <c r="W11" i="22"/>
  <c r="AN11" i="22"/>
  <c r="X11" i="22"/>
  <c r="AO11" i="22"/>
  <c r="Z11" i="22"/>
  <c r="AQ11" i="22"/>
  <c r="AA11" i="22"/>
  <c r="AR11" i="22"/>
  <c r="AC11" i="22"/>
  <c r="AT11" i="22"/>
  <c r="AD11" i="22"/>
  <c r="AU11" i="22"/>
  <c r="W12" i="22"/>
  <c r="AN12" i="22"/>
  <c r="X12" i="22"/>
  <c r="AO12" i="22"/>
  <c r="Z12" i="22"/>
  <c r="AQ12" i="22"/>
  <c r="AD12" i="22"/>
  <c r="AU12" i="22"/>
  <c r="AC12" i="22"/>
  <c r="AT12" i="22"/>
  <c r="W13" i="22"/>
  <c r="AN13" i="22"/>
  <c r="X13" i="22"/>
  <c r="AO13" i="22"/>
  <c r="Z13" i="22"/>
  <c r="AQ13" i="22"/>
  <c r="AA13" i="22"/>
  <c r="AR13" i="22"/>
  <c r="AC13" i="22"/>
  <c r="AT13" i="22"/>
  <c r="AD13" i="22"/>
  <c r="AU13" i="22"/>
  <c r="W14" i="22"/>
  <c r="AN14" i="22"/>
  <c r="X14" i="22"/>
  <c r="AO14" i="22"/>
  <c r="Z14" i="22"/>
  <c r="AQ14" i="22"/>
  <c r="AA14" i="22"/>
  <c r="AR14" i="22"/>
  <c r="AC14" i="22"/>
  <c r="AT14" i="22"/>
  <c r="AD14" i="22"/>
  <c r="AU14" i="22"/>
  <c r="W15" i="22"/>
  <c r="AN15" i="22"/>
  <c r="X15" i="22"/>
  <c r="AO15" i="22"/>
  <c r="Z15" i="22"/>
  <c r="AQ15" i="22"/>
  <c r="AA15" i="22"/>
  <c r="AR15" i="22"/>
  <c r="AC15" i="22"/>
  <c r="AT15" i="22"/>
  <c r="AD15" i="22"/>
  <c r="AU15" i="22"/>
  <c r="W16" i="22"/>
  <c r="AN16" i="22"/>
  <c r="X16" i="22"/>
  <c r="AO16" i="22"/>
  <c r="Z16" i="22"/>
  <c r="AQ16" i="22"/>
  <c r="V11" i="22"/>
  <c r="AM11" i="22"/>
  <c r="V13" i="22"/>
  <c r="AM13" i="22"/>
  <c r="V15" i="22"/>
  <c r="AM15" i="22"/>
  <c r="V9" i="22"/>
  <c r="AM9" i="22"/>
  <c r="C4" i="13"/>
  <c r="D4" i="13"/>
  <c r="C12" i="13"/>
  <c r="D12" i="13"/>
  <c r="C22" i="13"/>
  <c r="B22" i="46"/>
  <c r="C22" i="46"/>
  <c r="D22" i="46"/>
  <c r="C27" i="13"/>
  <c r="B27" i="46"/>
  <c r="C27" i="46"/>
  <c r="D27" i="46"/>
  <c r="C31" i="13"/>
  <c r="D31" i="13"/>
  <c r="E31" i="13"/>
  <c r="E3" i="13"/>
  <c r="B31" i="46"/>
  <c r="C31" i="46"/>
  <c r="D31" i="46"/>
  <c r="B31" i="13"/>
  <c r="B27" i="13"/>
  <c r="B22" i="13"/>
  <c r="B12" i="13"/>
  <c r="B4" i="13"/>
  <c r="B3" i="13"/>
  <c r="D3" i="13"/>
  <c r="W56" i="32"/>
  <c r="W54" i="32"/>
  <c r="W52" i="32"/>
  <c r="W50" i="32"/>
  <c r="W55" i="32"/>
  <c r="W53" i="32"/>
  <c r="W51" i="32"/>
  <c r="D19" i="23"/>
  <c r="L144" i="37"/>
  <c r="M42" i="23"/>
  <c r="L139" i="37"/>
  <c r="L138" i="37"/>
  <c r="M37" i="23"/>
  <c r="L121" i="37"/>
  <c r="L120" i="37"/>
  <c r="M19" i="23"/>
  <c r="J46" i="23"/>
  <c r="J27" i="23"/>
  <c r="G19" i="23"/>
  <c r="B46" i="22"/>
  <c r="B27" i="22"/>
  <c r="E19" i="22"/>
  <c r="M144" i="37"/>
  <c r="K42" i="22"/>
  <c r="M139" i="37"/>
  <c r="K37" i="22"/>
  <c r="M121" i="37"/>
  <c r="K19" i="22"/>
  <c r="L148" i="37"/>
  <c r="M46" i="23"/>
  <c r="L129" i="37"/>
  <c r="M27" i="23"/>
  <c r="J42" i="23"/>
  <c r="J37" i="23"/>
  <c r="J19" i="23"/>
  <c r="J18" i="23"/>
  <c r="B42" i="22"/>
  <c r="B37" i="22"/>
  <c r="B19" i="22"/>
  <c r="B18" i="22"/>
  <c r="H19" i="22"/>
  <c r="H18" i="22"/>
  <c r="M148" i="37"/>
  <c r="M147" i="37"/>
  <c r="K46" i="22"/>
  <c r="M129" i="37"/>
  <c r="M128" i="37"/>
  <c r="K27" i="22"/>
  <c r="K12" i="26"/>
  <c r="W49" i="32"/>
  <c r="R148" i="40"/>
  <c r="R148" i="44"/>
  <c r="R147" i="38"/>
  <c r="R144" i="40"/>
  <c r="R144" i="44"/>
  <c r="R143" i="38"/>
  <c r="R129" i="40"/>
  <c r="R129" i="44"/>
  <c r="R128" i="38"/>
  <c r="R139" i="40"/>
  <c r="R139" i="44"/>
  <c r="R138" i="38"/>
  <c r="T11" i="30"/>
  <c r="AP11" i="30"/>
  <c r="BL11" i="30"/>
  <c r="AN11" i="30"/>
  <c r="BJ11" i="30"/>
  <c r="L128" i="37"/>
  <c r="M143" i="37"/>
  <c r="AQ11" i="30"/>
  <c r="BM11" i="30"/>
  <c r="U11" i="30"/>
  <c r="AO11" i="30"/>
  <c r="BK11" i="30"/>
  <c r="S11" i="30"/>
  <c r="L147" i="37"/>
  <c r="L143" i="37"/>
  <c r="M138" i="37"/>
  <c r="M120" i="37"/>
  <c r="K11" i="26"/>
  <c r="Q12" i="29"/>
  <c r="Q3" i="29"/>
  <c r="B40" i="30"/>
  <c r="B36" i="30"/>
  <c r="B13" i="30"/>
  <c r="J13" i="30"/>
  <c r="N31" i="30"/>
  <c r="N21" i="30"/>
  <c r="N13" i="30"/>
  <c r="B31" i="30"/>
  <c r="B21" i="30"/>
  <c r="F13" i="30"/>
  <c r="N40" i="30"/>
  <c r="N36" i="30"/>
  <c r="AP36" i="25"/>
  <c r="AP35" i="25"/>
  <c r="AP34" i="25"/>
  <c r="AP33" i="25"/>
  <c r="AP31" i="25"/>
  <c r="AP30" i="25"/>
  <c r="AP29" i="25"/>
  <c r="AP27" i="25"/>
  <c r="AP26" i="25"/>
  <c r="AP25" i="25"/>
  <c r="AP24" i="25"/>
  <c r="AP22" i="25"/>
  <c r="AP21" i="25"/>
  <c r="AP20" i="25"/>
  <c r="AP19" i="25"/>
  <c r="AP18" i="25"/>
  <c r="AP17" i="25"/>
  <c r="AP16" i="25"/>
  <c r="AP15" i="25"/>
  <c r="AP14" i="25"/>
  <c r="AP12" i="25"/>
  <c r="AP11" i="25"/>
  <c r="AP10" i="25"/>
  <c r="AP9" i="25"/>
  <c r="AP8" i="25"/>
  <c r="AP7" i="25"/>
  <c r="Y56" i="32"/>
  <c r="Z55" i="32"/>
  <c r="Y54" i="32"/>
  <c r="Z53" i="32"/>
  <c r="Y52" i="32"/>
  <c r="Z51" i="32"/>
  <c r="Y50" i="32"/>
  <c r="Z49" i="32"/>
  <c r="AB49" i="32"/>
  <c r="AP5" i="25"/>
  <c r="AP6" i="25"/>
  <c r="Z56" i="32"/>
  <c r="Y55" i="32"/>
  <c r="Z54" i="32"/>
  <c r="Y53" i="32"/>
  <c r="Z52" i="32"/>
  <c r="Y51" i="32"/>
  <c r="Z50" i="32"/>
  <c r="Y49" i="32"/>
  <c r="AA49" i="32"/>
  <c r="G119" i="41"/>
  <c r="G120" i="41"/>
  <c r="G121" i="41"/>
  <c r="G122" i="41"/>
  <c r="G123" i="41"/>
  <c r="G124" i="41"/>
  <c r="G125" i="41"/>
  <c r="G126" i="41"/>
  <c r="G127" i="41"/>
  <c r="G128" i="41"/>
  <c r="G129" i="41"/>
  <c r="G130" i="41"/>
  <c r="G131" i="41"/>
  <c r="G132" i="41"/>
  <c r="G133" i="41"/>
  <c r="G134" i="41"/>
  <c r="G135" i="41"/>
  <c r="G136" i="41"/>
  <c r="G137" i="41"/>
  <c r="G138" i="41"/>
  <c r="G139" i="41"/>
  <c r="G140" i="41"/>
  <c r="G141" i="41"/>
  <c r="G142" i="41"/>
  <c r="G143" i="41"/>
  <c r="G144" i="41"/>
  <c r="G145" i="41"/>
  <c r="G146" i="41"/>
  <c r="G147" i="41"/>
  <c r="G148" i="41"/>
  <c r="G149" i="41"/>
  <c r="G150" i="41"/>
  <c r="G151" i="41"/>
  <c r="E119" i="41"/>
  <c r="E120" i="41"/>
  <c r="E121" i="41"/>
  <c r="E122" i="41"/>
  <c r="E123" i="41"/>
  <c r="E124" i="41"/>
  <c r="E125" i="41"/>
  <c r="E126" i="41"/>
  <c r="E127" i="41"/>
  <c r="E128" i="41"/>
  <c r="E129" i="41"/>
  <c r="E130" i="41"/>
  <c r="E131" i="41"/>
  <c r="E132" i="41"/>
  <c r="E133" i="41"/>
  <c r="E134" i="41"/>
  <c r="E135" i="41"/>
  <c r="E136" i="41"/>
  <c r="E137" i="41"/>
  <c r="E138" i="41"/>
  <c r="E139" i="41"/>
  <c r="E140" i="41"/>
  <c r="E141" i="41"/>
  <c r="E142" i="41"/>
  <c r="E143" i="41"/>
  <c r="E144" i="41"/>
  <c r="E145" i="41"/>
  <c r="E146" i="41"/>
  <c r="E147" i="41"/>
  <c r="E148" i="41"/>
  <c r="E149" i="41"/>
  <c r="E150" i="41"/>
  <c r="E151" i="41"/>
  <c r="AC11" i="30"/>
  <c r="AY11" i="30"/>
  <c r="AE11" i="30"/>
  <c r="BA11" i="30"/>
  <c r="AK11" i="30"/>
  <c r="BG11" i="30"/>
  <c r="AM11" i="30"/>
  <c r="BI11" i="30"/>
  <c r="F120" i="41"/>
  <c r="F121" i="41"/>
  <c r="F122" i="41"/>
  <c r="F123" i="41"/>
  <c r="F124" i="41"/>
  <c r="F125" i="41"/>
  <c r="F126" i="41"/>
  <c r="F127" i="41"/>
  <c r="F128" i="41"/>
  <c r="F129" i="41"/>
  <c r="F130" i="41"/>
  <c r="F131" i="41"/>
  <c r="F132" i="41"/>
  <c r="F133" i="41"/>
  <c r="F134" i="41"/>
  <c r="F135" i="41"/>
  <c r="F136" i="41"/>
  <c r="F137" i="41"/>
  <c r="F138" i="41"/>
  <c r="F139" i="41"/>
  <c r="F140" i="41"/>
  <c r="F141" i="41"/>
  <c r="F142" i="41"/>
  <c r="F143" i="41"/>
  <c r="F144" i="41"/>
  <c r="F145" i="41"/>
  <c r="F146" i="41"/>
  <c r="F147" i="41"/>
  <c r="F148" i="41"/>
  <c r="F149" i="41"/>
  <c r="F150" i="41"/>
  <c r="F151" i="41"/>
  <c r="F119" i="41"/>
  <c r="D120" i="41"/>
  <c r="D121" i="41"/>
  <c r="D122" i="41"/>
  <c r="D123" i="41"/>
  <c r="D124" i="41"/>
  <c r="D125" i="41"/>
  <c r="D126" i="41"/>
  <c r="D127" i="41"/>
  <c r="D128" i="41"/>
  <c r="D129" i="41"/>
  <c r="D130" i="41"/>
  <c r="D131" i="41"/>
  <c r="D132" i="41"/>
  <c r="D133" i="41"/>
  <c r="D134" i="41"/>
  <c r="D135" i="41"/>
  <c r="D136" i="41"/>
  <c r="D137" i="41"/>
  <c r="D138" i="41"/>
  <c r="D139" i="41"/>
  <c r="D140" i="41"/>
  <c r="D141" i="41"/>
  <c r="D142" i="41"/>
  <c r="D143" i="41"/>
  <c r="D144" i="41"/>
  <c r="D145" i="41"/>
  <c r="D146" i="41"/>
  <c r="D147" i="41"/>
  <c r="D148" i="41"/>
  <c r="D149" i="41"/>
  <c r="D150" i="41"/>
  <c r="D151" i="41"/>
  <c r="D119" i="41"/>
  <c r="X11" i="30"/>
  <c r="AT11" i="30"/>
  <c r="Z11" i="30"/>
  <c r="AV11" i="30"/>
  <c r="AB11" i="30"/>
  <c r="AX11" i="30"/>
  <c r="AD11" i="30"/>
  <c r="AZ11" i="30"/>
  <c r="AF11" i="30"/>
  <c r="BB11" i="30"/>
  <c r="AH11" i="30"/>
  <c r="BD11" i="30"/>
  <c r="AJ11" i="30"/>
  <c r="BF11" i="30"/>
  <c r="AL11" i="30"/>
  <c r="BH11" i="30"/>
  <c r="Q151" i="37"/>
  <c r="Q149" i="37"/>
  <c r="Q145" i="37"/>
  <c r="Q141" i="37"/>
  <c r="Q139" i="37"/>
  <c r="Q137" i="37"/>
  <c r="Q135" i="37"/>
  <c r="Q133" i="37"/>
  <c r="Q131" i="37"/>
  <c r="Q129" i="37"/>
  <c r="Q127" i="37"/>
  <c r="Q125" i="37"/>
  <c r="Q123" i="37"/>
  <c r="Q121" i="37"/>
  <c r="Q150" i="37"/>
  <c r="Q148" i="37"/>
  <c r="Q146" i="37"/>
  <c r="Q144" i="37"/>
  <c r="Q142" i="37"/>
  <c r="Q140" i="37"/>
  <c r="Q136" i="37"/>
  <c r="Q134" i="37"/>
  <c r="Q132" i="37"/>
  <c r="Q130" i="37"/>
  <c r="Q126" i="37"/>
  <c r="Q124" i="37"/>
  <c r="Q122" i="37"/>
  <c r="C4" i="46"/>
  <c r="C3" i="13"/>
  <c r="D4" i="46"/>
  <c r="B4" i="46"/>
  <c r="D150" i="37"/>
  <c r="D148" i="37"/>
  <c r="D146" i="37"/>
  <c r="D144" i="37"/>
  <c r="D142" i="37"/>
  <c r="D140" i="37"/>
  <c r="D136" i="37"/>
  <c r="D134" i="37"/>
  <c r="D132" i="37"/>
  <c r="D130" i="37"/>
  <c r="D126" i="37"/>
  <c r="D124" i="37"/>
  <c r="D122" i="37"/>
  <c r="D151" i="37"/>
  <c r="D149" i="37"/>
  <c r="D145" i="37"/>
  <c r="D141" i="37"/>
  <c r="D139" i="37"/>
  <c r="D137" i="37"/>
  <c r="D135" i="37"/>
  <c r="D133" i="37"/>
  <c r="D131" i="37"/>
  <c r="D129" i="37"/>
  <c r="D127" i="37"/>
  <c r="D125" i="37"/>
  <c r="D123" i="37"/>
  <c r="D121" i="37"/>
  <c r="C126" i="38"/>
  <c r="E126" i="38"/>
  <c r="G126" i="38"/>
  <c r="B126" i="38"/>
  <c r="D126" i="38"/>
  <c r="F126" i="38"/>
  <c r="C124" i="38"/>
  <c r="E124" i="38"/>
  <c r="G124" i="38"/>
  <c r="B124" i="38"/>
  <c r="D124" i="38"/>
  <c r="F124" i="38"/>
  <c r="C122" i="38"/>
  <c r="E122" i="38"/>
  <c r="G122" i="38"/>
  <c r="B122" i="38"/>
  <c r="D122" i="38"/>
  <c r="F122" i="38"/>
  <c r="C137" i="38"/>
  <c r="E137" i="38"/>
  <c r="G137" i="38"/>
  <c r="B137" i="38"/>
  <c r="D137" i="38"/>
  <c r="F137" i="38"/>
  <c r="C136" i="38"/>
  <c r="E136" i="38"/>
  <c r="G136" i="38"/>
  <c r="B136" i="38"/>
  <c r="D136" i="38"/>
  <c r="F136" i="38"/>
  <c r="C135" i="38"/>
  <c r="E135" i="38"/>
  <c r="G135" i="38"/>
  <c r="B135" i="38"/>
  <c r="D135" i="38"/>
  <c r="F135" i="38"/>
  <c r="C134" i="38"/>
  <c r="E134" i="38"/>
  <c r="G134" i="38"/>
  <c r="B134" i="38"/>
  <c r="D134" i="38"/>
  <c r="F134" i="38"/>
  <c r="C133" i="38"/>
  <c r="E133" i="38"/>
  <c r="G133" i="38"/>
  <c r="B133" i="38"/>
  <c r="D133" i="38"/>
  <c r="F133" i="38"/>
  <c r="C132" i="38"/>
  <c r="E132" i="38"/>
  <c r="G132" i="38"/>
  <c r="B132" i="38"/>
  <c r="D132" i="38"/>
  <c r="F132" i="38"/>
  <c r="C131" i="38"/>
  <c r="E131" i="38"/>
  <c r="G131" i="38"/>
  <c r="B131" i="38"/>
  <c r="D131" i="38"/>
  <c r="F131" i="38"/>
  <c r="C130" i="38"/>
  <c r="E130" i="38"/>
  <c r="G130" i="38"/>
  <c r="B130" i="38"/>
  <c r="D130" i="38"/>
  <c r="F130" i="38"/>
  <c r="C151" i="38"/>
  <c r="E151" i="38"/>
  <c r="G151" i="38"/>
  <c r="B151" i="38"/>
  <c r="D151" i="38"/>
  <c r="F151" i="38"/>
  <c r="C150" i="38"/>
  <c r="E150" i="38"/>
  <c r="G150" i="38"/>
  <c r="B150" i="38"/>
  <c r="D150" i="38"/>
  <c r="F150" i="38"/>
  <c r="C149" i="38"/>
  <c r="E149" i="38"/>
  <c r="G149" i="38"/>
  <c r="B149" i="38"/>
  <c r="D149" i="38"/>
  <c r="F149" i="38"/>
  <c r="C148" i="38"/>
  <c r="C147" i="38"/>
  <c r="E148" i="38"/>
  <c r="E147" i="38"/>
  <c r="G148" i="38"/>
  <c r="G147" i="38"/>
  <c r="B148" i="38"/>
  <c r="B147" i="38"/>
  <c r="D148" i="38"/>
  <c r="D147" i="38"/>
  <c r="F148" i="38"/>
  <c r="F147" i="38"/>
  <c r="C146" i="38"/>
  <c r="E146" i="38"/>
  <c r="G146" i="38"/>
  <c r="B146" i="38"/>
  <c r="D146" i="38"/>
  <c r="F146" i="38"/>
  <c r="C145" i="38"/>
  <c r="E145" i="38"/>
  <c r="G145" i="38"/>
  <c r="B145" i="38"/>
  <c r="D145" i="38"/>
  <c r="F145" i="38"/>
  <c r="C144" i="38"/>
  <c r="C143" i="38"/>
  <c r="E144" i="38"/>
  <c r="E143" i="38"/>
  <c r="G144" i="38"/>
  <c r="G143" i="38"/>
  <c r="B144" i="38"/>
  <c r="B143" i="38"/>
  <c r="D144" i="38"/>
  <c r="D143" i="38"/>
  <c r="F144" i="38"/>
  <c r="F143" i="38"/>
  <c r="C142" i="38"/>
  <c r="E142" i="38"/>
  <c r="G142" i="38"/>
  <c r="B142" i="38"/>
  <c r="D142" i="38"/>
  <c r="F142" i="38"/>
  <c r="C141" i="38"/>
  <c r="E141" i="38"/>
  <c r="G141" i="38"/>
  <c r="B141" i="38"/>
  <c r="D141" i="38"/>
  <c r="F141" i="38"/>
  <c r="C140" i="38"/>
  <c r="E140" i="38"/>
  <c r="G140" i="38"/>
  <c r="B140" i="38"/>
  <c r="D140" i="38"/>
  <c r="F140" i="38"/>
  <c r="C127" i="38"/>
  <c r="E127" i="38"/>
  <c r="G127" i="38"/>
  <c r="B127" i="38"/>
  <c r="D127" i="38"/>
  <c r="F127" i="38"/>
  <c r="C125" i="38"/>
  <c r="E125" i="38"/>
  <c r="G125" i="38"/>
  <c r="B125" i="38"/>
  <c r="D125" i="38"/>
  <c r="F125" i="38"/>
  <c r="C123" i="38"/>
  <c r="E123" i="38"/>
  <c r="G123" i="38"/>
  <c r="B123" i="38"/>
  <c r="D123" i="38"/>
  <c r="F123" i="38"/>
  <c r="C121" i="38"/>
  <c r="C120" i="38"/>
  <c r="E121" i="38"/>
  <c r="E120" i="38"/>
  <c r="G121" i="38"/>
  <c r="G120" i="38"/>
  <c r="B121" i="38"/>
  <c r="B120" i="38"/>
  <c r="D121" i="38"/>
  <c r="D120" i="38"/>
  <c r="F121" i="38"/>
  <c r="F120" i="38"/>
  <c r="C129" i="38"/>
  <c r="C128" i="38"/>
  <c r="E129" i="38"/>
  <c r="E128" i="38"/>
  <c r="G129" i="38"/>
  <c r="G128" i="38"/>
  <c r="B129" i="38"/>
  <c r="B128" i="38"/>
  <c r="D129" i="38"/>
  <c r="D128" i="38"/>
  <c r="F129" i="38"/>
  <c r="F128" i="38"/>
  <c r="C139" i="38"/>
  <c r="C138" i="38"/>
  <c r="E139" i="38"/>
  <c r="G139" i="38"/>
  <c r="G138" i="38"/>
  <c r="B139" i="38"/>
  <c r="B138" i="38"/>
  <c r="D139" i="38"/>
  <c r="D138" i="38"/>
  <c r="F139" i="38"/>
  <c r="F138" i="38"/>
  <c r="Z17" i="22"/>
  <c r="AQ17" i="22"/>
  <c r="AB17" i="22"/>
  <c r="AS17" i="22"/>
  <c r="M120" i="41"/>
  <c r="M122" i="41"/>
  <c r="M124" i="41"/>
  <c r="M126" i="41"/>
  <c r="M128" i="41"/>
  <c r="M130" i="41"/>
  <c r="M132" i="41"/>
  <c r="M134" i="41"/>
  <c r="M136" i="41"/>
  <c r="M138" i="41"/>
  <c r="M140" i="41"/>
  <c r="M142" i="41"/>
  <c r="M144" i="41"/>
  <c r="M146" i="41"/>
  <c r="M148" i="41"/>
  <c r="M150" i="41"/>
  <c r="M119" i="41"/>
  <c r="M121" i="41"/>
  <c r="M123" i="41"/>
  <c r="M125" i="41"/>
  <c r="M127" i="41"/>
  <c r="M129" i="41"/>
  <c r="M131" i="41"/>
  <c r="M133" i="41"/>
  <c r="M135" i="41"/>
  <c r="M137" i="41"/>
  <c r="M139" i="41"/>
  <c r="M141" i="41"/>
  <c r="M143" i="41"/>
  <c r="M145" i="41"/>
  <c r="M147" i="41"/>
  <c r="M149" i="41"/>
  <c r="M151" i="41"/>
  <c r="V17" i="22"/>
  <c r="AM17" i="22"/>
  <c r="S17" i="22"/>
  <c r="AJ17" i="22"/>
  <c r="T17" i="22"/>
  <c r="AK17" i="22"/>
  <c r="AC17" i="22"/>
  <c r="AT17" i="22"/>
  <c r="N121" i="41"/>
  <c r="N123" i="41"/>
  <c r="N125" i="41"/>
  <c r="N127" i="41"/>
  <c r="N129" i="41"/>
  <c r="N131" i="41"/>
  <c r="N133" i="41"/>
  <c r="N135" i="41"/>
  <c r="N137" i="41"/>
  <c r="N139" i="41"/>
  <c r="N141" i="41"/>
  <c r="N143" i="41"/>
  <c r="N145" i="41"/>
  <c r="N147" i="41"/>
  <c r="N149" i="41"/>
  <c r="N151" i="41"/>
  <c r="N120" i="41"/>
  <c r="N122" i="41"/>
  <c r="N124" i="41"/>
  <c r="N126" i="41"/>
  <c r="N128" i="41"/>
  <c r="N130" i="41"/>
  <c r="N132" i="41"/>
  <c r="N134" i="41"/>
  <c r="N136" i="41"/>
  <c r="N138" i="41"/>
  <c r="N140" i="41"/>
  <c r="N142" i="41"/>
  <c r="N144" i="41"/>
  <c r="N146" i="41"/>
  <c r="N148" i="41"/>
  <c r="N150" i="41"/>
  <c r="N119" i="41"/>
  <c r="W17" i="22"/>
  <c r="AN17" i="22"/>
  <c r="Y17" i="22"/>
  <c r="AP17" i="22"/>
  <c r="B5" i="30"/>
  <c r="C4" i="30"/>
  <c r="H5" i="30"/>
  <c r="I4" i="30"/>
  <c r="F5" i="30"/>
  <c r="G2" i="30"/>
  <c r="D5" i="30"/>
  <c r="E4" i="30"/>
  <c r="V9" i="24"/>
  <c r="AM9" i="24"/>
  <c r="AA12" i="22"/>
  <c r="AR12" i="22"/>
  <c r="V16" i="22"/>
  <c r="AM16" i="22"/>
  <c r="V14" i="22"/>
  <c r="AM14" i="22"/>
  <c r="V12" i="22"/>
  <c r="AM12" i="22"/>
  <c r="V10" i="22"/>
  <c r="AM10" i="22"/>
  <c r="Z10" i="23"/>
  <c r="AQ10" i="23"/>
  <c r="Y9" i="23"/>
  <c r="AP9" i="23"/>
  <c r="AA9" i="23"/>
  <c r="AR9" i="23"/>
  <c r="Y15" i="23"/>
  <c r="AP15" i="23"/>
  <c r="AA15" i="23"/>
  <c r="AR15" i="23"/>
  <c r="W9" i="23"/>
  <c r="AN9" i="23"/>
  <c r="V10" i="23"/>
  <c r="AM10" i="23"/>
  <c r="X10" i="23"/>
  <c r="AO10" i="23"/>
  <c r="W11" i="23"/>
  <c r="AN11" i="23"/>
  <c r="V12" i="23"/>
  <c r="AM12" i="23"/>
  <c r="X12" i="23"/>
  <c r="AO12" i="23"/>
  <c r="Z12" i="23"/>
  <c r="AQ12" i="23"/>
  <c r="Z16" i="23"/>
  <c r="AQ16" i="23"/>
  <c r="V9" i="23"/>
  <c r="AM9" i="23"/>
  <c r="X9" i="23"/>
  <c r="AO9" i="23"/>
  <c r="W10" i="23"/>
  <c r="AN10" i="23"/>
  <c r="V11" i="23"/>
  <c r="AM11" i="23"/>
  <c r="X11" i="23"/>
  <c r="AO11" i="23"/>
  <c r="W12" i="23"/>
  <c r="AN12" i="23"/>
  <c r="W13" i="23"/>
  <c r="AN13" i="23"/>
  <c r="V14" i="23"/>
  <c r="AM14" i="23"/>
  <c r="X14" i="23"/>
  <c r="AO14" i="23"/>
  <c r="W15" i="23"/>
  <c r="AN15" i="23"/>
  <c r="V16" i="23"/>
  <c r="AM16" i="23"/>
  <c r="X16" i="23"/>
  <c r="AO16" i="23"/>
  <c r="V13" i="23"/>
  <c r="AM13" i="23"/>
  <c r="X13" i="23"/>
  <c r="AO13" i="23"/>
  <c r="W14" i="23"/>
  <c r="AN14" i="23"/>
  <c r="V15" i="23"/>
  <c r="AM15" i="23"/>
  <c r="X15" i="23"/>
  <c r="AO15" i="23"/>
  <c r="W16" i="23"/>
  <c r="AN16" i="23"/>
  <c r="AC16" i="22"/>
  <c r="AT16" i="22"/>
  <c r="AA16" i="22"/>
  <c r="AR16" i="22"/>
  <c r="Y16" i="22"/>
  <c r="AP16" i="22"/>
  <c r="Y15" i="22"/>
  <c r="AP15" i="22"/>
  <c r="Y14" i="22"/>
  <c r="AP14" i="22"/>
  <c r="Y13" i="22"/>
  <c r="AP13" i="22"/>
  <c r="Y12" i="22"/>
  <c r="AP12" i="22"/>
  <c r="Y11" i="22"/>
  <c r="AP11" i="22"/>
  <c r="Y10" i="22"/>
  <c r="AP10" i="22"/>
  <c r="Y9" i="22"/>
  <c r="AP9" i="22"/>
  <c r="E138" i="38"/>
  <c r="R119" i="38"/>
  <c r="AA50" i="32"/>
  <c r="AB51" i="32"/>
  <c r="AA52" i="32"/>
  <c r="AB53" i="32"/>
  <c r="AA54" i="32"/>
  <c r="AB55" i="32"/>
  <c r="AA56" i="32"/>
  <c r="AB50" i="32"/>
  <c r="AA51" i="32"/>
  <c r="AB52" i="32"/>
  <c r="AA53" i="32"/>
  <c r="AB54" i="32"/>
  <c r="AA55" i="32"/>
  <c r="AB56" i="32"/>
  <c r="K18" i="22"/>
  <c r="E18" i="22"/>
  <c r="G18" i="23"/>
  <c r="M18" i="23"/>
  <c r="D18" i="23"/>
  <c r="D120" i="37"/>
  <c r="D128" i="37"/>
  <c r="D138" i="37"/>
  <c r="Q143" i="37"/>
  <c r="Q147" i="37"/>
  <c r="D119" i="38"/>
  <c r="G119" i="38"/>
  <c r="C119" i="38"/>
  <c r="F119" i="38"/>
  <c r="B119" i="38"/>
  <c r="E119" i="38"/>
  <c r="C11" i="26"/>
  <c r="AO44" i="30"/>
  <c r="BK44" i="30"/>
  <c r="AG36" i="31"/>
  <c r="AO39" i="30"/>
  <c r="BK39" i="30"/>
  <c r="AG31" i="31"/>
  <c r="AO34" i="30"/>
  <c r="BK34" i="30"/>
  <c r="AG26" i="31"/>
  <c r="AO29" i="30"/>
  <c r="BK29" i="30"/>
  <c r="AG21" i="31"/>
  <c r="AO25" i="30"/>
  <c r="BK25" i="30"/>
  <c r="AG17" i="31"/>
  <c r="AO20" i="30"/>
  <c r="BK20" i="30"/>
  <c r="AG12" i="31"/>
  <c r="AO16" i="30"/>
  <c r="BK16" i="30"/>
  <c r="AG8" i="31"/>
  <c r="AO43" i="30"/>
  <c r="BK43" i="30"/>
  <c r="AG35" i="31"/>
  <c r="AO38" i="30"/>
  <c r="BK38" i="30"/>
  <c r="AG30" i="31"/>
  <c r="AO33" i="30"/>
  <c r="BK33" i="30"/>
  <c r="AG25" i="31"/>
  <c r="AO28" i="30"/>
  <c r="BK28" i="30"/>
  <c r="AG20" i="31"/>
  <c r="AO24" i="30"/>
  <c r="BK24" i="30"/>
  <c r="AG16" i="31"/>
  <c r="AO19" i="30"/>
  <c r="BK19" i="30"/>
  <c r="AG11" i="31"/>
  <c r="AO15" i="30"/>
  <c r="BK15" i="30"/>
  <c r="AG7" i="31"/>
  <c r="AO42" i="30"/>
  <c r="BK42" i="30"/>
  <c r="AG34" i="31"/>
  <c r="AO37" i="30"/>
  <c r="AO32" i="30"/>
  <c r="AO27" i="30"/>
  <c r="BK27" i="30"/>
  <c r="AG19" i="31"/>
  <c r="AO23" i="30"/>
  <c r="BK23" i="30"/>
  <c r="AG15" i="31"/>
  <c r="AO18" i="30"/>
  <c r="BK18" i="30"/>
  <c r="AG10" i="31"/>
  <c r="AO14" i="30"/>
  <c r="AO41" i="30"/>
  <c r="AO35" i="30"/>
  <c r="BK35" i="30"/>
  <c r="AG27" i="31"/>
  <c r="AO30" i="30"/>
  <c r="BK30" i="30"/>
  <c r="AG22" i="31"/>
  <c r="AO26" i="30"/>
  <c r="BK26" i="30"/>
  <c r="AG18" i="31"/>
  <c r="AO22" i="30"/>
  <c r="AO17" i="30"/>
  <c r="BK17" i="30"/>
  <c r="AG9" i="31"/>
  <c r="M119" i="37"/>
  <c r="AQ42" i="30"/>
  <c r="BM42" i="30"/>
  <c r="AI34" i="31"/>
  <c r="AQ37" i="30"/>
  <c r="AQ32" i="30"/>
  <c r="AQ27" i="30"/>
  <c r="BM27" i="30"/>
  <c r="AI19" i="31"/>
  <c r="AQ23" i="30"/>
  <c r="BM23" i="30"/>
  <c r="AI15" i="31"/>
  <c r="AQ18" i="30"/>
  <c r="BM18" i="30"/>
  <c r="AI10" i="31"/>
  <c r="AQ14" i="30"/>
  <c r="AQ41" i="30"/>
  <c r="AQ35" i="30"/>
  <c r="BM35" i="30"/>
  <c r="AI27" i="31"/>
  <c r="AQ30" i="30"/>
  <c r="BM30" i="30"/>
  <c r="AI22" i="31"/>
  <c r="AQ26" i="30"/>
  <c r="BM26" i="30"/>
  <c r="AI18" i="31"/>
  <c r="AQ22" i="30"/>
  <c r="AQ17" i="30"/>
  <c r="BM17" i="30"/>
  <c r="AI9" i="31"/>
  <c r="AQ44" i="30"/>
  <c r="BM44" i="30"/>
  <c r="AI36" i="31"/>
  <c r="AQ39" i="30"/>
  <c r="BM39" i="30"/>
  <c r="AI31" i="31"/>
  <c r="AQ34" i="30"/>
  <c r="BM34" i="30"/>
  <c r="AI26" i="31"/>
  <c r="AQ29" i="30"/>
  <c r="BM29" i="30"/>
  <c r="AI21" i="31"/>
  <c r="AQ25" i="30"/>
  <c r="BM25" i="30"/>
  <c r="AI17" i="31"/>
  <c r="AQ20" i="30"/>
  <c r="BM20" i="30"/>
  <c r="AI12" i="31"/>
  <c r="AQ16" i="30"/>
  <c r="BM16" i="30"/>
  <c r="AI8" i="31"/>
  <c r="AQ43" i="30"/>
  <c r="BM43" i="30"/>
  <c r="AI35" i="31"/>
  <c r="AQ38" i="30"/>
  <c r="BM38" i="30"/>
  <c r="AI30" i="31"/>
  <c r="AQ33" i="30"/>
  <c r="BM33" i="30"/>
  <c r="AI25" i="31"/>
  <c r="AQ28" i="30"/>
  <c r="BM28" i="30"/>
  <c r="AI20" i="31"/>
  <c r="AQ24" i="30"/>
  <c r="BM24" i="30"/>
  <c r="AI16" i="31"/>
  <c r="AQ19" i="30"/>
  <c r="BM19" i="30"/>
  <c r="AI11" i="31"/>
  <c r="AQ15" i="30"/>
  <c r="BM15" i="30"/>
  <c r="AI7" i="31"/>
  <c r="AP41" i="30"/>
  <c r="AP35" i="30"/>
  <c r="BL35" i="30"/>
  <c r="AH27" i="31"/>
  <c r="AP30" i="30"/>
  <c r="BL30" i="30"/>
  <c r="AH22" i="31"/>
  <c r="AP26" i="30"/>
  <c r="BL26" i="30"/>
  <c r="AH18" i="31"/>
  <c r="AP22" i="30"/>
  <c r="AP17" i="30"/>
  <c r="BL17" i="30"/>
  <c r="AH9" i="31"/>
  <c r="AP44" i="30"/>
  <c r="BL44" i="30"/>
  <c r="AH36" i="31"/>
  <c r="AP39" i="30"/>
  <c r="BL39" i="30"/>
  <c r="AH31" i="31"/>
  <c r="AP34" i="30"/>
  <c r="BL34" i="30"/>
  <c r="AH26" i="31"/>
  <c r="AP29" i="30"/>
  <c r="BL29" i="30"/>
  <c r="AH21" i="31"/>
  <c r="AP25" i="30"/>
  <c r="BL25" i="30"/>
  <c r="AH17" i="31"/>
  <c r="AP20" i="30"/>
  <c r="BL20" i="30"/>
  <c r="AH12" i="31"/>
  <c r="AP16" i="30"/>
  <c r="BL16" i="30"/>
  <c r="AH8" i="31"/>
  <c r="AP43" i="30"/>
  <c r="BL43" i="30"/>
  <c r="AH35" i="31"/>
  <c r="AP38" i="30"/>
  <c r="BL38" i="30"/>
  <c r="AH30" i="31"/>
  <c r="AP33" i="30"/>
  <c r="BL33" i="30"/>
  <c r="AH25" i="31"/>
  <c r="AP28" i="30"/>
  <c r="BL28" i="30"/>
  <c r="AH20" i="31"/>
  <c r="AP24" i="30"/>
  <c r="BL24" i="30"/>
  <c r="AH16" i="31"/>
  <c r="AP19" i="30"/>
  <c r="BL19" i="30"/>
  <c r="AH11" i="31"/>
  <c r="AP15" i="30"/>
  <c r="BL15" i="30"/>
  <c r="AH7" i="31"/>
  <c r="AP42" i="30"/>
  <c r="BL42" i="30"/>
  <c r="AH34" i="31"/>
  <c r="AP37" i="30"/>
  <c r="AP32" i="30"/>
  <c r="AP27" i="30"/>
  <c r="BL27" i="30"/>
  <c r="AH19" i="31"/>
  <c r="AP23" i="30"/>
  <c r="BL23" i="30"/>
  <c r="AH15" i="31"/>
  <c r="AP18" i="30"/>
  <c r="BL18" i="30"/>
  <c r="AH10" i="31"/>
  <c r="AP14" i="30"/>
  <c r="D143" i="37"/>
  <c r="D147" i="37"/>
  <c r="Q120" i="37"/>
  <c r="L119" i="37"/>
  <c r="Q138" i="37"/>
  <c r="Q128" i="37"/>
  <c r="N12" i="30"/>
  <c r="B12" i="30"/>
  <c r="J12" i="30"/>
  <c r="F12" i="30"/>
  <c r="AP32" i="25"/>
  <c r="AP28" i="25"/>
  <c r="AP23" i="25"/>
  <c r="AP13" i="25"/>
  <c r="G3" i="30"/>
  <c r="G4" i="30"/>
  <c r="I2" i="30"/>
  <c r="I3" i="30"/>
  <c r="C2" i="30"/>
  <c r="C3" i="30"/>
  <c r="E2" i="30"/>
  <c r="E3" i="30"/>
  <c r="I3" i="45"/>
  <c r="J3" i="45"/>
  <c r="AF9" i="37"/>
  <c r="AF11" i="37"/>
  <c r="AF13" i="37"/>
  <c r="AF16" i="37"/>
  <c r="AF18" i="37"/>
  <c r="AF20" i="37"/>
  <c r="AF22" i="37"/>
  <c r="AF25" i="37"/>
  <c r="AF27" i="37"/>
  <c r="AF30" i="37"/>
  <c r="AF32" i="37"/>
  <c r="AF35" i="37"/>
  <c r="AF7" i="37"/>
  <c r="AF8" i="37"/>
  <c r="AF10" i="37"/>
  <c r="AF12" i="37"/>
  <c r="AF17" i="37"/>
  <c r="AF19" i="37"/>
  <c r="AF21" i="37"/>
  <c r="AF23" i="37"/>
  <c r="AF26" i="37"/>
  <c r="AF28" i="37"/>
  <c r="AF31" i="37"/>
  <c r="AF34" i="37"/>
  <c r="AF36" i="37"/>
  <c r="G3" i="45"/>
  <c r="H3" i="45"/>
  <c r="AB12" i="32"/>
  <c r="AB11" i="32"/>
  <c r="AG12" i="26"/>
  <c r="Y9" i="24"/>
  <c r="AP9" i="24"/>
  <c r="AA16" i="23"/>
  <c r="AR16" i="23"/>
  <c r="Z15" i="23"/>
  <c r="AQ15" i="23"/>
  <c r="AA14" i="23"/>
  <c r="AR14" i="23"/>
  <c r="Z13" i="23"/>
  <c r="AQ13" i="23"/>
  <c r="Y13" i="23"/>
  <c r="AP13" i="23"/>
  <c r="AA12" i="23"/>
  <c r="AR12" i="23"/>
  <c r="Z11" i="23"/>
  <c r="AQ11" i="23"/>
  <c r="AA10" i="23"/>
  <c r="AR10" i="23"/>
  <c r="Z9" i="23"/>
  <c r="AQ9" i="23"/>
  <c r="AC16" i="23"/>
  <c r="AT16" i="23"/>
  <c r="AA11" i="23"/>
  <c r="AR11" i="23"/>
  <c r="AD15" i="23"/>
  <c r="AU15" i="23"/>
  <c r="AB9" i="23"/>
  <c r="AS9" i="23"/>
  <c r="Y16" i="23"/>
  <c r="AP16" i="23"/>
  <c r="Y14" i="23"/>
  <c r="AP14" i="23"/>
  <c r="Z14" i="23"/>
  <c r="AQ14" i="23"/>
  <c r="AA13" i="23"/>
  <c r="AR13" i="23"/>
  <c r="AC12" i="23"/>
  <c r="AT12" i="23"/>
  <c r="Y12" i="23"/>
  <c r="AP12" i="23"/>
  <c r="Y10" i="23"/>
  <c r="AP10" i="23"/>
  <c r="Y11" i="23"/>
  <c r="AP11" i="23"/>
  <c r="AB15" i="23"/>
  <c r="AS15" i="23"/>
  <c r="AD9" i="23"/>
  <c r="AU9" i="23"/>
  <c r="AC10" i="23"/>
  <c r="AT10" i="23"/>
  <c r="AB10" i="22"/>
  <c r="AS10" i="22"/>
  <c r="AB16" i="22"/>
  <c r="AS16" i="22"/>
  <c r="AB9" i="22"/>
  <c r="AS9" i="22"/>
  <c r="AB15" i="22"/>
  <c r="AS15" i="22"/>
  <c r="AD16" i="22"/>
  <c r="AU16" i="22"/>
  <c r="D119" i="37"/>
  <c r="Q40" i="30"/>
  <c r="Q36" i="30"/>
  <c r="BL37" i="30"/>
  <c r="AH29" i="31"/>
  <c r="AP36" i="30"/>
  <c r="BL36" i="30"/>
  <c r="AH28" i="31"/>
  <c r="BM14" i="30"/>
  <c r="AI6" i="31"/>
  <c r="AQ13" i="30"/>
  <c r="AQ31" i="30"/>
  <c r="BM31" i="30"/>
  <c r="AI23" i="31"/>
  <c r="BM32" i="30"/>
  <c r="AI24" i="31"/>
  <c r="BK14" i="30"/>
  <c r="AG6" i="31"/>
  <c r="AO13" i="30"/>
  <c r="AO31" i="30"/>
  <c r="BK31" i="30"/>
  <c r="AG23" i="31"/>
  <c r="BK32" i="30"/>
  <c r="AG24" i="31"/>
  <c r="J31" i="29"/>
  <c r="J12" i="29"/>
  <c r="J27" i="29"/>
  <c r="J22" i="29"/>
  <c r="J4" i="29"/>
  <c r="BL14" i="30"/>
  <c r="AH6" i="31"/>
  <c r="AP13" i="30"/>
  <c r="BL32" i="30"/>
  <c r="AH24" i="31"/>
  <c r="AP31" i="30"/>
  <c r="BL31" i="30"/>
  <c r="AH23" i="31"/>
  <c r="BL22" i="30"/>
  <c r="AH14" i="31"/>
  <c r="AP21" i="30"/>
  <c r="BL21" i="30"/>
  <c r="AH13" i="31"/>
  <c r="BL41" i="30"/>
  <c r="AH33" i="31"/>
  <c r="AP40" i="30"/>
  <c r="BL40" i="30"/>
  <c r="AH32" i="31"/>
  <c r="BM22" i="30"/>
  <c r="AI14" i="31"/>
  <c r="AQ21" i="30"/>
  <c r="BM21" i="30"/>
  <c r="AI13" i="31"/>
  <c r="AQ40" i="30"/>
  <c r="BM40" i="30"/>
  <c r="AI32" i="31"/>
  <c r="BM41" i="30"/>
  <c r="AI33" i="31"/>
  <c r="AQ36" i="30"/>
  <c r="BM36" i="30"/>
  <c r="AI28" i="31"/>
  <c r="BM37" i="30"/>
  <c r="AI29" i="31"/>
  <c r="BK22" i="30"/>
  <c r="AG14" i="31"/>
  <c r="AO21" i="30"/>
  <c r="BK21" i="30"/>
  <c r="AG13" i="31"/>
  <c r="AO40" i="30"/>
  <c r="BK40" i="30"/>
  <c r="AG32" i="31"/>
  <c r="BK41" i="30"/>
  <c r="AG33" i="31"/>
  <c r="AO36" i="30"/>
  <c r="BK36" i="30"/>
  <c r="AG28" i="31"/>
  <c r="BK37" i="30"/>
  <c r="AG29" i="31"/>
  <c r="Q119" i="37"/>
  <c r="Q31" i="30"/>
  <c r="I13" i="30"/>
  <c r="K13" i="30"/>
  <c r="Q21" i="30"/>
  <c r="Q13" i="30"/>
  <c r="AP4" i="25"/>
  <c r="AE9" i="24"/>
  <c r="AV9" i="24"/>
  <c r="I148" i="38"/>
  <c r="H148" i="38"/>
  <c r="I142" i="38"/>
  <c r="H142" i="38"/>
  <c r="I137" i="38"/>
  <c r="H137" i="38"/>
  <c r="I133" i="38"/>
  <c r="H133" i="38"/>
  <c r="I129" i="38"/>
  <c r="H129" i="38"/>
  <c r="I124" i="38"/>
  <c r="H124" i="38"/>
  <c r="I149" i="38"/>
  <c r="H149" i="38"/>
  <c r="I144" i="38"/>
  <c r="H144" i="38"/>
  <c r="I139" i="38"/>
  <c r="H139" i="38"/>
  <c r="I134" i="38"/>
  <c r="H134" i="38"/>
  <c r="I130" i="38"/>
  <c r="H130" i="38"/>
  <c r="I125" i="38"/>
  <c r="H125" i="38"/>
  <c r="I121" i="38"/>
  <c r="H121" i="38"/>
  <c r="I150" i="38"/>
  <c r="H150" i="38"/>
  <c r="I145" i="38"/>
  <c r="H145" i="38"/>
  <c r="I140" i="38"/>
  <c r="H140" i="38"/>
  <c r="I135" i="38"/>
  <c r="H135" i="38"/>
  <c r="I131" i="38"/>
  <c r="H131" i="38"/>
  <c r="I126" i="38"/>
  <c r="H126" i="38"/>
  <c r="I122" i="38"/>
  <c r="H122" i="38"/>
  <c r="I151" i="38"/>
  <c r="H151" i="38"/>
  <c r="I146" i="38"/>
  <c r="H146" i="38"/>
  <c r="I141" i="38"/>
  <c r="H141" i="38"/>
  <c r="I136" i="38"/>
  <c r="H136" i="38"/>
  <c r="I132" i="38"/>
  <c r="H132" i="38"/>
  <c r="I127" i="38"/>
  <c r="H127" i="38"/>
  <c r="I123" i="38"/>
  <c r="H123" i="38"/>
  <c r="AG11" i="26"/>
  <c r="AB9" i="24"/>
  <c r="AS9" i="24"/>
  <c r="AB11" i="22"/>
  <c r="AS11" i="22"/>
  <c r="AB13" i="22"/>
  <c r="AS13" i="22"/>
  <c r="AB14" i="22"/>
  <c r="AS14" i="22"/>
  <c r="AB12" i="22"/>
  <c r="AS12" i="22"/>
  <c r="AB12" i="23"/>
  <c r="AS12" i="23"/>
  <c r="AD13" i="23"/>
  <c r="AU13" i="23"/>
  <c r="AB16" i="23"/>
  <c r="AS16" i="23"/>
  <c r="AD11" i="23"/>
  <c r="AU11" i="23"/>
  <c r="AD10" i="23"/>
  <c r="AU10" i="23"/>
  <c r="AD12" i="23"/>
  <c r="AU12" i="23"/>
  <c r="AB13" i="23"/>
  <c r="AS13" i="23"/>
  <c r="AC13" i="23"/>
  <c r="AT13" i="23"/>
  <c r="AC15" i="23"/>
  <c r="AT15" i="23"/>
  <c r="AB11" i="23"/>
  <c r="AS11" i="23"/>
  <c r="AB10" i="23"/>
  <c r="AS10" i="23"/>
  <c r="AC14" i="23"/>
  <c r="AT14" i="23"/>
  <c r="AB14" i="23"/>
  <c r="AS14" i="23"/>
  <c r="AC9" i="23"/>
  <c r="AT9" i="23"/>
  <c r="AC11" i="23"/>
  <c r="AT11" i="23"/>
  <c r="AD14" i="23"/>
  <c r="AU14" i="23"/>
  <c r="AD16" i="23"/>
  <c r="AU16" i="23"/>
  <c r="U8" i="37"/>
  <c r="AC8" i="37"/>
  <c r="H120" i="38"/>
  <c r="H138" i="38"/>
  <c r="H143" i="38"/>
  <c r="H128" i="38"/>
  <c r="H147" i="38"/>
  <c r="I120" i="38"/>
  <c r="I138" i="38"/>
  <c r="I143" i="38"/>
  <c r="I128" i="38"/>
  <c r="I147" i="38"/>
  <c r="O40" i="30"/>
  <c r="O36" i="30"/>
  <c r="BL13" i="30"/>
  <c r="AH5" i="31"/>
  <c r="AP12" i="30"/>
  <c r="BL12" i="30"/>
  <c r="AH4" i="31"/>
  <c r="BK13" i="30"/>
  <c r="AG5" i="31"/>
  <c r="AO12" i="30"/>
  <c r="BK12" i="30"/>
  <c r="AG4" i="31"/>
  <c r="BM13" i="30"/>
  <c r="AI5" i="31"/>
  <c r="AQ12" i="30"/>
  <c r="BM12" i="30"/>
  <c r="AI4" i="31"/>
  <c r="J3" i="29"/>
  <c r="P40" i="30"/>
  <c r="P36" i="30"/>
  <c r="P31" i="30"/>
  <c r="H13" i="30"/>
  <c r="L13" i="30"/>
  <c r="O21" i="30"/>
  <c r="O13" i="30"/>
  <c r="Q12" i="30"/>
  <c r="K12" i="30"/>
  <c r="I12" i="30"/>
  <c r="M13" i="30"/>
  <c r="P21" i="30"/>
  <c r="P13" i="30"/>
  <c r="O31" i="30"/>
  <c r="G13" i="30"/>
  <c r="H119" i="38"/>
  <c r="I119" i="38"/>
  <c r="P12" i="30"/>
  <c r="O12" i="30"/>
  <c r="G12" i="30"/>
  <c r="M12" i="30"/>
  <c r="L12" i="30"/>
  <c r="H12" i="30"/>
  <c r="D3" i="24"/>
  <c r="D2" i="24"/>
  <c r="G97" i="16"/>
  <c r="G93" i="16"/>
  <c r="F2" i="24"/>
  <c r="G98" i="16"/>
  <c r="G96" i="16"/>
  <c r="G94" i="16"/>
  <c r="G95" i="16"/>
  <c r="E103" i="16"/>
  <c r="E112" i="16"/>
  <c r="E110" i="16"/>
  <c r="E108" i="16"/>
  <c r="E106" i="16"/>
  <c r="E104" i="16"/>
  <c r="E111" i="16"/>
  <c r="E109" i="16"/>
  <c r="E107" i="16"/>
  <c r="E105" i="16"/>
  <c r="K111" i="16"/>
  <c r="K109" i="16"/>
  <c r="K107" i="16"/>
  <c r="K105" i="16"/>
  <c r="K103" i="16"/>
  <c r="K112" i="16"/>
  <c r="K110" i="16"/>
  <c r="K108" i="16"/>
  <c r="K106" i="16"/>
  <c r="K104" i="16"/>
  <c r="E93" i="16"/>
  <c r="E98" i="16"/>
  <c r="E96" i="16"/>
  <c r="E94" i="16"/>
  <c r="E97" i="16"/>
  <c r="E95" i="16"/>
  <c r="J2" i="24"/>
  <c r="K95" i="16"/>
  <c r="K98" i="16"/>
  <c r="K96" i="16"/>
  <c r="K94" i="16"/>
  <c r="K97" i="16"/>
  <c r="K93" i="16"/>
  <c r="K99" i="16"/>
  <c r="G105" i="16"/>
  <c r="G107" i="16"/>
  <c r="G109" i="16"/>
  <c r="G111" i="16"/>
  <c r="G103" i="16"/>
  <c r="F3" i="24"/>
  <c r="G104" i="16"/>
  <c r="G106" i="16"/>
  <c r="G108" i="16"/>
  <c r="G110" i="16"/>
  <c r="G112" i="16"/>
  <c r="B3" i="24"/>
  <c r="C105" i="16"/>
  <c r="C107" i="16"/>
  <c r="C109" i="16"/>
  <c r="C111" i="16"/>
  <c r="C103" i="16"/>
  <c r="C104" i="16"/>
  <c r="C106" i="16"/>
  <c r="C108" i="16"/>
  <c r="C110" i="16"/>
  <c r="C112" i="16"/>
  <c r="C93" i="16"/>
  <c r="C94" i="16"/>
  <c r="C96" i="16"/>
  <c r="C98" i="16"/>
  <c r="C95" i="16"/>
  <c r="C97" i="16"/>
  <c r="J3" i="24"/>
  <c r="B2" i="24"/>
  <c r="B4" i="24"/>
  <c r="H4" i="24"/>
  <c r="L113" i="16"/>
  <c r="F4" i="24"/>
  <c r="G99" i="16"/>
  <c r="E113" i="16"/>
  <c r="E99" i="16"/>
  <c r="C113" i="16"/>
  <c r="C99" i="16"/>
  <c r="J4" i="24"/>
  <c r="G113" i="16"/>
  <c r="K113" i="16"/>
  <c r="D4" i="24"/>
  <c r="AP10" i="24"/>
  <c r="Y10" i="24"/>
  <c r="AN10" i="24"/>
  <c r="W10" i="24"/>
  <c r="AF10" i="24"/>
  <c r="AW10" i="24"/>
  <c r="AE10" i="24"/>
  <c r="AV10" i="24"/>
  <c r="AM10" i="24"/>
  <c r="V10" i="24"/>
  <c r="Z10" i="24"/>
  <c r="AQ10" i="24"/>
  <c r="AK10" i="24"/>
  <c r="T10" i="24"/>
  <c r="AJ10" i="24"/>
  <c r="S10" i="24"/>
  <c r="C13" i="21"/>
  <c r="C32" i="21"/>
  <c r="D32" i="21"/>
  <c r="F32" i="21"/>
  <c r="R147" i="40"/>
  <c r="R147" i="44"/>
  <c r="B32" i="21"/>
  <c r="C28" i="21"/>
  <c r="D28" i="21"/>
  <c r="F28" i="21"/>
  <c r="R143" i="40"/>
  <c r="R143" i="44"/>
  <c r="B28" i="21"/>
  <c r="C23" i="21"/>
  <c r="D23" i="21"/>
  <c r="F23" i="21"/>
  <c r="R138" i="40"/>
  <c r="R138" i="44"/>
  <c r="B23" i="21"/>
  <c r="D13" i="21"/>
  <c r="F13" i="21"/>
  <c r="R128" i="40"/>
  <c r="R128" i="44"/>
  <c r="B13" i="21"/>
  <c r="C5" i="21"/>
  <c r="D5" i="21"/>
  <c r="F5" i="21"/>
  <c r="R120" i="40"/>
  <c r="R120" i="44"/>
  <c r="B5" i="21"/>
  <c r="E37" i="20"/>
  <c r="E36" i="20"/>
  <c r="E35" i="20"/>
  <c r="E34" i="20"/>
  <c r="E33" i="20"/>
  <c r="E32" i="20"/>
  <c r="E31" i="20"/>
  <c r="E30" i="20"/>
  <c r="E29" i="20"/>
  <c r="E28" i="20"/>
  <c r="E27" i="20"/>
  <c r="E26" i="20"/>
  <c r="E25" i="20"/>
  <c r="E24" i="20"/>
  <c r="E23" i="20"/>
  <c r="E22" i="20"/>
  <c r="E21" i="20"/>
  <c r="E20" i="20"/>
  <c r="E19" i="20"/>
  <c r="E18" i="20"/>
  <c r="E17" i="20"/>
  <c r="E16" i="20"/>
  <c r="E15" i="20"/>
  <c r="E14" i="20"/>
  <c r="E13" i="20"/>
  <c r="E12" i="20"/>
  <c r="E11" i="20"/>
  <c r="E10" i="20"/>
  <c r="E9" i="20"/>
  <c r="E8" i="20"/>
  <c r="E7" i="20"/>
  <c r="E6" i="20"/>
  <c r="E5" i="20"/>
  <c r="H37" i="20"/>
  <c r="H36" i="20"/>
  <c r="H35" i="20"/>
  <c r="H34" i="20"/>
  <c r="H33" i="20"/>
  <c r="H32" i="20"/>
  <c r="H31" i="20"/>
  <c r="H30" i="20"/>
  <c r="H29" i="20"/>
  <c r="H28" i="20"/>
  <c r="H27" i="20"/>
  <c r="H26" i="20"/>
  <c r="H25" i="20"/>
  <c r="H24" i="20"/>
  <c r="H23" i="20"/>
  <c r="H22" i="20"/>
  <c r="H21" i="20"/>
  <c r="H20" i="20"/>
  <c r="H19" i="20"/>
  <c r="H18" i="20"/>
  <c r="H17" i="20"/>
  <c r="H16" i="20"/>
  <c r="H15" i="20"/>
  <c r="H14" i="20"/>
  <c r="H13" i="20"/>
  <c r="H12" i="20"/>
  <c r="H11" i="20"/>
  <c r="H10" i="20"/>
  <c r="H9" i="20"/>
  <c r="H8" i="20"/>
  <c r="H7" i="20"/>
  <c r="H6" i="20"/>
  <c r="H5" i="20"/>
  <c r="K37" i="20"/>
  <c r="K36" i="20"/>
  <c r="K35" i="20"/>
  <c r="K34" i="20"/>
  <c r="K33" i="20"/>
  <c r="K32" i="20"/>
  <c r="K31" i="20"/>
  <c r="K30" i="20"/>
  <c r="K29" i="20"/>
  <c r="K28" i="20"/>
  <c r="K27" i="20"/>
  <c r="K26" i="20"/>
  <c r="K25" i="20"/>
  <c r="K24" i="20"/>
  <c r="K23" i="20"/>
  <c r="K22" i="20"/>
  <c r="K21" i="20"/>
  <c r="K20" i="20"/>
  <c r="K19" i="20"/>
  <c r="K18" i="20"/>
  <c r="K17" i="20"/>
  <c r="K16" i="20"/>
  <c r="K15" i="20"/>
  <c r="K14" i="20"/>
  <c r="K13" i="20"/>
  <c r="K12" i="20"/>
  <c r="K11" i="20"/>
  <c r="K10" i="20"/>
  <c r="K9" i="20"/>
  <c r="K8" i="20"/>
  <c r="K7" i="20"/>
  <c r="K6" i="20"/>
  <c r="K5" i="20"/>
  <c r="N37" i="20"/>
  <c r="N36" i="20"/>
  <c r="N35" i="20"/>
  <c r="N34" i="20"/>
  <c r="N33" i="20"/>
  <c r="N32" i="20"/>
  <c r="N31" i="20"/>
  <c r="N30" i="20"/>
  <c r="N29" i="20"/>
  <c r="N28" i="20"/>
  <c r="N27" i="20"/>
  <c r="N26" i="20"/>
  <c r="N25" i="20"/>
  <c r="N24" i="20"/>
  <c r="N23" i="20"/>
  <c r="N22" i="20"/>
  <c r="N21" i="20"/>
  <c r="N20" i="20"/>
  <c r="N19" i="20"/>
  <c r="N18" i="20"/>
  <c r="N17" i="20"/>
  <c r="N16" i="20"/>
  <c r="N15" i="20"/>
  <c r="N14" i="20"/>
  <c r="N13" i="20"/>
  <c r="N12" i="20"/>
  <c r="N11" i="20"/>
  <c r="N10" i="20"/>
  <c r="N9" i="20"/>
  <c r="N8" i="20"/>
  <c r="N7" i="20"/>
  <c r="N6" i="20"/>
  <c r="N5" i="20"/>
  <c r="B4" i="21"/>
  <c r="C4" i="21"/>
  <c r="AD15" i="32"/>
  <c r="AI15" i="26"/>
  <c r="C123" i="37"/>
  <c r="AD17" i="32"/>
  <c r="AI17" i="26"/>
  <c r="C125" i="37"/>
  <c r="AI19" i="26"/>
  <c r="C127" i="37"/>
  <c r="AD19" i="32"/>
  <c r="C131" i="37"/>
  <c r="AD23" i="32"/>
  <c r="C133" i="37"/>
  <c r="AD25" i="32"/>
  <c r="AD27" i="32"/>
  <c r="C135" i="37"/>
  <c r="AD29" i="32"/>
  <c r="C137" i="37"/>
  <c r="AI33" i="26"/>
  <c r="C141" i="37"/>
  <c r="C145" i="37"/>
  <c r="AD37" i="32"/>
  <c r="AI41" i="26"/>
  <c r="C149" i="37"/>
  <c r="AI43" i="26"/>
  <c r="C151" i="37"/>
  <c r="AD14" i="32"/>
  <c r="AI14" i="26"/>
  <c r="C122" i="37"/>
  <c r="AD16" i="32"/>
  <c r="AI16" i="26"/>
  <c r="C124" i="37"/>
  <c r="AD18" i="32"/>
  <c r="AI18" i="26"/>
  <c r="C126" i="37"/>
  <c r="C130" i="37"/>
  <c r="AD22" i="32"/>
  <c r="C132" i="37"/>
  <c r="AD24" i="32"/>
  <c r="C134" i="37"/>
  <c r="AD26" i="32"/>
  <c r="C136" i="37"/>
  <c r="AD28" i="32"/>
  <c r="AI32" i="26"/>
  <c r="C140" i="37"/>
  <c r="AI34" i="26"/>
  <c r="C142" i="37"/>
  <c r="C146" i="37"/>
  <c r="AD38" i="32"/>
  <c r="AI42" i="26"/>
  <c r="C150" i="37"/>
  <c r="F4" i="21"/>
  <c r="R119" i="40"/>
  <c r="R119" i="44"/>
  <c r="D4" i="21"/>
  <c r="G8" i="19"/>
  <c r="K8" i="19"/>
  <c r="L4" i="19"/>
  <c r="E8" i="19"/>
  <c r="C8" i="19"/>
  <c r="F3" i="22"/>
  <c r="F2" i="22"/>
  <c r="D3" i="22"/>
  <c r="D2" i="22"/>
  <c r="B3" i="22"/>
  <c r="B2" i="22"/>
  <c r="E12" i="18"/>
  <c r="F11" i="18"/>
  <c r="G12" i="18"/>
  <c r="H12" i="18"/>
  <c r="K12" i="18"/>
  <c r="L7" i="18"/>
  <c r="C12" i="18"/>
  <c r="D11" i="18"/>
  <c r="G18" i="17"/>
  <c r="F3" i="23"/>
  <c r="F2" i="23"/>
  <c r="E18" i="17"/>
  <c r="D3" i="23"/>
  <c r="D2" i="23"/>
  <c r="B3" i="23"/>
  <c r="B2" i="23"/>
  <c r="G12" i="17"/>
  <c r="H12" i="17"/>
  <c r="E12" i="17"/>
  <c r="F11" i="17"/>
  <c r="D11" i="17"/>
  <c r="K12" i="17"/>
  <c r="L7" i="17"/>
  <c r="F19" i="27"/>
  <c r="G69" i="16"/>
  <c r="D3" i="32"/>
  <c r="D2" i="32"/>
  <c r="P17" i="23"/>
  <c r="L161" i="41"/>
  <c r="L165" i="41"/>
  <c r="L169" i="41"/>
  <c r="L173" i="41"/>
  <c r="L177" i="41"/>
  <c r="L181" i="41"/>
  <c r="L185" i="41"/>
  <c r="L189" i="41"/>
  <c r="L160" i="41"/>
  <c r="L164" i="41"/>
  <c r="L168" i="41"/>
  <c r="L172" i="41"/>
  <c r="L176" i="41"/>
  <c r="L180" i="41"/>
  <c r="L184" i="41"/>
  <c r="L188" i="41"/>
  <c r="L159" i="41"/>
  <c r="L163" i="41"/>
  <c r="L167" i="41"/>
  <c r="L171" i="41"/>
  <c r="L175" i="41"/>
  <c r="L179" i="41"/>
  <c r="L183" i="41"/>
  <c r="L187" i="41"/>
  <c r="L158" i="41"/>
  <c r="L162" i="41"/>
  <c r="L166" i="41"/>
  <c r="L170" i="41"/>
  <c r="L174" i="41"/>
  <c r="L178" i="41"/>
  <c r="L182" i="41"/>
  <c r="L186" i="41"/>
  <c r="L157" i="41"/>
  <c r="H7" i="17"/>
  <c r="H11" i="17"/>
  <c r="H5" i="17"/>
  <c r="H9" i="17"/>
  <c r="D5" i="17"/>
  <c r="D9" i="17"/>
  <c r="D7" i="17"/>
  <c r="J3" i="32"/>
  <c r="F3" i="32"/>
  <c r="F2" i="32"/>
  <c r="T57" i="32"/>
  <c r="S57" i="32"/>
  <c r="I150" i="37"/>
  <c r="I146" i="37"/>
  <c r="I140" i="37"/>
  <c r="I136" i="37"/>
  <c r="I132" i="37"/>
  <c r="I126" i="37"/>
  <c r="I124" i="37"/>
  <c r="I122" i="37"/>
  <c r="I151" i="37"/>
  <c r="I145" i="37"/>
  <c r="I141" i="37"/>
  <c r="AI31" i="26"/>
  <c r="I137" i="37"/>
  <c r="I131" i="37"/>
  <c r="AD13" i="32"/>
  <c r="AD12" i="32"/>
  <c r="I127" i="37"/>
  <c r="AH12" i="26"/>
  <c r="AI13" i="26"/>
  <c r="AC12" i="32"/>
  <c r="AI40" i="26"/>
  <c r="AD36" i="32"/>
  <c r="I142" i="37"/>
  <c r="I134" i="37"/>
  <c r="I130" i="37"/>
  <c r="I149" i="37"/>
  <c r="I135" i="37"/>
  <c r="I133" i="37"/>
  <c r="AD21" i="32"/>
  <c r="I125" i="37"/>
  <c r="I123" i="37"/>
  <c r="P12" i="26"/>
  <c r="B4" i="22"/>
  <c r="C2" i="22"/>
  <c r="F4" i="22"/>
  <c r="G2" i="22"/>
  <c r="H4" i="22"/>
  <c r="I2" i="22"/>
  <c r="L12" i="18"/>
  <c r="L10" i="18"/>
  <c r="L8" i="18"/>
  <c r="D6" i="18"/>
  <c r="D8" i="18"/>
  <c r="D10" i="18"/>
  <c r="D12" i="18"/>
  <c r="C3" i="22"/>
  <c r="D4" i="22"/>
  <c r="E2" i="22"/>
  <c r="D21" i="18"/>
  <c r="H21" i="18"/>
  <c r="D19" i="18"/>
  <c r="H19" i="18"/>
  <c r="L21" i="18"/>
  <c r="I3" i="22"/>
  <c r="L6" i="18"/>
  <c r="L11" i="18"/>
  <c r="L9" i="18"/>
  <c r="D7" i="18"/>
  <c r="D9" i="18"/>
  <c r="F21" i="18"/>
  <c r="D20" i="18"/>
  <c r="F20" i="18"/>
  <c r="H20" i="18"/>
  <c r="L18" i="18"/>
  <c r="D4" i="23"/>
  <c r="E2" i="23"/>
  <c r="L11" i="17"/>
  <c r="L12" i="17"/>
  <c r="L10" i="17"/>
  <c r="L8" i="17"/>
  <c r="L6" i="17"/>
  <c r="H6" i="17"/>
  <c r="H8" i="17"/>
  <c r="H10" i="17"/>
  <c r="F6" i="17"/>
  <c r="F8" i="17"/>
  <c r="F10" i="17"/>
  <c r="F12" i="17"/>
  <c r="D6" i="17"/>
  <c r="D8" i="17"/>
  <c r="D10" i="17"/>
  <c r="D12" i="17"/>
  <c r="E19" i="17"/>
  <c r="F18" i="17"/>
  <c r="B4" i="23"/>
  <c r="C3" i="23"/>
  <c r="F4" i="23"/>
  <c r="G3" i="23"/>
  <c r="L5" i="17"/>
  <c r="L9" i="17"/>
  <c r="F5" i="17"/>
  <c r="F7" i="17"/>
  <c r="F9" i="17"/>
  <c r="C19" i="17"/>
  <c r="D18" i="17"/>
  <c r="G19" i="17"/>
  <c r="H17" i="17"/>
  <c r="H4" i="19"/>
  <c r="F4" i="19"/>
  <c r="L6" i="19"/>
  <c r="D4" i="19"/>
  <c r="E69" i="16"/>
  <c r="C68" i="16"/>
  <c r="B2" i="32"/>
  <c r="C82" i="16"/>
  <c r="B3" i="32"/>
  <c r="G83" i="16"/>
  <c r="K69" i="16"/>
  <c r="E83" i="16"/>
  <c r="K82" i="16"/>
  <c r="K81" i="16"/>
  <c r="K88" i="16"/>
  <c r="K87" i="16"/>
  <c r="K85" i="16"/>
  <c r="K83" i="16"/>
  <c r="K86" i="16"/>
  <c r="K84" i="16"/>
  <c r="L8" i="19"/>
  <c r="L5" i="19"/>
  <c r="L7" i="19"/>
  <c r="H6" i="19"/>
  <c r="H8" i="19"/>
  <c r="H5" i="19"/>
  <c r="H7" i="19"/>
  <c r="F6" i="19"/>
  <c r="F8" i="19"/>
  <c r="F5" i="19"/>
  <c r="F7" i="19"/>
  <c r="D6" i="19"/>
  <c r="D8" i="19"/>
  <c r="D5" i="19"/>
  <c r="D7" i="19"/>
  <c r="H7" i="18"/>
  <c r="H9" i="18"/>
  <c r="H11" i="18"/>
  <c r="H6" i="18"/>
  <c r="H8" i="18"/>
  <c r="H10" i="18"/>
  <c r="F6" i="18"/>
  <c r="F8" i="18"/>
  <c r="F10" i="18"/>
  <c r="F12" i="18"/>
  <c r="F7" i="18"/>
  <c r="F9" i="18"/>
  <c r="F22" i="27"/>
  <c r="F18" i="27"/>
  <c r="K19" i="17"/>
  <c r="L17" i="17"/>
  <c r="G86" i="16"/>
  <c r="G84" i="16"/>
  <c r="G82" i="16"/>
  <c r="G81" i="16"/>
  <c r="G87" i="16"/>
  <c r="G85" i="16"/>
  <c r="E86" i="16"/>
  <c r="E84" i="16"/>
  <c r="E82" i="16"/>
  <c r="E81" i="16"/>
  <c r="E87" i="16"/>
  <c r="E85" i="16"/>
  <c r="C81" i="16"/>
  <c r="C87" i="16"/>
  <c r="C85" i="16"/>
  <c r="C83" i="16"/>
  <c r="C86" i="16"/>
  <c r="C84" i="16"/>
  <c r="K74" i="16"/>
  <c r="K72" i="16"/>
  <c r="K70" i="16"/>
  <c r="K68" i="16"/>
  <c r="K67" i="16"/>
  <c r="K76" i="16"/>
  <c r="K75" i="16"/>
  <c r="K73" i="16"/>
  <c r="K71" i="16"/>
  <c r="G74" i="16"/>
  <c r="G72" i="16"/>
  <c r="G70" i="16"/>
  <c r="G68" i="16"/>
  <c r="G67" i="16"/>
  <c r="G75" i="16"/>
  <c r="G73" i="16"/>
  <c r="G71" i="16"/>
  <c r="E74" i="16"/>
  <c r="E72" i="16"/>
  <c r="E70" i="16"/>
  <c r="E68" i="16"/>
  <c r="E67" i="16"/>
  <c r="E75" i="16"/>
  <c r="E73" i="16"/>
  <c r="E71" i="16"/>
  <c r="C75" i="16"/>
  <c r="C73" i="16"/>
  <c r="C71" i="16"/>
  <c r="C69" i="16"/>
  <c r="C67" i="16"/>
  <c r="C74" i="16"/>
  <c r="C72" i="16"/>
  <c r="C70" i="16"/>
  <c r="G88" i="16"/>
  <c r="G76" i="16"/>
  <c r="C4" i="22"/>
  <c r="E3" i="22"/>
  <c r="E3" i="23"/>
  <c r="E88" i="16"/>
  <c r="E76" i="16"/>
  <c r="C88" i="16"/>
  <c r="C76" i="16"/>
  <c r="P17" i="22"/>
  <c r="O161" i="41"/>
  <c r="O165" i="41"/>
  <c r="O169" i="41"/>
  <c r="O173" i="41"/>
  <c r="O177" i="41"/>
  <c r="O181" i="41"/>
  <c r="O185" i="41"/>
  <c r="O189" i="41"/>
  <c r="O158" i="41"/>
  <c r="O162" i="41"/>
  <c r="O166" i="41"/>
  <c r="O170" i="41"/>
  <c r="O174" i="41"/>
  <c r="O178" i="41"/>
  <c r="O182" i="41"/>
  <c r="O186" i="41"/>
  <c r="O159" i="41"/>
  <c r="O163" i="41"/>
  <c r="O167" i="41"/>
  <c r="O171" i="41"/>
  <c r="O175" i="41"/>
  <c r="O179" i="41"/>
  <c r="O183" i="41"/>
  <c r="O187" i="41"/>
  <c r="O157" i="41"/>
  <c r="O160" i="41"/>
  <c r="O164" i="41"/>
  <c r="O168" i="41"/>
  <c r="O172" i="41"/>
  <c r="O176" i="41"/>
  <c r="O180" i="41"/>
  <c r="O184" i="41"/>
  <c r="O188" i="41"/>
  <c r="O17" i="23"/>
  <c r="K161" i="41"/>
  <c r="K165" i="41"/>
  <c r="K169" i="41"/>
  <c r="K173" i="41"/>
  <c r="K177" i="41"/>
  <c r="K181" i="41"/>
  <c r="K185" i="41"/>
  <c r="K189" i="41"/>
  <c r="K158" i="41"/>
  <c r="K162" i="41"/>
  <c r="K166" i="41"/>
  <c r="K170" i="41"/>
  <c r="K174" i="41"/>
  <c r="K178" i="41"/>
  <c r="K182" i="41"/>
  <c r="K186" i="41"/>
  <c r="K159" i="41"/>
  <c r="K163" i="41"/>
  <c r="K167" i="41"/>
  <c r="K171" i="41"/>
  <c r="K175" i="41"/>
  <c r="K179" i="41"/>
  <c r="K183" i="41"/>
  <c r="K187" i="41"/>
  <c r="K157" i="41"/>
  <c r="K160" i="41"/>
  <c r="K164" i="41"/>
  <c r="K168" i="41"/>
  <c r="K172" i="41"/>
  <c r="K176" i="41"/>
  <c r="K180" i="41"/>
  <c r="K184" i="41"/>
  <c r="K188" i="41"/>
  <c r="AG50" i="23"/>
  <c r="AX50" i="23"/>
  <c r="AN36" i="25"/>
  <c r="AG44" i="23"/>
  <c r="AX44" i="23"/>
  <c r="AN30" i="25"/>
  <c r="AG38" i="23"/>
  <c r="AG34" i="23"/>
  <c r="AX34" i="23"/>
  <c r="AN20" i="25"/>
  <c r="AG30" i="23"/>
  <c r="AX30" i="23"/>
  <c r="AN16" i="25"/>
  <c r="AG26" i="23"/>
  <c r="AX26" i="23"/>
  <c r="AN12" i="25"/>
  <c r="AG22" i="23"/>
  <c r="AX22" i="23"/>
  <c r="AN8" i="25"/>
  <c r="AG17" i="23"/>
  <c r="AG49" i="23"/>
  <c r="AX49" i="23"/>
  <c r="AN35" i="25"/>
  <c r="AG45" i="23"/>
  <c r="AX45" i="23"/>
  <c r="AN31" i="25"/>
  <c r="AG41" i="23"/>
  <c r="AX41" i="23"/>
  <c r="AN27" i="25"/>
  <c r="AG35" i="23"/>
  <c r="AX35" i="23"/>
  <c r="AN21" i="25"/>
  <c r="AG31" i="23"/>
  <c r="AX31" i="23"/>
  <c r="AN17" i="25"/>
  <c r="AG25" i="23"/>
  <c r="AX25" i="23"/>
  <c r="AN11" i="25"/>
  <c r="AG21" i="23"/>
  <c r="AX21" i="23"/>
  <c r="AN7" i="25"/>
  <c r="AG48" i="23"/>
  <c r="AX48" i="23"/>
  <c r="AN34" i="25"/>
  <c r="AG40" i="23"/>
  <c r="AX40" i="23"/>
  <c r="AN26" i="25"/>
  <c r="AG36" i="23"/>
  <c r="AX36" i="23"/>
  <c r="AN22" i="25"/>
  <c r="AG32" i="23"/>
  <c r="AX32" i="23"/>
  <c r="AN18" i="25"/>
  <c r="AG28" i="23"/>
  <c r="AG24" i="23"/>
  <c r="AX24" i="23"/>
  <c r="AN10" i="25"/>
  <c r="AG20" i="23"/>
  <c r="AX17" i="23"/>
  <c r="AG47" i="23"/>
  <c r="AG43" i="23"/>
  <c r="AG39" i="23"/>
  <c r="AX39" i="23"/>
  <c r="AN25" i="25"/>
  <c r="AG33" i="23"/>
  <c r="AX33" i="23"/>
  <c r="AN19" i="25"/>
  <c r="AG29" i="23"/>
  <c r="AX29" i="23"/>
  <c r="AN15" i="25"/>
  <c r="AG23" i="23"/>
  <c r="AX23" i="23"/>
  <c r="AN9" i="25"/>
  <c r="H18" i="17"/>
  <c r="H16" i="17"/>
  <c r="H19" i="17"/>
  <c r="F17" i="17"/>
  <c r="X57" i="32"/>
  <c r="AB57" i="32"/>
  <c r="V57" i="32"/>
  <c r="U57" i="32"/>
  <c r="W57" i="32"/>
  <c r="P11" i="26"/>
  <c r="AC11" i="32"/>
  <c r="C129" i="37"/>
  <c r="C128" i="37"/>
  <c r="AD35" i="32"/>
  <c r="I144" i="37"/>
  <c r="I143" i="37"/>
  <c r="I148" i="37"/>
  <c r="I147" i="37"/>
  <c r="AI12" i="26"/>
  <c r="C121" i="37"/>
  <c r="C120" i="37"/>
  <c r="AD20" i="32"/>
  <c r="I129" i="37"/>
  <c r="I128" i="37"/>
  <c r="I139" i="37"/>
  <c r="I138" i="37"/>
  <c r="C148" i="37"/>
  <c r="C147" i="37"/>
  <c r="AI39" i="26"/>
  <c r="I121" i="37"/>
  <c r="I120" i="37"/>
  <c r="AI30" i="26"/>
  <c r="C139" i="37"/>
  <c r="C138" i="37"/>
  <c r="C144" i="37"/>
  <c r="C143" i="37"/>
  <c r="AH11" i="26"/>
  <c r="L37" i="22"/>
  <c r="L42" i="22"/>
  <c r="L27" i="22"/>
  <c r="L19" i="22"/>
  <c r="C19" i="22"/>
  <c r="L46" i="22"/>
  <c r="G3" i="22"/>
  <c r="G4" i="22"/>
  <c r="M42" i="22"/>
  <c r="M46" i="22"/>
  <c r="N146" i="37"/>
  <c r="N130" i="37"/>
  <c r="N122" i="37"/>
  <c r="N139" i="37"/>
  <c r="N131" i="37"/>
  <c r="N123" i="37"/>
  <c r="N148" i="37"/>
  <c r="N140" i="37"/>
  <c r="N132" i="37"/>
  <c r="N124" i="37"/>
  <c r="N149" i="37"/>
  <c r="N141" i="37"/>
  <c r="N133" i="37"/>
  <c r="N125" i="37"/>
  <c r="D19" i="22"/>
  <c r="L20" i="18"/>
  <c r="I4" i="22"/>
  <c r="L19" i="18"/>
  <c r="F19" i="18"/>
  <c r="H18" i="18"/>
  <c r="F18" i="18"/>
  <c r="N150" i="37"/>
  <c r="N142" i="37"/>
  <c r="N134" i="37"/>
  <c r="N126" i="37"/>
  <c r="N151" i="37"/>
  <c r="N135" i="37"/>
  <c r="N127" i="37"/>
  <c r="N144" i="37"/>
  <c r="N136" i="37"/>
  <c r="N145" i="37"/>
  <c r="N137" i="37"/>
  <c r="N129" i="37"/>
  <c r="N128" i="37"/>
  <c r="N121" i="37"/>
  <c r="N120" i="37"/>
  <c r="E4" i="22"/>
  <c r="D18" i="18"/>
  <c r="L16" i="17"/>
  <c r="D16" i="17"/>
  <c r="G2" i="23"/>
  <c r="C2" i="23"/>
  <c r="F16" i="17"/>
  <c r="F19" i="17"/>
  <c r="E4" i="23"/>
  <c r="L120" i="41"/>
  <c r="L121" i="41"/>
  <c r="L122" i="41"/>
  <c r="L123" i="41"/>
  <c r="L124" i="41"/>
  <c r="L125" i="41"/>
  <c r="L126" i="41"/>
  <c r="L127" i="41"/>
  <c r="L128" i="41"/>
  <c r="L129" i="41"/>
  <c r="L130" i="41"/>
  <c r="L131" i="41"/>
  <c r="L132" i="41"/>
  <c r="L133" i="41"/>
  <c r="L134" i="41"/>
  <c r="L135" i="41"/>
  <c r="L136" i="41"/>
  <c r="L137" i="41"/>
  <c r="L138" i="41"/>
  <c r="L139" i="41"/>
  <c r="L140" i="41"/>
  <c r="L141" i="41"/>
  <c r="L142" i="41"/>
  <c r="L143" i="41"/>
  <c r="L144" i="41"/>
  <c r="L145" i="41"/>
  <c r="L146" i="41"/>
  <c r="L147" i="41"/>
  <c r="L148" i="41"/>
  <c r="L149" i="41"/>
  <c r="L150" i="41"/>
  <c r="L151" i="41"/>
  <c r="L119" i="41"/>
  <c r="H4" i="23"/>
  <c r="I3" i="23"/>
  <c r="M19" i="17"/>
  <c r="D17" i="17"/>
  <c r="M21" i="18"/>
  <c r="L18" i="17"/>
  <c r="L19" i="17"/>
  <c r="AG17" i="22"/>
  <c r="AX17" i="22"/>
  <c r="AG49" i="22"/>
  <c r="AX49" i="22"/>
  <c r="AQ35" i="25"/>
  <c r="AG33" i="22"/>
  <c r="AX33" i="22"/>
  <c r="AQ19" i="25"/>
  <c r="AG25" i="22"/>
  <c r="AX25" i="22"/>
  <c r="AQ11" i="25"/>
  <c r="AG50" i="22"/>
  <c r="AX50" i="22"/>
  <c r="AQ36" i="25"/>
  <c r="AG30" i="22"/>
  <c r="AX30" i="22"/>
  <c r="AQ16" i="25"/>
  <c r="AG22" i="22"/>
  <c r="AX22" i="22"/>
  <c r="AQ8" i="25"/>
  <c r="AG47" i="22"/>
  <c r="AG43" i="22"/>
  <c r="AG39" i="22"/>
  <c r="AX39" i="22"/>
  <c r="AQ25" i="25"/>
  <c r="AG35" i="22"/>
  <c r="AX35" i="22"/>
  <c r="AQ21" i="25"/>
  <c r="AG31" i="22"/>
  <c r="AX31" i="22"/>
  <c r="AQ17" i="25"/>
  <c r="AG23" i="22"/>
  <c r="AX23" i="22"/>
  <c r="AQ9" i="25"/>
  <c r="AG48" i="22"/>
  <c r="AX48" i="22"/>
  <c r="AQ34" i="25"/>
  <c r="AG44" i="22"/>
  <c r="AX44" i="22"/>
  <c r="AQ30" i="25"/>
  <c r="AG40" i="22"/>
  <c r="AX40" i="22"/>
  <c r="AQ26" i="25"/>
  <c r="AG36" i="22"/>
  <c r="AX36" i="22"/>
  <c r="AQ22" i="25"/>
  <c r="AG32" i="22"/>
  <c r="AX32" i="22"/>
  <c r="AQ18" i="25"/>
  <c r="AG28" i="22"/>
  <c r="AG24" i="22"/>
  <c r="AX24" i="22"/>
  <c r="AQ10" i="25"/>
  <c r="AG20" i="22"/>
  <c r="AG45" i="22"/>
  <c r="AX45" i="22"/>
  <c r="AQ31" i="25"/>
  <c r="AG41" i="22"/>
  <c r="AX41" i="22"/>
  <c r="AQ27" i="25"/>
  <c r="AG29" i="22"/>
  <c r="AX29" i="22"/>
  <c r="AQ15" i="25"/>
  <c r="AG21" i="22"/>
  <c r="AX21" i="22"/>
  <c r="AQ7" i="25"/>
  <c r="AG38" i="22"/>
  <c r="AG34" i="22"/>
  <c r="AX34" i="22"/>
  <c r="AQ20" i="25"/>
  <c r="AG26" i="22"/>
  <c r="AX26" i="22"/>
  <c r="AQ12" i="25"/>
  <c r="AG42" i="23"/>
  <c r="AX42" i="23"/>
  <c r="AN28" i="25"/>
  <c r="AX43" i="23"/>
  <c r="AN29" i="25"/>
  <c r="AG37" i="23"/>
  <c r="AX37" i="23"/>
  <c r="AN23" i="25"/>
  <c r="AX38" i="23"/>
  <c r="AN24" i="25"/>
  <c r="AV17" i="23"/>
  <c r="AE17" i="23"/>
  <c r="AW17" i="23"/>
  <c r="AF17" i="23"/>
  <c r="AF47" i="23"/>
  <c r="AF43" i="23"/>
  <c r="AF39" i="23"/>
  <c r="AW39" i="23"/>
  <c r="AM25" i="25"/>
  <c r="AF35" i="23"/>
  <c r="AW35" i="23"/>
  <c r="AM21" i="25"/>
  <c r="AF31" i="23"/>
  <c r="AW31" i="23"/>
  <c r="AM17" i="25"/>
  <c r="AF23" i="23"/>
  <c r="AW23" i="23"/>
  <c r="AM9" i="25"/>
  <c r="AF50" i="23"/>
  <c r="AW50" i="23"/>
  <c r="AM36" i="25"/>
  <c r="AF38" i="23"/>
  <c r="AF34" i="23"/>
  <c r="AW34" i="23"/>
  <c r="AM20" i="25"/>
  <c r="AF30" i="23"/>
  <c r="AW30" i="23"/>
  <c r="AM16" i="25"/>
  <c r="AF26" i="23"/>
  <c r="AW26" i="23"/>
  <c r="AM12" i="25"/>
  <c r="AF22" i="23"/>
  <c r="AW22" i="23"/>
  <c r="AM8" i="25"/>
  <c r="AF49" i="23"/>
  <c r="AW49" i="23"/>
  <c r="AM35" i="25"/>
  <c r="AF45" i="23"/>
  <c r="AW45" i="23"/>
  <c r="AM31" i="25"/>
  <c r="AF41" i="23"/>
  <c r="AW41" i="23"/>
  <c r="AM27" i="25"/>
  <c r="AF33" i="23"/>
  <c r="AW33" i="23"/>
  <c r="AM19" i="25"/>
  <c r="AF29" i="23"/>
  <c r="AW29" i="23"/>
  <c r="AM15" i="25"/>
  <c r="AF25" i="23"/>
  <c r="AW25" i="23"/>
  <c r="AM11" i="25"/>
  <c r="AF21" i="23"/>
  <c r="AW21" i="23"/>
  <c r="AM7" i="25"/>
  <c r="AF48" i="23"/>
  <c r="AW48" i="23"/>
  <c r="AM34" i="25"/>
  <c r="AF44" i="23"/>
  <c r="AW44" i="23"/>
  <c r="AM30" i="25"/>
  <c r="AF40" i="23"/>
  <c r="AW40" i="23"/>
  <c r="AM26" i="25"/>
  <c r="AF36" i="23"/>
  <c r="AW36" i="23"/>
  <c r="AM22" i="25"/>
  <c r="AF32" i="23"/>
  <c r="AW32" i="23"/>
  <c r="AM18" i="25"/>
  <c r="AF28" i="23"/>
  <c r="AF24" i="23"/>
  <c r="AW24" i="23"/>
  <c r="AM10" i="25"/>
  <c r="AF20" i="23"/>
  <c r="AG46" i="23"/>
  <c r="AX46" i="23"/>
  <c r="AN32" i="25"/>
  <c r="AX47" i="23"/>
  <c r="AN33" i="25"/>
  <c r="AG19" i="23"/>
  <c r="AX20" i="23"/>
  <c r="AN6" i="25"/>
  <c r="AG27" i="23"/>
  <c r="AX27" i="23"/>
  <c r="AN13" i="25"/>
  <c r="AX28" i="23"/>
  <c r="AN14" i="25"/>
  <c r="I119" i="37"/>
  <c r="AD11" i="32"/>
  <c r="AI11" i="26"/>
  <c r="C119" i="37"/>
  <c r="F19" i="23"/>
  <c r="F19" i="22"/>
  <c r="M27" i="22"/>
  <c r="M19" i="22"/>
  <c r="L18" i="22"/>
  <c r="E19" i="23"/>
  <c r="I19" i="23"/>
  <c r="C19" i="23"/>
  <c r="M37" i="22"/>
  <c r="G19" i="22"/>
  <c r="C18" i="22"/>
  <c r="I19" i="22"/>
  <c r="I18" i="22"/>
  <c r="W108" i="37"/>
  <c r="AE108" i="37"/>
  <c r="W111" i="37"/>
  <c r="AE111" i="37"/>
  <c r="W97" i="37"/>
  <c r="AE97" i="37"/>
  <c r="W89" i="37"/>
  <c r="AE89" i="37"/>
  <c r="W104" i="37"/>
  <c r="AE104" i="37"/>
  <c r="W96" i="37"/>
  <c r="AE96" i="37"/>
  <c r="W88" i="37"/>
  <c r="AE88" i="37"/>
  <c r="W99" i="37"/>
  <c r="AE99" i="37"/>
  <c r="N143" i="37"/>
  <c r="N138" i="37"/>
  <c r="N147" i="37"/>
  <c r="I2" i="23"/>
  <c r="W17" i="37"/>
  <c r="AE17" i="37"/>
  <c r="W32" i="37"/>
  <c r="AE32" i="37"/>
  <c r="W16" i="37"/>
  <c r="AE16" i="37"/>
  <c r="W8" i="37"/>
  <c r="AE8" i="37"/>
  <c r="W31" i="37"/>
  <c r="AE31" i="37"/>
  <c r="W23" i="37"/>
  <c r="AE23" i="37"/>
  <c r="W9" i="37"/>
  <c r="AE9" i="37"/>
  <c r="W22" i="37"/>
  <c r="AE22" i="37"/>
  <c r="W102" i="37"/>
  <c r="AE102" i="37"/>
  <c r="W94" i="37"/>
  <c r="AE94" i="37"/>
  <c r="W113" i="37"/>
  <c r="AE113" i="37"/>
  <c r="W112" i="37"/>
  <c r="AE112" i="37"/>
  <c r="W107" i="37"/>
  <c r="AE107" i="37"/>
  <c r="O144" i="37"/>
  <c r="O136" i="37"/>
  <c r="W136" i="37"/>
  <c r="AE136" i="37"/>
  <c r="O139" i="37"/>
  <c r="O131" i="37"/>
  <c r="W131" i="37"/>
  <c r="AE131" i="37"/>
  <c r="O123" i="37"/>
  <c r="W123" i="37"/>
  <c r="AE123" i="37"/>
  <c r="O146" i="37"/>
  <c r="W146" i="37"/>
  <c r="AE146" i="37"/>
  <c r="O130" i="37"/>
  <c r="W130" i="37"/>
  <c r="AE130" i="37"/>
  <c r="O122" i="37"/>
  <c r="W122" i="37"/>
  <c r="AE122" i="37"/>
  <c r="O149" i="37"/>
  <c r="W149" i="37"/>
  <c r="AE149" i="37"/>
  <c r="O141" i="37"/>
  <c r="W141" i="37"/>
  <c r="AE141" i="37"/>
  <c r="O133" i="37"/>
  <c r="W133" i="37"/>
  <c r="AE133" i="37"/>
  <c r="O125" i="37"/>
  <c r="W125" i="37"/>
  <c r="AE125" i="37"/>
  <c r="AD17" i="22"/>
  <c r="AU17" i="22"/>
  <c r="O120" i="41"/>
  <c r="O122" i="41"/>
  <c r="O124" i="41"/>
  <c r="O126" i="41"/>
  <c r="O128" i="41"/>
  <c r="O130" i="41"/>
  <c r="O132" i="41"/>
  <c r="O134" i="41"/>
  <c r="O136" i="41"/>
  <c r="O138" i="41"/>
  <c r="O140" i="41"/>
  <c r="O142" i="41"/>
  <c r="O144" i="41"/>
  <c r="O146" i="41"/>
  <c r="O148" i="41"/>
  <c r="O150" i="41"/>
  <c r="O119" i="41"/>
  <c r="O121" i="41"/>
  <c r="O123" i="41"/>
  <c r="O125" i="41"/>
  <c r="O127" i="41"/>
  <c r="O129" i="41"/>
  <c r="O131" i="41"/>
  <c r="O133" i="41"/>
  <c r="O135" i="41"/>
  <c r="O137" i="41"/>
  <c r="O139" i="41"/>
  <c r="O141" i="41"/>
  <c r="O143" i="41"/>
  <c r="O145" i="41"/>
  <c r="O147" i="41"/>
  <c r="O149" i="41"/>
  <c r="O151" i="41"/>
  <c r="AA17" i="22"/>
  <c r="AR17" i="22"/>
  <c r="W56" i="37"/>
  <c r="AE56" i="37"/>
  <c r="W47" i="37"/>
  <c r="AE47" i="37"/>
  <c r="W37" i="37"/>
  <c r="AE37" i="37"/>
  <c r="W21" i="37"/>
  <c r="AE21" i="37"/>
  <c r="W13" i="37"/>
  <c r="AE13" i="37"/>
  <c r="W36" i="37"/>
  <c r="AE36" i="37"/>
  <c r="W28" i="37"/>
  <c r="AE28" i="37"/>
  <c r="W20" i="37"/>
  <c r="AE20" i="37"/>
  <c r="W12" i="37"/>
  <c r="AE12" i="37"/>
  <c r="W35" i="37"/>
  <c r="AE35" i="37"/>
  <c r="W27" i="37"/>
  <c r="AE27" i="37"/>
  <c r="W19" i="37"/>
  <c r="AE19" i="37"/>
  <c r="W11" i="37"/>
  <c r="AE11" i="37"/>
  <c r="W26" i="37"/>
  <c r="AE26" i="37"/>
  <c r="W18" i="37"/>
  <c r="AE18" i="37"/>
  <c r="W10" i="37"/>
  <c r="AE10" i="37"/>
  <c r="W98" i="37"/>
  <c r="AE98" i="37"/>
  <c r="W93" i="37"/>
  <c r="AE93" i="37"/>
  <c r="W85" i="37"/>
  <c r="AE85" i="37"/>
  <c r="W92" i="37"/>
  <c r="AE92" i="37"/>
  <c r="W84" i="37"/>
  <c r="AE84" i="37"/>
  <c r="W103" i="37"/>
  <c r="AE103" i="37"/>
  <c r="W95" i="37"/>
  <c r="AE95" i="37"/>
  <c r="W87" i="37"/>
  <c r="AE87" i="37"/>
  <c r="O148" i="37"/>
  <c r="O140" i="37"/>
  <c r="W140" i="37"/>
  <c r="AE140" i="37"/>
  <c r="O132" i="37"/>
  <c r="W132" i="37"/>
  <c r="AE132" i="37"/>
  <c r="O124" i="37"/>
  <c r="W124" i="37"/>
  <c r="AE124" i="37"/>
  <c r="O151" i="37"/>
  <c r="W151" i="37"/>
  <c r="AE151" i="37"/>
  <c r="O135" i="37"/>
  <c r="W135" i="37"/>
  <c r="AE135" i="37"/>
  <c r="O127" i="37"/>
  <c r="W127" i="37"/>
  <c r="AE127" i="37"/>
  <c r="O150" i="37"/>
  <c r="W150" i="37"/>
  <c r="AE150" i="37"/>
  <c r="O142" i="37"/>
  <c r="W142" i="37"/>
  <c r="AE142" i="37"/>
  <c r="O134" i="37"/>
  <c r="W134" i="37"/>
  <c r="AE134" i="37"/>
  <c r="O126" i="37"/>
  <c r="W126" i="37"/>
  <c r="AE126" i="37"/>
  <c r="O145" i="37"/>
  <c r="W145" i="37"/>
  <c r="AE145" i="37"/>
  <c r="O137" i="37"/>
  <c r="W137" i="37"/>
  <c r="AE137" i="37"/>
  <c r="O129" i="37"/>
  <c r="O121" i="37"/>
  <c r="U17" i="22"/>
  <c r="AL17" i="22"/>
  <c r="X17" i="22"/>
  <c r="AO17" i="22"/>
  <c r="U17" i="23"/>
  <c r="AL17" i="23"/>
  <c r="C4" i="23"/>
  <c r="J120" i="41"/>
  <c r="J121" i="41"/>
  <c r="J122" i="41"/>
  <c r="J123" i="41"/>
  <c r="J124" i="41"/>
  <c r="J125" i="41"/>
  <c r="J126" i="41"/>
  <c r="J127" i="41"/>
  <c r="J128" i="41"/>
  <c r="J129" i="41"/>
  <c r="J130" i="41"/>
  <c r="J131" i="41"/>
  <c r="J132" i="41"/>
  <c r="J133" i="41"/>
  <c r="J134" i="41"/>
  <c r="J135" i="41"/>
  <c r="J136" i="41"/>
  <c r="J137" i="41"/>
  <c r="J138" i="41"/>
  <c r="J139" i="41"/>
  <c r="J140" i="41"/>
  <c r="J141" i="41"/>
  <c r="J142" i="41"/>
  <c r="J143" i="41"/>
  <c r="J144" i="41"/>
  <c r="J145" i="41"/>
  <c r="J146" i="41"/>
  <c r="J147" i="41"/>
  <c r="J148" i="41"/>
  <c r="J149" i="41"/>
  <c r="J150" i="41"/>
  <c r="J151" i="41"/>
  <c r="J119" i="41"/>
  <c r="AA17" i="23"/>
  <c r="AR17" i="23"/>
  <c r="AO17" i="23"/>
  <c r="X17" i="23"/>
  <c r="K119" i="41"/>
  <c r="K120" i="41"/>
  <c r="K121" i="41"/>
  <c r="K122" i="41"/>
  <c r="K123" i="41"/>
  <c r="K124" i="41"/>
  <c r="K125" i="41"/>
  <c r="K126" i="41"/>
  <c r="K127" i="41"/>
  <c r="K128" i="41"/>
  <c r="K129" i="41"/>
  <c r="K130" i="41"/>
  <c r="K131" i="41"/>
  <c r="K132" i="41"/>
  <c r="K133" i="41"/>
  <c r="K134" i="41"/>
  <c r="K135" i="41"/>
  <c r="K136" i="41"/>
  <c r="K137" i="41"/>
  <c r="K138" i="41"/>
  <c r="K139" i="41"/>
  <c r="K140" i="41"/>
  <c r="K141" i="41"/>
  <c r="K142" i="41"/>
  <c r="K143" i="41"/>
  <c r="K144" i="41"/>
  <c r="K145" i="41"/>
  <c r="K146" i="41"/>
  <c r="K147" i="41"/>
  <c r="K148" i="41"/>
  <c r="K149" i="41"/>
  <c r="K150" i="41"/>
  <c r="K151" i="41"/>
  <c r="D19" i="17"/>
  <c r="I4" i="23"/>
  <c r="AD17" i="23"/>
  <c r="AU17" i="23"/>
  <c r="G4" i="23"/>
  <c r="E5" i="30"/>
  <c r="C5" i="30"/>
  <c r="I5" i="30"/>
  <c r="G5" i="30"/>
  <c r="W86" i="37"/>
  <c r="AE86" i="37"/>
  <c r="AG19" i="22"/>
  <c r="AX20" i="22"/>
  <c r="AQ6" i="25"/>
  <c r="AG27" i="22"/>
  <c r="AX27" i="22"/>
  <c r="AQ13" i="25"/>
  <c r="AX28" i="22"/>
  <c r="AQ14" i="25"/>
  <c r="AG42" i="22"/>
  <c r="AX42" i="22"/>
  <c r="AQ28" i="25"/>
  <c r="AX43" i="22"/>
  <c r="AQ29" i="25"/>
  <c r="AG37" i="22"/>
  <c r="AX37" i="22"/>
  <c r="AQ23" i="25"/>
  <c r="AX38" i="22"/>
  <c r="AQ24" i="25"/>
  <c r="AG46" i="22"/>
  <c r="AX46" i="22"/>
  <c r="AQ32" i="25"/>
  <c r="AX47" i="22"/>
  <c r="AQ33" i="25"/>
  <c r="D18" i="22"/>
  <c r="AG18" i="23"/>
  <c r="AX18" i="23"/>
  <c r="AN4" i="25"/>
  <c r="AX19" i="23"/>
  <c r="AN5" i="25"/>
  <c r="AF37" i="23"/>
  <c r="AW37" i="23"/>
  <c r="AM23" i="25"/>
  <c r="AW38" i="23"/>
  <c r="AM24" i="25"/>
  <c r="AF42" i="23"/>
  <c r="AW42" i="23"/>
  <c r="AM28" i="25"/>
  <c r="AW43" i="23"/>
  <c r="AM29" i="25"/>
  <c r="AF19" i="23"/>
  <c r="AW20" i="23"/>
  <c r="AM6" i="25"/>
  <c r="AF27" i="23"/>
  <c r="AW27" i="23"/>
  <c r="AM13" i="25"/>
  <c r="AW28" i="23"/>
  <c r="AM14" i="25"/>
  <c r="AF46" i="23"/>
  <c r="AW46" i="23"/>
  <c r="AM32" i="25"/>
  <c r="AW47" i="23"/>
  <c r="AM33" i="25"/>
  <c r="L42" i="23"/>
  <c r="C18" i="23"/>
  <c r="W83" i="37"/>
  <c r="AE83" i="37"/>
  <c r="J19" i="22"/>
  <c r="L37" i="23"/>
  <c r="E18" i="23"/>
  <c r="M18" i="22"/>
  <c r="H19" i="23"/>
  <c r="B19" i="23"/>
  <c r="L27" i="23"/>
  <c r="L19" i="23"/>
  <c r="L46" i="23"/>
  <c r="G18" i="22"/>
  <c r="I18" i="23"/>
  <c r="F18" i="22"/>
  <c r="F18" i="23"/>
  <c r="W55" i="37"/>
  <c r="AE55" i="37"/>
  <c r="N119" i="37"/>
  <c r="V47" i="37"/>
  <c r="AD47" i="37"/>
  <c r="J131" i="37"/>
  <c r="J146" i="37"/>
  <c r="J130" i="37"/>
  <c r="W110" i="37"/>
  <c r="AE110" i="37"/>
  <c r="W109" i="37"/>
  <c r="W30" i="37"/>
  <c r="AE30" i="37"/>
  <c r="W29" i="37"/>
  <c r="W15" i="37"/>
  <c r="AE15" i="37"/>
  <c r="W14" i="37"/>
  <c r="W7" i="37"/>
  <c r="AE7" i="37"/>
  <c r="W25" i="37"/>
  <c r="AE25" i="37"/>
  <c r="W24" i="37"/>
  <c r="W67" i="37"/>
  <c r="W121" i="37"/>
  <c r="AE121" i="37"/>
  <c r="O120" i="37"/>
  <c r="W129" i="37"/>
  <c r="AE129" i="37"/>
  <c r="O128" i="37"/>
  <c r="W128" i="37"/>
  <c r="W148" i="37"/>
  <c r="AE148" i="37"/>
  <c r="O147" i="37"/>
  <c r="W147" i="37"/>
  <c r="W101" i="37"/>
  <c r="AE101" i="37"/>
  <c r="W106" i="37"/>
  <c r="AE106" i="37"/>
  <c r="W105" i="37"/>
  <c r="W34" i="37"/>
  <c r="AE34" i="37"/>
  <c r="W33" i="37"/>
  <c r="W63" i="37"/>
  <c r="AE63" i="37"/>
  <c r="W62" i="37"/>
  <c r="W72" i="37"/>
  <c r="AE72" i="37"/>
  <c r="W139" i="37"/>
  <c r="AE139" i="37"/>
  <c r="O138" i="37"/>
  <c r="W138" i="37"/>
  <c r="W144" i="37"/>
  <c r="AE144" i="37"/>
  <c r="O143" i="37"/>
  <c r="W143" i="37"/>
  <c r="W91" i="37"/>
  <c r="AE91" i="37"/>
  <c r="W90" i="37"/>
  <c r="C13" i="30"/>
  <c r="E13" i="30"/>
  <c r="D13" i="30"/>
  <c r="W49" i="37"/>
  <c r="AE49" i="37"/>
  <c r="W65" i="37"/>
  <c r="AE65" i="37"/>
  <c r="W50" i="37"/>
  <c r="AE50" i="37"/>
  <c r="W66" i="37"/>
  <c r="AE66" i="37"/>
  <c r="V46" i="37"/>
  <c r="AD46" i="37"/>
  <c r="J149" i="37"/>
  <c r="J141" i="37"/>
  <c r="J137" i="37"/>
  <c r="J133" i="37"/>
  <c r="J129" i="37"/>
  <c r="J125" i="37"/>
  <c r="J140" i="37"/>
  <c r="J136" i="37"/>
  <c r="J132" i="37"/>
  <c r="J124" i="37"/>
  <c r="W60" i="37"/>
  <c r="AE60" i="37"/>
  <c r="W68" i="37"/>
  <c r="AE68" i="37"/>
  <c r="W45" i="37"/>
  <c r="AE45" i="37"/>
  <c r="W53" i="37"/>
  <c r="AE53" i="37"/>
  <c r="W61" i="37"/>
  <c r="AE61" i="37"/>
  <c r="W69" i="37"/>
  <c r="AE69" i="37"/>
  <c r="W46" i="37"/>
  <c r="AE46" i="37"/>
  <c r="W54" i="37"/>
  <c r="AE54" i="37"/>
  <c r="W70" i="37"/>
  <c r="AE70" i="37"/>
  <c r="W51" i="37"/>
  <c r="AE51" i="37"/>
  <c r="W48" i="37"/>
  <c r="AE48" i="37"/>
  <c r="W64" i="37"/>
  <c r="AE64" i="37"/>
  <c r="W57" i="37"/>
  <c r="AE57" i="37"/>
  <c r="W73" i="37"/>
  <c r="AE73" i="37"/>
  <c r="W58" i="37"/>
  <c r="AE58" i="37"/>
  <c r="W74" i="37"/>
  <c r="AE74" i="37"/>
  <c r="W59" i="37"/>
  <c r="AE59" i="37"/>
  <c r="W75" i="37"/>
  <c r="AE75" i="37"/>
  <c r="V56" i="37"/>
  <c r="AD56" i="37"/>
  <c r="V64" i="37"/>
  <c r="AD64" i="37"/>
  <c r="V72" i="37"/>
  <c r="AD72" i="37"/>
  <c r="V51" i="37"/>
  <c r="AD51" i="37"/>
  <c r="V63" i="37"/>
  <c r="AD63" i="37"/>
  <c r="V45" i="37"/>
  <c r="AD45" i="37"/>
  <c r="V54" i="37"/>
  <c r="AD54" i="37"/>
  <c r="V66" i="37"/>
  <c r="AD66" i="37"/>
  <c r="V74" i="37"/>
  <c r="AD74" i="37"/>
  <c r="V53" i="37"/>
  <c r="AD53" i="37"/>
  <c r="V61" i="37"/>
  <c r="AD61" i="37"/>
  <c r="V69" i="37"/>
  <c r="AD69" i="37"/>
  <c r="V75" i="37"/>
  <c r="AD75" i="37"/>
  <c r="V48" i="37"/>
  <c r="AD48" i="37"/>
  <c r="V60" i="37"/>
  <c r="AD60" i="37"/>
  <c r="V68" i="37"/>
  <c r="AD68" i="37"/>
  <c r="V59" i="37"/>
  <c r="AD59" i="37"/>
  <c r="V50" i="37"/>
  <c r="AD50" i="37"/>
  <c r="V58" i="37"/>
  <c r="AD58" i="37"/>
  <c r="V70" i="37"/>
  <c r="AD70" i="37"/>
  <c r="V49" i="37"/>
  <c r="AD49" i="37"/>
  <c r="V57" i="37"/>
  <c r="AD57" i="37"/>
  <c r="V65" i="37"/>
  <c r="AD65" i="37"/>
  <c r="V73" i="37"/>
  <c r="AD73" i="37"/>
  <c r="V55" i="37"/>
  <c r="AD55" i="37"/>
  <c r="G148" i="37"/>
  <c r="BI33" i="30"/>
  <c r="AB25" i="31"/>
  <c r="G140" i="37"/>
  <c r="BI17" i="30"/>
  <c r="AB9" i="31"/>
  <c r="G124" i="37"/>
  <c r="BI44" i="30"/>
  <c r="AB36" i="31"/>
  <c r="G151" i="37"/>
  <c r="G139" i="37"/>
  <c r="BI28" i="30"/>
  <c r="AB20" i="31"/>
  <c r="G135" i="37"/>
  <c r="BI24" i="30"/>
  <c r="AB16" i="31"/>
  <c r="G131" i="37"/>
  <c r="BI20" i="30"/>
  <c r="AB12" i="31"/>
  <c r="G127" i="37"/>
  <c r="BI16" i="30"/>
  <c r="AB8" i="31"/>
  <c r="G123" i="37"/>
  <c r="E148" i="37"/>
  <c r="E144" i="37"/>
  <c r="BG33" i="30"/>
  <c r="Z25" i="31"/>
  <c r="E140" i="37"/>
  <c r="BG29" i="30"/>
  <c r="Z21" i="31"/>
  <c r="E136" i="37"/>
  <c r="BG25" i="30"/>
  <c r="Z17" i="31"/>
  <c r="E132" i="37"/>
  <c r="BG17" i="30"/>
  <c r="Z9" i="31"/>
  <c r="E124" i="37"/>
  <c r="BG44" i="30"/>
  <c r="Z36" i="31"/>
  <c r="E151" i="37"/>
  <c r="E139" i="37"/>
  <c r="BG28" i="30"/>
  <c r="Z20" i="31"/>
  <c r="E135" i="37"/>
  <c r="BG24" i="30"/>
  <c r="Z16" i="31"/>
  <c r="E131" i="37"/>
  <c r="BG20" i="30"/>
  <c r="Z12" i="31"/>
  <c r="E127" i="37"/>
  <c r="BG16" i="30"/>
  <c r="Z8" i="31"/>
  <c r="E123" i="37"/>
  <c r="F148" i="37"/>
  <c r="F144" i="37"/>
  <c r="BH33" i="30"/>
  <c r="AA25" i="31"/>
  <c r="F140" i="37"/>
  <c r="BH29" i="30"/>
  <c r="AA21" i="31"/>
  <c r="F136" i="37"/>
  <c r="BH25" i="30"/>
  <c r="AA17" i="31"/>
  <c r="F132" i="37"/>
  <c r="BH17" i="30"/>
  <c r="AA9" i="31"/>
  <c r="F124" i="37"/>
  <c r="BH44" i="30"/>
  <c r="AA36" i="31"/>
  <c r="F151" i="37"/>
  <c r="F139" i="37"/>
  <c r="BH28" i="30"/>
  <c r="AA20" i="31"/>
  <c r="F135" i="37"/>
  <c r="BH24" i="30"/>
  <c r="AA16" i="31"/>
  <c r="F131" i="37"/>
  <c r="BH20" i="30"/>
  <c r="AA12" i="31"/>
  <c r="F127" i="37"/>
  <c r="BH16" i="30"/>
  <c r="AA8" i="31"/>
  <c r="F123" i="37"/>
  <c r="G144" i="37"/>
  <c r="BI29" i="30"/>
  <c r="AB21" i="31"/>
  <c r="G136" i="37"/>
  <c r="BI25" i="30"/>
  <c r="AB17" i="31"/>
  <c r="G132" i="37"/>
  <c r="BI43" i="30"/>
  <c r="AB35" i="31"/>
  <c r="G150" i="37"/>
  <c r="BI39" i="30"/>
  <c r="AB31" i="31"/>
  <c r="G146" i="37"/>
  <c r="BI35" i="30"/>
  <c r="AB27" i="31"/>
  <c r="G142" i="37"/>
  <c r="BI27" i="30"/>
  <c r="AB19" i="31"/>
  <c r="G134" i="37"/>
  <c r="BI23" i="30"/>
  <c r="AB15" i="31"/>
  <c r="G130" i="37"/>
  <c r="BI19" i="30"/>
  <c r="AB11" i="31"/>
  <c r="G126" i="37"/>
  <c r="BI15" i="30"/>
  <c r="AB7" i="31"/>
  <c r="G122" i="37"/>
  <c r="BI42" i="30"/>
  <c r="AB34" i="31"/>
  <c r="G149" i="37"/>
  <c r="BI38" i="30"/>
  <c r="AB30" i="31"/>
  <c r="G145" i="37"/>
  <c r="BI34" i="30"/>
  <c r="AB26" i="31"/>
  <c r="G141" i="37"/>
  <c r="BI30" i="30"/>
  <c r="AB22" i="31"/>
  <c r="G137" i="37"/>
  <c r="BI26" i="30"/>
  <c r="AB18" i="31"/>
  <c r="G133" i="37"/>
  <c r="BI22" i="30"/>
  <c r="AB14" i="31"/>
  <c r="G129" i="37"/>
  <c r="G128" i="37"/>
  <c r="BI18" i="30"/>
  <c r="AB10" i="31"/>
  <c r="G125" i="37"/>
  <c r="BI14" i="30"/>
  <c r="AB6" i="31"/>
  <c r="G121" i="37"/>
  <c r="BG43" i="30"/>
  <c r="Z35" i="31"/>
  <c r="E150" i="37"/>
  <c r="BG39" i="30"/>
  <c r="Z31" i="31"/>
  <c r="E146" i="37"/>
  <c r="BG35" i="30"/>
  <c r="Z27" i="31"/>
  <c r="E142" i="37"/>
  <c r="BG27" i="30"/>
  <c r="Z19" i="31"/>
  <c r="E134" i="37"/>
  <c r="BG23" i="30"/>
  <c r="Z15" i="31"/>
  <c r="E130" i="37"/>
  <c r="BG19" i="30"/>
  <c r="Z11" i="31"/>
  <c r="E126" i="37"/>
  <c r="BG15" i="30"/>
  <c r="Z7" i="31"/>
  <c r="E122" i="37"/>
  <c r="BG42" i="30"/>
  <c r="Z34" i="31"/>
  <c r="E149" i="37"/>
  <c r="BG38" i="30"/>
  <c r="Z30" i="31"/>
  <c r="E145" i="37"/>
  <c r="BG34" i="30"/>
  <c r="Z26" i="31"/>
  <c r="E141" i="37"/>
  <c r="BG30" i="30"/>
  <c r="Z22" i="31"/>
  <c r="E137" i="37"/>
  <c r="BG26" i="30"/>
  <c r="Z18" i="31"/>
  <c r="E133" i="37"/>
  <c r="AK21" i="30"/>
  <c r="BG21" i="30"/>
  <c r="Z13" i="31"/>
  <c r="E129" i="37"/>
  <c r="BG18" i="30"/>
  <c r="Z10" i="31"/>
  <c r="E125" i="37"/>
  <c r="AK13" i="30"/>
  <c r="E121" i="37"/>
  <c r="E120" i="37"/>
  <c r="BH43" i="30"/>
  <c r="AA35" i="31"/>
  <c r="F150" i="37"/>
  <c r="BH39" i="30"/>
  <c r="AA31" i="31"/>
  <c r="F146" i="37"/>
  <c r="BH35" i="30"/>
  <c r="AA27" i="31"/>
  <c r="F142" i="37"/>
  <c r="BH27" i="30"/>
  <c r="AA19" i="31"/>
  <c r="F134" i="37"/>
  <c r="BH23" i="30"/>
  <c r="AA15" i="31"/>
  <c r="F130" i="37"/>
  <c r="BH19" i="30"/>
  <c r="AA11" i="31"/>
  <c r="F126" i="37"/>
  <c r="BH15" i="30"/>
  <c r="AA7" i="31"/>
  <c r="F122" i="37"/>
  <c r="BH42" i="30"/>
  <c r="AA34" i="31"/>
  <c r="F149" i="37"/>
  <c r="BH38" i="30"/>
  <c r="AA30" i="31"/>
  <c r="F145" i="37"/>
  <c r="BH34" i="30"/>
  <c r="AA26" i="31"/>
  <c r="F141" i="37"/>
  <c r="BH30" i="30"/>
  <c r="AA22" i="31"/>
  <c r="F137" i="37"/>
  <c r="BH26" i="30"/>
  <c r="AA18" i="31"/>
  <c r="F133" i="37"/>
  <c r="BH22" i="30"/>
  <c r="AA14" i="31"/>
  <c r="F129" i="37"/>
  <c r="BH18" i="30"/>
  <c r="AA10" i="31"/>
  <c r="F125" i="37"/>
  <c r="BH14" i="30"/>
  <c r="AA6" i="31"/>
  <c r="F121" i="37"/>
  <c r="F120" i="37"/>
  <c r="V113" i="37"/>
  <c r="AD113" i="37"/>
  <c r="V97" i="37"/>
  <c r="AD97" i="37"/>
  <c r="V93" i="37"/>
  <c r="AD93" i="37"/>
  <c r="V89" i="37"/>
  <c r="AD89" i="37"/>
  <c r="V85" i="37"/>
  <c r="AD85" i="37"/>
  <c r="V112" i="37"/>
  <c r="AD112" i="37"/>
  <c r="V108" i="37"/>
  <c r="AD108" i="37"/>
  <c r="V104" i="37"/>
  <c r="AD104" i="37"/>
  <c r="V96" i="37"/>
  <c r="AD96" i="37"/>
  <c r="V92" i="37"/>
  <c r="AD92" i="37"/>
  <c r="V88" i="37"/>
  <c r="AD88" i="37"/>
  <c r="V84" i="37"/>
  <c r="AD84" i="37"/>
  <c r="J145" i="37"/>
  <c r="J144" i="37"/>
  <c r="V26" i="37"/>
  <c r="AD26" i="37"/>
  <c r="V22" i="37"/>
  <c r="AD22" i="37"/>
  <c r="V18" i="37"/>
  <c r="AD18" i="37"/>
  <c r="V10" i="37"/>
  <c r="AD10" i="37"/>
  <c r="V37" i="37"/>
  <c r="AD37" i="37"/>
  <c r="V21" i="37"/>
  <c r="AD21" i="37"/>
  <c r="V17" i="37"/>
  <c r="AD17" i="37"/>
  <c r="V13" i="37"/>
  <c r="AD13" i="37"/>
  <c r="K149" i="37"/>
  <c r="K145" i="37"/>
  <c r="K141" i="37"/>
  <c r="K137" i="37"/>
  <c r="K133" i="37"/>
  <c r="K129" i="37"/>
  <c r="K125" i="37"/>
  <c r="K121" i="37"/>
  <c r="K150" i="37"/>
  <c r="K146" i="37"/>
  <c r="K142" i="37"/>
  <c r="K134" i="37"/>
  <c r="K130" i="37"/>
  <c r="K126" i="37"/>
  <c r="K122" i="37"/>
  <c r="Z17" i="23"/>
  <c r="AQ17" i="23"/>
  <c r="T17" i="23"/>
  <c r="AK17" i="23"/>
  <c r="Y17" i="23"/>
  <c r="AP17" i="23"/>
  <c r="AM17" i="23"/>
  <c r="V17" i="23"/>
  <c r="V111" i="37"/>
  <c r="AD111" i="37"/>
  <c r="V107" i="37"/>
  <c r="AD107" i="37"/>
  <c r="V103" i="37"/>
  <c r="AD103" i="37"/>
  <c r="V99" i="37"/>
  <c r="AD99" i="37"/>
  <c r="V95" i="37"/>
  <c r="AD95" i="37"/>
  <c r="V87" i="37"/>
  <c r="AD87" i="37"/>
  <c r="V102" i="37"/>
  <c r="AD102" i="37"/>
  <c r="V98" i="37"/>
  <c r="AD98" i="37"/>
  <c r="V94" i="37"/>
  <c r="AD94" i="37"/>
  <c r="V86" i="37"/>
  <c r="AD86" i="37"/>
  <c r="J151" i="37"/>
  <c r="J139" i="37"/>
  <c r="J135" i="37"/>
  <c r="J127" i="37"/>
  <c r="J123" i="37"/>
  <c r="J150" i="37"/>
  <c r="J142" i="37"/>
  <c r="J134" i="37"/>
  <c r="J126" i="37"/>
  <c r="J122" i="37"/>
  <c r="AC17" i="23"/>
  <c r="AT17" i="23"/>
  <c r="AN17" i="23"/>
  <c r="W17" i="23"/>
  <c r="S17" i="23"/>
  <c r="AJ17" i="23"/>
  <c r="AB17" i="23"/>
  <c r="AS17" i="23"/>
  <c r="V36" i="37"/>
  <c r="AD36" i="37"/>
  <c r="V32" i="37"/>
  <c r="AD32" i="37"/>
  <c r="V28" i="37"/>
  <c r="AD28" i="37"/>
  <c r="V20" i="37"/>
  <c r="AD20" i="37"/>
  <c r="V16" i="37"/>
  <c r="AD16" i="37"/>
  <c r="V12" i="37"/>
  <c r="AD12" i="37"/>
  <c r="V8" i="37"/>
  <c r="AD8" i="37"/>
  <c r="V35" i="37"/>
  <c r="AD35" i="37"/>
  <c r="V31" i="37"/>
  <c r="AD31" i="37"/>
  <c r="V27" i="37"/>
  <c r="AD27" i="37"/>
  <c r="V23" i="37"/>
  <c r="AD23" i="37"/>
  <c r="V19" i="37"/>
  <c r="AD19" i="37"/>
  <c r="V11" i="37"/>
  <c r="AD11" i="37"/>
  <c r="V9" i="37"/>
  <c r="AD9" i="37"/>
  <c r="K151" i="37"/>
  <c r="K139" i="37"/>
  <c r="K135" i="37"/>
  <c r="K131" i="37"/>
  <c r="K127" i="37"/>
  <c r="K123" i="37"/>
  <c r="K148" i="37"/>
  <c r="K144" i="37"/>
  <c r="K140" i="37"/>
  <c r="K136" i="37"/>
  <c r="K132" i="37"/>
  <c r="K124" i="37"/>
  <c r="BH41" i="30"/>
  <c r="AA33" i="31"/>
  <c r="BH37" i="30"/>
  <c r="AA29" i="31"/>
  <c r="BI41" i="30"/>
  <c r="AB33" i="31"/>
  <c r="BI37" i="30"/>
  <c r="AB29" i="31"/>
  <c r="BI32" i="30"/>
  <c r="AB24" i="31"/>
  <c r="BG41" i="30"/>
  <c r="Z33" i="31"/>
  <c r="BG37" i="30"/>
  <c r="Z29" i="31"/>
  <c r="BG32" i="30"/>
  <c r="Z24" i="31"/>
  <c r="BH32" i="30"/>
  <c r="AA24" i="31"/>
  <c r="W100" i="37"/>
  <c r="E46" i="16"/>
  <c r="V67" i="37"/>
  <c r="W52" i="37"/>
  <c r="AG18" i="22"/>
  <c r="AX18" i="22"/>
  <c r="AQ4" i="25"/>
  <c r="AX19" i="22"/>
  <c r="AQ5" i="25"/>
  <c r="AF18" i="23"/>
  <c r="AW18" i="23"/>
  <c r="AM4" i="25"/>
  <c r="AW19" i="23"/>
  <c r="AM5" i="25"/>
  <c r="H18" i="23"/>
  <c r="F5" i="32"/>
  <c r="F5" i="26"/>
  <c r="J5" i="26"/>
  <c r="J5" i="32"/>
  <c r="D4" i="32"/>
  <c r="D4" i="26"/>
  <c r="J4" i="26"/>
  <c r="J4" i="32"/>
  <c r="J6" i="32"/>
  <c r="F4" i="32"/>
  <c r="F6" i="32"/>
  <c r="F4" i="26"/>
  <c r="F128" i="37"/>
  <c r="E128" i="37"/>
  <c r="U128" i="37"/>
  <c r="J148" i="37"/>
  <c r="K46" i="23"/>
  <c r="K37" i="23"/>
  <c r="L18" i="23"/>
  <c r="B18" i="23"/>
  <c r="K42" i="23"/>
  <c r="J121" i="37"/>
  <c r="V121" i="37"/>
  <c r="AD121" i="37"/>
  <c r="K19" i="23"/>
  <c r="K27" i="23"/>
  <c r="J18" i="22"/>
  <c r="K143" i="37"/>
  <c r="K147" i="37"/>
  <c r="V130" i="37"/>
  <c r="AD130" i="37"/>
  <c r="V146" i="37"/>
  <c r="AD146" i="37"/>
  <c r="V122" i="37"/>
  <c r="AD122" i="37"/>
  <c r="V126" i="37"/>
  <c r="AD126" i="37"/>
  <c r="V134" i="37"/>
  <c r="AD134" i="37"/>
  <c r="V142" i="37"/>
  <c r="AD142" i="37"/>
  <c r="V150" i="37"/>
  <c r="AD150" i="37"/>
  <c r="G120" i="37"/>
  <c r="U82" i="37"/>
  <c r="U90" i="37"/>
  <c r="U52" i="37"/>
  <c r="V62" i="37"/>
  <c r="V71" i="37"/>
  <c r="U120" i="37"/>
  <c r="V106" i="37"/>
  <c r="AD106" i="37"/>
  <c r="V105" i="37"/>
  <c r="V110" i="37"/>
  <c r="AD110" i="37"/>
  <c r="V109" i="37"/>
  <c r="V83" i="37"/>
  <c r="AD83" i="37"/>
  <c r="V91" i="37"/>
  <c r="AD91" i="37"/>
  <c r="V90" i="37"/>
  <c r="V101" i="37"/>
  <c r="AD101" i="37"/>
  <c r="V100" i="37"/>
  <c r="O119" i="37"/>
  <c r="W119" i="37"/>
  <c r="W120" i="37"/>
  <c r="J138" i="37"/>
  <c r="J120" i="37"/>
  <c r="G143" i="37"/>
  <c r="F138" i="37"/>
  <c r="F147" i="37"/>
  <c r="E143" i="37"/>
  <c r="G138" i="37"/>
  <c r="J147" i="37"/>
  <c r="E12" i="30"/>
  <c r="W71" i="37"/>
  <c r="V15" i="37"/>
  <c r="AD15" i="37"/>
  <c r="V14" i="37"/>
  <c r="V7" i="37"/>
  <c r="AD7" i="37"/>
  <c r="V25" i="37"/>
  <c r="AD25" i="37"/>
  <c r="V24" i="37"/>
  <c r="V30" i="37"/>
  <c r="AD30" i="37"/>
  <c r="V29" i="37"/>
  <c r="V34" i="37"/>
  <c r="AD34" i="37"/>
  <c r="V33" i="37"/>
  <c r="W81" i="37"/>
  <c r="W82" i="37"/>
  <c r="K138" i="37"/>
  <c r="K120" i="37"/>
  <c r="K128" i="37"/>
  <c r="J143" i="37"/>
  <c r="V143" i="37"/>
  <c r="J128" i="37"/>
  <c r="V128" i="37"/>
  <c r="U67" i="37"/>
  <c r="F143" i="37"/>
  <c r="E138" i="37"/>
  <c r="E147" i="37"/>
  <c r="G147" i="37"/>
  <c r="V52" i="37"/>
  <c r="D12" i="30"/>
  <c r="C12" i="30"/>
  <c r="BG22" i="30"/>
  <c r="Z14" i="31"/>
  <c r="AM21" i="30"/>
  <c r="BI21" i="30"/>
  <c r="AB13" i="31"/>
  <c r="V123" i="37"/>
  <c r="AD123" i="37"/>
  <c r="V127" i="37"/>
  <c r="AD127" i="37"/>
  <c r="V131" i="37"/>
  <c r="AD131" i="37"/>
  <c r="V135" i="37"/>
  <c r="AD135" i="37"/>
  <c r="V139" i="37"/>
  <c r="AD139" i="37"/>
  <c r="V151" i="37"/>
  <c r="AD151" i="37"/>
  <c r="V124" i="37"/>
  <c r="AD124" i="37"/>
  <c r="V132" i="37"/>
  <c r="AD132" i="37"/>
  <c r="V136" i="37"/>
  <c r="AD136" i="37"/>
  <c r="V140" i="37"/>
  <c r="AD140" i="37"/>
  <c r="V144" i="37"/>
  <c r="AD144" i="37"/>
  <c r="V148" i="37"/>
  <c r="AD148" i="37"/>
  <c r="V125" i="37"/>
  <c r="AD125" i="37"/>
  <c r="V129" i="37"/>
  <c r="AD129" i="37"/>
  <c r="V133" i="37"/>
  <c r="AD133" i="37"/>
  <c r="V137" i="37"/>
  <c r="AD137" i="37"/>
  <c r="V141" i="37"/>
  <c r="AD141" i="37"/>
  <c r="V145" i="37"/>
  <c r="AD145" i="37"/>
  <c r="V149" i="37"/>
  <c r="AD149" i="37"/>
  <c r="AM13" i="30"/>
  <c r="AK31" i="30"/>
  <c r="BG31" i="30"/>
  <c r="Z23" i="31"/>
  <c r="AK40" i="30"/>
  <c r="BG40" i="30"/>
  <c r="Z32" i="31"/>
  <c r="AM31" i="30"/>
  <c r="BI31" i="30"/>
  <c r="AB23" i="31"/>
  <c r="AM36" i="30"/>
  <c r="BI36" i="30"/>
  <c r="AB28" i="31"/>
  <c r="AM40" i="30"/>
  <c r="BI40" i="30"/>
  <c r="AB32" i="31"/>
  <c r="AL13" i="30"/>
  <c r="BH13" i="30"/>
  <c r="AA5" i="31"/>
  <c r="BG14" i="30"/>
  <c r="Z6" i="31"/>
  <c r="U121" i="37"/>
  <c r="AC121" i="37"/>
  <c r="U125" i="37"/>
  <c r="AC125" i="37"/>
  <c r="U129" i="37"/>
  <c r="AC129" i="37"/>
  <c r="U133" i="37"/>
  <c r="AC133" i="37"/>
  <c r="U137" i="37"/>
  <c r="AC137" i="37"/>
  <c r="U141" i="37"/>
  <c r="AC141" i="37"/>
  <c r="U145" i="37"/>
  <c r="AC145" i="37"/>
  <c r="U149" i="37"/>
  <c r="AC149" i="37"/>
  <c r="U83" i="37"/>
  <c r="AC83" i="37"/>
  <c r="U87" i="37"/>
  <c r="AC87" i="37"/>
  <c r="U91" i="37"/>
  <c r="AC91" i="37"/>
  <c r="U95" i="37"/>
  <c r="AC95" i="37"/>
  <c r="U99" i="37"/>
  <c r="AC99" i="37"/>
  <c r="U103" i="37"/>
  <c r="AC103" i="37"/>
  <c r="U107" i="37"/>
  <c r="AC107" i="37"/>
  <c r="U111" i="37"/>
  <c r="AC111" i="37"/>
  <c r="U45" i="37"/>
  <c r="AC45" i="37"/>
  <c r="U49" i="37"/>
  <c r="AC49" i="37"/>
  <c r="U53" i="37"/>
  <c r="AC53" i="37"/>
  <c r="U57" i="37"/>
  <c r="AC57" i="37"/>
  <c r="U61" i="37"/>
  <c r="AC61" i="37"/>
  <c r="U65" i="37"/>
  <c r="AC65" i="37"/>
  <c r="U69" i="37"/>
  <c r="AC69" i="37"/>
  <c r="U73" i="37"/>
  <c r="AC73" i="37"/>
  <c r="U7" i="37"/>
  <c r="AC7" i="37"/>
  <c r="U11" i="37"/>
  <c r="AC11" i="37"/>
  <c r="U15" i="37"/>
  <c r="AC15" i="37"/>
  <c r="U19" i="37"/>
  <c r="AC19" i="37"/>
  <c r="U23" i="37"/>
  <c r="AC23" i="37"/>
  <c r="U27" i="37"/>
  <c r="AC27" i="37"/>
  <c r="U31" i="37"/>
  <c r="AC31" i="37"/>
  <c r="U35" i="37"/>
  <c r="AC35" i="37"/>
  <c r="U122" i="37"/>
  <c r="AC122" i="37"/>
  <c r="U126" i="37"/>
  <c r="AC126" i="37"/>
  <c r="U130" i="37"/>
  <c r="AC130" i="37"/>
  <c r="U134" i="37"/>
  <c r="AC134" i="37"/>
  <c r="U142" i="37"/>
  <c r="AC142" i="37"/>
  <c r="U146" i="37"/>
  <c r="AC146" i="37"/>
  <c r="U150" i="37"/>
  <c r="AC150" i="37"/>
  <c r="U84" i="37"/>
  <c r="AC84" i="37"/>
  <c r="U88" i="37"/>
  <c r="AC88" i="37"/>
  <c r="U92" i="37"/>
  <c r="AC92" i="37"/>
  <c r="U96" i="37"/>
  <c r="AC96" i="37"/>
  <c r="U104" i="37"/>
  <c r="AC104" i="37"/>
  <c r="U108" i="37"/>
  <c r="AC108" i="37"/>
  <c r="U112" i="37"/>
  <c r="AC112" i="37"/>
  <c r="U48" i="37"/>
  <c r="AC48" i="37"/>
  <c r="U56" i="37"/>
  <c r="AC56" i="37"/>
  <c r="U60" i="37"/>
  <c r="AC60" i="37"/>
  <c r="U64" i="37"/>
  <c r="AC64" i="37"/>
  <c r="U68" i="37"/>
  <c r="AC68" i="37"/>
  <c r="U72" i="37"/>
  <c r="AC72" i="37"/>
  <c r="U12" i="37"/>
  <c r="AC12" i="37"/>
  <c r="U16" i="37"/>
  <c r="AC16" i="37"/>
  <c r="U20" i="37"/>
  <c r="AC20" i="37"/>
  <c r="U28" i="37"/>
  <c r="AC28" i="37"/>
  <c r="U32" i="37"/>
  <c r="AC32" i="37"/>
  <c r="U36" i="37"/>
  <c r="AC36" i="37"/>
  <c r="U123" i="37"/>
  <c r="AC123" i="37"/>
  <c r="U127" i="37"/>
  <c r="AC127" i="37"/>
  <c r="U131" i="37"/>
  <c r="AC131" i="37"/>
  <c r="U135" i="37"/>
  <c r="AC135" i="37"/>
  <c r="U139" i="37"/>
  <c r="AC139" i="37"/>
  <c r="U151" i="37"/>
  <c r="AC151" i="37"/>
  <c r="U85" i="37"/>
  <c r="AC85" i="37"/>
  <c r="U89" i="37"/>
  <c r="AC89" i="37"/>
  <c r="U93" i="37"/>
  <c r="AC93" i="37"/>
  <c r="U97" i="37"/>
  <c r="AC97" i="37"/>
  <c r="U101" i="37"/>
  <c r="AC101" i="37"/>
  <c r="U113" i="37"/>
  <c r="AC113" i="37"/>
  <c r="U47" i="37"/>
  <c r="AC47" i="37"/>
  <c r="U51" i="37"/>
  <c r="AC51" i="37"/>
  <c r="U55" i="37"/>
  <c r="AC55" i="37"/>
  <c r="U59" i="37"/>
  <c r="AC59" i="37"/>
  <c r="U63" i="37"/>
  <c r="AC63" i="37"/>
  <c r="U75" i="37"/>
  <c r="AC75" i="37"/>
  <c r="U9" i="37"/>
  <c r="AC9" i="37"/>
  <c r="U13" i="37"/>
  <c r="AC13" i="37"/>
  <c r="U17" i="37"/>
  <c r="AC17" i="37"/>
  <c r="U21" i="37"/>
  <c r="AC21" i="37"/>
  <c r="U25" i="37"/>
  <c r="AC25" i="37"/>
  <c r="U37" i="37"/>
  <c r="AC37" i="37"/>
  <c r="U124" i="37"/>
  <c r="AC124" i="37"/>
  <c r="U132" i="37"/>
  <c r="AC132" i="37"/>
  <c r="U136" i="37"/>
  <c r="AC136" i="37"/>
  <c r="U140" i="37"/>
  <c r="AC140" i="37"/>
  <c r="U144" i="37"/>
  <c r="AC144" i="37"/>
  <c r="U148" i="37"/>
  <c r="AC148" i="37"/>
  <c r="U86" i="37"/>
  <c r="AC86" i="37"/>
  <c r="U94" i="37"/>
  <c r="AC94" i="37"/>
  <c r="U98" i="37"/>
  <c r="AC98" i="37"/>
  <c r="U102" i="37"/>
  <c r="AC102" i="37"/>
  <c r="U106" i="37"/>
  <c r="AC106" i="37"/>
  <c r="U110" i="37"/>
  <c r="AC110" i="37"/>
  <c r="U46" i="37"/>
  <c r="AC46" i="37"/>
  <c r="U50" i="37"/>
  <c r="AC50" i="37"/>
  <c r="U54" i="37"/>
  <c r="AC54" i="37"/>
  <c r="U58" i="37"/>
  <c r="AC58" i="37"/>
  <c r="U66" i="37"/>
  <c r="AC66" i="37"/>
  <c r="U70" i="37"/>
  <c r="AC70" i="37"/>
  <c r="U74" i="37"/>
  <c r="AC74" i="37"/>
  <c r="U10" i="37"/>
  <c r="AC10" i="37"/>
  <c r="U18" i="37"/>
  <c r="AC18" i="37"/>
  <c r="U22" i="37"/>
  <c r="AC22" i="37"/>
  <c r="U26" i="37"/>
  <c r="AC26" i="37"/>
  <c r="U30" i="37"/>
  <c r="AC30" i="37"/>
  <c r="U34" i="37"/>
  <c r="AC34" i="37"/>
  <c r="AL31" i="30"/>
  <c r="BH31" i="30"/>
  <c r="AA23" i="31"/>
  <c r="AK36" i="30"/>
  <c r="BG36" i="30"/>
  <c r="Z28" i="31"/>
  <c r="AL21" i="30"/>
  <c r="BH21" i="30"/>
  <c r="AA13" i="31"/>
  <c r="AL36" i="30"/>
  <c r="BH36" i="30"/>
  <c r="AA28" i="31"/>
  <c r="AL40" i="30"/>
  <c r="BH40" i="30"/>
  <c r="AA32" i="31"/>
  <c r="BG13" i="30"/>
  <c r="Z5" i="31"/>
  <c r="BI13" i="30"/>
  <c r="AB5" i="31"/>
  <c r="E51" i="16"/>
  <c r="K51" i="16"/>
  <c r="G57" i="16"/>
  <c r="G50" i="16"/>
  <c r="E58" i="16"/>
  <c r="K58" i="16"/>
  <c r="K42" i="16"/>
  <c r="K52" i="16"/>
  <c r="K48" i="16"/>
  <c r="K45" i="16"/>
  <c r="K43" i="16"/>
  <c r="G48" i="16"/>
  <c r="G45" i="16"/>
  <c r="G43" i="16"/>
  <c r="G51" i="16"/>
  <c r="K50" i="16"/>
  <c r="K56" i="16"/>
  <c r="K62" i="16"/>
  <c r="K61" i="16"/>
  <c r="K59" i="16"/>
  <c r="K57" i="16"/>
  <c r="G60" i="16"/>
  <c r="G58" i="16"/>
  <c r="E56" i="16"/>
  <c r="E61" i="16"/>
  <c r="E59" i="16"/>
  <c r="E57" i="16"/>
  <c r="G42" i="16"/>
  <c r="K49" i="16"/>
  <c r="K44" i="16"/>
  <c r="G49" i="16"/>
  <c r="G47" i="16"/>
  <c r="G44" i="16"/>
  <c r="K60" i="16"/>
  <c r="G56" i="16"/>
  <c r="G59" i="16"/>
  <c r="G61" i="16"/>
  <c r="G62" i="16"/>
  <c r="E60" i="16"/>
  <c r="E49" i="16"/>
  <c r="E47" i="16"/>
  <c r="E44" i="16"/>
  <c r="E50" i="16"/>
  <c r="E42" i="16"/>
  <c r="E48" i="16"/>
  <c r="E45" i="16"/>
  <c r="E43" i="16"/>
  <c r="G52" i="16"/>
  <c r="D5" i="26"/>
  <c r="D5" i="32"/>
  <c r="D6" i="32"/>
  <c r="E52" i="16"/>
  <c r="U109" i="37"/>
  <c r="E62" i="16"/>
  <c r="V147" i="37"/>
  <c r="U14" i="37"/>
  <c r="U24" i="37"/>
  <c r="U33" i="37"/>
  <c r="U138" i="37"/>
  <c r="AL12" i="30"/>
  <c r="BH12" i="30"/>
  <c r="AA4" i="31"/>
  <c r="K18" i="23"/>
  <c r="U62" i="37"/>
  <c r="F119" i="37"/>
  <c r="G119" i="37"/>
  <c r="E119" i="37"/>
  <c r="U119" i="37"/>
  <c r="U105" i="37"/>
  <c r="U100" i="37"/>
  <c r="U71" i="37"/>
  <c r="V138" i="37"/>
  <c r="J119" i="37"/>
  <c r="V120" i="37"/>
  <c r="V81" i="37"/>
  <c r="V82" i="37"/>
  <c r="U147" i="37"/>
  <c r="K119" i="37"/>
  <c r="U29" i="37"/>
  <c r="U143" i="37"/>
  <c r="AM12" i="30"/>
  <c r="BI12" i="30"/>
  <c r="AB4" i="31"/>
  <c r="AK12" i="30"/>
  <c r="BG12" i="30"/>
  <c r="Z4" i="31"/>
  <c r="G27" i="16"/>
  <c r="K29" i="16"/>
  <c r="U81" i="37"/>
  <c r="V119" i="37"/>
  <c r="K35" i="16"/>
  <c r="K27" i="16"/>
  <c r="K26" i="16"/>
  <c r="K31" i="16"/>
  <c r="K37" i="16"/>
  <c r="K33" i="16"/>
  <c r="E28" i="16"/>
  <c r="K28" i="16"/>
  <c r="G28" i="16"/>
  <c r="G35" i="16"/>
  <c r="G26" i="16"/>
  <c r="G31" i="16"/>
  <c r="G37" i="16"/>
  <c r="G33" i="16"/>
  <c r="G29" i="16"/>
  <c r="G38" i="16"/>
  <c r="G36" i="16"/>
  <c r="G34" i="16"/>
  <c r="G32" i="16"/>
  <c r="G30" i="16"/>
  <c r="E37" i="16"/>
  <c r="E35" i="16"/>
  <c r="E33" i="16"/>
  <c r="E31" i="16"/>
  <c r="E29" i="16"/>
  <c r="E27" i="16"/>
  <c r="E26" i="16"/>
  <c r="E38" i="16"/>
  <c r="E36" i="16"/>
  <c r="E34" i="16"/>
  <c r="E32" i="16"/>
  <c r="E30" i="16"/>
  <c r="K38" i="16"/>
  <c r="K36" i="16"/>
  <c r="K34" i="16"/>
  <c r="K32" i="16"/>
  <c r="K30" i="16"/>
  <c r="J3" i="26"/>
  <c r="F3" i="26"/>
  <c r="F142" i="16"/>
  <c r="D3" i="26"/>
  <c r="D142" i="16"/>
  <c r="E138" i="16"/>
  <c r="AG57" i="26"/>
  <c r="AC57" i="26"/>
  <c r="AA57" i="26"/>
  <c r="C46" i="16"/>
  <c r="E3" i="26"/>
  <c r="G141" i="16"/>
  <c r="G3" i="24"/>
  <c r="G140" i="16"/>
  <c r="G3" i="32"/>
  <c r="G139" i="16"/>
  <c r="E141" i="16"/>
  <c r="E3" i="24"/>
  <c r="E140" i="16"/>
  <c r="E3" i="32"/>
  <c r="E139" i="16"/>
  <c r="G138" i="16"/>
  <c r="B4" i="26"/>
  <c r="B4" i="32"/>
  <c r="J2" i="26"/>
  <c r="F2" i="26"/>
  <c r="D2" i="26"/>
  <c r="J125" i="16"/>
  <c r="D125" i="16"/>
  <c r="F125" i="16"/>
  <c r="E21" i="16"/>
  <c r="G20" i="16"/>
  <c r="K20" i="16"/>
  <c r="C5" i="16"/>
  <c r="C22" i="16"/>
  <c r="C20" i="16"/>
  <c r="C18" i="16"/>
  <c r="C16" i="16"/>
  <c r="C14" i="16"/>
  <c r="C12" i="16"/>
  <c r="C10" i="16"/>
  <c r="C8" i="16"/>
  <c r="C6" i="16"/>
  <c r="E4" i="16"/>
  <c r="E6" i="16"/>
  <c r="E8" i="16"/>
  <c r="E10" i="16"/>
  <c r="E12" i="16"/>
  <c r="E14" i="16"/>
  <c r="E16" i="16"/>
  <c r="E18" i="16"/>
  <c r="E20" i="16"/>
  <c r="E22" i="16"/>
  <c r="G5" i="16"/>
  <c r="G7" i="16"/>
  <c r="G9" i="16"/>
  <c r="G11" i="16"/>
  <c r="G13" i="16"/>
  <c r="G15" i="16"/>
  <c r="G17" i="16"/>
  <c r="G19" i="16"/>
  <c r="G21" i="16"/>
  <c r="K5" i="16"/>
  <c r="K7" i="16"/>
  <c r="K9" i="16"/>
  <c r="K11" i="16"/>
  <c r="K13" i="16"/>
  <c r="K15" i="16"/>
  <c r="K17" i="16"/>
  <c r="K19" i="16"/>
  <c r="K21" i="16"/>
  <c r="C4" i="16"/>
  <c r="C21" i="16"/>
  <c r="C19" i="16"/>
  <c r="C17" i="16"/>
  <c r="C15" i="16"/>
  <c r="C13" i="16"/>
  <c r="C11" i="16"/>
  <c r="C9" i="16"/>
  <c r="C7" i="16"/>
  <c r="E5" i="16"/>
  <c r="E7" i="16"/>
  <c r="E9" i="16"/>
  <c r="E11" i="16"/>
  <c r="E13" i="16"/>
  <c r="E15" i="16"/>
  <c r="E17" i="16"/>
  <c r="E19" i="16"/>
  <c r="G4" i="16"/>
  <c r="G6" i="16"/>
  <c r="G8" i="16"/>
  <c r="G10" i="16"/>
  <c r="G12" i="16"/>
  <c r="G14" i="16"/>
  <c r="G16" i="16"/>
  <c r="G18" i="16"/>
  <c r="K4" i="16"/>
  <c r="K6" i="16"/>
  <c r="K8" i="16"/>
  <c r="K10" i="16"/>
  <c r="K12" i="16"/>
  <c r="K14" i="16"/>
  <c r="K16" i="16"/>
  <c r="K18" i="16"/>
  <c r="C43" i="16"/>
  <c r="C45" i="16"/>
  <c r="C48" i="16"/>
  <c r="C50" i="16"/>
  <c r="C44" i="16"/>
  <c r="C47" i="16"/>
  <c r="C49" i="16"/>
  <c r="C51" i="16"/>
  <c r="C42" i="16"/>
  <c r="C61" i="16"/>
  <c r="C56" i="16"/>
  <c r="C34" i="16"/>
  <c r="C26" i="16"/>
  <c r="C27" i="16"/>
  <c r="C29" i="16"/>
  <c r="C28" i="16"/>
  <c r="C30" i="16"/>
  <c r="C32" i="16"/>
  <c r="C31" i="16"/>
  <c r="C33" i="16"/>
  <c r="C58" i="16"/>
  <c r="C60" i="16"/>
  <c r="C57" i="16"/>
  <c r="C59" i="16"/>
  <c r="C36" i="16"/>
  <c r="C35" i="16"/>
  <c r="C37" i="16"/>
  <c r="L38" i="16"/>
  <c r="K120" i="16"/>
  <c r="K124" i="16"/>
  <c r="K119" i="16"/>
  <c r="K123" i="16"/>
  <c r="K118" i="16"/>
  <c r="K122" i="16"/>
  <c r="K117" i="16"/>
  <c r="K121" i="16"/>
  <c r="G120" i="16"/>
  <c r="G124" i="16"/>
  <c r="G119" i="16"/>
  <c r="G123" i="16"/>
  <c r="G118" i="16"/>
  <c r="G122" i="16"/>
  <c r="G117" i="16"/>
  <c r="G121" i="16"/>
  <c r="E120" i="16"/>
  <c r="E124" i="16"/>
  <c r="E119" i="16"/>
  <c r="E123" i="16"/>
  <c r="E118" i="16"/>
  <c r="E122" i="16"/>
  <c r="E117" i="16"/>
  <c r="E121" i="16"/>
  <c r="C62" i="16"/>
  <c r="C52" i="16"/>
  <c r="G5" i="26"/>
  <c r="G5" i="32"/>
  <c r="G3" i="26"/>
  <c r="G142" i="16"/>
  <c r="E5" i="26"/>
  <c r="E5" i="32"/>
  <c r="K142" i="16"/>
  <c r="E142" i="16"/>
  <c r="B5" i="32"/>
  <c r="B5" i="26"/>
  <c r="B6" i="32"/>
  <c r="B3" i="26"/>
  <c r="B142" i="16"/>
  <c r="Y57" i="26"/>
  <c r="AF57" i="26"/>
  <c r="AB57" i="26"/>
  <c r="Z57" i="26"/>
  <c r="B2" i="26"/>
  <c r="X57" i="26"/>
  <c r="G125" i="16"/>
  <c r="K125" i="16"/>
  <c r="K22" i="16"/>
  <c r="G22" i="16"/>
  <c r="C38" i="16"/>
  <c r="E125" i="16"/>
  <c r="AE12" i="32"/>
  <c r="AJ35" i="26"/>
  <c r="AJ12" i="26"/>
  <c r="O35" i="24"/>
  <c r="AE30" i="32"/>
  <c r="Y12" i="32"/>
  <c r="F12" i="24"/>
  <c r="AA12" i="26"/>
  <c r="AJ30" i="26"/>
  <c r="AJ20" i="26"/>
  <c r="AJ39" i="26"/>
  <c r="I12" i="24"/>
  <c r="O30" i="24"/>
  <c r="O39" i="24"/>
  <c r="O20" i="24"/>
  <c r="O12" i="24"/>
  <c r="AE35" i="32"/>
  <c r="AE39" i="32"/>
  <c r="AE20" i="32"/>
  <c r="AE11" i="32"/>
  <c r="C139" i="16"/>
  <c r="C141" i="16"/>
  <c r="C3" i="24"/>
  <c r="C140" i="16"/>
  <c r="C3" i="32"/>
  <c r="C138" i="16"/>
  <c r="D133" i="16"/>
  <c r="F133" i="16"/>
  <c r="Y147" i="37"/>
  <c r="AC147" i="37"/>
  <c r="AA147" i="37"/>
  <c r="AE147" i="37"/>
  <c r="Y143" i="37"/>
  <c r="AC143" i="37"/>
  <c r="AA143" i="37"/>
  <c r="AE143" i="37"/>
  <c r="Y138" i="37"/>
  <c r="AC138" i="37"/>
  <c r="Y128" i="37"/>
  <c r="AC128" i="37"/>
  <c r="AA128" i="37"/>
  <c r="AE128" i="37"/>
  <c r="Z128" i="37"/>
  <c r="AD128" i="37"/>
  <c r="X128" i="37"/>
  <c r="Y120" i="37"/>
  <c r="AC120" i="37"/>
  <c r="AA120" i="37"/>
  <c r="AE120" i="37"/>
  <c r="X120" i="37"/>
  <c r="I111" i="15"/>
  <c r="I75" i="15"/>
  <c r="J75" i="15"/>
  <c r="Y81" i="37"/>
  <c r="AC81" i="37"/>
  <c r="Y105" i="37"/>
  <c r="AC105" i="37"/>
  <c r="AA105" i="37"/>
  <c r="AE105" i="37"/>
  <c r="Z105" i="37"/>
  <c r="AD105" i="37"/>
  <c r="Y100" i="37"/>
  <c r="AC100" i="37"/>
  <c r="AA100" i="37"/>
  <c r="AE100" i="37"/>
  <c r="Z100" i="37"/>
  <c r="AD100" i="37"/>
  <c r="Y90" i="37"/>
  <c r="AC90" i="37"/>
  <c r="AA90" i="37"/>
  <c r="AE90" i="37"/>
  <c r="Z90" i="37"/>
  <c r="AD90" i="37"/>
  <c r="X90" i="37"/>
  <c r="L75" i="15"/>
  <c r="F75" i="15"/>
  <c r="E75" i="15"/>
  <c r="Y71" i="37"/>
  <c r="AC71" i="37"/>
  <c r="AA71" i="37"/>
  <c r="AE71" i="37"/>
  <c r="Z71" i="37"/>
  <c r="AD71" i="37"/>
  <c r="Y67" i="37"/>
  <c r="AC67" i="37"/>
  <c r="AA67" i="37"/>
  <c r="AE67" i="37"/>
  <c r="Z67" i="37"/>
  <c r="AD67" i="37"/>
  <c r="AA62" i="37"/>
  <c r="AE62" i="37"/>
  <c r="AD62" i="37"/>
  <c r="Y52" i="37"/>
  <c r="AC52" i="37"/>
  <c r="AA52" i="37"/>
  <c r="AE52" i="37"/>
  <c r="Z52" i="37"/>
  <c r="AD52" i="37"/>
  <c r="X52" i="37"/>
  <c r="AA44" i="37"/>
  <c r="Z44" i="37"/>
  <c r="L31" i="15"/>
  <c r="K31" i="15"/>
  <c r="J31" i="15"/>
  <c r="I31" i="15"/>
  <c r="H31" i="15"/>
  <c r="AA33" i="37"/>
  <c r="AE33" i="37"/>
  <c r="G31" i="15"/>
  <c r="F31" i="15"/>
  <c r="E31" i="15"/>
  <c r="D31" i="15"/>
  <c r="Z33" i="37"/>
  <c r="AD33" i="37"/>
  <c r="C31" i="15"/>
  <c r="L27" i="15"/>
  <c r="K27" i="15"/>
  <c r="J27" i="15"/>
  <c r="I27" i="15"/>
  <c r="H27" i="15"/>
  <c r="G27" i="15"/>
  <c r="F27" i="15"/>
  <c r="E27" i="15"/>
  <c r="D27" i="15"/>
  <c r="C27" i="15"/>
  <c r="L22" i="15"/>
  <c r="K22" i="15"/>
  <c r="J22" i="15"/>
  <c r="I22" i="15"/>
  <c r="H22" i="15"/>
  <c r="AA24" i="37"/>
  <c r="AE24" i="37"/>
  <c r="G22" i="15"/>
  <c r="F22" i="15"/>
  <c r="E22" i="15"/>
  <c r="D22" i="15"/>
  <c r="Z24" i="37"/>
  <c r="AD24" i="37"/>
  <c r="C22" i="15"/>
  <c r="L12" i="15"/>
  <c r="K12" i="15"/>
  <c r="J12" i="15"/>
  <c r="I12" i="15"/>
  <c r="H12" i="15"/>
  <c r="AA14" i="37"/>
  <c r="AE14" i="37"/>
  <c r="G12" i="15"/>
  <c r="F12" i="15"/>
  <c r="E12" i="15"/>
  <c r="D12" i="15"/>
  <c r="Z14" i="37"/>
  <c r="AD14" i="37"/>
  <c r="C12" i="15"/>
  <c r="B12" i="15"/>
  <c r="B12" i="66"/>
  <c r="H12" i="66"/>
  <c r="E12" i="54"/>
  <c r="L4" i="15"/>
  <c r="K4" i="15"/>
  <c r="J4" i="15"/>
  <c r="I4" i="15"/>
  <c r="H4" i="15"/>
  <c r="AA6" i="37"/>
  <c r="G4" i="15"/>
  <c r="F4" i="15"/>
  <c r="E4" i="15"/>
  <c r="D4" i="15"/>
  <c r="Z6" i="37"/>
  <c r="C4" i="15"/>
  <c r="B4" i="15"/>
  <c r="B4" i="66"/>
  <c r="H4" i="66"/>
  <c r="E4" i="54"/>
  <c r="K3" i="15"/>
  <c r="Z109" i="37"/>
  <c r="AD109" i="37"/>
  <c r="AA109" i="37"/>
  <c r="AE109" i="37"/>
  <c r="AF30" i="32"/>
  <c r="O11" i="24"/>
  <c r="F11" i="24"/>
  <c r="AG20" i="32"/>
  <c r="AG39" i="32"/>
  <c r="AG35" i="32"/>
  <c r="AF12" i="32"/>
  <c r="AA12" i="32"/>
  <c r="I11" i="24"/>
  <c r="AA11" i="26"/>
  <c r="AF20" i="32"/>
  <c r="AF39" i="32"/>
  <c r="AF35" i="32"/>
  <c r="Z12" i="32"/>
  <c r="AJ11" i="26"/>
  <c r="AK30" i="26"/>
  <c r="AL39" i="26"/>
  <c r="AL20" i="26"/>
  <c r="AL30" i="26"/>
  <c r="AC12" i="26"/>
  <c r="AL12" i="26"/>
  <c r="AL35" i="26"/>
  <c r="AD12" i="26"/>
  <c r="AE12" i="26"/>
  <c r="W12" i="32"/>
  <c r="Y11" i="32"/>
  <c r="AK20" i="26"/>
  <c r="AK12" i="26"/>
  <c r="AK39" i="26"/>
  <c r="AK35" i="26"/>
  <c r="AB12" i="26"/>
  <c r="C5" i="26"/>
  <c r="C5" i="32"/>
  <c r="C3" i="26"/>
  <c r="C142" i="16"/>
  <c r="Z29" i="37"/>
  <c r="AD29" i="37"/>
  <c r="AA29" i="37"/>
  <c r="AE29" i="37"/>
  <c r="Y6" i="37"/>
  <c r="Z147" i="37"/>
  <c r="AD147" i="37"/>
  <c r="B139" i="15"/>
  <c r="E31" i="66"/>
  <c r="K31" i="66"/>
  <c r="AC31" i="54"/>
  <c r="X147" i="37"/>
  <c r="Z143" i="37"/>
  <c r="AD143" i="37"/>
  <c r="X143" i="37"/>
  <c r="B135" i="15"/>
  <c r="E27" i="66"/>
  <c r="K27" i="66"/>
  <c r="AC27" i="54"/>
  <c r="Z138" i="37"/>
  <c r="AD138" i="37"/>
  <c r="AA138" i="37"/>
  <c r="AE138" i="37"/>
  <c r="X138" i="37"/>
  <c r="B130" i="15"/>
  <c r="Z120" i="37"/>
  <c r="AD120" i="37"/>
  <c r="X109" i="37"/>
  <c r="B103" i="15"/>
  <c r="D31" i="66"/>
  <c r="J31" i="66"/>
  <c r="U31" i="54"/>
  <c r="Y109" i="37"/>
  <c r="AC109" i="37"/>
  <c r="B99" i="15"/>
  <c r="D27" i="66"/>
  <c r="J27" i="66"/>
  <c r="U27" i="54"/>
  <c r="X105" i="37"/>
  <c r="X100" i="37"/>
  <c r="B94" i="15"/>
  <c r="X82" i="37"/>
  <c r="Y82" i="37"/>
  <c r="AC82" i="37"/>
  <c r="D75" i="15"/>
  <c r="Z81" i="37"/>
  <c r="AD81" i="37"/>
  <c r="Z82" i="37"/>
  <c r="AD82" i="37"/>
  <c r="H75" i="15"/>
  <c r="AA82" i="37"/>
  <c r="AE82" i="37"/>
  <c r="C31" i="66"/>
  <c r="I31" i="66"/>
  <c r="M31" i="54"/>
  <c r="X71" i="37"/>
  <c r="X67" i="37"/>
  <c r="C27" i="66"/>
  <c r="I27" i="66"/>
  <c r="M27" i="54"/>
  <c r="X62" i="37"/>
  <c r="Y62" i="37"/>
  <c r="AC62" i="37"/>
  <c r="X44" i="37"/>
  <c r="Y44" i="37"/>
  <c r="Y33" i="37"/>
  <c r="AC33" i="37"/>
  <c r="X33" i="37"/>
  <c r="Y29" i="37"/>
  <c r="AC29" i="37"/>
  <c r="X29" i="37"/>
  <c r="Y24" i="37"/>
  <c r="AC24" i="37"/>
  <c r="X24" i="37"/>
  <c r="Y14" i="37"/>
  <c r="AC14" i="37"/>
  <c r="X14" i="37"/>
  <c r="AF15" i="37"/>
  <c r="X6" i="37"/>
  <c r="G129" i="16"/>
  <c r="G2" i="26"/>
  <c r="G132" i="16"/>
  <c r="G2" i="24"/>
  <c r="G131" i="16"/>
  <c r="G2" i="32"/>
  <c r="G130" i="16"/>
  <c r="G4" i="26"/>
  <c r="E129" i="16"/>
  <c r="E2" i="26"/>
  <c r="E132" i="16"/>
  <c r="E2" i="24"/>
  <c r="E131" i="16"/>
  <c r="E2" i="32"/>
  <c r="E130" i="16"/>
  <c r="E4" i="26"/>
  <c r="E39" i="15"/>
  <c r="D39" i="15"/>
  <c r="F39" i="15"/>
  <c r="Y43" i="37"/>
  <c r="C125" i="16"/>
  <c r="B133" i="16"/>
  <c r="C39" i="15"/>
  <c r="G39" i="15"/>
  <c r="F3" i="15"/>
  <c r="C75" i="15"/>
  <c r="G75" i="15"/>
  <c r="K75" i="15"/>
  <c r="D3" i="15"/>
  <c r="H3" i="15"/>
  <c r="AA5" i="37"/>
  <c r="J3" i="15"/>
  <c r="L3" i="15"/>
  <c r="D111" i="15"/>
  <c r="F111" i="15"/>
  <c r="H111" i="15"/>
  <c r="J111" i="15"/>
  <c r="Y119" i="37"/>
  <c r="AC119" i="37"/>
  <c r="L111" i="15"/>
  <c r="I3" i="15"/>
  <c r="K111" i="15"/>
  <c r="C3" i="15"/>
  <c r="E3" i="15"/>
  <c r="G3" i="15"/>
  <c r="C111" i="15"/>
  <c r="E111" i="15"/>
  <c r="G111" i="15"/>
  <c r="B22" i="66"/>
  <c r="H22" i="66"/>
  <c r="E22" i="54"/>
  <c r="B31" i="66"/>
  <c r="H31" i="66"/>
  <c r="E31" i="54"/>
  <c r="B27" i="66"/>
  <c r="H27" i="66"/>
  <c r="E27" i="54"/>
  <c r="BC32" i="12"/>
  <c r="BB32" i="12"/>
  <c r="BA32" i="12"/>
  <c r="AZ32" i="12"/>
  <c r="BC33" i="12"/>
  <c r="E33" i="75"/>
  <c r="BB33" i="12"/>
  <c r="BA33" i="12"/>
  <c r="AZ33" i="12"/>
  <c r="BC34" i="12"/>
  <c r="E34" i="75"/>
  <c r="BB34" i="12"/>
  <c r="BA34" i="12"/>
  <c r="AZ34" i="12"/>
  <c r="BC35" i="12"/>
  <c r="E35" i="75"/>
  <c r="BB35" i="12"/>
  <c r="BA35" i="12"/>
  <c r="AZ35" i="12"/>
  <c r="BC29" i="12"/>
  <c r="BB29" i="12"/>
  <c r="BA29" i="12"/>
  <c r="AZ29" i="12"/>
  <c r="BC30" i="12"/>
  <c r="BB30" i="12"/>
  <c r="BA30" i="12"/>
  <c r="AZ30" i="12"/>
  <c r="BC28" i="12"/>
  <c r="BC27" i="12"/>
  <c r="BB28" i="12"/>
  <c r="BB27" i="12"/>
  <c r="BA28" i="12"/>
  <c r="AZ28" i="12"/>
  <c r="AZ27" i="12"/>
  <c r="BC26" i="12"/>
  <c r="BB26" i="12"/>
  <c r="BA26" i="12"/>
  <c r="AZ26" i="12"/>
  <c r="BC25" i="12"/>
  <c r="BB25" i="12"/>
  <c r="BA25" i="12"/>
  <c r="AZ25" i="12"/>
  <c r="BC23" i="12"/>
  <c r="BB23" i="12"/>
  <c r="BA23" i="12"/>
  <c r="AZ23" i="12"/>
  <c r="BC24" i="12"/>
  <c r="BB24" i="12"/>
  <c r="BA24" i="12"/>
  <c r="AZ24" i="12"/>
  <c r="BC14" i="12"/>
  <c r="E14" i="75"/>
  <c r="BB14" i="12"/>
  <c r="BA14" i="12"/>
  <c r="AZ14" i="12"/>
  <c r="BC21" i="12"/>
  <c r="E21" i="75"/>
  <c r="BB21" i="12"/>
  <c r="BA21" i="12"/>
  <c r="AZ21" i="12"/>
  <c r="BC13" i="12"/>
  <c r="BB13" i="12"/>
  <c r="BA13" i="12"/>
  <c r="AZ13" i="12"/>
  <c r="BC18" i="12"/>
  <c r="E18" i="75"/>
  <c r="BB18" i="12"/>
  <c r="BA18" i="12"/>
  <c r="AZ18" i="12"/>
  <c r="BC17" i="12"/>
  <c r="E17" i="75"/>
  <c r="BB17" i="12"/>
  <c r="BA17" i="12"/>
  <c r="AZ17" i="12"/>
  <c r="BC20" i="12"/>
  <c r="E20" i="75"/>
  <c r="BB20" i="12"/>
  <c r="BA20" i="12"/>
  <c r="AZ20" i="12"/>
  <c r="BC15" i="12"/>
  <c r="E15" i="75"/>
  <c r="BB15" i="12"/>
  <c r="BA15" i="12"/>
  <c r="AZ15" i="12"/>
  <c r="BC19" i="12"/>
  <c r="E19" i="75"/>
  <c r="BB19" i="12"/>
  <c r="BA19" i="12"/>
  <c r="AZ19" i="12"/>
  <c r="BC16" i="12"/>
  <c r="E16" i="75"/>
  <c r="BB16" i="12"/>
  <c r="BA16" i="12"/>
  <c r="AZ16" i="12"/>
  <c r="BC11" i="12"/>
  <c r="BB11" i="12"/>
  <c r="BA11" i="12"/>
  <c r="AZ11" i="12"/>
  <c r="BC6" i="12"/>
  <c r="BB6" i="12"/>
  <c r="BA6" i="12"/>
  <c r="AZ6" i="12"/>
  <c r="BC8" i="12"/>
  <c r="BB8" i="12"/>
  <c r="BA8" i="12"/>
  <c r="AZ8" i="12"/>
  <c r="BC10" i="12"/>
  <c r="BB10" i="12"/>
  <c r="BA10" i="12"/>
  <c r="AZ10" i="12"/>
  <c r="BC7" i="12"/>
  <c r="BB7" i="12"/>
  <c r="BA7" i="12"/>
  <c r="AZ7" i="12"/>
  <c r="BC9" i="12"/>
  <c r="BB9" i="12"/>
  <c r="BA9" i="12"/>
  <c r="AZ9" i="12"/>
  <c r="E32" i="75"/>
  <c r="BC31" i="12"/>
  <c r="E13" i="75"/>
  <c r="BC12" i="12"/>
  <c r="BC4" i="12"/>
  <c r="BC22" i="12"/>
  <c r="BB4" i="12"/>
  <c r="AZ12" i="12"/>
  <c r="BB12" i="12"/>
  <c r="AZ22" i="12"/>
  <c r="BB22" i="12"/>
  <c r="AZ31" i="12"/>
  <c r="BB31" i="12"/>
  <c r="X43" i="37"/>
  <c r="BA27" i="12"/>
  <c r="BA4" i="12"/>
  <c r="BA12" i="12"/>
  <c r="BA22" i="12"/>
  <c r="BA31" i="12"/>
  <c r="AB11" i="26"/>
  <c r="AD11" i="26"/>
  <c r="AG30" i="32"/>
  <c r="AG12" i="32"/>
  <c r="AG11" i="32"/>
  <c r="AK11" i="26"/>
  <c r="AC11" i="26"/>
  <c r="Z11" i="32"/>
  <c r="AF12" i="26"/>
  <c r="W11" i="32"/>
  <c r="AE11" i="26"/>
  <c r="AL11" i="26"/>
  <c r="AA11" i="32"/>
  <c r="AF11" i="32"/>
  <c r="C12" i="24"/>
  <c r="S12" i="32"/>
  <c r="K4" i="24"/>
  <c r="K6" i="32"/>
  <c r="C130" i="16"/>
  <c r="C132" i="16"/>
  <c r="C2" i="24"/>
  <c r="C131" i="16"/>
  <c r="C2" i="32"/>
  <c r="C129" i="16"/>
  <c r="E22" i="66"/>
  <c r="K22" i="66"/>
  <c r="AC22" i="54"/>
  <c r="B111" i="15"/>
  <c r="E3" i="66"/>
  <c r="K3" i="66"/>
  <c r="AC3" i="54"/>
  <c r="X119" i="37"/>
  <c r="Z119" i="37"/>
  <c r="AD119" i="37"/>
  <c r="AA119" i="37"/>
  <c r="AE119" i="37"/>
  <c r="D22" i="66"/>
  <c r="J22" i="66"/>
  <c r="U22" i="54"/>
  <c r="B75" i="15"/>
  <c r="D3" i="66"/>
  <c r="J3" i="66"/>
  <c r="U3" i="54"/>
  <c r="X81" i="37"/>
  <c r="AA81" i="37"/>
  <c r="AE81" i="37"/>
  <c r="C22" i="66"/>
  <c r="I22" i="66"/>
  <c r="M22" i="54"/>
  <c r="B39" i="15"/>
  <c r="C3" i="66"/>
  <c r="I3" i="66"/>
  <c r="M3" i="54"/>
  <c r="AA43" i="37"/>
  <c r="Z43" i="37"/>
  <c r="Y5" i="37"/>
  <c r="X5" i="37"/>
  <c r="Z5" i="37"/>
  <c r="C35" i="75"/>
  <c r="C35" i="70"/>
  <c r="J35" i="54"/>
  <c r="C34" i="75"/>
  <c r="J34" i="54"/>
  <c r="C34" i="70"/>
  <c r="C33" i="75"/>
  <c r="C33" i="70"/>
  <c r="J33" i="54"/>
  <c r="C32" i="75"/>
  <c r="J32" i="54"/>
  <c r="C32" i="70"/>
  <c r="B35" i="75"/>
  <c r="B35" i="54"/>
  <c r="B35" i="70"/>
  <c r="D35" i="75"/>
  <c r="R35" i="54"/>
  <c r="D35" i="70"/>
  <c r="B34" i="75"/>
  <c r="B34" i="70"/>
  <c r="B34" i="54"/>
  <c r="D34" i="75"/>
  <c r="D34" i="70"/>
  <c r="R34" i="54"/>
  <c r="B33" i="75"/>
  <c r="B33" i="54"/>
  <c r="B33" i="70"/>
  <c r="D33" i="75"/>
  <c r="R33" i="54"/>
  <c r="D33" i="70"/>
  <c r="B32" i="75"/>
  <c r="B32" i="70"/>
  <c r="B32" i="54"/>
  <c r="D32" i="75"/>
  <c r="D32" i="70"/>
  <c r="R32" i="54"/>
  <c r="C28" i="75"/>
  <c r="C28" i="70"/>
  <c r="J28" i="54"/>
  <c r="E28" i="75"/>
  <c r="E28" i="70"/>
  <c r="Z28" i="54"/>
  <c r="C30" i="75"/>
  <c r="C30" i="70"/>
  <c r="J30" i="54"/>
  <c r="E30" i="75"/>
  <c r="E30" i="70"/>
  <c r="Z30" i="54"/>
  <c r="C29" i="75"/>
  <c r="C29" i="70"/>
  <c r="J29" i="54"/>
  <c r="E29" i="75"/>
  <c r="E29" i="70"/>
  <c r="Z29" i="54"/>
  <c r="B28" i="75"/>
  <c r="B28" i="70"/>
  <c r="B28" i="54"/>
  <c r="D28" i="75"/>
  <c r="D28" i="70"/>
  <c r="R28" i="54"/>
  <c r="B30" i="75"/>
  <c r="B30" i="70"/>
  <c r="B30" i="54"/>
  <c r="D30" i="75"/>
  <c r="D30" i="70"/>
  <c r="R30" i="54"/>
  <c r="B29" i="75"/>
  <c r="B29" i="54"/>
  <c r="B29" i="70"/>
  <c r="D29" i="75"/>
  <c r="R29" i="54"/>
  <c r="D29" i="70"/>
  <c r="C24" i="75"/>
  <c r="J24" i="54"/>
  <c r="C24" i="70"/>
  <c r="E24" i="75"/>
  <c r="E24" i="70"/>
  <c r="Z24" i="54"/>
  <c r="C23" i="75"/>
  <c r="C23" i="70"/>
  <c r="J23" i="54"/>
  <c r="E23" i="75"/>
  <c r="Z23" i="54"/>
  <c r="E23" i="70"/>
  <c r="C25" i="75"/>
  <c r="C25" i="70"/>
  <c r="J25" i="54"/>
  <c r="E25" i="75"/>
  <c r="Z25" i="54"/>
  <c r="E25" i="70"/>
  <c r="C26" i="75"/>
  <c r="J26" i="54"/>
  <c r="C26" i="70"/>
  <c r="E26" i="75"/>
  <c r="E26" i="70"/>
  <c r="Z26" i="54"/>
  <c r="B24" i="75"/>
  <c r="B24" i="70"/>
  <c r="B24" i="54"/>
  <c r="D24" i="75"/>
  <c r="D24" i="70"/>
  <c r="R24" i="54"/>
  <c r="B23" i="75"/>
  <c r="B23" i="70"/>
  <c r="B23" i="54"/>
  <c r="D23" i="75"/>
  <c r="D23" i="70"/>
  <c r="R23" i="54"/>
  <c r="B25" i="75"/>
  <c r="B25" i="70"/>
  <c r="B25" i="54"/>
  <c r="D25" i="75"/>
  <c r="D25" i="70"/>
  <c r="R25" i="54"/>
  <c r="B26" i="75"/>
  <c r="B26" i="70"/>
  <c r="B26" i="54"/>
  <c r="D26" i="75"/>
  <c r="D26" i="70"/>
  <c r="R26" i="54"/>
  <c r="C16" i="75"/>
  <c r="C16" i="70"/>
  <c r="J16" i="54"/>
  <c r="C16" i="52"/>
  <c r="C16" i="51"/>
  <c r="K16" i="54"/>
  <c r="C19" i="75"/>
  <c r="J19" i="54"/>
  <c r="C19" i="70"/>
  <c r="C19" i="51"/>
  <c r="K19" i="54"/>
  <c r="C19" i="52"/>
  <c r="C15" i="75"/>
  <c r="J15" i="54"/>
  <c r="C15" i="70"/>
  <c r="C15" i="51"/>
  <c r="K15" i="54"/>
  <c r="C15" i="52"/>
  <c r="C20" i="75"/>
  <c r="C20" i="70"/>
  <c r="J20" i="54"/>
  <c r="C20" i="52"/>
  <c r="C20" i="51"/>
  <c r="K20" i="54"/>
  <c r="C17" i="75"/>
  <c r="J17" i="54"/>
  <c r="C17" i="70"/>
  <c r="C17" i="51"/>
  <c r="K17" i="54"/>
  <c r="C17" i="52"/>
  <c r="C18" i="75"/>
  <c r="C18" i="70"/>
  <c r="J18" i="54"/>
  <c r="C18" i="52"/>
  <c r="C18" i="51"/>
  <c r="K18" i="54"/>
  <c r="C13" i="75"/>
  <c r="J13" i="54"/>
  <c r="C13" i="70"/>
  <c r="C13" i="51"/>
  <c r="K13" i="54"/>
  <c r="C13" i="52"/>
  <c r="C21" i="75"/>
  <c r="J21" i="54"/>
  <c r="C21" i="70"/>
  <c r="C21" i="51"/>
  <c r="K21" i="54"/>
  <c r="C21" i="52"/>
  <c r="C14" i="75"/>
  <c r="C14" i="70"/>
  <c r="J14" i="54"/>
  <c r="C14" i="52"/>
  <c r="C14" i="51"/>
  <c r="K14" i="54"/>
  <c r="B16" i="75"/>
  <c r="B16" i="70"/>
  <c r="B16" i="54"/>
  <c r="B16" i="52"/>
  <c r="B16" i="51"/>
  <c r="C16" i="54"/>
  <c r="D16" i="75"/>
  <c r="D16" i="70"/>
  <c r="R16" i="54"/>
  <c r="D16" i="52"/>
  <c r="D16" i="51"/>
  <c r="S16" i="54"/>
  <c r="B19" i="75"/>
  <c r="B19" i="70"/>
  <c r="B19" i="54"/>
  <c r="B19" i="52"/>
  <c r="B19" i="51"/>
  <c r="C19" i="54"/>
  <c r="D19" i="75"/>
  <c r="D19" i="70"/>
  <c r="R19" i="54"/>
  <c r="D19" i="52"/>
  <c r="D19" i="51"/>
  <c r="S19" i="54"/>
  <c r="B15" i="75"/>
  <c r="B15" i="70"/>
  <c r="B15" i="54"/>
  <c r="B15" i="52"/>
  <c r="B15" i="51"/>
  <c r="C15" i="54"/>
  <c r="D15" i="75"/>
  <c r="D15" i="70"/>
  <c r="R15" i="54"/>
  <c r="D15" i="52"/>
  <c r="D15" i="51"/>
  <c r="S15" i="54"/>
  <c r="B20" i="75"/>
  <c r="B20" i="70"/>
  <c r="B20" i="54"/>
  <c r="B20" i="52"/>
  <c r="B20" i="51"/>
  <c r="C20" i="54"/>
  <c r="D20" i="75"/>
  <c r="D20" i="70"/>
  <c r="R20" i="54"/>
  <c r="D20" i="52"/>
  <c r="D20" i="51"/>
  <c r="S20" i="54"/>
  <c r="B17" i="75"/>
  <c r="B17" i="70"/>
  <c r="B17" i="54"/>
  <c r="B17" i="52"/>
  <c r="B17" i="51"/>
  <c r="C17" i="54"/>
  <c r="D17" i="75"/>
  <c r="D17" i="70"/>
  <c r="R17" i="54"/>
  <c r="D17" i="52"/>
  <c r="D17" i="51"/>
  <c r="S17" i="54"/>
  <c r="B18" i="75"/>
  <c r="B18" i="70"/>
  <c r="B18" i="54"/>
  <c r="B18" i="52"/>
  <c r="B18" i="51"/>
  <c r="C18" i="54"/>
  <c r="D18" i="75"/>
  <c r="D18" i="70"/>
  <c r="R18" i="54"/>
  <c r="D18" i="52"/>
  <c r="D18" i="51"/>
  <c r="S18" i="54"/>
  <c r="B13" i="75"/>
  <c r="B13" i="70"/>
  <c r="B13" i="54"/>
  <c r="B13" i="52"/>
  <c r="B13" i="51"/>
  <c r="C13" i="54"/>
  <c r="D13" i="75"/>
  <c r="D13" i="70"/>
  <c r="R13" i="54"/>
  <c r="D13" i="52"/>
  <c r="D13" i="51"/>
  <c r="S13" i="54"/>
  <c r="B21" i="75"/>
  <c r="B21" i="70"/>
  <c r="B21" i="54"/>
  <c r="B21" i="52"/>
  <c r="B21" i="51"/>
  <c r="C21" i="54"/>
  <c r="D21" i="75"/>
  <c r="D21" i="70"/>
  <c r="R21" i="54"/>
  <c r="D21" i="52"/>
  <c r="D21" i="51"/>
  <c r="S21" i="54"/>
  <c r="B14" i="75"/>
  <c r="B14" i="70"/>
  <c r="B14" i="54"/>
  <c r="B14" i="52"/>
  <c r="B14" i="51"/>
  <c r="C14" i="54"/>
  <c r="D14" i="75"/>
  <c r="D14" i="70"/>
  <c r="R14" i="54"/>
  <c r="D14" i="52"/>
  <c r="D14" i="51"/>
  <c r="S14" i="54"/>
  <c r="C9" i="75"/>
  <c r="C9" i="70"/>
  <c r="J9" i="54"/>
  <c r="E9" i="75"/>
  <c r="E9" i="70"/>
  <c r="Z9" i="54"/>
  <c r="C5" i="75"/>
  <c r="C5" i="70"/>
  <c r="J5" i="54"/>
  <c r="E5" i="75"/>
  <c r="E5" i="70"/>
  <c r="Z5" i="54"/>
  <c r="C7" i="75"/>
  <c r="C7" i="70"/>
  <c r="J7" i="54"/>
  <c r="E7" i="75"/>
  <c r="E7" i="70"/>
  <c r="Z7" i="54"/>
  <c r="C10" i="75"/>
  <c r="C10" i="70"/>
  <c r="J10" i="54"/>
  <c r="E10" i="75"/>
  <c r="E10" i="70"/>
  <c r="Z10" i="54"/>
  <c r="C8" i="75"/>
  <c r="C8" i="70"/>
  <c r="J8" i="54"/>
  <c r="E8" i="75"/>
  <c r="E8" i="70"/>
  <c r="Z8" i="54"/>
  <c r="C6" i="75"/>
  <c r="C6" i="70"/>
  <c r="J6" i="54"/>
  <c r="E6" i="75"/>
  <c r="E6" i="70"/>
  <c r="Z6" i="54"/>
  <c r="C11" i="75"/>
  <c r="C11" i="70"/>
  <c r="J11" i="54"/>
  <c r="E11" i="75"/>
  <c r="E11" i="70"/>
  <c r="Z11" i="54"/>
  <c r="B9" i="75"/>
  <c r="B9" i="70"/>
  <c r="B9" i="54"/>
  <c r="D9" i="75"/>
  <c r="D9" i="70"/>
  <c r="R9" i="54"/>
  <c r="B5" i="75"/>
  <c r="B5" i="70"/>
  <c r="B5" i="54"/>
  <c r="D5" i="75"/>
  <c r="D5" i="70"/>
  <c r="R5" i="54"/>
  <c r="B7" i="75"/>
  <c r="B7" i="70"/>
  <c r="B7" i="54"/>
  <c r="D7" i="75"/>
  <c r="D7" i="70"/>
  <c r="R7" i="54"/>
  <c r="B10" i="75"/>
  <c r="B10" i="54"/>
  <c r="B10" i="70"/>
  <c r="D10" i="75"/>
  <c r="R10" i="54"/>
  <c r="D10" i="70"/>
  <c r="B8" i="75"/>
  <c r="B8" i="54"/>
  <c r="B8" i="70"/>
  <c r="D8" i="75"/>
  <c r="R8" i="54"/>
  <c r="D8" i="70"/>
  <c r="B6" i="75"/>
  <c r="B6" i="54"/>
  <c r="B6" i="70"/>
  <c r="D6" i="75"/>
  <c r="R6" i="54"/>
  <c r="D6" i="70"/>
  <c r="B11" i="75"/>
  <c r="B11" i="70"/>
  <c r="B11" i="54"/>
  <c r="D11" i="75"/>
  <c r="D11" i="70"/>
  <c r="R11" i="54"/>
  <c r="E35" i="70"/>
  <c r="Z35" i="54"/>
  <c r="Z34" i="54"/>
  <c r="E34" i="70"/>
  <c r="E33" i="70"/>
  <c r="Z33" i="54"/>
  <c r="Z32" i="54"/>
  <c r="E32" i="70"/>
  <c r="E31" i="75"/>
  <c r="E16" i="70"/>
  <c r="Z16" i="54"/>
  <c r="E16" i="51"/>
  <c r="AA16" i="54"/>
  <c r="E16" i="52"/>
  <c r="Z15" i="54"/>
  <c r="E15" i="70"/>
  <c r="E15" i="52"/>
  <c r="E15" i="51"/>
  <c r="AA15" i="54"/>
  <c r="E20" i="70"/>
  <c r="Z20" i="54"/>
  <c r="E20" i="51"/>
  <c r="AA20" i="54"/>
  <c r="E20" i="52"/>
  <c r="E18" i="70"/>
  <c r="Z18" i="54"/>
  <c r="E18" i="51"/>
  <c r="AA18" i="54"/>
  <c r="E18" i="52"/>
  <c r="Z13" i="54"/>
  <c r="E13" i="70"/>
  <c r="E12" i="75"/>
  <c r="E13" i="52"/>
  <c r="E13" i="51"/>
  <c r="AA13" i="54"/>
  <c r="Z21" i="54"/>
  <c r="E21" i="70"/>
  <c r="E21" i="52"/>
  <c r="E21" i="51"/>
  <c r="AA21" i="54"/>
  <c r="E14" i="70"/>
  <c r="Z14" i="54"/>
  <c r="E14" i="51"/>
  <c r="AA14" i="54"/>
  <c r="E14" i="52"/>
  <c r="Z19" i="54"/>
  <c r="E19" i="70"/>
  <c r="E19" i="52"/>
  <c r="E19" i="51"/>
  <c r="AA19" i="54"/>
  <c r="Z17" i="54"/>
  <c r="E17" i="70"/>
  <c r="E17" i="52"/>
  <c r="E17" i="51"/>
  <c r="AA17" i="54"/>
  <c r="W44" i="37"/>
  <c r="AE44" i="37"/>
  <c r="V6" i="37"/>
  <c r="AD6" i="37"/>
  <c r="V44" i="37"/>
  <c r="AD44" i="37"/>
  <c r="G133" i="16"/>
  <c r="G4" i="32"/>
  <c r="G4" i="24"/>
  <c r="E4" i="32"/>
  <c r="E6" i="32"/>
  <c r="E4" i="24"/>
  <c r="E133" i="16"/>
  <c r="W6" i="37"/>
  <c r="AE6" i="37"/>
  <c r="W5" i="37"/>
  <c r="AE5" i="37"/>
  <c r="U6" i="37"/>
  <c r="AC6" i="37"/>
  <c r="U44" i="37"/>
  <c r="AC44" i="37"/>
  <c r="U43" i="37"/>
  <c r="AC43" i="37"/>
  <c r="K12" i="24"/>
  <c r="K11" i="24"/>
  <c r="I4" i="24"/>
  <c r="K133" i="16"/>
  <c r="B9" i="51"/>
  <c r="C9" i="54"/>
  <c r="B9" i="52"/>
  <c r="D9" i="51"/>
  <c r="S9" i="54"/>
  <c r="T19" i="69"/>
  <c r="D9" i="52"/>
  <c r="B5" i="51"/>
  <c r="C5" i="54"/>
  <c r="D25" i="69"/>
  <c r="B5" i="52"/>
  <c r="D5" i="51"/>
  <c r="S5" i="54"/>
  <c r="T11" i="69"/>
  <c r="D5" i="52"/>
  <c r="B7" i="51"/>
  <c r="C7" i="54"/>
  <c r="B7" i="52"/>
  <c r="D7" i="51"/>
  <c r="S7" i="54"/>
  <c r="T15" i="69"/>
  <c r="D7" i="52"/>
  <c r="B10" i="52"/>
  <c r="B10" i="51"/>
  <c r="C10" i="54"/>
  <c r="D21" i="69"/>
  <c r="D10" i="52"/>
  <c r="D10" i="51"/>
  <c r="S10" i="54"/>
  <c r="T47" i="69"/>
  <c r="B8" i="52"/>
  <c r="B8" i="51"/>
  <c r="C8" i="54"/>
  <c r="D39" i="69"/>
  <c r="D8" i="52"/>
  <c r="D8" i="51"/>
  <c r="S8" i="54"/>
  <c r="T43" i="69"/>
  <c r="B6" i="52"/>
  <c r="B6" i="51"/>
  <c r="C6" i="54"/>
  <c r="D37" i="69"/>
  <c r="D6" i="52"/>
  <c r="D6" i="51"/>
  <c r="S6" i="54"/>
  <c r="T31" i="69"/>
  <c r="B11" i="51"/>
  <c r="C11" i="54"/>
  <c r="D45" i="69"/>
  <c r="B11" i="52"/>
  <c r="D11" i="51"/>
  <c r="S11" i="54"/>
  <c r="T37" i="69"/>
  <c r="D11" i="52"/>
  <c r="B24" i="52"/>
  <c r="B24" i="51"/>
  <c r="C24" i="54"/>
  <c r="D9" i="69"/>
  <c r="D24" i="52"/>
  <c r="D24" i="51"/>
  <c r="S24" i="54"/>
  <c r="T9" i="69"/>
  <c r="B23" i="51"/>
  <c r="C23" i="54"/>
  <c r="D35" i="69"/>
  <c r="B23" i="52"/>
  <c r="D23" i="51"/>
  <c r="S23" i="54"/>
  <c r="T35" i="69"/>
  <c r="D23" i="52"/>
  <c r="B25" i="51"/>
  <c r="C25" i="54"/>
  <c r="D17" i="69"/>
  <c r="B25" i="52"/>
  <c r="D25" i="51"/>
  <c r="S25" i="54"/>
  <c r="T21" i="69"/>
  <c r="D25" i="52"/>
  <c r="B26" i="52"/>
  <c r="B26" i="51"/>
  <c r="C26" i="54"/>
  <c r="D26" i="52"/>
  <c r="D26" i="51"/>
  <c r="S26" i="54"/>
  <c r="B28" i="52"/>
  <c r="B28" i="51"/>
  <c r="C28" i="54"/>
  <c r="D33" i="69"/>
  <c r="D28" i="52"/>
  <c r="D28" i="51"/>
  <c r="S28" i="54"/>
  <c r="T27" i="69"/>
  <c r="B30" i="52"/>
  <c r="B30" i="51"/>
  <c r="C30" i="54"/>
  <c r="D13" i="69"/>
  <c r="D30" i="52"/>
  <c r="D30" i="51"/>
  <c r="S30" i="54"/>
  <c r="T13" i="69"/>
  <c r="B29" i="51"/>
  <c r="C29" i="54"/>
  <c r="B29" i="52"/>
  <c r="D29" i="51"/>
  <c r="S29" i="54"/>
  <c r="D29" i="52"/>
  <c r="B35" i="51"/>
  <c r="C35" i="54"/>
  <c r="D29" i="69"/>
  <c r="B35" i="52"/>
  <c r="D35" i="51"/>
  <c r="S35" i="54"/>
  <c r="T33" i="69"/>
  <c r="D35" i="52"/>
  <c r="B34" i="52"/>
  <c r="B34" i="51"/>
  <c r="C34" i="54"/>
  <c r="D31" i="69"/>
  <c r="D34" i="52"/>
  <c r="D34" i="51"/>
  <c r="S34" i="54"/>
  <c r="T29" i="69"/>
  <c r="B33" i="51"/>
  <c r="C33" i="54"/>
  <c r="D27" i="69"/>
  <c r="B33" i="52"/>
  <c r="D33" i="51"/>
  <c r="S33" i="54"/>
  <c r="T17" i="69"/>
  <c r="D33" i="52"/>
  <c r="B32" i="52"/>
  <c r="B32" i="51"/>
  <c r="C32" i="54"/>
  <c r="D7" i="69"/>
  <c r="D32" i="52"/>
  <c r="D32" i="51"/>
  <c r="S32" i="54"/>
  <c r="C9" i="52"/>
  <c r="C9" i="51"/>
  <c r="K9" i="54"/>
  <c r="L17" i="69"/>
  <c r="E9" i="52"/>
  <c r="E9" i="51"/>
  <c r="AA9" i="54"/>
  <c r="AB15" i="69"/>
  <c r="C5" i="52"/>
  <c r="C5" i="51"/>
  <c r="K5" i="54"/>
  <c r="L27" i="69"/>
  <c r="E5" i="52"/>
  <c r="E5" i="51"/>
  <c r="AA5" i="54"/>
  <c r="AB25" i="69"/>
  <c r="C7" i="52"/>
  <c r="C7" i="51"/>
  <c r="K7" i="54"/>
  <c r="L11" i="69"/>
  <c r="E7" i="52"/>
  <c r="E7" i="51"/>
  <c r="AA7" i="54"/>
  <c r="AB7" i="69"/>
  <c r="C10" i="52"/>
  <c r="C10" i="51"/>
  <c r="K10" i="54"/>
  <c r="E10" i="52"/>
  <c r="E10" i="51"/>
  <c r="AA10" i="54"/>
  <c r="AB51" i="69"/>
  <c r="C8" i="52"/>
  <c r="C8" i="51"/>
  <c r="K8" i="54"/>
  <c r="L41" i="69"/>
  <c r="E8" i="52"/>
  <c r="E8" i="51"/>
  <c r="AA8" i="54"/>
  <c r="AB35" i="69"/>
  <c r="C6" i="52"/>
  <c r="C6" i="51"/>
  <c r="K6" i="54"/>
  <c r="L29" i="69"/>
  <c r="E6" i="52"/>
  <c r="E6" i="51"/>
  <c r="AA6" i="54"/>
  <c r="AB23" i="69"/>
  <c r="C11" i="52"/>
  <c r="C11" i="51"/>
  <c r="K11" i="54"/>
  <c r="L37" i="69"/>
  <c r="E11" i="52"/>
  <c r="E11" i="51"/>
  <c r="AA11" i="54"/>
  <c r="AB37" i="69"/>
  <c r="C24" i="52"/>
  <c r="C24" i="51"/>
  <c r="K24" i="54"/>
  <c r="L7" i="69"/>
  <c r="E24" i="52"/>
  <c r="E24" i="51"/>
  <c r="AA24" i="54"/>
  <c r="AB9" i="69"/>
  <c r="C23" i="52"/>
  <c r="C23" i="51"/>
  <c r="K23" i="54"/>
  <c r="L33" i="69"/>
  <c r="E23" i="52"/>
  <c r="E23" i="51"/>
  <c r="AA23" i="54"/>
  <c r="AB39" i="69"/>
  <c r="C25" i="52"/>
  <c r="C25" i="51"/>
  <c r="K25" i="54"/>
  <c r="L15" i="69"/>
  <c r="E25" i="52"/>
  <c r="E25" i="51"/>
  <c r="AA25" i="54"/>
  <c r="AB13" i="69"/>
  <c r="C26" i="52"/>
  <c r="C26" i="51"/>
  <c r="K26" i="54"/>
  <c r="E26" i="52"/>
  <c r="E26" i="51"/>
  <c r="AA26" i="54"/>
  <c r="AB3" i="69"/>
  <c r="C28" i="52"/>
  <c r="C28" i="51"/>
  <c r="K28" i="54"/>
  <c r="L23" i="69"/>
  <c r="E28" i="52"/>
  <c r="E28" i="51"/>
  <c r="AA28" i="54"/>
  <c r="AB27" i="69"/>
  <c r="C30" i="52"/>
  <c r="C30" i="51"/>
  <c r="K30" i="54"/>
  <c r="L13" i="69"/>
  <c r="E30" i="52"/>
  <c r="E30" i="51"/>
  <c r="AA30" i="54"/>
  <c r="AB17" i="69"/>
  <c r="C29" i="52"/>
  <c r="C29" i="51"/>
  <c r="K29" i="54"/>
  <c r="L5" i="69"/>
  <c r="E29" i="52"/>
  <c r="E29" i="51"/>
  <c r="AA29" i="54"/>
  <c r="AB5" i="69"/>
  <c r="C35" i="52"/>
  <c r="C35" i="51"/>
  <c r="K35" i="54"/>
  <c r="L35" i="69"/>
  <c r="E35" i="52"/>
  <c r="E35" i="51"/>
  <c r="AA35" i="54"/>
  <c r="AB33" i="69"/>
  <c r="C34" i="52"/>
  <c r="C34" i="51"/>
  <c r="K34" i="54"/>
  <c r="L21" i="69"/>
  <c r="E34" i="52"/>
  <c r="E34" i="51"/>
  <c r="AA34" i="54"/>
  <c r="AB31" i="69"/>
  <c r="C33" i="52"/>
  <c r="C33" i="51"/>
  <c r="K33" i="54"/>
  <c r="L25" i="69"/>
  <c r="E33" i="52"/>
  <c r="E33" i="51"/>
  <c r="AA33" i="54"/>
  <c r="AB21" i="69"/>
  <c r="C32" i="52"/>
  <c r="C32" i="51"/>
  <c r="K32" i="54"/>
  <c r="L9" i="69"/>
  <c r="E32" i="52"/>
  <c r="E32" i="51"/>
  <c r="AA32" i="54"/>
  <c r="AB11" i="69"/>
  <c r="W43" i="37"/>
  <c r="AE43" i="37"/>
  <c r="B3" i="15"/>
  <c r="B3" i="66"/>
  <c r="H3" i="66"/>
  <c r="E3" i="54"/>
  <c r="E12" i="24"/>
  <c r="BC3" i="12"/>
  <c r="BB3" i="12"/>
  <c r="BA3" i="12"/>
  <c r="AF11" i="26"/>
  <c r="Y12" i="26"/>
  <c r="T12" i="32"/>
  <c r="S11" i="32"/>
  <c r="C11" i="24"/>
  <c r="X12" i="26"/>
  <c r="X11" i="26"/>
  <c r="U12" i="32"/>
  <c r="N12" i="32"/>
  <c r="N30" i="24"/>
  <c r="N12" i="24"/>
  <c r="N20" i="24"/>
  <c r="R35" i="26"/>
  <c r="R20" i="26"/>
  <c r="R39" i="26"/>
  <c r="T35" i="26"/>
  <c r="T30" i="26"/>
  <c r="N35" i="32"/>
  <c r="N30" i="32"/>
  <c r="N39" i="32"/>
  <c r="N20" i="32"/>
  <c r="N35" i="24"/>
  <c r="R30" i="26"/>
  <c r="R12" i="26"/>
  <c r="R11" i="26"/>
  <c r="O30" i="32"/>
  <c r="L12" i="26"/>
  <c r="C4" i="26"/>
  <c r="C4" i="32"/>
  <c r="C6" i="32"/>
  <c r="C2" i="26"/>
  <c r="C133" i="16"/>
  <c r="C4" i="24"/>
  <c r="N3" i="15"/>
  <c r="D31" i="75"/>
  <c r="R31" i="54"/>
  <c r="D31" i="70"/>
  <c r="B31" i="75"/>
  <c r="B31" i="54"/>
  <c r="B31" i="70"/>
  <c r="C27" i="69"/>
  <c r="B15" i="67"/>
  <c r="D22" i="68"/>
  <c r="S29" i="69"/>
  <c r="R16" i="67"/>
  <c r="AF17" i="68"/>
  <c r="C29" i="69"/>
  <c r="D15" i="68"/>
  <c r="B16" i="67"/>
  <c r="C31" i="75"/>
  <c r="C31" i="70"/>
  <c r="J31" i="54"/>
  <c r="K9" i="69"/>
  <c r="J6" i="67"/>
  <c r="R12" i="68"/>
  <c r="K25" i="69"/>
  <c r="R21" i="68"/>
  <c r="J14" i="67"/>
  <c r="K21" i="69"/>
  <c r="J12" i="67"/>
  <c r="R16" i="68"/>
  <c r="K35" i="69"/>
  <c r="J19" i="67"/>
  <c r="R15" i="68"/>
  <c r="S5" i="69"/>
  <c r="AF11" i="68"/>
  <c r="R4" i="67"/>
  <c r="C7" i="69"/>
  <c r="B5" i="67"/>
  <c r="D13" i="68"/>
  <c r="S17" i="69"/>
  <c r="R10" i="67"/>
  <c r="AF20" i="68"/>
  <c r="C31" i="69"/>
  <c r="B17" i="67"/>
  <c r="D19" i="68"/>
  <c r="S33" i="69"/>
  <c r="R18" i="67"/>
  <c r="AF13" i="68"/>
  <c r="S7" i="69"/>
  <c r="AF24" i="68"/>
  <c r="R5" i="67"/>
  <c r="C13" i="69"/>
  <c r="B8" i="67"/>
  <c r="D24" i="68"/>
  <c r="S27" i="69"/>
  <c r="R15" i="67"/>
  <c r="AF26" i="68"/>
  <c r="C33" i="69"/>
  <c r="B18" i="67"/>
  <c r="D27" i="68"/>
  <c r="K5" i="69"/>
  <c r="R25" i="68"/>
  <c r="J4" i="67"/>
  <c r="K13" i="69"/>
  <c r="J8" i="67"/>
  <c r="R24" i="68"/>
  <c r="AA27" i="69"/>
  <c r="Z16" i="67"/>
  <c r="AT27" i="68"/>
  <c r="K23" i="69"/>
  <c r="J13" i="67"/>
  <c r="R27" i="68"/>
  <c r="C5" i="69"/>
  <c r="D25" i="68"/>
  <c r="B4" i="67"/>
  <c r="S13" i="69"/>
  <c r="R8" i="67"/>
  <c r="AF25" i="68"/>
  <c r="D27" i="75"/>
  <c r="R27" i="54"/>
  <c r="D27" i="70"/>
  <c r="B27" i="75"/>
  <c r="B27" i="54"/>
  <c r="B27" i="70"/>
  <c r="AA5" i="69"/>
  <c r="AT23" i="68"/>
  <c r="Z4" i="67"/>
  <c r="AA17" i="69"/>
  <c r="Z10" i="67"/>
  <c r="AT24" i="68"/>
  <c r="E27" i="75"/>
  <c r="E27" i="70"/>
  <c r="Z27" i="54"/>
  <c r="C27" i="75"/>
  <c r="C27" i="70"/>
  <c r="J27" i="54"/>
  <c r="C3" i="69"/>
  <c r="D29" i="68"/>
  <c r="B3" i="67"/>
  <c r="C17" i="69"/>
  <c r="B10" i="67"/>
  <c r="D26" i="68"/>
  <c r="S35" i="69"/>
  <c r="R19" i="67"/>
  <c r="AF18" i="68"/>
  <c r="C35" i="69"/>
  <c r="B19" i="67"/>
  <c r="D18" i="68"/>
  <c r="C9" i="69"/>
  <c r="D28" i="68"/>
  <c r="B6" i="67"/>
  <c r="AA13" i="69"/>
  <c r="Z8" i="67"/>
  <c r="AT26" i="68"/>
  <c r="K15" i="69"/>
  <c r="J9" i="67"/>
  <c r="R26" i="68"/>
  <c r="K33" i="69"/>
  <c r="J18" i="67"/>
  <c r="R17" i="68"/>
  <c r="S3" i="69"/>
  <c r="AF29" i="68"/>
  <c r="R3" i="67"/>
  <c r="S21" i="69"/>
  <c r="R12" i="67"/>
  <c r="AF27" i="68"/>
  <c r="D22" i="75"/>
  <c r="D22" i="70"/>
  <c r="R22" i="54"/>
  <c r="B22" i="75"/>
  <c r="B22" i="70"/>
  <c r="B22" i="54"/>
  <c r="S9" i="69"/>
  <c r="AF28" i="68"/>
  <c r="R6" i="67"/>
  <c r="AA3" i="69"/>
  <c r="AT29" i="68"/>
  <c r="Z3" i="67"/>
  <c r="J3" i="67"/>
  <c r="R29" i="68"/>
  <c r="K3" i="69"/>
  <c r="E22" i="75"/>
  <c r="E22" i="70"/>
  <c r="Z22" i="54"/>
  <c r="AA39" i="69"/>
  <c r="Z21" i="67"/>
  <c r="AT18" i="68"/>
  <c r="C22" i="75"/>
  <c r="J22" i="54"/>
  <c r="C22" i="70"/>
  <c r="AA9" i="69"/>
  <c r="Z6" i="67"/>
  <c r="AT28" i="68"/>
  <c r="K7" i="69"/>
  <c r="J5" i="67"/>
  <c r="R28" i="68"/>
  <c r="D14" i="74"/>
  <c r="T14" i="54"/>
  <c r="D15" i="69"/>
  <c r="C9" i="67"/>
  <c r="F3" i="68"/>
  <c r="B9" i="67"/>
  <c r="D20" i="68"/>
  <c r="C15" i="69"/>
  <c r="D21" i="74"/>
  <c r="T21" i="54"/>
  <c r="D47" i="69"/>
  <c r="C25" i="67"/>
  <c r="F21" i="68"/>
  <c r="C47" i="69"/>
  <c r="B25" i="67"/>
  <c r="D9" i="68"/>
  <c r="D13" i="74"/>
  <c r="T13" i="54"/>
  <c r="S53" i="69"/>
  <c r="R28" i="67"/>
  <c r="AF12" i="68"/>
  <c r="B13" i="74"/>
  <c r="D13" i="54"/>
  <c r="C53" i="69"/>
  <c r="B28" i="67"/>
  <c r="D11" i="68"/>
  <c r="D18" i="74"/>
  <c r="T18" i="54"/>
  <c r="C22" i="67"/>
  <c r="F9" i="68"/>
  <c r="D41" i="69"/>
  <c r="C41" i="69"/>
  <c r="D21" i="68"/>
  <c r="B22" i="67"/>
  <c r="D17" i="74"/>
  <c r="T17" i="54"/>
  <c r="D43" i="69"/>
  <c r="C23" i="67"/>
  <c r="F12" i="68"/>
  <c r="C43" i="69"/>
  <c r="D14" i="68"/>
  <c r="B23" i="67"/>
  <c r="D20" i="74"/>
  <c r="T20" i="54"/>
  <c r="C13" i="67"/>
  <c r="F8" i="68"/>
  <c r="D23" i="69"/>
  <c r="B13" i="67"/>
  <c r="C23" i="69"/>
  <c r="D8" i="68"/>
  <c r="D15" i="74"/>
  <c r="T15" i="54"/>
  <c r="D51" i="69"/>
  <c r="F18" i="68"/>
  <c r="C27" i="67"/>
  <c r="C51" i="69"/>
  <c r="B27" i="67"/>
  <c r="D23" i="68"/>
  <c r="D19" i="74"/>
  <c r="T19" i="54"/>
  <c r="D55" i="69"/>
  <c r="C29" i="67"/>
  <c r="F17" i="68"/>
  <c r="C55" i="69"/>
  <c r="B29" i="67"/>
  <c r="D12" i="68"/>
  <c r="D16" i="74"/>
  <c r="T16" i="54"/>
  <c r="D49" i="69"/>
  <c r="C26" i="67"/>
  <c r="F5" i="68"/>
  <c r="C49" i="69"/>
  <c r="B26" i="67"/>
  <c r="D16" i="68"/>
  <c r="C14" i="74"/>
  <c r="L14" i="54"/>
  <c r="C21" i="74"/>
  <c r="L21" i="54"/>
  <c r="K28" i="67"/>
  <c r="T17" i="68"/>
  <c r="L53" i="69"/>
  <c r="C18" i="74"/>
  <c r="L18" i="54"/>
  <c r="C17" i="74"/>
  <c r="L17" i="54"/>
  <c r="C20" i="74"/>
  <c r="L20" i="54"/>
  <c r="C15" i="74"/>
  <c r="L15" i="54"/>
  <c r="K29" i="67"/>
  <c r="L55" i="69"/>
  <c r="T19" i="68"/>
  <c r="J29" i="67"/>
  <c r="K55" i="69"/>
  <c r="R13" i="68"/>
  <c r="L51" i="69"/>
  <c r="T7" i="68"/>
  <c r="K27" i="67"/>
  <c r="K51" i="69"/>
  <c r="J27" i="67"/>
  <c r="R18" i="68"/>
  <c r="T25" i="69"/>
  <c r="AH4" i="68"/>
  <c r="S14" i="67"/>
  <c r="S25" i="69"/>
  <c r="R14" i="67"/>
  <c r="AF23" i="68"/>
  <c r="B14" i="74"/>
  <c r="D14" i="54"/>
  <c r="T39" i="69"/>
  <c r="S21" i="67"/>
  <c r="AH12" i="68"/>
  <c r="S39" i="69"/>
  <c r="R21" i="67"/>
  <c r="AF7" i="68"/>
  <c r="B21" i="74"/>
  <c r="D21" i="54"/>
  <c r="S28" i="67"/>
  <c r="AH14" i="68"/>
  <c r="T53" i="69"/>
  <c r="D12" i="75"/>
  <c r="D12" i="70"/>
  <c r="R12" i="54"/>
  <c r="D12" i="52"/>
  <c r="D12" i="51"/>
  <c r="S12" i="54"/>
  <c r="D53" i="69"/>
  <c r="F14" i="68"/>
  <c r="C28" i="67"/>
  <c r="B12" i="75"/>
  <c r="B12" i="70"/>
  <c r="B12" i="54"/>
  <c r="B12" i="52"/>
  <c r="B12" i="51"/>
  <c r="C12" i="54"/>
  <c r="T41" i="69"/>
  <c r="S22" i="67"/>
  <c r="AH9" i="68"/>
  <c r="S41" i="69"/>
  <c r="AF21" i="68"/>
  <c r="R22" i="67"/>
  <c r="B18" i="74"/>
  <c r="D18" i="54"/>
  <c r="T45" i="69"/>
  <c r="AH16" i="68"/>
  <c r="S24" i="67"/>
  <c r="S45" i="69"/>
  <c r="R24" i="67"/>
  <c r="AF14" i="68"/>
  <c r="B17" i="74"/>
  <c r="D17" i="54"/>
  <c r="T23" i="69"/>
  <c r="S13" i="67"/>
  <c r="AH8" i="68"/>
  <c r="S23" i="69"/>
  <c r="R13" i="67"/>
  <c r="AF10" i="68"/>
  <c r="B20" i="74"/>
  <c r="D20" i="54"/>
  <c r="S27" i="67"/>
  <c r="AH18" i="68"/>
  <c r="T51" i="69"/>
  <c r="R27" i="67"/>
  <c r="S51" i="69"/>
  <c r="AF22" i="68"/>
  <c r="B15" i="74"/>
  <c r="D15" i="54"/>
  <c r="AH21" i="68"/>
  <c r="S29" i="67"/>
  <c r="T55" i="69"/>
  <c r="S55" i="69"/>
  <c r="R29" i="67"/>
  <c r="AF15" i="68"/>
  <c r="B19" i="74"/>
  <c r="D19" i="54"/>
  <c r="T49" i="69"/>
  <c r="S26" i="67"/>
  <c r="AH6" i="68"/>
  <c r="S49" i="69"/>
  <c r="R26" i="67"/>
  <c r="AF16" i="68"/>
  <c r="B16" i="74"/>
  <c r="D16" i="54"/>
  <c r="L31" i="69"/>
  <c r="K17" i="67"/>
  <c r="T4" i="68"/>
  <c r="J17" i="67"/>
  <c r="R23" i="68"/>
  <c r="K31" i="69"/>
  <c r="L39" i="69"/>
  <c r="K21" i="67"/>
  <c r="T16" i="68"/>
  <c r="K39" i="69"/>
  <c r="R9" i="68"/>
  <c r="J21" i="67"/>
  <c r="C13" i="74"/>
  <c r="L13" i="54"/>
  <c r="C12" i="75"/>
  <c r="C12" i="70"/>
  <c r="J12" i="54"/>
  <c r="C12" i="52"/>
  <c r="C12" i="51"/>
  <c r="K12" i="54"/>
  <c r="K53" i="69"/>
  <c r="J28" i="67"/>
  <c r="R11" i="68"/>
  <c r="L43" i="69"/>
  <c r="K23" i="67"/>
  <c r="T9" i="68"/>
  <c r="K43" i="69"/>
  <c r="R20" i="68"/>
  <c r="J23" i="67"/>
  <c r="K24" i="67"/>
  <c r="T12" i="68"/>
  <c r="L45" i="69"/>
  <c r="J24" i="67"/>
  <c r="R14" i="68"/>
  <c r="K45" i="69"/>
  <c r="L19" i="69"/>
  <c r="K11" i="67"/>
  <c r="T8" i="68"/>
  <c r="K19" i="69"/>
  <c r="J11" i="67"/>
  <c r="R10" i="68"/>
  <c r="L49" i="69"/>
  <c r="T18" i="68"/>
  <c r="K26" i="67"/>
  <c r="K49" i="69"/>
  <c r="J26" i="67"/>
  <c r="R22" i="68"/>
  <c r="C19" i="74"/>
  <c r="L19" i="54"/>
  <c r="C16" i="74"/>
  <c r="L16" i="54"/>
  <c r="C45" i="69"/>
  <c r="B24" i="67"/>
  <c r="D10" i="68"/>
  <c r="S31" i="69"/>
  <c r="R17" i="67"/>
  <c r="AF5" i="68"/>
  <c r="S43" i="69"/>
  <c r="AF19" i="68"/>
  <c r="R23" i="67"/>
  <c r="S47" i="69"/>
  <c r="R25" i="67"/>
  <c r="AF4" i="68"/>
  <c r="B7" i="67"/>
  <c r="D7" i="68"/>
  <c r="C11" i="69"/>
  <c r="S11" i="69"/>
  <c r="R7" i="67"/>
  <c r="AF3" i="68"/>
  <c r="C25" i="69"/>
  <c r="B14" i="67"/>
  <c r="D4" i="68"/>
  <c r="C19" i="69"/>
  <c r="B11" i="67"/>
  <c r="D6" i="68"/>
  <c r="K37" i="69"/>
  <c r="J20" i="67"/>
  <c r="R7" i="68"/>
  <c r="K29" i="69"/>
  <c r="J16" i="67"/>
  <c r="R5" i="68"/>
  <c r="K41" i="69"/>
  <c r="J22" i="67"/>
  <c r="R19" i="68"/>
  <c r="J25" i="67"/>
  <c r="K47" i="69"/>
  <c r="R4" i="68"/>
  <c r="K11" i="69"/>
  <c r="J7" i="67"/>
  <c r="R8" i="68"/>
  <c r="AA25" i="69"/>
  <c r="AT3" i="68"/>
  <c r="Z14" i="67"/>
  <c r="K27" i="69"/>
  <c r="J15" i="67"/>
  <c r="R3" i="68"/>
  <c r="K17" i="69"/>
  <c r="J10" i="67"/>
  <c r="R6" i="68"/>
  <c r="S37" i="69"/>
  <c r="AF6" i="68"/>
  <c r="R20" i="67"/>
  <c r="C37" i="69"/>
  <c r="D5" i="68"/>
  <c r="B20" i="67"/>
  <c r="C39" i="69"/>
  <c r="B21" i="67"/>
  <c r="D17" i="68"/>
  <c r="C21" i="69"/>
  <c r="D3" i="68"/>
  <c r="B12" i="67"/>
  <c r="S15" i="69"/>
  <c r="AF9" i="68"/>
  <c r="R9" i="67"/>
  <c r="D4" i="75"/>
  <c r="R4" i="54"/>
  <c r="D4" i="70"/>
  <c r="B4" i="75"/>
  <c r="B4" i="54"/>
  <c r="B4" i="70"/>
  <c r="S19" i="69"/>
  <c r="R11" i="67"/>
  <c r="AF8" i="68"/>
  <c r="AA37" i="69"/>
  <c r="Z20" i="67"/>
  <c r="AT8" i="68"/>
  <c r="AA23" i="69"/>
  <c r="Z13" i="67"/>
  <c r="AT4" i="68"/>
  <c r="AA35" i="69"/>
  <c r="Z19" i="67"/>
  <c r="AT19" i="68"/>
  <c r="AA51" i="69"/>
  <c r="Z26" i="67"/>
  <c r="AT5" i="68"/>
  <c r="AA7" i="69"/>
  <c r="Z5" i="67"/>
  <c r="AT7" i="68"/>
  <c r="E4" i="75"/>
  <c r="E4" i="70"/>
  <c r="Z4" i="54"/>
  <c r="C4" i="75"/>
  <c r="C4" i="70"/>
  <c r="J4" i="54"/>
  <c r="AA15" i="69"/>
  <c r="AT6" i="68"/>
  <c r="Z9" i="67"/>
  <c r="AB32" i="54"/>
  <c r="AC11" i="69"/>
  <c r="E32" i="74"/>
  <c r="L32" i="54"/>
  <c r="M9" i="69"/>
  <c r="C32" i="74"/>
  <c r="AB33" i="54"/>
  <c r="AC21" i="69"/>
  <c r="E33" i="74"/>
  <c r="L33" i="54"/>
  <c r="M25" i="69"/>
  <c r="C33" i="74"/>
  <c r="AB34" i="54"/>
  <c r="AC31" i="69"/>
  <c r="E34" i="74"/>
  <c r="L34" i="54"/>
  <c r="M21" i="69"/>
  <c r="C34" i="74"/>
  <c r="AB35" i="54"/>
  <c r="AC33" i="69"/>
  <c r="E35" i="74"/>
  <c r="L35" i="54"/>
  <c r="M35" i="69"/>
  <c r="C35" i="74"/>
  <c r="AB29" i="54"/>
  <c r="AC5" i="69"/>
  <c r="E29" i="74"/>
  <c r="L29" i="54"/>
  <c r="M5" i="69"/>
  <c r="C29" i="74"/>
  <c r="AB30" i="54"/>
  <c r="AC17" i="69"/>
  <c r="E30" i="74"/>
  <c r="L30" i="54"/>
  <c r="M13" i="69"/>
  <c r="C30" i="74"/>
  <c r="AB28" i="54"/>
  <c r="AC27" i="69"/>
  <c r="E28" i="74"/>
  <c r="L28" i="54"/>
  <c r="M23" i="69"/>
  <c r="C28" i="74"/>
  <c r="AB26" i="54"/>
  <c r="AC3" i="69"/>
  <c r="E26" i="74"/>
  <c r="L26" i="54"/>
  <c r="M3" i="69"/>
  <c r="C26" i="74"/>
  <c r="AB25" i="54"/>
  <c r="AC13" i="69"/>
  <c r="E25" i="74"/>
  <c r="L25" i="54"/>
  <c r="M15" i="69"/>
  <c r="C25" i="74"/>
  <c r="AB23" i="54"/>
  <c r="AC39" i="69"/>
  <c r="E23" i="74"/>
  <c r="L23" i="54"/>
  <c r="M33" i="69"/>
  <c r="C23" i="74"/>
  <c r="AB24" i="54"/>
  <c r="AC9" i="69"/>
  <c r="E24" i="74"/>
  <c r="L24" i="54"/>
  <c r="M7" i="69"/>
  <c r="C24" i="74"/>
  <c r="AB11" i="54"/>
  <c r="AC37" i="69"/>
  <c r="E11" i="74"/>
  <c r="L11" i="54"/>
  <c r="M37" i="69"/>
  <c r="C11" i="74"/>
  <c r="AB6" i="54"/>
  <c r="AC23" i="69"/>
  <c r="E6" i="74"/>
  <c r="L6" i="54"/>
  <c r="M29" i="69"/>
  <c r="C6" i="74"/>
  <c r="AB8" i="54"/>
  <c r="AC35" i="69"/>
  <c r="E8" i="74"/>
  <c r="L8" i="54"/>
  <c r="M41" i="69"/>
  <c r="C8" i="74"/>
  <c r="AB10" i="54"/>
  <c r="AC51" i="69"/>
  <c r="E10" i="74"/>
  <c r="L10" i="54"/>
  <c r="L25" i="67"/>
  <c r="C10" i="74"/>
  <c r="AB7" i="54"/>
  <c r="AC7" i="69"/>
  <c r="E7" i="74"/>
  <c r="L7" i="54"/>
  <c r="M11" i="69"/>
  <c r="C7" i="74"/>
  <c r="AB5" i="54"/>
  <c r="AC25" i="69"/>
  <c r="E5" i="74"/>
  <c r="L5" i="54"/>
  <c r="M27" i="69"/>
  <c r="C5" i="74"/>
  <c r="AB9" i="54"/>
  <c r="AC15" i="69"/>
  <c r="E9" i="74"/>
  <c r="L9" i="54"/>
  <c r="M17" i="69"/>
  <c r="C9" i="74"/>
  <c r="T32" i="54"/>
  <c r="U5" i="69"/>
  <c r="D32" i="74"/>
  <c r="D32" i="54"/>
  <c r="E7" i="69"/>
  <c r="B32" i="74"/>
  <c r="T34" i="54"/>
  <c r="U29" i="69"/>
  <c r="D34" i="74"/>
  <c r="D34" i="54"/>
  <c r="E31" i="69"/>
  <c r="B34" i="74"/>
  <c r="T30" i="54"/>
  <c r="U13" i="69"/>
  <c r="D30" i="74"/>
  <c r="D30" i="54"/>
  <c r="E13" i="69"/>
  <c r="B30" i="74"/>
  <c r="T28" i="54"/>
  <c r="U27" i="69"/>
  <c r="D28" i="74"/>
  <c r="D28" i="54"/>
  <c r="E33" i="69"/>
  <c r="B28" i="74"/>
  <c r="T26" i="54"/>
  <c r="T3" i="67"/>
  <c r="D26" i="74"/>
  <c r="D26" i="54"/>
  <c r="E3" i="69"/>
  <c r="B26" i="74"/>
  <c r="T24" i="54"/>
  <c r="U9" i="69"/>
  <c r="D24" i="74"/>
  <c r="D24" i="54"/>
  <c r="E9" i="69"/>
  <c r="B24" i="74"/>
  <c r="T6" i="54"/>
  <c r="U31" i="69"/>
  <c r="D6" i="74"/>
  <c r="D6" i="54"/>
  <c r="E37" i="69"/>
  <c r="B6" i="74"/>
  <c r="T8" i="54"/>
  <c r="U43" i="69"/>
  <c r="D8" i="74"/>
  <c r="D8" i="54"/>
  <c r="E39" i="69"/>
  <c r="B8" i="74"/>
  <c r="T10" i="54"/>
  <c r="U47" i="69"/>
  <c r="D10" i="74"/>
  <c r="D10" i="54"/>
  <c r="E21" i="69"/>
  <c r="B10" i="74"/>
  <c r="AB17" i="54"/>
  <c r="AC43" i="69"/>
  <c r="E17" i="74"/>
  <c r="AB19" i="54"/>
  <c r="AC55" i="69"/>
  <c r="E19" i="74"/>
  <c r="AB21" i="54"/>
  <c r="AX23" i="68"/>
  <c r="E21" i="74"/>
  <c r="AB13" i="54"/>
  <c r="AX29" i="68"/>
  <c r="E13" i="74"/>
  <c r="AB18" i="54"/>
  <c r="AC41" i="69"/>
  <c r="E18" i="74"/>
  <c r="AB20" i="54"/>
  <c r="AC19" i="69"/>
  <c r="E20" i="74"/>
  <c r="AB16" i="54"/>
  <c r="AX28" i="68"/>
  <c r="E16" i="74"/>
  <c r="T33" i="54"/>
  <c r="U17" i="69"/>
  <c r="D33" i="74"/>
  <c r="D33" i="54"/>
  <c r="E27" i="69"/>
  <c r="B33" i="74"/>
  <c r="T35" i="54"/>
  <c r="U33" i="69"/>
  <c r="D35" i="74"/>
  <c r="D35" i="54"/>
  <c r="E29" i="69"/>
  <c r="B35" i="74"/>
  <c r="T29" i="54"/>
  <c r="U7" i="69"/>
  <c r="D29" i="74"/>
  <c r="D29" i="54"/>
  <c r="E5" i="69"/>
  <c r="B29" i="74"/>
  <c r="T25" i="54"/>
  <c r="U21" i="69"/>
  <c r="D25" i="74"/>
  <c r="D25" i="54"/>
  <c r="E17" i="69"/>
  <c r="B25" i="74"/>
  <c r="T23" i="54"/>
  <c r="U35" i="69"/>
  <c r="D23" i="74"/>
  <c r="D23" i="54"/>
  <c r="E35" i="69"/>
  <c r="B23" i="74"/>
  <c r="T11" i="54"/>
  <c r="U37" i="69"/>
  <c r="D11" i="74"/>
  <c r="D11" i="54"/>
  <c r="E45" i="69"/>
  <c r="B11" i="74"/>
  <c r="T7" i="54"/>
  <c r="U15" i="69"/>
  <c r="D7" i="74"/>
  <c r="D7" i="54"/>
  <c r="D7" i="67"/>
  <c r="B7" i="74"/>
  <c r="T5" i="54"/>
  <c r="U11" i="69"/>
  <c r="D5" i="74"/>
  <c r="D5" i="54"/>
  <c r="E25" i="69"/>
  <c r="B5" i="74"/>
  <c r="T9" i="54"/>
  <c r="U19" i="69"/>
  <c r="D9" i="74"/>
  <c r="D9" i="54"/>
  <c r="E19" i="69"/>
  <c r="B9" i="74"/>
  <c r="AB14" i="54"/>
  <c r="AX19" i="68"/>
  <c r="E14" i="74"/>
  <c r="AB15" i="54"/>
  <c r="AX21" i="68"/>
  <c r="E15" i="74"/>
  <c r="E31" i="70"/>
  <c r="Z31" i="54"/>
  <c r="AA11" i="69"/>
  <c r="Z7" i="67"/>
  <c r="AT11" i="68"/>
  <c r="AA31" i="69"/>
  <c r="Z18" i="67"/>
  <c r="AT16" i="68"/>
  <c r="AA21" i="69"/>
  <c r="AT20" i="68"/>
  <c r="Z12" i="67"/>
  <c r="AA33" i="69"/>
  <c r="Z15" i="67"/>
  <c r="AT13" i="68"/>
  <c r="AB43" i="69"/>
  <c r="AV14" i="68"/>
  <c r="AA23" i="67"/>
  <c r="AB55" i="69"/>
  <c r="AV21" i="68"/>
  <c r="AA29" i="67"/>
  <c r="AA29" i="69"/>
  <c r="Z17" i="67"/>
  <c r="AT25" i="68"/>
  <c r="AB45" i="69"/>
  <c r="AV18" i="68"/>
  <c r="AA24" i="67"/>
  <c r="AB53" i="69"/>
  <c r="AV17" i="68"/>
  <c r="AA28" i="67"/>
  <c r="E12" i="70"/>
  <c r="Z12" i="54"/>
  <c r="E3" i="75"/>
  <c r="E12" i="51"/>
  <c r="AA12" i="54"/>
  <c r="E12" i="52"/>
  <c r="AA53" i="69"/>
  <c r="Z28" i="67"/>
  <c r="AT12" i="68"/>
  <c r="AB41" i="69"/>
  <c r="AA22" i="67"/>
  <c r="AV10" i="68"/>
  <c r="AB19" i="69"/>
  <c r="AV7" i="68"/>
  <c r="AA11" i="67"/>
  <c r="AB25" i="67"/>
  <c r="AA47" i="69"/>
  <c r="Z25" i="67"/>
  <c r="AT22" i="68"/>
  <c r="AB49" i="69"/>
  <c r="AA27" i="67"/>
  <c r="AV9" i="68"/>
  <c r="AX22" i="68"/>
  <c r="AA43" i="69"/>
  <c r="Z23" i="67"/>
  <c r="AT14" i="68"/>
  <c r="AX27" i="68"/>
  <c r="AA55" i="69"/>
  <c r="Z29" i="67"/>
  <c r="AT15" i="68"/>
  <c r="AB29" i="69"/>
  <c r="AA17" i="67"/>
  <c r="AV4" i="68"/>
  <c r="AC45" i="69"/>
  <c r="AB24" i="67"/>
  <c r="AA45" i="69"/>
  <c r="Z24" i="67"/>
  <c r="AT9" i="68"/>
  <c r="AC53" i="69"/>
  <c r="AB28" i="67"/>
  <c r="AX18" i="68"/>
  <c r="AA41" i="69"/>
  <c r="Z22" i="67"/>
  <c r="AT21" i="68"/>
  <c r="AX11" i="68"/>
  <c r="AA19" i="69"/>
  <c r="Z11" i="67"/>
  <c r="AT10" i="68"/>
  <c r="AB47" i="69"/>
  <c r="AA25" i="67"/>
  <c r="AV16" i="68"/>
  <c r="AC49" i="69"/>
  <c r="AB27" i="67"/>
  <c r="AA49" i="69"/>
  <c r="Z27" i="67"/>
  <c r="AT17" i="68"/>
  <c r="AA7" i="67"/>
  <c r="AV22" i="68"/>
  <c r="K6" i="67"/>
  <c r="T22" i="68"/>
  <c r="AA12" i="67"/>
  <c r="AV20" i="68"/>
  <c r="K14" i="67"/>
  <c r="T23" i="68"/>
  <c r="AA18" i="67"/>
  <c r="AV26" i="68"/>
  <c r="K12" i="67"/>
  <c r="T27" i="68"/>
  <c r="AA15" i="67"/>
  <c r="AV23" i="68"/>
  <c r="K19" i="67"/>
  <c r="T29" i="68"/>
  <c r="AA4" i="67"/>
  <c r="AV12" i="68"/>
  <c r="K4" i="67"/>
  <c r="T14" i="68"/>
  <c r="AA10" i="67"/>
  <c r="AV27" i="68"/>
  <c r="K8" i="67"/>
  <c r="T28" i="68"/>
  <c r="AA16" i="67"/>
  <c r="AV25" i="68"/>
  <c r="K13" i="67"/>
  <c r="T26" i="68"/>
  <c r="AA3" i="67"/>
  <c r="AV13" i="68"/>
  <c r="K3" i="67"/>
  <c r="L3" i="69"/>
  <c r="T10" i="68"/>
  <c r="AA8" i="67"/>
  <c r="AV11" i="68"/>
  <c r="K9" i="67"/>
  <c r="T15" i="68"/>
  <c r="AA21" i="67"/>
  <c r="AV24" i="68"/>
  <c r="K18" i="67"/>
  <c r="T21" i="68"/>
  <c r="AA6" i="67"/>
  <c r="AV15" i="68"/>
  <c r="K5" i="67"/>
  <c r="T11" i="68"/>
  <c r="AA20" i="67"/>
  <c r="AV28" i="68"/>
  <c r="K20" i="67"/>
  <c r="T25" i="68"/>
  <c r="AA13" i="67"/>
  <c r="AV8" i="68"/>
  <c r="K16" i="67"/>
  <c r="T13" i="68"/>
  <c r="AA19" i="67"/>
  <c r="AV6" i="68"/>
  <c r="K22" i="67"/>
  <c r="T5" i="68"/>
  <c r="AA26" i="67"/>
  <c r="AV29" i="68"/>
  <c r="K25" i="67"/>
  <c r="L47" i="69"/>
  <c r="T24" i="68"/>
  <c r="AA5" i="67"/>
  <c r="AV3" i="68"/>
  <c r="K7" i="67"/>
  <c r="T3" i="68"/>
  <c r="AA14" i="67"/>
  <c r="AV5" i="68"/>
  <c r="K15" i="67"/>
  <c r="T6" i="68"/>
  <c r="AA9" i="67"/>
  <c r="AV19" i="68"/>
  <c r="K10" i="67"/>
  <c r="T20" i="68"/>
  <c r="S4" i="67"/>
  <c r="T5" i="69"/>
  <c r="AH19" i="68"/>
  <c r="C5" i="67"/>
  <c r="F22" i="68"/>
  <c r="H13" i="68"/>
  <c r="S16" i="67"/>
  <c r="AH28" i="68"/>
  <c r="C17" i="67"/>
  <c r="F28" i="68"/>
  <c r="T5" i="67"/>
  <c r="AJ4" i="68"/>
  <c r="H4" i="68"/>
  <c r="S8" i="67"/>
  <c r="AH29" i="68"/>
  <c r="C8" i="67"/>
  <c r="F26" i="68"/>
  <c r="S15" i="67"/>
  <c r="AH26" i="68"/>
  <c r="C18" i="67"/>
  <c r="F25" i="68"/>
  <c r="S3" i="67"/>
  <c r="T3" i="69"/>
  <c r="AH10" i="68"/>
  <c r="C3" i="67"/>
  <c r="D3" i="69"/>
  <c r="F10" i="68"/>
  <c r="AJ14" i="68"/>
  <c r="S6" i="67"/>
  <c r="AH13" i="68"/>
  <c r="C6" i="67"/>
  <c r="F11" i="68"/>
  <c r="S17" i="67"/>
  <c r="AH15" i="68"/>
  <c r="C20" i="67"/>
  <c r="F19" i="68"/>
  <c r="S23" i="67"/>
  <c r="AH7" i="68"/>
  <c r="C21" i="67"/>
  <c r="F6" i="68"/>
  <c r="S25" i="67"/>
  <c r="AH25" i="68"/>
  <c r="C12" i="67"/>
  <c r="F15" i="68"/>
  <c r="T9" i="67"/>
  <c r="E11" i="69"/>
  <c r="AJ11" i="68"/>
  <c r="AB7" i="67"/>
  <c r="AX10" i="68"/>
  <c r="AB18" i="67"/>
  <c r="AX12" i="68"/>
  <c r="AB4" i="67"/>
  <c r="AX6" i="68"/>
  <c r="AB16" i="67"/>
  <c r="L13" i="67"/>
  <c r="AX3" i="68"/>
  <c r="V3" i="68"/>
  <c r="AX8" i="68"/>
  <c r="AB21" i="67"/>
  <c r="AX7" i="68"/>
  <c r="AB20" i="67"/>
  <c r="AX20" i="68"/>
  <c r="AB19" i="67"/>
  <c r="AX25" i="68"/>
  <c r="AB5" i="67"/>
  <c r="AX15" i="68"/>
  <c r="AX14" i="68"/>
  <c r="T4" i="67"/>
  <c r="S10" i="67"/>
  <c r="AH20" i="68"/>
  <c r="C15" i="67"/>
  <c r="F24" i="68"/>
  <c r="T16" i="67"/>
  <c r="H20" i="68"/>
  <c r="S18" i="67"/>
  <c r="AH27" i="68"/>
  <c r="C16" i="67"/>
  <c r="F27" i="68"/>
  <c r="S5" i="67"/>
  <c r="T7" i="69"/>
  <c r="AH11" i="68"/>
  <c r="C4" i="67"/>
  <c r="D5" i="69"/>
  <c r="F16" i="68"/>
  <c r="AJ8" i="68"/>
  <c r="T15" i="67"/>
  <c r="H9" i="68"/>
  <c r="U3" i="69"/>
  <c r="H3" i="68"/>
  <c r="S12" i="67"/>
  <c r="AH17" i="68"/>
  <c r="C10" i="67"/>
  <c r="F13" i="68"/>
  <c r="S19" i="67"/>
  <c r="AH24" i="68"/>
  <c r="C19" i="67"/>
  <c r="F23" i="68"/>
  <c r="AJ6" i="68"/>
  <c r="S20" i="67"/>
  <c r="AH23" i="68"/>
  <c r="C24" i="67"/>
  <c r="F29" i="68"/>
  <c r="AJ25" i="68"/>
  <c r="T25" i="67"/>
  <c r="S9" i="67"/>
  <c r="AH5" i="68"/>
  <c r="C7" i="67"/>
  <c r="D11" i="69"/>
  <c r="F4" i="68"/>
  <c r="S7" i="67"/>
  <c r="AH3" i="68"/>
  <c r="C14" i="67"/>
  <c r="F7" i="68"/>
  <c r="S11" i="67"/>
  <c r="AH22" i="68"/>
  <c r="C11" i="67"/>
  <c r="D19" i="69"/>
  <c r="F20" i="68"/>
  <c r="H12" i="24"/>
  <c r="V43" i="37"/>
  <c r="AD43" i="37"/>
  <c r="G6" i="32"/>
  <c r="V5" i="37"/>
  <c r="AD5" i="37"/>
  <c r="U5" i="37"/>
  <c r="AC5" i="37"/>
  <c r="H124" i="37"/>
  <c r="H122" i="37"/>
  <c r="P126" i="37"/>
  <c r="P134" i="37"/>
  <c r="P142" i="37"/>
  <c r="P150" i="37"/>
  <c r="P125" i="37"/>
  <c r="P133" i="37"/>
  <c r="P141" i="37"/>
  <c r="P149" i="37"/>
  <c r="P124" i="37"/>
  <c r="P132" i="37"/>
  <c r="P140" i="37"/>
  <c r="P148" i="37"/>
  <c r="P127" i="37"/>
  <c r="P135" i="37"/>
  <c r="P151" i="37"/>
  <c r="B122" i="37"/>
  <c r="B126" i="37"/>
  <c r="B131" i="37"/>
  <c r="B135" i="37"/>
  <c r="B140" i="37"/>
  <c r="B145" i="37"/>
  <c r="B150" i="37"/>
  <c r="B123" i="37"/>
  <c r="B127" i="37"/>
  <c r="B132" i="37"/>
  <c r="B136" i="37"/>
  <c r="B141" i="37"/>
  <c r="B146" i="37"/>
  <c r="B151" i="37"/>
  <c r="B124" i="37"/>
  <c r="B133" i="37"/>
  <c r="B137" i="37"/>
  <c r="B142" i="37"/>
  <c r="B125" i="37"/>
  <c r="B130" i="37"/>
  <c r="B134" i="37"/>
  <c r="B149" i="37"/>
  <c r="H137" i="37"/>
  <c r="H125" i="37"/>
  <c r="H135" i="37"/>
  <c r="H126" i="37"/>
  <c r="H123" i="37"/>
  <c r="P122" i="37"/>
  <c r="P130" i="37"/>
  <c r="P146" i="37"/>
  <c r="P121" i="37"/>
  <c r="P129" i="37"/>
  <c r="P137" i="37"/>
  <c r="P145" i="37"/>
  <c r="P136" i="37"/>
  <c r="P144" i="37"/>
  <c r="P143" i="37"/>
  <c r="P123" i="37"/>
  <c r="P131" i="37"/>
  <c r="P139" i="37"/>
  <c r="P138" i="37"/>
  <c r="D31" i="51"/>
  <c r="S31" i="54"/>
  <c r="D31" i="52"/>
  <c r="D27" i="51"/>
  <c r="S27" i="54"/>
  <c r="D27" i="52"/>
  <c r="D22" i="52"/>
  <c r="D22" i="51"/>
  <c r="S22" i="54"/>
  <c r="D4" i="52"/>
  <c r="D4" i="51"/>
  <c r="S4" i="54"/>
  <c r="E31" i="52"/>
  <c r="E31" i="51"/>
  <c r="AA31" i="54"/>
  <c r="E27" i="52"/>
  <c r="E27" i="51"/>
  <c r="AA27" i="54"/>
  <c r="E22" i="52"/>
  <c r="E22" i="51"/>
  <c r="AA22" i="54"/>
  <c r="E4" i="52"/>
  <c r="E4" i="51"/>
  <c r="AA4" i="54"/>
  <c r="B31" i="51"/>
  <c r="C31" i="54"/>
  <c r="B31" i="52"/>
  <c r="B27" i="51"/>
  <c r="C27" i="54"/>
  <c r="B27" i="52"/>
  <c r="B22" i="52"/>
  <c r="B22" i="51"/>
  <c r="C22" i="54"/>
  <c r="B4" i="52"/>
  <c r="B4" i="51"/>
  <c r="C4" i="54"/>
  <c r="C31" i="52"/>
  <c r="C31" i="51"/>
  <c r="K31" i="54"/>
  <c r="C27" i="52"/>
  <c r="C27" i="51"/>
  <c r="K27" i="54"/>
  <c r="C22" i="52"/>
  <c r="C22" i="51"/>
  <c r="K22" i="54"/>
  <c r="C4" i="52"/>
  <c r="C4" i="51"/>
  <c r="K4" i="54"/>
  <c r="AJ9" i="68"/>
  <c r="AJ5" i="68"/>
  <c r="AJ12" i="68"/>
  <c r="T10" i="67"/>
  <c r="AJ26" i="68"/>
  <c r="AJ18" i="68"/>
  <c r="T20" i="67"/>
  <c r="V26" i="68"/>
  <c r="L12" i="67"/>
  <c r="L7" i="67"/>
  <c r="V24" i="68"/>
  <c r="L4" i="67"/>
  <c r="L6" i="67"/>
  <c r="V13" i="68"/>
  <c r="AJ22" i="68"/>
  <c r="D21" i="67"/>
  <c r="T23" i="67"/>
  <c r="T17" i="67"/>
  <c r="T6" i="67"/>
  <c r="AJ3" i="68"/>
  <c r="AJ7" i="68"/>
  <c r="H7" i="68"/>
  <c r="T8" i="67"/>
  <c r="AJ15" i="68"/>
  <c r="H5" i="68"/>
  <c r="L10" i="67"/>
  <c r="AB9" i="67"/>
  <c r="AB14" i="67"/>
  <c r="AX13" i="68"/>
  <c r="M47" i="69"/>
  <c r="AB26" i="67"/>
  <c r="AX26" i="68"/>
  <c r="V25" i="68"/>
  <c r="AB13" i="67"/>
  <c r="AX24" i="68"/>
  <c r="V6" i="68"/>
  <c r="AB6" i="67"/>
  <c r="AX17" i="68"/>
  <c r="V9" i="68"/>
  <c r="AB8" i="67"/>
  <c r="L3" i="67"/>
  <c r="AB3" i="67"/>
  <c r="AX9" i="68"/>
  <c r="L8" i="67"/>
  <c r="AB10" i="67"/>
  <c r="AX4" i="68"/>
  <c r="L19" i="67"/>
  <c r="AB15" i="67"/>
  <c r="AX16" i="68"/>
  <c r="L14" i="67"/>
  <c r="AB12" i="67"/>
  <c r="AX5" i="68"/>
  <c r="D11" i="67"/>
  <c r="T11" i="67"/>
  <c r="T7" i="67"/>
  <c r="AJ17" i="68"/>
  <c r="AJ21" i="68"/>
  <c r="H15" i="68"/>
  <c r="T19" i="67"/>
  <c r="T12" i="67"/>
  <c r="D4" i="67"/>
  <c r="H14" i="68"/>
  <c r="T18" i="67"/>
  <c r="AJ10" i="68"/>
  <c r="AB11" i="67"/>
  <c r="AB22" i="67"/>
  <c r="AB29" i="67"/>
  <c r="AB23" i="67"/>
  <c r="AC47" i="69"/>
  <c r="AC29" i="69"/>
  <c r="L15" i="67"/>
  <c r="V12" i="68"/>
  <c r="V16" i="68"/>
  <c r="V15" i="68"/>
  <c r="V21" i="68"/>
  <c r="L22" i="67"/>
  <c r="L16" i="67"/>
  <c r="L20" i="67"/>
  <c r="L5" i="67"/>
  <c r="L18" i="67"/>
  <c r="L9" i="67"/>
  <c r="V8" i="68"/>
  <c r="V7" i="68"/>
  <c r="V4" i="68"/>
  <c r="V14" i="68"/>
  <c r="V17" i="68"/>
  <c r="V10" i="68"/>
  <c r="V5" i="68"/>
  <c r="L11" i="26"/>
  <c r="Y11" i="26"/>
  <c r="Z12" i="26"/>
  <c r="U11" i="32"/>
  <c r="T11" i="32"/>
  <c r="P39" i="32"/>
  <c r="T187" i="37"/>
  <c r="T163" i="37"/>
  <c r="T173" i="37"/>
  <c r="T180" i="37"/>
  <c r="T174" i="37"/>
  <c r="T164" i="37"/>
  <c r="T160" i="37"/>
  <c r="O20" i="32"/>
  <c r="O12" i="32"/>
  <c r="O35" i="32"/>
  <c r="T12" i="26"/>
  <c r="T39" i="26"/>
  <c r="N11" i="24"/>
  <c r="N11" i="32"/>
  <c r="U12" i="26"/>
  <c r="U30" i="26"/>
  <c r="T168" i="37"/>
  <c r="T183" i="37"/>
  <c r="T175" i="37"/>
  <c r="T171" i="37"/>
  <c r="T161" i="37"/>
  <c r="T188" i="37"/>
  <c r="T184" i="37"/>
  <c r="T178" i="37"/>
  <c r="T170" i="37"/>
  <c r="T162" i="37"/>
  <c r="U39" i="26"/>
  <c r="O39" i="32"/>
  <c r="T20" i="26"/>
  <c r="B12" i="24"/>
  <c r="B11" i="24"/>
  <c r="H6" i="68"/>
  <c r="D3" i="67"/>
  <c r="H8" i="68"/>
  <c r="AB17" i="67"/>
  <c r="D12" i="67"/>
  <c r="D20" i="67"/>
  <c r="D6" i="67"/>
  <c r="D18" i="67"/>
  <c r="D8" i="67"/>
  <c r="D17" i="67"/>
  <c r="D5" i="67"/>
  <c r="H17" i="68"/>
  <c r="D14" i="67"/>
  <c r="H29" i="68"/>
  <c r="D19" i="67"/>
  <c r="D10" i="67"/>
  <c r="D16" i="67"/>
  <c r="D15" i="67"/>
  <c r="H12" i="68"/>
  <c r="H23" i="68"/>
  <c r="H27" i="68"/>
  <c r="H16" i="68"/>
  <c r="H18" i="68"/>
  <c r="D24" i="67"/>
  <c r="M51" i="69"/>
  <c r="V29" i="68"/>
  <c r="L27" i="67"/>
  <c r="L29" i="67"/>
  <c r="V27" i="68"/>
  <c r="M55" i="69"/>
  <c r="C12" i="74"/>
  <c r="L12" i="54"/>
  <c r="L28" i="67"/>
  <c r="V28" i="68"/>
  <c r="M53" i="69"/>
  <c r="E49" i="69"/>
  <c r="H26" i="68"/>
  <c r="D26" i="67"/>
  <c r="E55" i="69"/>
  <c r="H25" i="68"/>
  <c r="D29" i="67"/>
  <c r="E51" i="69"/>
  <c r="D27" i="67"/>
  <c r="H22" i="68"/>
  <c r="E23" i="69"/>
  <c r="D13" i="67"/>
  <c r="H11" i="68"/>
  <c r="E43" i="69"/>
  <c r="D23" i="67"/>
  <c r="H21" i="68"/>
  <c r="D22" i="67"/>
  <c r="H19" i="68"/>
  <c r="E41" i="69"/>
  <c r="E47" i="69"/>
  <c r="H24" i="68"/>
  <c r="D25" i="67"/>
  <c r="E15" i="69"/>
  <c r="D9" i="67"/>
  <c r="H10" i="68"/>
  <c r="M49" i="69"/>
  <c r="L26" i="67"/>
  <c r="V23" i="68"/>
  <c r="M19" i="69"/>
  <c r="L11" i="67"/>
  <c r="V11" i="68"/>
  <c r="M45" i="69"/>
  <c r="L24" i="67"/>
  <c r="V22" i="68"/>
  <c r="L23" i="67"/>
  <c r="V18" i="68"/>
  <c r="M43" i="69"/>
  <c r="E53" i="69"/>
  <c r="D28" i="67"/>
  <c r="H28" i="68"/>
  <c r="B12" i="74"/>
  <c r="D12" i="54"/>
  <c r="D12" i="74"/>
  <c r="T12" i="54"/>
  <c r="M39" i="69"/>
  <c r="L21" i="67"/>
  <c r="V20" i="68"/>
  <c r="M31" i="69"/>
  <c r="L17" i="67"/>
  <c r="V19" i="68"/>
  <c r="U49" i="69"/>
  <c r="T26" i="67"/>
  <c r="AJ27" i="68"/>
  <c r="U55" i="69"/>
  <c r="T29" i="67"/>
  <c r="AJ29" i="68"/>
  <c r="T27" i="67"/>
  <c r="AJ23" i="68"/>
  <c r="U51" i="69"/>
  <c r="U23" i="69"/>
  <c r="T13" i="67"/>
  <c r="AJ13" i="68"/>
  <c r="U45" i="69"/>
  <c r="T24" i="67"/>
  <c r="AJ24" i="68"/>
  <c r="U41" i="69"/>
  <c r="T22" i="67"/>
  <c r="AJ19" i="68"/>
  <c r="U53" i="69"/>
  <c r="T28" i="67"/>
  <c r="AJ28" i="68"/>
  <c r="U39" i="69"/>
  <c r="AJ20" i="68"/>
  <c r="T21" i="67"/>
  <c r="U25" i="69"/>
  <c r="T14" i="67"/>
  <c r="AJ16" i="68"/>
  <c r="B3" i="75"/>
  <c r="B3" i="70"/>
  <c r="B3" i="54"/>
  <c r="D3" i="75"/>
  <c r="R3" i="54"/>
  <c r="D3" i="70"/>
  <c r="C3" i="75"/>
  <c r="C3" i="70"/>
  <c r="J3" i="54"/>
  <c r="L4" i="54"/>
  <c r="C4" i="74"/>
  <c r="L22" i="54"/>
  <c r="C22" i="74"/>
  <c r="L27" i="54"/>
  <c r="C27" i="74"/>
  <c r="L31" i="54"/>
  <c r="C31" i="74"/>
  <c r="D4" i="54"/>
  <c r="B4" i="74"/>
  <c r="D22" i="54"/>
  <c r="B22" i="74"/>
  <c r="AB4" i="54"/>
  <c r="E4" i="74"/>
  <c r="AB22" i="54"/>
  <c r="E22" i="74"/>
  <c r="AB27" i="54"/>
  <c r="E27" i="74"/>
  <c r="AB31" i="54"/>
  <c r="E31" i="74"/>
  <c r="T4" i="54"/>
  <c r="D4" i="74"/>
  <c r="T22" i="54"/>
  <c r="D22" i="74"/>
  <c r="D27" i="54"/>
  <c r="B27" i="74"/>
  <c r="D31" i="54"/>
  <c r="B31" i="74"/>
  <c r="T27" i="54"/>
  <c r="D27" i="74"/>
  <c r="T31" i="54"/>
  <c r="D31" i="74"/>
  <c r="AB12" i="54"/>
  <c r="E12" i="74"/>
  <c r="M35" i="32"/>
  <c r="Z3" i="54"/>
  <c r="E3" i="70"/>
  <c r="M30" i="32"/>
  <c r="M39" i="32"/>
  <c r="E11" i="24"/>
  <c r="H11" i="24"/>
  <c r="P128" i="37"/>
  <c r="P120" i="37"/>
  <c r="P147" i="37"/>
  <c r="T99" i="37"/>
  <c r="AJ99" i="37"/>
  <c r="T103" i="37"/>
  <c r="AJ103" i="37"/>
  <c r="T94" i="37"/>
  <c r="AJ94" i="37"/>
  <c r="T85" i="37"/>
  <c r="AJ85" i="37"/>
  <c r="T102" i="37"/>
  <c r="AJ102" i="37"/>
  <c r="T93" i="37"/>
  <c r="AJ93" i="37"/>
  <c r="T84" i="37"/>
  <c r="AJ84" i="37"/>
  <c r="T96" i="37"/>
  <c r="AJ96" i="37"/>
  <c r="T87" i="37"/>
  <c r="AJ87" i="37"/>
  <c r="T95" i="37"/>
  <c r="AJ95" i="37"/>
  <c r="T86" i="37"/>
  <c r="AJ86" i="37"/>
  <c r="T108" i="37"/>
  <c r="AJ108" i="37"/>
  <c r="T98" i="37"/>
  <c r="AJ98" i="37"/>
  <c r="T89" i="37"/>
  <c r="AJ89" i="37"/>
  <c r="T107" i="37"/>
  <c r="AJ107" i="37"/>
  <c r="T97" i="37"/>
  <c r="AJ97" i="37"/>
  <c r="T88" i="37"/>
  <c r="AJ88" i="37"/>
  <c r="H142" i="37"/>
  <c r="H132" i="37"/>
  <c r="H150" i="37"/>
  <c r="H130" i="37"/>
  <c r="H127" i="37"/>
  <c r="T127" i="37"/>
  <c r="AJ127" i="37"/>
  <c r="H151" i="37"/>
  <c r="H136" i="37"/>
  <c r="H140" i="37"/>
  <c r="H134" i="37"/>
  <c r="H133" i="37"/>
  <c r="H149" i="37"/>
  <c r="H139" i="37"/>
  <c r="T125" i="37"/>
  <c r="AJ125" i="37"/>
  <c r="T137" i="37"/>
  <c r="AJ137" i="37"/>
  <c r="T150" i="37"/>
  <c r="AJ150" i="37"/>
  <c r="T140" i="37"/>
  <c r="AJ140" i="37"/>
  <c r="T122" i="37"/>
  <c r="AJ122" i="37"/>
  <c r="H146" i="37"/>
  <c r="H145" i="37"/>
  <c r="H131" i="37"/>
  <c r="H141" i="37"/>
  <c r="H144" i="37"/>
  <c r="H148" i="37"/>
  <c r="H147" i="37"/>
  <c r="B121" i="37"/>
  <c r="T133" i="37"/>
  <c r="AJ133" i="37"/>
  <c r="T124" i="37"/>
  <c r="AJ124" i="37"/>
  <c r="T123" i="37"/>
  <c r="AJ123" i="37"/>
  <c r="T135" i="37"/>
  <c r="AJ135" i="37"/>
  <c r="T126" i="37"/>
  <c r="AJ126" i="37"/>
  <c r="M20" i="32"/>
  <c r="K11" i="32"/>
  <c r="C3" i="52"/>
  <c r="C3" i="51"/>
  <c r="K3" i="54"/>
  <c r="B3" i="52"/>
  <c r="B3" i="51"/>
  <c r="C3" i="54"/>
  <c r="D3" i="52"/>
  <c r="D3" i="51"/>
  <c r="S3" i="54"/>
  <c r="E3" i="52"/>
  <c r="E3" i="51"/>
  <c r="AA3" i="54"/>
  <c r="T9" i="24"/>
  <c r="AK9" i="24"/>
  <c r="T179" i="37"/>
  <c r="Z11" i="26"/>
  <c r="P12" i="32"/>
  <c r="U20" i="26"/>
  <c r="T186" i="37"/>
  <c r="AJ161" i="37"/>
  <c r="AF161" i="37"/>
  <c r="AB161" i="37"/>
  <c r="AB171" i="37"/>
  <c r="AJ171" i="37"/>
  <c r="AF171" i="37"/>
  <c r="AF175" i="37"/>
  <c r="AB175" i="37"/>
  <c r="AJ175" i="37"/>
  <c r="AJ183" i="37"/>
  <c r="AF183" i="37"/>
  <c r="AB183" i="37"/>
  <c r="P35" i="32"/>
  <c r="P20" i="32"/>
  <c r="AB173" i="37"/>
  <c r="AJ173" i="37"/>
  <c r="AF173" i="37"/>
  <c r="AJ179" i="37"/>
  <c r="AF179" i="37"/>
  <c r="AB179" i="37"/>
  <c r="O11" i="32"/>
  <c r="T165" i="37"/>
  <c r="T169" i="37"/>
  <c r="T189" i="37"/>
  <c r="U35" i="26"/>
  <c r="AB162" i="37"/>
  <c r="AJ162" i="37"/>
  <c r="AF162" i="37"/>
  <c r="AJ170" i="37"/>
  <c r="AF170" i="37"/>
  <c r="AB170" i="37"/>
  <c r="AB178" i="37"/>
  <c r="AJ178" i="37"/>
  <c r="AF178" i="37"/>
  <c r="AB184" i="37"/>
  <c r="AJ184" i="37"/>
  <c r="AF184" i="37"/>
  <c r="AB188" i="37"/>
  <c r="AF188" i="37"/>
  <c r="AJ188" i="37"/>
  <c r="AB168" i="37"/>
  <c r="AJ168" i="37"/>
  <c r="AF168" i="37"/>
  <c r="T159" i="37"/>
  <c r="P30" i="32"/>
  <c r="AB160" i="37"/>
  <c r="AJ160" i="37"/>
  <c r="AF160" i="37"/>
  <c r="AJ164" i="37"/>
  <c r="AF164" i="37"/>
  <c r="AB164" i="37"/>
  <c r="AF174" i="37"/>
  <c r="AB174" i="37"/>
  <c r="AJ174" i="37"/>
  <c r="AJ180" i="37"/>
  <c r="AF180" i="37"/>
  <c r="AB180" i="37"/>
  <c r="AF163" i="37"/>
  <c r="AJ163" i="37"/>
  <c r="AB163" i="37"/>
  <c r="AB187" i="37"/>
  <c r="AJ187" i="37"/>
  <c r="AF187" i="37"/>
  <c r="U11" i="26"/>
  <c r="T11" i="26"/>
  <c r="T172" i="37"/>
  <c r="T8" i="37"/>
  <c r="T12" i="37"/>
  <c r="T19" i="37"/>
  <c r="T32" i="37"/>
  <c r="T22" i="37"/>
  <c r="B12" i="26"/>
  <c r="T9" i="37"/>
  <c r="T13" i="37"/>
  <c r="T10" i="37"/>
  <c r="T21" i="37"/>
  <c r="T17" i="37"/>
  <c r="T36" i="37"/>
  <c r="T26" i="37"/>
  <c r="T18" i="37"/>
  <c r="AB3" i="54"/>
  <c r="E3" i="74"/>
  <c r="T3" i="54"/>
  <c r="D3" i="74"/>
  <c r="D3" i="54"/>
  <c r="B3" i="74"/>
  <c r="L3" i="54"/>
  <c r="C3" i="74"/>
  <c r="Q30" i="26"/>
  <c r="B139" i="37"/>
  <c r="B138" i="37"/>
  <c r="B129" i="37"/>
  <c r="B128" i="37"/>
  <c r="Q39" i="26"/>
  <c r="B148" i="37"/>
  <c r="B147" i="37"/>
  <c r="B144" i="37"/>
  <c r="B143" i="37"/>
  <c r="AA18" i="33"/>
  <c r="AA20" i="33"/>
  <c r="AA22" i="33"/>
  <c r="AB123" i="37"/>
  <c r="AF123" i="37"/>
  <c r="AB133" i="37"/>
  <c r="AF133" i="37"/>
  <c r="AB127" i="37"/>
  <c r="AF127" i="37"/>
  <c r="AB125" i="37"/>
  <c r="AF125" i="37"/>
  <c r="AB86" i="37"/>
  <c r="AF86" i="37"/>
  <c r="AB93" i="37"/>
  <c r="AF93" i="37"/>
  <c r="AB102" i="37"/>
  <c r="AF102" i="37"/>
  <c r="AB99" i="37"/>
  <c r="AF99" i="37"/>
  <c r="AB126" i="37"/>
  <c r="AF126" i="37"/>
  <c r="AB135" i="37"/>
  <c r="AF135" i="37"/>
  <c r="AB124" i="37"/>
  <c r="AF124" i="37"/>
  <c r="AB122" i="37"/>
  <c r="AF122" i="37"/>
  <c r="AB140" i="37"/>
  <c r="AF140" i="37"/>
  <c r="AB150" i="37"/>
  <c r="AF150" i="37"/>
  <c r="AB137" i="37"/>
  <c r="AF137" i="37"/>
  <c r="AB88" i="37"/>
  <c r="AF88" i="37"/>
  <c r="AB97" i="37"/>
  <c r="AF97" i="37"/>
  <c r="AB107" i="37"/>
  <c r="AF107" i="37"/>
  <c r="AB89" i="37"/>
  <c r="AF89" i="37"/>
  <c r="AB98" i="37"/>
  <c r="AF98" i="37"/>
  <c r="AB108" i="37"/>
  <c r="AF108" i="37"/>
  <c r="AB95" i="37"/>
  <c r="AF95" i="37"/>
  <c r="AB87" i="37"/>
  <c r="AF87" i="37"/>
  <c r="AB96" i="37"/>
  <c r="AF96" i="37"/>
  <c r="AB84" i="37"/>
  <c r="AF84" i="37"/>
  <c r="AB85" i="37"/>
  <c r="AF85" i="37"/>
  <c r="AB94" i="37"/>
  <c r="AF94" i="37"/>
  <c r="AB103" i="37"/>
  <c r="AF103" i="37"/>
  <c r="P119" i="37"/>
  <c r="Q12" i="26"/>
  <c r="Q11" i="26"/>
  <c r="T141" i="37"/>
  <c r="AJ141" i="37"/>
  <c r="H143" i="37"/>
  <c r="H138" i="37"/>
  <c r="T104" i="37"/>
  <c r="AJ104" i="37"/>
  <c r="T145" i="37"/>
  <c r="AJ145" i="37"/>
  <c r="T131" i="37"/>
  <c r="AJ131" i="37"/>
  <c r="AA30" i="33"/>
  <c r="AA11" i="33"/>
  <c r="AA12" i="33"/>
  <c r="AA31" i="33"/>
  <c r="AA8" i="33"/>
  <c r="AA10" i="33"/>
  <c r="AA9" i="33"/>
  <c r="AA26" i="33"/>
  <c r="T112" i="37"/>
  <c r="AJ112" i="37"/>
  <c r="T111" i="37"/>
  <c r="AJ111" i="37"/>
  <c r="AA25" i="33"/>
  <c r="AA7" i="33"/>
  <c r="T113" i="37"/>
  <c r="AJ113" i="37"/>
  <c r="H129" i="37"/>
  <c r="H128" i="37"/>
  <c r="T132" i="37"/>
  <c r="AJ132" i="37"/>
  <c r="T151" i="37"/>
  <c r="AJ151" i="37"/>
  <c r="T142" i="37"/>
  <c r="AJ142" i="37"/>
  <c r="T130" i="37"/>
  <c r="AJ130" i="37"/>
  <c r="T149" i="37"/>
  <c r="AJ149" i="37"/>
  <c r="T136" i="37"/>
  <c r="AJ136" i="37"/>
  <c r="T146" i="37"/>
  <c r="AJ146" i="37"/>
  <c r="T134" i="37"/>
  <c r="AJ134" i="37"/>
  <c r="W9" i="24"/>
  <c r="AN9" i="24"/>
  <c r="T20" i="37"/>
  <c r="T31" i="37"/>
  <c r="T27" i="37"/>
  <c r="T37" i="37"/>
  <c r="AF172" i="37"/>
  <c r="AB172" i="37"/>
  <c r="AJ172" i="37"/>
  <c r="BU36" i="31"/>
  <c r="BU26" i="31"/>
  <c r="BU20" i="31"/>
  <c r="BU16" i="31"/>
  <c r="BU12" i="31"/>
  <c r="T158" i="37"/>
  <c r="AB158" i="37"/>
  <c r="BU30" i="31"/>
  <c r="BU22" i="31"/>
  <c r="BU18" i="31"/>
  <c r="BU8" i="31"/>
  <c r="AB169" i="37"/>
  <c r="AJ169" i="37"/>
  <c r="AF169" i="37"/>
  <c r="AG34" i="33"/>
  <c r="AG20" i="33"/>
  <c r="AG10" i="33"/>
  <c r="AG11" i="33"/>
  <c r="AG7" i="33"/>
  <c r="AG15" i="33"/>
  <c r="BS34" i="31"/>
  <c r="F187" i="36"/>
  <c r="F187" i="40"/>
  <c r="F187" i="44"/>
  <c r="BT34" i="31"/>
  <c r="G187" i="36"/>
  <c r="G187" i="40"/>
  <c r="G187" i="44"/>
  <c r="BR34" i="31"/>
  <c r="E187" i="36"/>
  <c r="E187" i="40"/>
  <c r="E187" i="44"/>
  <c r="BS10" i="31"/>
  <c r="F163" i="36"/>
  <c r="F163" i="40"/>
  <c r="F163" i="44"/>
  <c r="BT10" i="31"/>
  <c r="G163" i="36"/>
  <c r="G163" i="40"/>
  <c r="G163" i="44"/>
  <c r="BR10" i="31"/>
  <c r="E163" i="36"/>
  <c r="E163" i="40"/>
  <c r="E163" i="44"/>
  <c r="BS19" i="31"/>
  <c r="F172" i="36"/>
  <c r="F172" i="40"/>
  <c r="F172" i="44"/>
  <c r="BT19" i="31"/>
  <c r="G172" i="36"/>
  <c r="G172" i="40"/>
  <c r="G172" i="44"/>
  <c r="BR19" i="31"/>
  <c r="E172" i="36"/>
  <c r="E172" i="40"/>
  <c r="E172" i="44"/>
  <c r="BR27" i="31"/>
  <c r="E180" i="36"/>
  <c r="E180" i="40"/>
  <c r="E180" i="44"/>
  <c r="BS27" i="31"/>
  <c r="F180" i="36"/>
  <c r="F180" i="40"/>
  <c r="F180" i="44"/>
  <c r="BT27" i="31"/>
  <c r="G180" i="36"/>
  <c r="G180" i="40"/>
  <c r="G180" i="44"/>
  <c r="BT21" i="31"/>
  <c r="G174" i="36"/>
  <c r="G174" i="40"/>
  <c r="G174" i="44"/>
  <c r="BR21" i="31"/>
  <c r="E174" i="36"/>
  <c r="E174" i="40"/>
  <c r="E174" i="44"/>
  <c r="BS21" i="31"/>
  <c r="F174" i="36"/>
  <c r="F174" i="40"/>
  <c r="F174" i="44"/>
  <c r="BR11" i="31"/>
  <c r="E164" i="36"/>
  <c r="E164" i="40"/>
  <c r="E164" i="44"/>
  <c r="BS11" i="31"/>
  <c r="F164" i="36"/>
  <c r="F164" i="40"/>
  <c r="F164" i="44"/>
  <c r="BT11" i="31"/>
  <c r="G164" i="36"/>
  <c r="G164" i="40"/>
  <c r="G164" i="44"/>
  <c r="BS7" i="31"/>
  <c r="F160" i="36"/>
  <c r="F160" i="40"/>
  <c r="F160" i="44"/>
  <c r="BR7" i="31"/>
  <c r="E160" i="36"/>
  <c r="E160" i="40"/>
  <c r="E160" i="44"/>
  <c r="BT7" i="31"/>
  <c r="G160" i="36"/>
  <c r="G160" i="40"/>
  <c r="G160" i="44"/>
  <c r="AG25" i="33"/>
  <c r="AG16" i="33"/>
  <c r="AG19" i="33"/>
  <c r="BT15" i="31"/>
  <c r="G168" i="36"/>
  <c r="G168" i="40"/>
  <c r="G168" i="44"/>
  <c r="BS15" i="31"/>
  <c r="F168" i="36"/>
  <c r="F168" i="40"/>
  <c r="F168" i="44"/>
  <c r="BR15" i="31"/>
  <c r="E168" i="36"/>
  <c r="E168" i="40"/>
  <c r="E168" i="44"/>
  <c r="BR35" i="31"/>
  <c r="E188" i="36"/>
  <c r="E188" i="40"/>
  <c r="E188" i="44"/>
  <c r="BS35" i="31"/>
  <c r="F188" i="36"/>
  <c r="F188" i="40"/>
  <c r="F188" i="44"/>
  <c r="BT35" i="31"/>
  <c r="G188" i="36"/>
  <c r="G188" i="40"/>
  <c r="G188" i="44"/>
  <c r="BR31" i="31"/>
  <c r="E184" i="36"/>
  <c r="E184" i="40"/>
  <c r="E184" i="44"/>
  <c r="BT31" i="31"/>
  <c r="G184" i="36"/>
  <c r="G184" i="40"/>
  <c r="G184" i="44"/>
  <c r="BS31" i="31"/>
  <c r="F184" i="36"/>
  <c r="F184" i="40"/>
  <c r="F184" i="44"/>
  <c r="BS25" i="31"/>
  <c r="F178" i="36"/>
  <c r="F178" i="40"/>
  <c r="F178" i="44"/>
  <c r="BR25" i="31"/>
  <c r="E178" i="36"/>
  <c r="E178" i="40"/>
  <c r="E178" i="44"/>
  <c r="BT25" i="31"/>
  <c r="G178" i="36"/>
  <c r="G178" i="40"/>
  <c r="G178" i="44"/>
  <c r="BR17" i="31"/>
  <c r="E170" i="36"/>
  <c r="E170" i="40"/>
  <c r="E170" i="44"/>
  <c r="BT17" i="31"/>
  <c r="G170" i="36"/>
  <c r="G170" i="40"/>
  <c r="G170" i="44"/>
  <c r="BS17" i="31"/>
  <c r="F170" i="36"/>
  <c r="F170" i="40"/>
  <c r="F170" i="44"/>
  <c r="BT9" i="31"/>
  <c r="G162" i="36"/>
  <c r="G162" i="40"/>
  <c r="G162" i="44"/>
  <c r="BR9" i="31"/>
  <c r="E162" i="36"/>
  <c r="E162" i="40"/>
  <c r="E162" i="44"/>
  <c r="BS9" i="31"/>
  <c r="F162" i="36"/>
  <c r="F162" i="40"/>
  <c r="F162" i="44"/>
  <c r="T176" i="37"/>
  <c r="AB176" i="37"/>
  <c r="T185" i="37"/>
  <c r="AB185" i="37"/>
  <c r="BR36" i="31"/>
  <c r="E189" i="36"/>
  <c r="E189" i="40"/>
  <c r="E189" i="44"/>
  <c r="BT36" i="31"/>
  <c r="G189" i="36"/>
  <c r="G189" i="40"/>
  <c r="G189" i="44"/>
  <c r="BS36" i="31"/>
  <c r="F189" i="36"/>
  <c r="F189" i="40"/>
  <c r="F189" i="44"/>
  <c r="BR26" i="31"/>
  <c r="E179" i="36"/>
  <c r="E179" i="40"/>
  <c r="E179" i="44"/>
  <c r="BS26" i="31"/>
  <c r="F179" i="36"/>
  <c r="F179" i="40"/>
  <c r="F179" i="44"/>
  <c r="BT26" i="31"/>
  <c r="G179" i="36"/>
  <c r="G179" i="40"/>
  <c r="G179" i="44"/>
  <c r="BT20" i="31"/>
  <c r="G173" i="36"/>
  <c r="G173" i="40"/>
  <c r="G173" i="44"/>
  <c r="BS20" i="31"/>
  <c r="F173" i="36"/>
  <c r="F173" i="40"/>
  <c r="F173" i="44"/>
  <c r="BR20" i="31"/>
  <c r="E173" i="36"/>
  <c r="E173" i="40"/>
  <c r="E173" i="44"/>
  <c r="BT16" i="31"/>
  <c r="G169" i="36"/>
  <c r="G169" i="40"/>
  <c r="G169" i="44"/>
  <c r="BS16" i="31"/>
  <c r="F169" i="36"/>
  <c r="F169" i="40"/>
  <c r="F169" i="44"/>
  <c r="BR16" i="31"/>
  <c r="E169" i="36"/>
  <c r="E169" i="40"/>
  <c r="E169" i="44"/>
  <c r="BS12" i="31"/>
  <c r="F165" i="36"/>
  <c r="F165" i="40"/>
  <c r="F165" i="44"/>
  <c r="BR12" i="31"/>
  <c r="E165" i="36"/>
  <c r="E165" i="40"/>
  <c r="E165" i="44"/>
  <c r="BT12" i="31"/>
  <c r="G165" i="36"/>
  <c r="G165" i="40"/>
  <c r="G165" i="44"/>
  <c r="AJ159" i="37"/>
  <c r="AB159" i="37"/>
  <c r="BR30" i="31"/>
  <c r="E183" i="36"/>
  <c r="E183" i="40"/>
  <c r="E183" i="44"/>
  <c r="BS30" i="31"/>
  <c r="F183" i="36"/>
  <c r="F183" i="40"/>
  <c r="F183" i="44"/>
  <c r="BT30" i="31"/>
  <c r="G183" i="36"/>
  <c r="G183" i="40"/>
  <c r="G183" i="44"/>
  <c r="BS22" i="31"/>
  <c r="F175" i="36"/>
  <c r="F175" i="40"/>
  <c r="F175" i="44"/>
  <c r="BT22" i="31"/>
  <c r="G175" i="36"/>
  <c r="G175" i="40"/>
  <c r="G175" i="44"/>
  <c r="BR22" i="31"/>
  <c r="E175" i="36"/>
  <c r="E175" i="40"/>
  <c r="E175" i="44"/>
  <c r="BS18" i="31"/>
  <c r="F171" i="36"/>
  <c r="F171" i="40"/>
  <c r="F171" i="44"/>
  <c r="BT18" i="31"/>
  <c r="G171" i="36"/>
  <c r="G171" i="40"/>
  <c r="G171" i="44"/>
  <c r="BR18" i="31"/>
  <c r="E171" i="36"/>
  <c r="E171" i="40"/>
  <c r="E171" i="44"/>
  <c r="BS8" i="31"/>
  <c r="F161" i="36"/>
  <c r="F161" i="40"/>
  <c r="F161" i="44"/>
  <c r="BT8" i="31"/>
  <c r="G161" i="36"/>
  <c r="G161" i="40"/>
  <c r="G161" i="44"/>
  <c r="BR8" i="31"/>
  <c r="E161" i="36"/>
  <c r="E161" i="40"/>
  <c r="E161" i="44"/>
  <c r="V161" i="44"/>
  <c r="Z161" i="44"/>
  <c r="T181" i="37"/>
  <c r="AB181" i="37"/>
  <c r="T182" i="37"/>
  <c r="AF189" i="37"/>
  <c r="AB189" i="37"/>
  <c r="AJ189" i="37"/>
  <c r="AJ165" i="37"/>
  <c r="AF165" i="37"/>
  <c r="AB165" i="37"/>
  <c r="AG9" i="33"/>
  <c r="AG36" i="33"/>
  <c r="BU15" i="31"/>
  <c r="BU35" i="31"/>
  <c r="BU31" i="31"/>
  <c r="BU25" i="31"/>
  <c r="BU17" i="31"/>
  <c r="AJ186" i="37"/>
  <c r="AF186" i="37"/>
  <c r="AB186" i="37"/>
  <c r="T166" i="37"/>
  <c r="AB166" i="37"/>
  <c r="T167" i="37"/>
  <c r="T177" i="37"/>
  <c r="P11" i="32"/>
  <c r="AJ36" i="37"/>
  <c r="AB36" i="37"/>
  <c r="AJ17" i="37"/>
  <c r="AB17" i="37"/>
  <c r="AJ21" i="37"/>
  <c r="AB21" i="37"/>
  <c r="AJ31" i="37"/>
  <c r="AB31" i="37"/>
  <c r="AJ20" i="37"/>
  <c r="AB20" i="37"/>
  <c r="U11" i="33"/>
  <c r="U8" i="33"/>
  <c r="U16" i="33"/>
  <c r="U7" i="33"/>
  <c r="AJ19" i="37"/>
  <c r="AB19" i="37"/>
  <c r="AJ27" i="37"/>
  <c r="AB27" i="37"/>
  <c r="AJ37" i="37"/>
  <c r="AB37" i="37"/>
  <c r="U20" i="33"/>
  <c r="U9" i="33"/>
  <c r="B11" i="26"/>
  <c r="T23" i="37"/>
  <c r="T16" i="37"/>
  <c r="AB18" i="37"/>
  <c r="AJ18" i="37"/>
  <c r="AJ26" i="37"/>
  <c r="AB26" i="37"/>
  <c r="AJ10" i="37"/>
  <c r="AB10" i="37"/>
  <c r="AB13" i="37"/>
  <c r="AJ13" i="37"/>
  <c r="AB9" i="37"/>
  <c r="AJ9" i="37"/>
  <c r="U18" i="33"/>
  <c r="U31" i="33"/>
  <c r="U21" i="33"/>
  <c r="AJ22" i="37"/>
  <c r="AB22" i="37"/>
  <c r="AJ32" i="37"/>
  <c r="AB32" i="37"/>
  <c r="AB12" i="37"/>
  <c r="AJ12" i="37"/>
  <c r="AJ8" i="37"/>
  <c r="AB8" i="37"/>
  <c r="T28" i="37"/>
  <c r="T11" i="37"/>
  <c r="T35" i="37"/>
  <c r="AA16" i="33"/>
  <c r="AA19" i="33"/>
  <c r="U99" i="36"/>
  <c r="U97" i="36"/>
  <c r="U95" i="36"/>
  <c r="T92" i="37"/>
  <c r="AA21" i="33"/>
  <c r="AA17" i="33"/>
  <c r="AB134" i="37"/>
  <c r="AF134" i="37"/>
  <c r="AB136" i="37"/>
  <c r="AF136" i="37"/>
  <c r="AB130" i="37"/>
  <c r="AF130" i="37"/>
  <c r="AB151" i="37"/>
  <c r="AF151" i="37"/>
  <c r="AB112" i="37"/>
  <c r="AF112" i="37"/>
  <c r="AB131" i="37"/>
  <c r="AF131" i="37"/>
  <c r="AB104" i="37"/>
  <c r="AF104" i="37"/>
  <c r="AB141" i="37"/>
  <c r="AF141" i="37"/>
  <c r="AB146" i="37"/>
  <c r="AF146" i="37"/>
  <c r="AB149" i="37"/>
  <c r="AF149" i="37"/>
  <c r="AB142" i="37"/>
  <c r="AF142" i="37"/>
  <c r="AB132" i="37"/>
  <c r="AF132" i="37"/>
  <c r="AB113" i="37"/>
  <c r="AF113" i="37"/>
  <c r="AB111" i="37"/>
  <c r="AF111" i="37"/>
  <c r="AB145" i="37"/>
  <c r="AF145" i="37"/>
  <c r="U103" i="36"/>
  <c r="U87" i="36"/>
  <c r="U85" i="36"/>
  <c r="U108" i="36"/>
  <c r="U88" i="36"/>
  <c r="U84" i="36"/>
  <c r="U102" i="36"/>
  <c r="U86" i="36"/>
  <c r="U89" i="36"/>
  <c r="U107" i="36"/>
  <c r="T148" i="37"/>
  <c r="AJ148" i="37"/>
  <c r="T147" i="37"/>
  <c r="AB147" i="37"/>
  <c r="T139" i="37"/>
  <c r="AJ139" i="37"/>
  <c r="T138" i="37"/>
  <c r="AB138" i="37"/>
  <c r="T129" i="37"/>
  <c r="AJ129" i="37"/>
  <c r="T128" i="37"/>
  <c r="AB128" i="37"/>
  <c r="T144" i="37"/>
  <c r="AJ144" i="37"/>
  <c r="T143" i="37"/>
  <c r="AB143" i="37"/>
  <c r="B120" i="37"/>
  <c r="B119" i="37"/>
  <c r="T101" i="37"/>
  <c r="AJ101" i="37"/>
  <c r="T100" i="37"/>
  <c r="AB100" i="37"/>
  <c r="T106" i="37"/>
  <c r="AJ106" i="37"/>
  <c r="T105" i="37"/>
  <c r="AB105" i="37"/>
  <c r="T91" i="37"/>
  <c r="AJ91" i="37"/>
  <c r="T110" i="37"/>
  <c r="AJ110" i="37"/>
  <c r="AA35" i="33"/>
  <c r="T90" i="37"/>
  <c r="AB90" i="37"/>
  <c r="AA27" i="33"/>
  <c r="AA36" i="33"/>
  <c r="Z9" i="24"/>
  <c r="AQ9" i="24"/>
  <c r="U19" i="43"/>
  <c r="U7" i="43"/>
  <c r="Q9" i="43"/>
  <c r="B9" i="59"/>
  <c r="V11" i="44"/>
  <c r="V173" i="44"/>
  <c r="Z173" i="44"/>
  <c r="BU24" i="31"/>
  <c r="BU32" i="31"/>
  <c r="AB177" i="37"/>
  <c r="AJ177" i="37"/>
  <c r="AF177" i="37"/>
  <c r="AG8" i="33"/>
  <c r="AG18" i="33"/>
  <c r="AG30" i="33"/>
  <c r="BU11" i="31"/>
  <c r="BU27" i="31"/>
  <c r="BU10" i="31"/>
  <c r="AG27" i="33"/>
  <c r="AG26" i="33"/>
  <c r="AB167" i="37"/>
  <c r="AJ167" i="37"/>
  <c r="AF167" i="37"/>
  <c r="T184" i="36"/>
  <c r="T188" i="36"/>
  <c r="T168" i="36"/>
  <c r="BR23" i="31"/>
  <c r="E176" i="36"/>
  <c r="E176" i="40"/>
  <c r="E176" i="44"/>
  <c r="U22" i="43"/>
  <c r="BT23" i="31"/>
  <c r="G176" i="36"/>
  <c r="G176" i="40"/>
  <c r="G176" i="44"/>
  <c r="BS23" i="31"/>
  <c r="F176" i="36"/>
  <c r="F176" i="40"/>
  <c r="F176" i="44"/>
  <c r="BT6" i="31"/>
  <c r="G159" i="36"/>
  <c r="G159" i="40"/>
  <c r="G159" i="44"/>
  <c r="BS6" i="31"/>
  <c r="F159" i="36"/>
  <c r="F159" i="40"/>
  <c r="F159" i="44"/>
  <c r="BR6" i="31"/>
  <c r="E159" i="36"/>
  <c r="E159" i="40"/>
  <c r="E159" i="44"/>
  <c r="BS33" i="31"/>
  <c r="F186" i="36"/>
  <c r="F186" i="40"/>
  <c r="F186" i="44"/>
  <c r="BR33" i="31"/>
  <c r="E186" i="36"/>
  <c r="E186" i="40"/>
  <c r="E186" i="44"/>
  <c r="BT33" i="31"/>
  <c r="G186" i="36"/>
  <c r="G186" i="40"/>
  <c r="G186" i="44"/>
  <c r="U32" i="43"/>
  <c r="U11" i="43"/>
  <c r="V165" i="44"/>
  <c r="Z165" i="44"/>
  <c r="V189" i="44"/>
  <c r="Z189" i="44"/>
  <c r="U35" i="43"/>
  <c r="U8" i="43"/>
  <c r="V162" i="44"/>
  <c r="Z162" i="44"/>
  <c r="U16" i="43"/>
  <c r="V170" i="44"/>
  <c r="Z170" i="44"/>
  <c r="V188" i="44"/>
  <c r="Z188" i="44"/>
  <c r="U34" i="43"/>
  <c r="V160" i="44"/>
  <c r="Z160" i="44"/>
  <c r="U6" i="43"/>
  <c r="U10" i="43"/>
  <c r="V164" i="44"/>
  <c r="Z164" i="44"/>
  <c r="V174" i="44"/>
  <c r="Z174" i="44"/>
  <c r="U20" i="43"/>
  <c r="V172" i="44"/>
  <c r="Z172" i="44"/>
  <c r="U18" i="43"/>
  <c r="V187" i="44"/>
  <c r="Z187" i="44"/>
  <c r="U33" i="43"/>
  <c r="U168" i="36"/>
  <c r="U160" i="36"/>
  <c r="U164" i="36"/>
  <c r="U163" i="36"/>
  <c r="U173" i="36"/>
  <c r="U187" i="36"/>
  <c r="AG32" i="33"/>
  <c r="T161" i="36"/>
  <c r="T171" i="36"/>
  <c r="T183" i="36"/>
  <c r="T173" i="36"/>
  <c r="BU9" i="31"/>
  <c r="AG17" i="33"/>
  <c r="AG12" i="33"/>
  <c r="AG22" i="33"/>
  <c r="BU7" i="31"/>
  <c r="BU21" i="31"/>
  <c r="BU19" i="31"/>
  <c r="BU34" i="31"/>
  <c r="AG35" i="33"/>
  <c r="AG21" i="33"/>
  <c r="T170" i="36"/>
  <c r="T178" i="36"/>
  <c r="BU23" i="31"/>
  <c r="BU6" i="31"/>
  <c r="U189" i="36"/>
  <c r="U162" i="36"/>
  <c r="AG33" i="33"/>
  <c r="AJ182" i="37"/>
  <c r="AF182" i="37"/>
  <c r="AB182" i="37"/>
  <c r="BU33" i="31"/>
  <c r="V171" i="44"/>
  <c r="Z171" i="44"/>
  <c r="U17" i="43"/>
  <c r="V175" i="44"/>
  <c r="Z175" i="44"/>
  <c r="U21" i="43"/>
  <c r="V183" i="44"/>
  <c r="Z183" i="44"/>
  <c r="U29" i="43"/>
  <c r="U15" i="43"/>
  <c r="V169" i="44"/>
  <c r="Z169" i="44"/>
  <c r="V179" i="44"/>
  <c r="Z179" i="44"/>
  <c r="U25" i="43"/>
  <c r="U24" i="43"/>
  <c r="V178" i="44"/>
  <c r="Z178" i="44"/>
  <c r="V184" i="44"/>
  <c r="Z184" i="44"/>
  <c r="U30" i="43"/>
  <c r="U14" i="43"/>
  <c r="V168" i="44"/>
  <c r="Z168" i="44"/>
  <c r="BR24" i="31"/>
  <c r="E177" i="36"/>
  <c r="E177" i="40"/>
  <c r="E177" i="44"/>
  <c r="BS24" i="31"/>
  <c r="F177" i="36"/>
  <c r="F177" i="40"/>
  <c r="F177" i="44"/>
  <c r="BT24" i="31"/>
  <c r="G177" i="36"/>
  <c r="G177" i="40"/>
  <c r="G177" i="44"/>
  <c r="U172" i="36"/>
  <c r="U169" i="36"/>
  <c r="U178" i="36"/>
  <c r="AG29" i="33"/>
  <c r="U26" i="43"/>
  <c r="V180" i="44"/>
  <c r="Z180" i="44"/>
  <c r="V163" i="44"/>
  <c r="Z163" i="44"/>
  <c r="U9" i="43"/>
  <c r="BT32" i="31"/>
  <c r="G185" i="36"/>
  <c r="G185" i="40"/>
  <c r="G185" i="44"/>
  <c r="BS32" i="31"/>
  <c r="F185" i="36"/>
  <c r="F185" i="40"/>
  <c r="F185" i="44"/>
  <c r="V185" i="44"/>
  <c r="BR32" i="31"/>
  <c r="E185" i="36"/>
  <c r="E185" i="40"/>
  <c r="E185" i="44"/>
  <c r="T175" i="36"/>
  <c r="T165" i="36"/>
  <c r="T169" i="36"/>
  <c r="T179" i="36"/>
  <c r="T189" i="36"/>
  <c r="T157" i="37"/>
  <c r="AJ35" i="37"/>
  <c r="AB35" i="37"/>
  <c r="AB11" i="37"/>
  <c r="AJ11" i="37"/>
  <c r="T30" i="37"/>
  <c r="T29" i="37"/>
  <c r="AB29" i="37"/>
  <c r="U19" i="36"/>
  <c r="V31" i="44"/>
  <c r="Q29" i="43"/>
  <c r="B29" i="59"/>
  <c r="AS30" i="31"/>
  <c r="T15" i="37"/>
  <c r="T14" i="37"/>
  <c r="AB14" i="37"/>
  <c r="T34" i="37"/>
  <c r="T33" i="37"/>
  <c r="AB33" i="37"/>
  <c r="AB23" i="37"/>
  <c r="AJ23" i="37"/>
  <c r="U34" i="33"/>
  <c r="U10" i="36"/>
  <c r="U36" i="33"/>
  <c r="U12" i="33"/>
  <c r="U26" i="33"/>
  <c r="U19" i="33"/>
  <c r="U21" i="36"/>
  <c r="AS10" i="31"/>
  <c r="U9" i="36"/>
  <c r="U12" i="36"/>
  <c r="AJ28" i="37"/>
  <c r="AB28" i="37"/>
  <c r="U25" i="33"/>
  <c r="AS15" i="31"/>
  <c r="U22" i="36"/>
  <c r="U32" i="36"/>
  <c r="U35" i="33"/>
  <c r="U27" i="33"/>
  <c r="U17" i="33"/>
  <c r="AS34" i="31"/>
  <c r="AS19" i="31"/>
  <c r="AS20" i="31"/>
  <c r="AS16" i="31"/>
  <c r="T25" i="37"/>
  <c r="T24" i="37"/>
  <c r="AB24" i="37"/>
  <c r="AJ16" i="37"/>
  <c r="AB16" i="37"/>
  <c r="AS7" i="31"/>
  <c r="V28" i="44"/>
  <c r="Q26" i="43"/>
  <c r="B26" i="59"/>
  <c r="AS27" i="31"/>
  <c r="U8" i="36"/>
  <c r="U17" i="36"/>
  <c r="U30" i="33"/>
  <c r="U22" i="33"/>
  <c r="U15" i="33"/>
  <c r="AS8" i="31"/>
  <c r="AS12" i="31"/>
  <c r="AS9" i="31"/>
  <c r="V98" i="44"/>
  <c r="V93" i="44"/>
  <c r="V51" i="44"/>
  <c r="V61" i="44"/>
  <c r="V69" i="44"/>
  <c r="V54" i="44"/>
  <c r="V46" i="44"/>
  <c r="V64" i="44"/>
  <c r="V74" i="44"/>
  <c r="V70" i="44"/>
  <c r="V50" i="44"/>
  <c r="V56" i="44"/>
  <c r="V75" i="44"/>
  <c r="V48" i="44"/>
  <c r="V57" i="44"/>
  <c r="V66" i="44"/>
  <c r="V58" i="44"/>
  <c r="V107" i="44"/>
  <c r="V85" i="44"/>
  <c r="V103" i="44"/>
  <c r="V113" i="44"/>
  <c r="V89" i="44"/>
  <c r="V95" i="44"/>
  <c r="V104" i="44"/>
  <c r="V84" i="44"/>
  <c r="V99" i="44"/>
  <c r="V111" i="44"/>
  <c r="V112" i="44"/>
  <c r="S9" i="43"/>
  <c r="V87" i="44"/>
  <c r="S18" i="43"/>
  <c r="D18" i="59"/>
  <c r="V96" i="44"/>
  <c r="S24" i="43"/>
  <c r="V102" i="44"/>
  <c r="S30" i="43"/>
  <c r="D30" i="59"/>
  <c r="V108" i="44"/>
  <c r="V55" i="44"/>
  <c r="V59" i="44"/>
  <c r="V47" i="44"/>
  <c r="V65" i="44"/>
  <c r="V73" i="44"/>
  <c r="V60" i="44"/>
  <c r="V49" i="44"/>
  <c r="V92" i="44"/>
  <c r="V88" i="44"/>
  <c r="V97" i="44"/>
  <c r="V94" i="44"/>
  <c r="V86" i="44"/>
  <c r="U96" i="36"/>
  <c r="U93" i="36"/>
  <c r="AA14" i="33"/>
  <c r="U94" i="36"/>
  <c r="AA15" i="33"/>
  <c r="U98" i="36"/>
  <c r="AJ92" i="37"/>
  <c r="AF92" i="37"/>
  <c r="AB92" i="37"/>
  <c r="AB110" i="37"/>
  <c r="AF110" i="37"/>
  <c r="AB91" i="37"/>
  <c r="AF91" i="37"/>
  <c r="AB106" i="37"/>
  <c r="AF106" i="37"/>
  <c r="AB101" i="37"/>
  <c r="AF101" i="37"/>
  <c r="AB144" i="37"/>
  <c r="AF144" i="37"/>
  <c r="AB129" i="37"/>
  <c r="AF129" i="37"/>
  <c r="AB139" i="37"/>
  <c r="AF139" i="37"/>
  <c r="AB148" i="37"/>
  <c r="AF148" i="37"/>
  <c r="R11" i="43"/>
  <c r="C11" i="59"/>
  <c r="R21" i="43"/>
  <c r="C21" i="59"/>
  <c r="T109" i="37"/>
  <c r="AJ109" i="37"/>
  <c r="S20" i="43"/>
  <c r="S15" i="43"/>
  <c r="D15" i="59"/>
  <c r="V12" i="36"/>
  <c r="V13" i="36"/>
  <c r="T69" i="36"/>
  <c r="T54" i="36"/>
  <c r="T61" i="36"/>
  <c r="T64" i="36"/>
  <c r="T74" i="36"/>
  <c r="T51" i="36"/>
  <c r="T97" i="36"/>
  <c r="T89" i="36"/>
  <c r="T108" i="36"/>
  <c r="T104" i="36"/>
  <c r="T99" i="36"/>
  <c r="T86" i="36"/>
  <c r="T96" i="36"/>
  <c r="T102" i="36"/>
  <c r="T98" i="36"/>
  <c r="T113" i="36"/>
  <c r="T107" i="36"/>
  <c r="R29" i="43"/>
  <c r="C29" i="59"/>
  <c r="R14" i="43"/>
  <c r="C14" i="59"/>
  <c r="R6" i="43"/>
  <c r="C6" i="59"/>
  <c r="R24" i="43"/>
  <c r="C24" i="59"/>
  <c r="R34" i="43"/>
  <c r="C34" i="59"/>
  <c r="R30" i="43"/>
  <c r="C30" i="59"/>
  <c r="R10" i="43"/>
  <c r="C10" i="59"/>
  <c r="R16" i="43"/>
  <c r="C16" i="59"/>
  <c r="R35" i="43"/>
  <c r="C35" i="59"/>
  <c r="R8" i="43"/>
  <c r="C8" i="59"/>
  <c r="R17" i="43"/>
  <c r="C17" i="59"/>
  <c r="R26" i="43"/>
  <c r="C26" i="59"/>
  <c r="R18" i="43"/>
  <c r="C18" i="59"/>
  <c r="S29" i="43"/>
  <c r="D29" i="59"/>
  <c r="S7" i="43"/>
  <c r="D7" i="59"/>
  <c r="S25" i="43"/>
  <c r="D25" i="59"/>
  <c r="S35" i="43"/>
  <c r="S11" i="43"/>
  <c r="D11" i="59"/>
  <c r="S17" i="43"/>
  <c r="S26" i="43"/>
  <c r="D26" i="59"/>
  <c r="S6" i="43"/>
  <c r="D6" i="59"/>
  <c r="S21" i="43"/>
  <c r="D21" i="59"/>
  <c r="S33" i="43"/>
  <c r="S34" i="43"/>
  <c r="D34" i="59"/>
  <c r="V7" i="36"/>
  <c r="V9" i="36"/>
  <c r="V8" i="36"/>
  <c r="V11" i="36"/>
  <c r="T60" i="36"/>
  <c r="T46" i="36"/>
  <c r="T55" i="36"/>
  <c r="T70" i="36"/>
  <c r="T88" i="36"/>
  <c r="T95" i="36"/>
  <c r="T84" i="36"/>
  <c r="T94" i="36"/>
  <c r="T111" i="36"/>
  <c r="U113" i="36"/>
  <c r="U104" i="36"/>
  <c r="U112" i="36"/>
  <c r="T87" i="36"/>
  <c r="T85" i="36"/>
  <c r="T92" i="36"/>
  <c r="T103" i="36"/>
  <c r="R15" i="43"/>
  <c r="C15" i="59"/>
  <c r="R19" i="43"/>
  <c r="C19" i="59"/>
  <c r="R7" i="43"/>
  <c r="C7" i="59"/>
  <c r="R25" i="43"/>
  <c r="C25" i="59"/>
  <c r="R33" i="43"/>
  <c r="C33" i="59"/>
  <c r="R20" i="43"/>
  <c r="C20" i="59"/>
  <c r="R9" i="43"/>
  <c r="C9" i="59"/>
  <c r="S14" i="43"/>
  <c r="D14" i="59"/>
  <c r="S10" i="43"/>
  <c r="D10" i="59"/>
  <c r="S19" i="43"/>
  <c r="S16" i="43"/>
  <c r="D16" i="59"/>
  <c r="S8" i="43"/>
  <c r="D8" i="59"/>
  <c r="BG31" i="31"/>
  <c r="BG18" i="31"/>
  <c r="BG27" i="31"/>
  <c r="BG11" i="31"/>
  <c r="BG20" i="31"/>
  <c r="AZ21" i="31"/>
  <c r="BG12" i="31"/>
  <c r="BG7" i="31"/>
  <c r="BG17" i="31"/>
  <c r="BG22" i="31"/>
  <c r="BG34" i="31"/>
  <c r="BG9" i="31"/>
  <c r="D24" i="59"/>
  <c r="D9" i="59"/>
  <c r="D33" i="59"/>
  <c r="D20" i="59"/>
  <c r="AF9" i="24"/>
  <c r="AW9" i="24"/>
  <c r="BG16" i="31"/>
  <c r="AA23" i="33"/>
  <c r="AA33" i="33"/>
  <c r="AA24" i="33"/>
  <c r="AA34" i="33"/>
  <c r="AA28" i="33"/>
  <c r="D17" i="59"/>
  <c r="BG10" i="31"/>
  <c r="BG19" i="31"/>
  <c r="BG21" i="31"/>
  <c r="BG8" i="31"/>
  <c r="BG36" i="31"/>
  <c r="BG26" i="31"/>
  <c r="BG35" i="31"/>
  <c r="AA29" i="33"/>
  <c r="D35" i="59"/>
  <c r="D19" i="59"/>
  <c r="BG25" i="31"/>
  <c r="BG15" i="31"/>
  <c r="BG30" i="31"/>
  <c r="AZ11" i="31"/>
  <c r="AZ8" i="31"/>
  <c r="AZ26" i="31"/>
  <c r="AZ9" i="31"/>
  <c r="AZ27" i="31"/>
  <c r="AZ10" i="31"/>
  <c r="AZ30" i="31"/>
  <c r="AZ22" i="31"/>
  <c r="AZ25" i="31"/>
  <c r="AZ16" i="31"/>
  <c r="AZ31" i="31"/>
  <c r="AZ12" i="31"/>
  <c r="AZ20" i="31"/>
  <c r="AZ17" i="31"/>
  <c r="AZ36" i="31"/>
  <c r="AZ18" i="31"/>
  <c r="AZ34" i="31"/>
  <c r="AZ19" i="31"/>
  <c r="AZ15" i="31"/>
  <c r="AZ7" i="31"/>
  <c r="AZ35" i="31"/>
  <c r="BE10" i="25"/>
  <c r="BE6" i="25"/>
  <c r="BE8" i="25"/>
  <c r="BE7" i="25"/>
  <c r="BE11" i="25"/>
  <c r="BE12" i="25"/>
  <c r="AC9" i="24"/>
  <c r="AT9" i="24"/>
  <c r="U31" i="43"/>
  <c r="V177" i="44"/>
  <c r="Z177" i="44"/>
  <c r="V186" i="44"/>
  <c r="Z186" i="44"/>
  <c r="V176" i="44"/>
  <c r="AS17" i="31"/>
  <c r="AS26" i="31"/>
  <c r="AS22" i="31"/>
  <c r="AS36" i="31"/>
  <c r="AS21" i="31"/>
  <c r="AS35" i="31"/>
  <c r="AS18" i="31"/>
  <c r="AS25" i="31"/>
  <c r="AS31" i="31"/>
  <c r="AS11" i="31"/>
  <c r="U23" i="43"/>
  <c r="BU14" i="31"/>
  <c r="AB157" i="37"/>
  <c r="AG23" i="33"/>
  <c r="BT28" i="31"/>
  <c r="G181" i="36"/>
  <c r="G181" i="40"/>
  <c r="G181" i="44"/>
  <c r="BS28" i="31"/>
  <c r="F181" i="36"/>
  <c r="F181" i="40"/>
  <c r="F181" i="44"/>
  <c r="BR28" i="31"/>
  <c r="E181" i="36"/>
  <c r="E181" i="40"/>
  <c r="E181" i="44"/>
  <c r="U174" i="36"/>
  <c r="U188" i="36"/>
  <c r="T187" i="36"/>
  <c r="U175" i="36"/>
  <c r="U165" i="36"/>
  <c r="U170" i="36"/>
  <c r="BU5" i="31"/>
  <c r="BS29" i="31"/>
  <c r="F182" i="36"/>
  <c r="F182" i="40"/>
  <c r="F182" i="44"/>
  <c r="BT29" i="31"/>
  <c r="G182" i="36"/>
  <c r="G182" i="40"/>
  <c r="G182" i="44"/>
  <c r="BR29" i="31"/>
  <c r="E182" i="36"/>
  <c r="E182" i="40"/>
  <c r="E182" i="44"/>
  <c r="BS13" i="31"/>
  <c r="F166" i="36"/>
  <c r="F166" i="40"/>
  <c r="F166" i="44"/>
  <c r="BT13" i="31"/>
  <c r="G166" i="36"/>
  <c r="G166" i="40"/>
  <c r="G166" i="44"/>
  <c r="BR13" i="31"/>
  <c r="E166" i="36"/>
  <c r="E166" i="40"/>
  <c r="E166" i="44"/>
  <c r="U179" i="36"/>
  <c r="U180" i="36"/>
  <c r="T180" i="36"/>
  <c r="T164" i="36"/>
  <c r="U183" i="36"/>
  <c r="U171" i="36"/>
  <c r="U161" i="36"/>
  <c r="T185" i="36"/>
  <c r="T177" i="36"/>
  <c r="U182" i="36"/>
  <c r="T186" i="36"/>
  <c r="U186" i="36"/>
  <c r="AG13" i="33"/>
  <c r="T159" i="36"/>
  <c r="T176" i="36"/>
  <c r="BT14" i="31"/>
  <c r="G167" i="36"/>
  <c r="G167" i="40"/>
  <c r="G167" i="44"/>
  <c r="BR14" i="31"/>
  <c r="E167" i="36"/>
  <c r="E167" i="40"/>
  <c r="E167" i="44"/>
  <c r="V167" i="44"/>
  <c r="Z167" i="44"/>
  <c r="BS14" i="31"/>
  <c r="F167" i="36"/>
  <c r="F167" i="40"/>
  <c r="F167" i="44"/>
  <c r="T172" i="36"/>
  <c r="T174" i="36"/>
  <c r="T160" i="36"/>
  <c r="T162" i="36"/>
  <c r="U185" i="36"/>
  <c r="BT5" i="31"/>
  <c r="G158" i="36"/>
  <c r="G158" i="40"/>
  <c r="G158" i="44"/>
  <c r="BR5" i="31"/>
  <c r="E158" i="36"/>
  <c r="E158" i="40"/>
  <c r="E158" i="44"/>
  <c r="BS5" i="31"/>
  <c r="F158" i="36"/>
  <c r="F158" i="40"/>
  <c r="F158" i="44"/>
  <c r="AG14" i="33"/>
  <c r="U5" i="43"/>
  <c r="V159" i="44"/>
  <c r="Z159" i="44"/>
  <c r="Z191" i="44"/>
  <c r="BU13" i="31"/>
  <c r="T163" i="36"/>
  <c r="T10" i="36"/>
  <c r="T13" i="36"/>
  <c r="T9" i="36"/>
  <c r="U16" i="36"/>
  <c r="U31" i="36"/>
  <c r="U10" i="33"/>
  <c r="V32" i="44"/>
  <c r="Q30" i="43"/>
  <c r="B30" i="59"/>
  <c r="AJ25" i="37"/>
  <c r="AB25" i="37"/>
  <c r="V36" i="44"/>
  <c r="Q34" i="43"/>
  <c r="B34" i="59"/>
  <c r="V27" i="44"/>
  <c r="Q25" i="43"/>
  <c r="B25" i="59"/>
  <c r="V8" i="44"/>
  <c r="Q6" i="43"/>
  <c r="B6" i="59"/>
  <c r="U20" i="36"/>
  <c r="U27" i="36"/>
  <c r="U13" i="36"/>
  <c r="Q18" i="43"/>
  <c r="B18" i="59"/>
  <c r="V20" i="44"/>
  <c r="V16" i="44"/>
  <c r="Q14" i="43"/>
  <c r="B14" i="59"/>
  <c r="T22" i="36"/>
  <c r="T36" i="36"/>
  <c r="T19" i="36"/>
  <c r="T26" i="36"/>
  <c r="T32" i="36"/>
  <c r="T12" i="36"/>
  <c r="V18" i="44"/>
  <c r="Q16" i="43"/>
  <c r="B16" i="59"/>
  <c r="V26" i="44"/>
  <c r="Q24" i="43"/>
  <c r="B24" i="59"/>
  <c r="U23" i="36"/>
  <c r="V22" i="44"/>
  <c r="Q20" i="43"/>
  <c r="B20" i="59"/>
  <c r="T28" i="36"/>
  <c r="V12" i="44"/>
  <c r="Q10" i="43"/>
  <c r="B10" i="59"/>
  <c r="T8" i="36"/>
  <c r="T17" i="36"/>
  <c r="T21" i="36"/>
  <c r="T20" i="36"/>
  <c r="T35" i="36"/>
  <c r="U18" i="36"/>
  <c r="U28" i="36"/>
  <c r="U36" i="36"/>
  <c r="U29" i="33"/>
  <c r="Q17" i="43"/>
  <c r="B17" i="59"/>
  <c r="V19" i="44"/>
  <c r="V23" i="44"/>
  <c r="Q21" i="43"/>
  <c r="B21" i="59"/>
  <c r="V37" i="44"/>
  <c r="Q35" i="43"/>
  <c r="B35" i="59"/>
  <c r="T16" i="36"/>
  <c r="U26" i="36"/>
  <c r="Q8" i="43"/>
  <c r="B8" i="59"/>
  <c r="V10" i="44"/>
  <c r="V13" i="44"/>
  <c r="Q11" i="43"/>
  <c r="B11" i="59"/>
  <c r="V9" i="44"/>
  <c r="Q7" i="43"/>
  <c r="B7" i="59"/>
  <c r="T11" i="36"/>
  <c r="U37" i="36"/>
  <c r="U35" i="36"/>
  <c r="AJ34" i="37"/>
  <c r="AB34" i="37"/>
  <c r="AJ15" i="37"/>
  <c r="AB15" i="37"/>
  <c r="Q15" i="43"/>
  <c r="B15" i="59"/>
  <c r="V17" i="44"/>
  <c r="V21" i="44"/>
  <c r="Q19" i="43"/>
  <c r="B19" i="59"/>
  <c r="T31" i="36"/>
  <c r="V35" i="44"/>
  <c r="Q33" i="43"/>
  <c r="B33" i="59"/>
  <c r="U28" i="33"/>
  <c r="AJ30" i="37"/>
  <c r="AB30" i="37"/>
  <c r="T18" i="36"/>
  <c r="T27" i="36"/>
  <c r="T23" i="36"/>
  <c r="T37" i="36"/>
  <c r="X9" i="44"/>
  <c r="X49" i="44"/>
  <c r="X50" i="44"/>
  <c r="X12" i="44"/>
  <c r="X13" i="44"/>
  <c r="X11" i="44"/>
  <c r="X8" i="44"/>
  <c r="U92" i="36"/>
  <c r="U91" i="36"/>
  <c r="AA13" i="33"/>
  <c r="AB109" i="37"/>
  <c r="AF109" i="37"/>
  <c r="AK6" i="43"/>
  <c r="B6" i="62"/>
  <c r="AK10" i="43"/>
  <c r="B10" i="62"/>
  <c r="AK11" i="43"/>
  <c r="B11" i="62"/>
  <c r="AK7" i="43"/>
  <c r="B7" i="62"/>
  <c r="V13" i="40"/>
  <c r="V8" i="40"/>
  <c r="V9" i="40"/>
  <c r="AK9" i="43"/>
  <c r="B9" i="62"/>
  <c r="G6" i="43"/>
  <c r="B6" i="57"/>
  <c r="U13" i="40"/>
  <c r="L10" i="43"/>
  <c r="B10" i="58"/>
  <c r="V46" i="36"/>
  <c r="V51" i="36"/>
  <c r="V50" i="36"/>
  <c r="T57" i="36"/>
  <c r="T66" i="36"/>
  <c r="T50" i="36"/>
  <c r="U106" i="36"/>
  <c r="U105" i="36"/>
  <c r="U100" i="36"/>
  <c r="T93" i="36"/>
  <c r="AF10" i="43"/>
  <c r="B10" i="61"/>
  <c r="V49" i="36"/>
  <c r="V47" i="36"/>
  <c r="T58" i="36"/>
  <c r="T73" i="36"/>
  <c r="T75" i="36"/>
  <c r="T56" i="36"/>
  <c r="T59" i="36"/>
  <c r="T49" i="36"/>
  <c r="T48" i="36"/>
  <c r="T65" i="36"/>
  <c r="T47" i="36"/>
  <c r="T112" i="36"/>
  <c r="U111" i="36"/>
  <c r="U101" i="36"/>
  <c r="U110" i="36"/>
  <c r="AA32" i="33"/>
  <c r="BN7" i="25"/>
  <c r="BN8" i="25"/>
  <c r="BN10" i="25"/>
  <c r="BN12" i="25"/>
  <c r="BN11" i="25"/>
  <c r="AL10" i="43"/>
  <c r="C10" i="62"/>
  <c r="V7" i="43"/>
  <c r="B11" i="43"/>
  <c r="B8" i="71"/>
  <c r="L7" i="43"/>
  <c r="B7" i="58"/>
  <c r="X46" i="44"/>
  <c r="AP7" i="43"/>
  <c r="B7" i="63"/>
  <c r="X89" i="44"/>
  <c r="AF6" i="43"/>
  <c r="B6" i="61"/>
  <c r="AF9" i="43"/>
  <c r="B9" i="61"/>
  <c r="V182" i="44"/>
  <c r="Z182" i="44"/>
  <c r="B10" i="43"/>
  <c r="B7" i="71"/>
  <c r="AF11" i="43"/>
  <c r="B11" i="61"/>
  <c r="AF7" i="43"/>
  <c r="B7" i="61"/>
  <c r="U13" i="43"/>
  <c r="X51" i="44"/>
  <c r="AL6" i="43"/>
  <c r="C6" i="62"/>
  <c r="AL7" i="43"/>
  <c r="C7" i="62"/>
  <c r="AL9" i="43"/>
  <c r="C9" i="62"/>
  <c r="AL11" i="43"/>
  <c r="C11" i="62"/>
  <c r="X47" i="44"/>
  <c r="V6" i="43"/>
  <c r="G7" i="43"/>
  <c r="B7" i="57"/>
  <c r="B7" i="43"/>
  <c r="B4" i="71"/>
  <c r="G10" i="43"/>
  <c r="B10" i="57"/>
  <c r="G11" i="43"/>
  <c r="B11" i="57"/>
  <c r="AP6" i="43"/>
  <c r="B6" i="63"/>
  <c r="L6" i="43"/>
  <c r="B6" i="58"/>
  <c r="B6" i="43"/>
  <c r="B3" i="71"/>
  <c r="U12" i="40"/>
  <c r="U8" i="40"/>
  <c r="U9" i="40"/>
  <c r="V12" i="40"/>
  <c r="U28" i="43"/>
  <c r="BU28" i="31"/>
  <c r="T166" i="36"/>
  <c r="U166" i="36"/>
  <c r="AG24" i="33"/>
  <c r="U12" i="43"/>
  <c r="V166" i="44"/>
  <c r="V181" i="44"/>
  <c r="U27" i="43"/>
  <c r="U176" i="36"/>
  <c r="BT4" i="31"/>
  <c r="G157" i="36"/>
  <c r="G157" i="40"/>
  <c r="G157" i="44"/>
  <c r="BR4" i="31"/>
  <c r="E157" i="36"/>
  <c r="E157" i="40"/>
  <c r="E157" i="44"/>
  <c r="BS4" i="31"/>
  <c r="F157" i="36"/>
  <c r="F157" i="40"/>
  <c r="F157" i="44"/>
  <c r="T167" i="36"/>
  <c r="BU29" i="31"/>
  <c r="U167" i="36"/>
  <c r="U4" i="43"/>
  <c r="V158" i="44"/>
  <c r="T158" i="36"/>
  <c r="U30" i="36"/>
  <c r="U11" i="40"/>
  <c r="U11" i="36"/>
  <c r="U33" i="33"/>
  <c r="U24" i="33"/>
  <c r="U29" i="36"/>
  <c r="AS14" i="31"/>
  <c r="U14" i="33"/>
  <c r="U32" i="33"/>
  <c r="U23" i="33"/>
  <c r="U13" i="33"/>
  <c r="AS28" i="31"/>
  <c r="AS32" i="31"/>
  <c r="V71" i="44"/>
  <c r="V67" i="44"/>
  <c r="V52" i="44"/>
  <c r="V72" i="44"/>
  <c r="V68" i="44"/>
  <c r="V110" i="44"/>
  <c r="V100" i="44"/>
  <c r="V91" i="44"/>
  <c r="V101" i="44"/>
  <c r="V106" i="44"/>
  <c r="V63" i="44"/>
  <c r="V53" i="44"/>
  <c r="V109" i="44"/>
  <c r="V90" i="44"/>
  <c r="W7" i="44"/>
  <c r="X7" i="44"/>
  <c r="V62" i="44"/>
  <c r="V105" i="44"/>
  <c r="U89" i="44"/>
  <c r="X84" i="44"/>
  <c r="U85" i="44"/>
  <c r="U87" i="44"/>
  <c r="U84" i="44"/>
  <c r="W12" i="44"/>
  <c r="W13" i="44"/>
  <c r="W9" i="44"/>
  <c r="W11" i="44"/>
  <c r="AA10" i="43"/>
  <c r="B10" i="60"/>
  <c r="U12" i="44"/>
  <c r="AA7" i="43"/>
  <c r="B7" i="60"/>
  <c r="U9" i="44"/>
  <c r="AA11" i="43"/>
  <c r="B11" i="60"/>
  <c r="U13" i="44"/>
  <c r="W8" i="44"/>
  <c r="AA6" i="43"/>
  <c r="B6" i="60"/>
  <c r="U8" i="44"/>
  <c r="AF5" i="43"/>
  <c r="B5" i="61"/>
  <c r="AP10" i="43"/>
  <c r="B10" i="63"/>
  <c r="V10" i="43"/>
  <c r="L11" i="43"/>
  <c r="B11" i="58"/>
  <c r="AP11" i="43"/>
  <c r="B11" i="63"/>
  <c r="V11" i="43"/>
  <c r="U90" i="36"/>
  <c r="R31" i="43"/>
  <c r="R27" i="43"/>
  <c r="C27" i="59"/>
  <c r="R32" i="43"/>
  <c r="C32" i="59"/>
  <c r="R28" i="43"/>
  <c r="C28" i="59"/>
  <c r="AK5" i="43"/>
  <c r="B5" i="62"/>
  <c r="M127" i="38"/>
  <c r="Q127" i="38"/>
  <c r="L127" i="38"/>
  <c r="P127" i="38"/>
  <c r="K127" i="38"/>
  <c r="O127" i="38"/>
  <c r="J127" i="38"/>
  <c r="N127" i="38"/>
  <c r="M122" i="38"/>
  <c r="Q122" i="38"/>
  <c r="L122" i="38"/>
  <c r="P122" i="38"/>
  <c r="K122" i="38"/>
  <c r="O122" i="38"/>
  <c r="J122" i="38"/>
  <c r="N122" i="38"/>
  <c r="M133" i="38"/>
  <c r="Q133" i="38"/>
  <c r="L133" i="38"/>
  <c r="P133" i="38"/>
  <c r="K133" i="38"/>
  <c r="O133" i="38"/>
  <c r="J133" i="38"/>
  <c r="N133" i="38"/>
  <c r="M130" i="38"/>
  <c r="Q130" i="38"/>
  <c r="L130" i="38"/>
  <c r="P130" i="38"/>
  <c r="K130" i="38"/>
  <c r="O130" i="38"/>
  <c r="J130" i="38"/>
  <c r="N130" i="38"/>
  <c r="M149" i="38"/>
  <c r="Q149" i="38"/>
  <c r="L149" i="38"/>
  <c r="P149" i="38"/>
  <c r="K149" i="38"/>
  <c r="O149" i="38"/>
  <c r="J149" i="38"/>
  <c r="N149" i="38"/>
  <c r="S32" i="43"/>
  <c r="D32" i="59"/>
  <c r="S22" i="43"/>
  <c r="S13" i="43"/>
  <c r="D13" i="59"/>
  <c r="S23" i="43"/>
  <c r="S28" i="43"/>
  <c r="M126" i="38"/>
  <c r="Q126" i="38"/>
  <c r="L126" i="38"/>
  <c r="P126" i="38"/>
  <c r="K126" i="38"/>
  <c r="O126" i="38"/>
  <c r="J126" i="38"/>
  <c r="N126" i="38"/>
  <c r="AM6" i="43"/>
  <c r="B10" i="56"/>
  <c r="A10" i="54"/>
  <c r="B21" i="69"/>
  <c r="B11" i="56"/>
  <c r="A11" i="54"/>
  <c r="B45" i="69"/>
  <c r="B7" i="56"/>
  <c r="B6" i="56"/>
  <c r="A6" i="54"/>
  <c r="B37" i="69"/>
  <c r="AC11" i="43"/>
  <c r="D11" i="60"/>
  <c r="AC7" i="43"/>
  <c r="D7" i="60"/>
  <c r="AC9" i="43"/>
  <c r="D9" i="60"/>
  <c r="AC10" i="43"/>
  <c r="D10" i="60"/>
  <c r="AC6" i="43"/>
  <c r="D6" i="60"/>
  <c r="V87" i="36"/>
  <c r="V45" i="36"/>
  <c r="V85" i="36"/>
  <c r="T71" i="36"/>
  <c r="T52" i="36"/>
  <c r="T63" i="36"/>
  <c r="T68" i="36"/>
  <c r="T110" i="36"/>
  <c r="T91" i="36"/>
  <c r="T101" i="36"/>
  <c r="T106" i="36"/>
  <c r="AM7" i="43"/>
  <c r="D7" i="62"/>
  <c r="R23" i="43"/>
  <c r="C23" i="59"/>
  <c r="R13" i="43"/>
  <c r="C13" i="59"/>
  <c r="S31" i="43"/>
  <c r="S12" i="43"/>
  <c r="D12" i="59"/>
  <c r="AM9" i="43"/>
  <c r="D9" i="62"/>
  <c r="V89" i="36"/>
  <c r="V88" i="36"/>
  <c r="V84" i="36"/>
  <c r="T67" i="36"/>
  <c r="T72" i="36"/>
  <c r="T53" i="36"/>
  <c r="T62" i="36"/>
  <c r="T100" i="36"/>
  <c r="T105" i="36"/>
  <c r="T109" i="36"/>
  <c r="T90" i="36"/>
  <c r="U109" i="36"/>
  <c r="AM11" i="43"/>
  <c r="D11" i="62"/>
  <c r="AM10" i="43"/>
  <c r="D10" i="62"/>
  <c r="R12" i="43"/>
  <c r="C12" i="59"/>
  <c r="R22" i="43"/>
  <c r="C22" i="59"/>
  <c r="S27" i="43"/>
  <c r="D27" i="59"/>
  <c r="AZ14" i="31"/>
  <c r="BG24" i="31"/>
  <c r="BG13" i="31"/>
  <c r="BG29" i="31"/>
  <c r="AZ13" i="31"/>
  <c r="AZ24" i="31"/>
  <c r="AZ33" i="31"/>
  <c r="AZ29" i="31"/>
  <c r="AZ32" i="31"/>
  <c r="AZ28" i="31"/>
  <c r="D22" i="59"/>
  <c r="D23" i="59"/>
  <c r="CL17" i="25"/>
  <c r="O170" i="36"/>
  <c r="CI17" i="25"/>
  <c r="L170" i="36"/>
  <c r="CH17" i="25"/>
  <c r="K170" i="36"/>
  <c r="CK17" i="25"/>
  <c r="N170" i="36"/>
  <c r="CK20" i="25"/>
  <c r="N173" i="36"/>
  <c r="CL20" i="25"/>
  <c r="O173" i="36"/>
  <c r="CI20" i="25"/>
  <c r="L173" i="36"/>
  <c r="CH20" i="25"/>
  <c r="K173" i="36"/>
  <c r="CL35" i="25"/>
  <c r="O188" i="36"/>
  <c r="CI35" i="25"/>
  <c r="L188" i="36"/>
  <c r="CH35" i="25"/>
  <c r="K188" i="36"/>
  <c r="CK35" i="25"/>
  <c r="N188" i="36"/>
  <c r="CK34" i="25"/>
  <c r="N187" i="36"/>
  <c r="CH34" i="25"/>
  <c r="K187" i="36"/>
  <c r="CL34" i="25"/>
  <c r="O187" i="36"/>
  <c r="CI34" i="25"/>
  <c r="L187" i="36"/>
  <c r="CL8" i="25"/>
  <c r="O161" i="36"/>
  <c r="CH8" i="25"/>
  <c r="K161" i="36"/>
  <c r="CK8" i="25"/>
  <c r="N161" i="36"/>
  <c r="CI8" i="25"/>
  <c r="L161" i="36"/>
  <c r="CL12" i="25"/>
  <c r="O165" i="36"/>
  <c r="CH12" i="25"/>
  <c r="K165" i="36"/>
  <c r="CI12" i="25"/>
  <c r="L165" i="36"/>
  <c r="CK12" i="25"/>
  <c r="N165" i="36"/>
  <c r="CH7" i="25"/>
  <c r="K160" i="36"/>
  <c r="CK7" i="25"/>
  <c r="N160" i="36"/>
  <c r="CI7" i="25"/>
  <c r="L160" i="36"/>
  <c r="CL7" i="25"/>
  <c r="O160" i="36"/>
  <c r="CL11" i="25"/>
  <c r="O164" i="36"/>
  <c r="CK11" i="25"/>
  <c r="N164" i="36"/>
  <c r="CH11" i="25"/>
  <c r="K164" i="36"/>
  <c r="CI11" i="25"/>
  <c r="L164" i="36"/>
  <c r="CK10" i="25"/>
  <c r="N163" i="36"/>
  <c r="CL10" i="25"/>
  <c r="O163" i="36"/>
  <c r="CH10" i="25"/>
  <c r="K163" i="36"/>
  <c r="CI10" i="25"/>
  <c r="L163" i="36"/>
  <c r="CH6" i="25"/>
  <c r="K159" i="36"/>
  <c r="CI6" i="25"/>
  <c r="L159" i="36"/>
  <c r="CK6" i="25"/>
  <c r="N159" i="36"/>
  <c r="CL6" i="25"/>
  <c r="O159" i="36"/>
  <c r="CL9" i="25"/>
  <c r="O162" i="36"/>
  <c r="CI9" i="25"/>
  <c r="L162" i="36"/>
  <c r="CK9" i="25"/>
  <c r="N162" i="36"/>
  <c r="CH9" i="25"/>
  <c r="K162" i="36"/>
  <c r="CH15" i="25"/>
  <c r="K168" i="36"/>
  <c r="CK15" i="25"/>
  <c r="N168" i="36"/>
  <c r="CL15" i="25"/>
  <c r="O168" i="36"/>
  <c r="CI15" i="25"/>
  <c r="L168" i="36"/>
  <c r="CH19" i="25"/>
  <c r="K172" i="36"/>
  <c r="CK19" i="25"/>
  <c r="N172" i="36"/>
  <c r="CL19" i="25"/>
  <c r="O172" i="36"/>
  <c r="CI19" i="25"/>
  <c r="L172" i="36"/>
  <c r="CL24" i="25"/>
  <c r="O177" i="36"/>
  <c r="CH24" i="25"/>
  <c r="K177" i="36"/>
  <c r="CK24" i="25"/>
  <c r="N177" i="36"/>
  <c r="CI24" i="25"/>
  <c r="L177" i="36"/>
  <c r="CL14" i="25"/>
  <c r="O167" i="36"/>
  <c r="CK14" i="25"/>
  <c r="N167" i="36"/>
  <c r="CH14" i="25"/>
  <c r="K167" i="36"/>
  <c r="CI14" i="25"/>
  <c r="L167" i="36"/>
  <c r="CK18" i="25"/>
  <c r="N171" i="36"/>
  <c r="CI18" i="25"/>
  <c r="L171" i="36"/>
  <c r="CL18" i="25"/>
  <c r="O171" i="36"/>
  <c r="CH18" i="25"/>
  <c r="K171" i="36"/>
  <c r="CH22" i="25"/>
  <c r="K175" i="36"/>
  <c r="CL22" i="25"/>
  <c r="O175" i="36"/>
  <c r="CK22" i="25"/>
  <c r="N175" i="36"/>
  <c r="CI22" i="25"/>
  <c r="L175" i="36"/>
  <c r="CH27" i="25"/>
  <c r="K180" i="36"/>
  <c r="CI27" i="25"/>
  <c r="L180" i="36"/>
  <c r="CK27" i="25"/>
  <c r="N180" i="36"/>
  <c r="CL27" i="25"/>
  <c r="O180" i="36"/>
  <c r="CH21" i="25"/>
  <c r="K174" i="36"/>
  <c r="CI21" i="25"/>
  <c r="L174" i="36"/>
  <c r="CL21" i="25"/>
  <c r="O174" i="36"/>
  <c r="CK21" i="25"/>
  <c r="N174" i="36"/>
  <c r="CK26" i="25"/>
  <c r="N179" i="36"/>
  <c r="CI26" i="25"/>
  <c r="L179" i="36"/>
  <c r="CL26" i="25"/>
  <c r="O179" i="36"/>
  <c r="CH26" i="25"/>
  <c r="K179" i="36"/>
  <c r="CH31" i="25"/>
  <c r="K184" i="36"/>
  <c r="CK31" i="25"/>
  <c r="N184" i="36"/>
  <c r="CL31" i="25"/>
  <c r="O184" i="36"/>
  <c r="CI31" i="25"/>
  <c r="L184" i="36"/>
  <c r="CK36" i="25"/>
  <c r="N189" i="36"/>
  <c r="CI36" i="25"/>
  <c r="L189" i="36"/>
  <c r="CL36" i="25"/>
  <c r="O189" i="36"/>
  <c r="CH36" i="25"/>
  <c r="K189" i="36"/>
  <c r="CL16" i="25"/>
  <c r="O169" i="36"/>
  <c r="CI16" i="25"/>
  <c r="L169" i="36"/>
  <c r="CH16" i="25"/>
  <c r="K169" i="36"/>
  <c r="CK16" i="25"/>
  <c r="N169" i="36"/>
  <c r="CL25" i="25"/>
  <c r="O178" i="36"/>
  <c r="CH25" i="25"/>
  <c r="K178" i="36"/>
  <c r="CK25" i="25"/>
  <c r="N178" i="36"/>
  <c r="CI25" i="25"/>
  <c r="L178" i="36"/>
  <c r="CH30" i="25"/>
  <c r="K183" i="36"/>
  <c r="CI30" i="25"/>
  <c r="L183" i="36"/>
  <c r="CL30" i="25"/>
  <c r="O183" i="36"/>
  <c r="CK30" i="25"/>
  <c r="N183" i="36"/>
  <c r="BG23" i="31"/>
  <c r="BG28" i="31"/>
  <c r="BG32" i="31"/>
  <c r="AZ23" i="31"/>
  <c r="D28" i="59"/>
  <c r="C31" i="59"/>
  <c r="BG33" i="31"/>
  <c r="BG14" i="31"/>
  <c r="D31" i="59"/>
  <c r="D6" i="62"/>
  <c r="BW12" i="25"/>
  <c r="BW10" i="25"/>
  <c r="BN6" i="25"/>
  <c r="BW7" i="25"/>
  <c r="BW11" i="25"/>
  <c r="BW8" i="25"/>
  <c r="X88" i="44"/>
  <c r="U88" i="44"/>
  <c r="X87" i="44"/>
  <c r="X85" i="44"/>
  <c r="X45" i="44"/>
  <c r="W51" i="44"/>
  <c r="W46" i="44"/>
  <c r="A7" i="54"/>
  <c r="B11" i="69"/>
  <c r="AS23" i="31"/>
  <c r="AS29" i="31"/>
  <c r="AS13" i="31"/>
  <c r="AS33" i="31"/>
  <c r="AS24" i="31"/>
  <c r="T182" i="36"/>
  <c r="U177" i="36"/>
  <c r="T181" i="36"/>
  <c r="BU4" i="31"/>
  <c r="U3" i="43"/>
  <c r="V157" i="44"/>
  <c r="Q12" i="43"/>
  <c r="B12" i="59"/>
  <c r="V14" i="44"/>
  <c r="Q22" i="43"/>
  <c r="B22" i="59"/>
  <c r="V24" i="44"/>
  <c r="U24" i="36"/>
  <c r="U33" i="36"/>
  <c r="U15" i="36"/>
  <c r="T15" i="36"/>
  <c r="U25" i="36"/>
  <c r="T14" i="36"/>
  <c r="T34" i="36"/>
  <c r="Q13" i="43"/>
  <c r="B13" i="59"/>
  <c r="V15" i="44"/>
  <c r="T30" i="36"/>
  <c r="T33" i="36"/>
  <c r="T29" i="36"/>
  <c r="U14" i="36"/>
  <c r="V34" i="44"/>
  <c r="Q32" i="43"/>
  <c r="B32" i="59"/>
  <c r="V30" i="44"/>
  <c r="Q28" i="43"/>
  <c r="B28" i="59"/>
  <c r="V25" i="44"/>
  <c r="Q23" i="43"/>
  <c r="B23" i="59"/>
  <c r="U34" i="36"/>
  <c r="V11" i="40"/>
  <c r="Q31" i="43"/>
  <c r="B31" i="59"/>
  <c r="V33" i="44"/>
  <c r="Q27" i="43"/>
  <c r="B27" i="59"/>
  <c r="V29" i="44"/>
  <c r="T24" i="36"/>
  <c r="T25" i="36"/>
  <c r="AL5" i="43"/>
  <c r="C5" i="62"/>
  <c r="X83" i="44"/>
  <c r="AG10" i="43"/>
  <c r="C10" i="61"/>
  <c r="W50" i="44"/>
  <c r="AG9" i="43"/>
  <c r="C9" i="61"/>
  <c r="W49" i="44"/>
  <c r="AG7" i="43"/>
  <c r="C7" i="61"/>
  <c r="W47" i="44"/>
  <c r="L188" i="38"/>
  <c r="L188" i="40"/>
  <c r="L188" i="44"/>
  <c r="K188" i="38"/>
  <c r="K188" i="40"/>
  <c r="K188" i="44"/>
  <c r="O188" i="38"/>
  <c r="O188" i="40"/>
  <c r="O188" i="44"/>
  <c r="N188" i="38"/>
  <c r="N188" i="40"/>
  <c r="N188" i="44"/>
  <c r="L170" i="38"/>
  <c r="L170" i="40"/>
  <c r="L170" i="44"/>
  <c r="K170" i="38"/>
  <c r="O170" i="38"/>
  <c r="O170" i="40"/>
  <c r="O170" i="44"/>
  <c r="N170" i="38"/>
  <c r="N170" i="40"/>
  <c r="N170" i="44"/>
  <c r="L164" i="38"/>
  <c r="L164" i="40"/>
  <c r="L164" i="44"/>
  <c r="K164" i="38"/>
  <c r="O164" i="38"/>
  <c r="O164" i="40"/>
  <c r="O164" i="44"/>
  <c r="N164" i="38"/>
  <c r="N164" i="40"/>
  <c r="N164" i="44"/>
  <c r="L165" i="38"/>
  <c r="K165" i="38"/>
  <c r="K165" i="40"/>
  <c r="K165" i="44"/>
  <c r="O165" i="38"/>
  <c r="O165" i="40"/>
  <c r="O165" i="44"/>
  <c r="N165" i="38"/>
  <c r="N165" i="40"/>
  <c r="N165" i="44"/>
  <c r="L183" i="38"/>
  <c r="L183" i="40"/>
  <c r="L183" i="44"/>
  <c r="K183" i="38"/>
  <c r="K183" i="40"/>
  <c r="K183" i="44"/>
  <c r="O183" i="38"/>
  <c r="O183" i="40"/>
  <c r="O183" i="44"/>
  <c r="N183" i="38"/>
  <c r="N183" i="40"/>
  <c r="N183" i="44"/>
  <c r="L169" i="38"/>
  <c r="L169" i="40"/>
  <c r="L169" i="44"/>
  <c r="K169" i="38"/>
  <c r="K169" i="40"/>
  <c r="K169" i="44"/>
  <c r="O169" i="38"/>
  <c r="O169" i="40"/>
  <c r="O169" i="44"/>
  <c r="N169" i="38"/>
  <c r="N169" i="40"/>
  <c r="N169" i="44"/>
  <c r="L184" i="38"/>
  <c r="K184" i="38"/>
  <c r="K184" i="40"/>
  <c r="K184" i="44"/>
  <c r="O184" i="38"/>
  <c r="O184" i="40"/>
  <c r="O184" i="44"/>
  <c r="N184" i="38"/>
  <c r="N184" i="40"/>
  <c r="N184" i="44"/>
  <c r="L174" i="38"/>
  <c r="L174" i="40"/>
  <c r="L174" i="44"/>
  <c r="K174" i="38"/>
  <c r="K174" i="40"/>
  <c r="K174" i="44"/>
  <c r="O174" i="38"/>
  <c r="O174" i="40"/>
  <c r="O174" i="44"/>
  <c r="N174" i="38"/>
  <c r="L175" i="38"/>
  <c r="L175" i="40"/>
  <c r="L175" i="44"/>
  <c r="K175" i="38"/>
  <c r="K175" i="40"/>
  <c r="K175" i="44"/>
  <c r="O175" i="38"/>
  <c r="O175" i="40"/>
  <c r="O175" i="44"/>
  <c r="N175" i="38"/>
  <c r="N175" i="40"/>
  <c r="N175" i="44"/>
  <c r="L167" i="38"/>
  <c r="L167" i="40"/>
  <c r="L167" i="44"/>
  <c r="K167" i="38"/>
  <c r="O167" i="38"/>
  <c r="N167" i="38"/>
  <c r="N167" i="40"/>
  <c r="N167" i="44"/>
  <c r="M136" i="38"/>
  <c r="N136" i="38"/>
  <c r="O136" i="38"/>
  <c r="Q136" i="38"/>
  <c r="L136" i="38"/>
  <c r="P136" i="38"/>
  <c r="K136" i="38"/>
  <c r="J136" i="38"/>
  <c r="M141" i="38"/>
  <c r="N141" i="38"/>
  <c r="O141" i="38"/>
  <c r="Q141" i="38"/>
  <c r="L141" i="38"/>
  <c r="P141" i="38"/>
  <c r="K141" i="38"/>
  <c r="J141" i="38"/>
  <c r="M131" i="38"/>
  <c r="N131" i="38"/>
  <c r="O131" i="38"/>
  <c r="Q131" i="38"/>
  <c r="L131" i="38"/>
  <c r="P131" i="38"/>
  <c r="K131" i="38"/>
  <c r="J131" i="38"/>
  <c r="M134" i="38"/>
  <c r="N134" i="38"/>
  <c r="O134" i="38"/>
  <c r="Q134" i="38"/>
  <c r="L134" i="38"/>
  <c r="P134" i="38"/>
  <c r="K134" i="38"/>
  <c r="J134" i="38"/>
  <c r="M137" i="38"/>
  <c r="N137" i="38"/>
  <c r="O137" i="38"/>
  <c r="Q137" i="38"/>
  <c r="L137" i="38"/>
  <c r="P137" i="38"/>
  <c r="K137" i="38"/>
  <c r="J137" i="38"/>
  <c r="L123" i="38"/>
  <c r="P123" i="38"/>
  <c r="M123" i="38"/>
  <c r="Q123" i="38"/>
  <c r="J123" i="38"/>
  <c r="N123" i="38"/>
  <c r="K123" i="38"/>
  <c r="O123" i="38"/>
  <c r="L162" i="38"/>
  <c r="L162" i="40"/>
  <c r="L162" i="44"/>
  <c r="K162" i="38"/>
  <c r="K162" i="40"/>
  <c r="K162" i="44"/>
  <c r="O162" i="38"/>
  <c r="O162" i="40"/>
  <c r="O162" i="44"/>
  <c r="N162" i="38"/>
  <c r="N162" i="40"/>
  <c r="N162" i="44"/>
  <c r="L180" i="38"/>
  <c r="L180" i="40"/>
  <c r="L180" i="44"/>
  <c r="K180" i="38"/>
  <c r="K180" i="40"/>
  <c r="K180" i="44"/>
  <c r="O180" i="38"/>
  <c r="O180" i="40"/>
  <c r="O180" i="44"/>
  <c r="N180" i="38"/>
  <c r="N180" i="40"/>
  <c r="N180" i="44"/>
  <c r="L171" i="38"/>
  <c r="L171" i="40"/>
  <c r="L171" i="44"/>
  <c r="K171" i="38"/>
  <c r="K171" i="40"/>
  <c r="K171" i="44"/>
  <c r="O171" i="38"/>
  <c r="O171" i="40"/>
  <c r="O171" i="44"/>
  <c r="N171" i="38"/>
  <c r="N171" i="40"/>
  <c r="N171" i="44"/>
  <c r="M150" i="38"/>
  <c r="N150" i="38"/>
  <c r="O150" i="38"/>
  <c r="Q150" i="38"/>
  <c r="L150" i="38"/>
  <c r="P150" i="38"/>
  <c r="K150" i="38"/>
  <c r="J150" i="38"/>
  <c r="M135" i="38"/>
  <c r="N135" i="38"/>
  <c r="O135" i="38"/>
  <c r="Q135" i="38"/>
  <c r="L135" i="38"/>
  <c r="P135" i="38"/>
  <c r="K135" i="38"/>
  <c r="J135" i="38"/>
  <c r="M125" i="38"/>
  <c r="N125" i="38"/>
  <c r="O125" i="38"/>
  <c r="Q125" i="38"/>
  <c r="L125" i="38"/>
  <c r="P125" i="38"/>
  <c r="K125" i="38"/>
  <c r="J125" i="38"/>
  <c r="N159" i="38"/>
  <c r="N159" i="40"/>
  <c r="N159" i="44"/>
  <c r="L159" i="38"/>
  <c r="K159" i="38"/>
  <c r="K159" i="40"/>
  <c r="K159" i="44"/>
  <c r="O159" i="38"/>
  <c r="O159" i="40"/>
  <c r="O159" i="44"/>
  <c r="L177" i="38"/>
  <c r="L177" i="40"/>
  <c r="L177" i="44"/>
  <c r="K177" i="38"/>
  <c r="K177" i="40"/>
  <c r="K177" i="44"/>
  <c r="O177" i="38"/>
  <c r="N177" i="38"/>
  <c r="L168" i="38"/>
  <c r="L168" i="40"/>
  <c r="L168" i="44"/>
  <c r="K168" i="38"/>
  <c r="K168" i="40"/>
  <c r="K168" i="44"/>
  <c r="O168" i="38"/>
  <c r="O168" i="40"/>
  <c r="O168" i="44"/>
  <c r="N168" i="38"/>
  <c r="N168" i="40"/>
  <c r="N168" i="44"/>
  <c r="L178" i="38"/>
  <c r="L178" i="40"/>
  <c r="L178" i="44"/>
  <c r="K178" i="38"/>
  <c r="K178" i="40"/>
  <c r="K178" i="44"/>
  <c r="O178" i="38"/>
  <c r="O178" i="40"/>
  <c r="O178" i="44"/>
  <c r="N178" i="38"/>
  <c r="N178" i="40"/>
  <c r="N178" i="44"/>
  <c r="L173" i="38"/>
  <c r="L173" i="40"/>
  <c r="L173" i="44"/>
  <c r="K173" i="38"/>
  <c r="K173" i="40"/>
  <c r="K173" i="44"/>
  <c r="O173" i="38"/>
  <c r="O173" i="40"/>
  <c r="O173" i="44"/>
  <c r="N173" i="38"/>
  <c r="N173" i="40"/>
  <c r="N173" i="44"/>
  <c r="L160" i="38"/>
  <c r="L160" i="40"/>
  <c r="L160" i="44"/>
  <c r="K160" i="38"/>
  <c r="K160" i="40"/>
  <c r="K160" i="44"/>
  <c r="O160" i="38"/>
  <c r="N160" i="38"/>
  <c r="N160" i="40"/>
  <c r="N160" i="44"/>
  <c r="L189" i="38"/>
  <c r="L189" i="40"/>
  <c r="L189" i="44"/>
  <c r="K189" i="38"/>
  <c r="K189" i="40"/>
  <c r="K189" i="44"/>
  <c r="O189" i="38"/>
  <c r="O189" i="40"/>
  <c r="O189" i="44"/>
  <c r="N189" i="38"/>
  <c r="N189" i="40"/>
  <c r="N189" i="44"/>
  <c r="L179" i="38"/>
  <c r="L179" i="40"/>
  <c r="L179" i="44"/>
  <c r="K179" i="38"/>
  <c r="K179" i="40"/>
  <c r="K179" i="44"/>
  <c r="O179" i="38"/>
  <c r="O179" i="40"/>
  <c r="O179" i="44"/>
  <c r="N179" i="38"/>
  <c r="N179" i="40"/>
  <c r="N179" i="44"/>
  <c r="L161" i="38"/>
  <c r="L161" i="40"/>
  <c r="L161" i="44"/>
  <c r="K161" i="38"/>
  <c r="K161" i="40"/>
  <c r="K161" i="44"/>
  <c r="O161" i="38"/>
  <c r="O161" i="40"/>
  <c r="O161" i="44"/>
  <c r="N161" i="38"/>
  <c r="N161" i="40"/>
  <c r="N161" i="44"/>
  <c r="L187" i="38"/>
  <c r="L187" i="40"/>
  <c r="L187" i="44"/>
  <c r="K187" i="38"/>
  <c r="K187" i="40"/>
  <c r="K187" i="44"/>
  <c r="O187" i="38"/>
  <c r="O187" i="40"/>
  <c r="O187" i="44"/>
  <c r="N187" i="38"/>
  <c r="N187" i="40"/>
  <c r="N187" i="44"/>
  <c r="L172" i="38"/>
  <c r="L172" i="40"/>
  <c r="L172" i="44"/>
  <c r="K172" i="38"/>
  <c r="K172" i="40"/>
  <c r="K172" i="44"/>
  <c r="O172" i="38"/>
  <c r="O172" i="40"/>
  <c r="O172" i="44"/>
  <c r="N172" i="38"/>
  <c r="N172" i="40"/>
  <c r="N172" i="44"/>
  <c r="L163" i="38"/>
  <c r="L163" i="40"/>
  <c r="L163" i="44"/>
  <c r="K163" i="38"/>
  <c r="K163" i="40"/>
  <c r="K163" i="44"/>
  <c r="O163" i="38"/>
  <c r="O163" i="40"/>
  <c r="O163" i="44"/>
  <c r="N163" i="38"/>
  <c r="N163" i="40"/>
  <c r="N163" i="44"/>
  <c r="L184" i="40"/>
  <c r="L184" i="44"/>
  <c r="N174" i="40"/>
  <c r="N174" i="44"/>
  <c r="K164" i="40"/>
  <c r="K164" i="44"/>
  <c r="O160" i="40"/>
  <c r="O160" i="44"/>
  <c r="L165" i="40"/>
  <c r="L165" i="44"/>
  <c r="K170" i="40"/>
  <c r="K170" i="44"/>
  <c r="U84" i="40"/>
  <c r="U88" i="40"/>
  <c r="U89" i="40"/>
  <c r="U85" i="40"/>
  <c r="U87" i="40"/>
  <c r="AG11" i="43"/>
  <c r="C11" i="61"/>
  <c r="AG6" i="43"/>
  <c r="C6" i="61"/>
  <c r="A20" i="67"/>
  <c r="B20" i="68"/>
  <c r="B7" i="68"/>
  <c r="A24" i="67"/>
  <c r="B24" i="68"/>
  <c r="A12" i="67"/>
  <c r="B12" i="68"/>
  <c r="AM5" i="43"/>
  <c r="D5" i="62"/>
  <c r="V183" i="36"/>
  <c r="V169" i="36"/>
  <c r="V179" i="36"/>
  <c r="V174" i="36"/>
  <c r="V172" i="36"/>
  <c r="V162" i="36"/>
  <c r="V164" i="36"/>
  <c r="V160" i="36"/>
  <c r="V161" i="36"/>
  <c r="V188" i="36"/>
  <c r="V170" i="36"/>
  <c r="V83" i="36"/>
  <c r="V178" i="36"/>
  <c r="V189" i="36"/>
  <c r="V184" i="36"/>
  <c r="V180" i="36"/>
  <c r="V175" i="36"/>
  <c r="V171" i="36"/>
  <c r="V167" i="36"/>
  <c r="V177" i="36"/>
  <c r="V168" i="36"/>
  <c r="V159" i="36"/>
  <c r="V163" i="36"/>
  <c r="V165" i="36"/>
  <c r="V187" i="36"/>
  <c r="V173" i="36"/>
  <c r="AR6" i="43"/>
  <c r="D6" i="63"/>
  <c r="X6" i="43"/>
  <c r="I6" i="43"/>
  <c r="D6" i="57"/>
  <c r="AR10" i="43"/>
  <c r="D10" i="63"/>
  <c r="X10" i="43"/>
  <c r="I10" i="43"/>
  <c r="D10" i="57"/>
  <c r="X11" i="43"/>
  <c r="AR11" i="43"/>
  <c r="D11" i="63"/>
  <c r="N11" i="43"/>
  <c r="D11" i="58"/>
  <c r="I7" i="43"/>
  <c r="D7" i="57"/>
  <c r="X7" i="43"/>
  <c r="I9" i="43"/>
  <c r="D9" i="57"/>
  <c r="X9" i="43"/>
  <c r="CO34" i="25"/>
  <c r="CO20" i="25"/>
  <c r="CL33" i="25"/>
  <c r="O186" i="36"/>
  <c r="CK33" i="25"/>
  <c r="N186" i="36"/>
  <c r="CH33" i="25"/>
  <c r="K186" i="36"/>
  <c r="CI33" i="25"/>
  <c r="L186" i="36"/>
  <c r="CO35" i="25"/>
  <c r="CO17" i="25"/>
  <c r="CO9" i="25"/>
  <c r="CO11" i="25"/>
  <c r="CO7" i="25"/>
  <c r="CO8" i="25"/>
  <c r="CK5" i="25"/>
  <c r="N158" i="36"/>
  <c r="CH5" i="25"/>
  <c r="K158" i="36"/>
  <c r="CI5" i="25"/>
  <c r="L158" i="36"/>
  <c r="CL5" i="25"/>
  <c r="O158" i="36"/>
  <c r="CO6" i="25"/>
  <c r="CO10" i="25"/>
  <c r="CO12" i="25"/>
  <c r="CH29" i="25"/>
  <c r="K182" i="36"/>
  <c r="CL29" i="25"/>
  <c r="O182" i="36"/>
  <c r="CK29" i="25"/>
  <c r="N182" i="36"/>
  <c r="CI29" i="25"/>
  <c r="L182" i="36"/>
  <c r="CO30" i="25"/>
  <c r="CO16" i="25"/>
  <c r="CO26" i="25"/>
  <c r="CO21" i="25"/>
  <c r="CO24" i="25"/>
  <c r="CO15" i="25"/>
  <c r="CL13" i="25"/>
  <c r="O166" i="36"/>
  <c r="CK13" i="25"/>
  <c r="N166" i="36"/>
  <c r="CH13" i="25"/>
  <c r="K166" i="36"/>
  <c r="CI13" i="25"/>
  <c r="L166" i="36"/>
  <c r="CH23" i="25"/>
  <c r="K176" i="36"/>
  <c r="CL23" i="25"/>
  <c r="O176" i="36"/>
  <c r="CI23" i="25"/>
  <c r="L176" i="36"/>
  <c r="CK23" i="25"/>
  <c r="N176" i="36"/>
  <c r="CH32" i="25"/>
  <c r="K185" i="36"/>
  <c r="CL32" i="25"/>
  <c r="O185" i="36"/>
  <c r="CK32" i="25"/>
  <c r="N185" i="36"/>
  <c r="CI32" i="25"/>
  <c r="L185" i="36"/>
  <c r="CK28" i="25"/>
  <c r="N181" i="36"/>
  <c r="CH28" i="25"/>
  <c r="K181" i="36"/>
  <c r="CI28" i="25"/>
  <c r="L181" i="36"/>
  <c r="CL28" i="25"/>
  <c r="O181" i="36"/>
  <c r="CO25" i="25"/>
  <c r="CO36" i="25"/>
  <c r="CO31" i="25"/>
  <c r="CO27" i="25"/>
  <c r="CO22" i="25"/>
  <c r="CO18" i="25"/>
  <c r="CO14" i="25"/>
  <c r="CO19" i="25"/>
  <c r="BW6" i="25"/>
  <c r="A7" i="67"/>
  <c r="X163" i="44"/>
  <c r="AH9" i="43"/>
  <c r="D9" i="61"/>
  <c r="AH7" i="43"/>
  <c r="D7" i="61"/>
  <c r="U163" i="44"/>
  <c r="U172" i="44"/>
  <c r="U187" i="44"/>
  <c r="U161" i="44"/>
  <c r="U179" i="44"/>
  <c r="U189" i="44"/>
  <c r="U160" i="44"/>
  <c r="U173" i="44"/>
  <c r="U178" i="44"/>
  <c r="U171" i="44"/>
  <c r="U180" i="44"/>
  <c r="U11" i="44"/>
  <c r="AP9" i="43"/>
  <c r="B9" i="63"/>
  <c r="V9" i="43"/>
  <c r="B9" i="43"/>
  <c r="AA9" i="43"/>
  <c r="B9" i="60"/>
  <c r="L9" i="43"/>
  <c r="B9" i="58"/>
  <c r="G9" i="43"/>
  <c r="B9" i="57"/>
  <c r="T157" i="36"/>
  <c r="X171" i="44"/>
  <c r="U162" i="44"/>
  <c r="X180" i="44"/>
  <c r="X172" i="44"/>
  <c r="X168" i="44"/>
  <c r="X159" i="44"/>
  <c r="X162" i="44"/>
  <c r="X187" i="44"/>
  <c r="X161" i="44"/>
  <c r="X179" i="44"/>
  <c r="X189" i="44"/>
  <c r="X160" i="44"/>
  <c r="X173" i="44"/>
  <c r="X178" i="44"/>
  <c r="X174" i="44"/>
  <c r="X184" i="44"/>
  <c r="X169" i="44"/>
  <c r="X183" i="44"/>
  <c r="X165" i="44"/>
  <c r="X164" i="44"/>
  <c r="X170" i="44"/>
  <c r="X188" i="44"/>
  <c r="W87" i="44"/>
  <c r="W85" i="44"/>
  <c r="W89" i="44"/>
  <c r="W88" i="44"/>
  <c r="W84" i="44"/>
  <c r="AE14" i="43"/>
  <c r="U168" i="44"/>
  <c r="AE21" i="43"/>
  <c r="U175" i="44"/>
  <c r="AE20" i="43"/>
  <c r="U174" i="44"/>
  <c r="AE15" i="43"/>
  <c r="U169" i="44"/>
  <c r="AE29" i="43"/>
  <c r="U183" i="44"/>
  <c r="AE11" i="43"/>
  <c r="U165" i="44"/>
  <c r="AE10" i="43"/>
  <c r="U164" i="44"/>
  <c r="AE16" i="43"/>
  <c r="U170" i="44"/>
  <c r="AE34" i="43"/>
  <c r="U188" i="44"/>
  <c r="X175" i="44"/>
  <c r="AG5" i="43"/>
  <c r="C5" i="61"/>
  <c r="W45" i="44"/>
  <c r="D9" i="43"/>
  <c r="D6" i="71"/>
  <c r="N9" i="43"/>
  <c r="D9" i="58"/>
  <c r="AR9" i="43"/>
  <c r="D9" i="63"/>
  <c r="D7" i="43"/>
  <c r="Q7" i="54"/>
  <c r="R15" i="69"/>
  <c r="N7" i="43"/>
  <c r="D7" i="58"/>
  <c r="AR7" i="43"/>
  <c r="D7" i="63"/>
  <c r="I11" i="43"/>
  <c r="D11" i="57"/>
  <c r="D11" i="43"/>
  <c r="Q11" i="54"/>
  <c r="R37" i="69"/>
  <c r="AH11" i="43"/>
  <c r="D11" i="61"/>
  <c r="D10" i="43"/>
  <c r="Q10" i="54"/>
  <c r="R47" i="69"/>
  <c r="N10" i="43"/>
  <c r="D10" i="58"/>
  <c r="AH10" i="43"/>
  <c r="D10" i="61"/>
  <c r="D6" i="43"/>
  <c r="D3" i="71"/>
  <c r="N6" i="43"/>
  <c r="D6" i="58"/>
  <c r="AH6" i="43"/>
  <c r="D6" i="61"/>
  <c r="AO7" i="43"/>
  <c r="AO6" i="43"/>
  <c r="AO19" i="43"/>
  <c r="AO8" i="43"/>
  <c r="AO20" i="43"/>
  <c r="AO15" i="43"/>
  <c r="AO9" i="43"/>
  <c r="AO18" i="43"/>
  <c r="AO35" i="43"/>
  <c r="AO14" i="43"/>
  <c r="AO17" i="43"/>
  <c r="AO26" i="43"/>
  <c r="AO21" i="43"/>
  <c r="AO5" i="43"/>
  <c r="AO33" i="43"/>
  <c r="AO25" i="43"/>
  <c r="AO24" i="43"/>
  <c r="AO30" i="43"/>
  <c r="AO29" i="43"/>
  <c r="AO11" i="43"/>
  <c r="AO10" i="43"/>
  <c r="AO16" i="43"/>
  <c r="AO34" i="43"/>
  <c r="L186" i="38"/>
  <c r="L185" i="38"/>
  <c r="L185" i="40"/>
  <c r="L185" i="44"/>
  <c r="K186" i="38"/>
  <c r="K185" i="38"/>
  <c r="K185" i="40"/>
  <c r="K185" i="44"/>
  <c r="O186" i="38"/>
  <c r="O185" i="38"/>
  <c r="O185" i="40"/>
  <c r="O185" i="44"/>
  <c r="N186" i="38"/>
  <c r="N185" i="38"/>
  <c r="N185" i="40"/>
  <c r="N185" i="44"/>
  <c r="L182" i="38"/>
  <c r="L181" i="38"/>
  <c r="L181" i="40"/>
  <c r="L181" i="44"/>
  <c r="K182" i="38"/>
  <c r="K181" i="38"/>
  <c r="K181" i="40"/>
  <c r="K181" i="44"/>
  <c r="O182" i="38"/>
  <c r="O181" i="38"/>
  <c r="O181" i="40"/>
  <c r="O181" i="44"/>
  <c r="N182" i="38"/>
  <c r="N181" i="38"/>
  <c r="N181" i="40"/>
  <c r="N181" i="44"/>
  <c r="M148" i="38"/>
  <c r="N148" i="38"/>
  <c r="O148" i="38"/>
  <c r="Q148" i="38"/>
  <c r="L148" i="38"/>
  <c r="P148" i="38"/>
  <c r="K148" i="38"/>
  <c r="J148" i="38"/>
  <c r="M129" i="38"/>
  <c r="N129" i="38"/>
  <c r="O129" i="38"/>
  <c r="Q129" i="38"/>
  <c r="L129" i="38"/>
  <c r="P129" i="38"/>
  <c r="K129" i="38"/>
  <c r="J129" i="38"/>
  <c r="N121" i="38"/>
  <c r="J121" i="38"/>
  <c r="M121" i="38"/>
  <c r="O121" i="38"/>
  <c r="Q121" i="38"/>
  <c r="L121" i="38"/>
  <c r="P121" i="38"/>
  <c r="K121" i="38"/>
  <c r="AE19" i="43"/>
  <c r="AE33" i="43"/>
  <c r="AE7" i="43"/>
  <c r="AE6" i="43"/>
  <c r="AE9" i="43"/>
  <c r="AE8" i="43"/>
  <c r="AE18" i="43"/>
  <c r="AE17" i="43"/>
  <c r="AE25" i="43"/>
  <c r="N176" i="38"/>
  <c r="N176" i="40"/>
  <c r="N176" i="44"/>
  <c r="O176" i="38"/>
  <c r="O176" i="40"/>
  <c r="O176" i="44"/>
  <c r="O158" i="38"/>
  <c r="O158" i="40"/>
  <c r="O158" i="44"/>
  <c r="N166" i="38"/>
  <c r="N166" i="40"/>
  <c r="N166" i="44"/>
  <c r="O166" i="38"/>
  <c r="O166" i="40"/>
  <c r="O166" i="44"/>
  <c r="N177" i="40"/>
  <c r="N177" i="44"/>
  <c r="O167" i="40"/>
  <c r="O167" i="44"/>
  <c r="AO13" i="43"/>
  <c r="AE26" i="43"/>
  <c r="AE35" i="43"/>
  <c r="AE24" i="43"/>
  <c r="K176" i="38"/>
  <c r="K176" i="40"/>
  <c r="K176" i="44"/>
  <c r="L176" i="38"/>
  <c r="L176" i="40"/>
  <c r="L176" i="44"/>
  <c r="K158" i="38"/>
  <c r="L158" i="38"/>
  <c r="L158" i="40"/>
  <c r="L158" i="44"/>
  <c r="N158" i="38"/>
  <c r="K166" i="38"/>
  <c r="K166" i="40"/>
  <c r="K166" i="44"/>
  <c r="L166" i="38"/>
  <c r="L166" i="40"/>
  <c r="L166" i="44"/>
  <c r="L159" i="40"/>
  <c r="L159" i="44"/>
  <c r="O177" i="40"/>
  <c r="O177" i="44"/>
  <c r="K167" i="40"/>
  <c r="K167" i="44"/>
  <c r="U173" i="40"/>
  <c r="U187" i="40"/>
  <c r="U165" i="40"/>
  <c r="U163" i="40"/>
  <c r="U168" i="40"/>
  <c r="U171" i="40"/>
  <c r="U175" i="40"/>
  <c r="U180" i="40"/>
  <c r="U189" i="40"/>
  <c r="U178" i="40"/>
  <c r="U170" i="40"/>
  <c r="U188" i="40"/>
  <c r="U161" i="40"/>
  <c r="U164" i="40"/>
  <c r="U162" i="40"/>
  <c r="U172" i="40"/>
  <c r="U174" i="40"/>
  <c r="U179" i="40"/>
  <c r="U169" i="40"/>
  <c r="U183" i="40"/>
  <c r="U160" i="40"/>
  <c r="U159" i="40"/>
  <c r="V185" i="36"/>
  <c r="V176" i="36"/>
  <c r="V166" i="36"/>
  <c r="V182" i="36"/>
  <c r="AT16" i="43"/>
  <c r="F34" i="43"/>
  <c r="F27" i="71"/>
  <c r="Z7" i="43"/>
  <c r="F7" i="43"/>
  <c r="F4" i="71"/>
  <c r="AT7" i="43"/>
  <c r="K7" i="43"/>
  <c r="P7" i="43"/>
  <c r="Z10" i="43"/>
  <c r="F10" i="43"/>
  <c r="F7" i="71"/>
  <c r="K10" i="43"/>
  <c r="AT10" i="43"/>
  <c r="P10" i="43"/>
  <c r="F8" i="43"/>
  <c r="F5" i="71"/>
  <c r="F18" i="43"/>
  <c r="F14" i="71"/>
  <c r="AJ20" i="43"/>
  <c r="AT20" i="43"/>
  <c r="F25" i="43"/>
  <c r="F20" i="71"/>
  <c r="K15" i="43"/>
  <c r="F29" i="43"/>
  <c r="F23" i="71"/>
  <c r="V181" i="36"/>
  <c r="V158" i="36"/>
  <c r="CO33" i="25"/>
  <c r="F11" i="43"/>
  <c r="F8" i="71"/>
  <c r="K11" i="43"/>
  <c r="F9" i="43"/>
  <c r="F6" i="71"/>
  <c r="K9" i="43"/>
  <c r="AJ5" i="43"/>
  <c r="F5" i="43"/>
  <c r="F2" i="71"/>
  <c r="K5" i="43"/>
  <c r="Z26" i="43"/>
  <c r="K35" i="43"/>
  <c r="F35" i="43"/>
  <c r="F28" i="71"/>
  <c r="Z24" i="43"/>
  <c r="P24" i="43"/>
  <c r="AT6" i="43"/>
  <c r="P6" i="43"/>
  <c r="Z6" i="43"/>
  <c r="F6" i="43"/>
  <c r="F3" i="71"/>
  <c r="K6" i="43"/>
  <c r="CO5" i="25"/>
  <c r="CL4" i="25"/>
  <c r="O157" i="36"/>
  <c r="CH4" i="25"/>
  <c r="K157" i="36"/>
  <c r="CK4" i="25"/>
  <c r="N157" i="36"/>
  <c r="CI4" i="25"/>
  <c r="L157" i="36"/>
  <c r="CO28" i="25"/>
  <c r="CO29" i="25"/>
  <c r="CO32" i="25"/>
  <c r="CO23" i="25"/>
  <c r="CO13" i="25"/>
  <c r="N186" i="40"/>
  <c r="N186" i="44"/>
  <c r="W159" i="44"/>
  <c r="AJ6" i="43"/>
  <c r="Z29" i="43"/>
  <c r="Z15" i="43"/>
  <c r="Z25" i="43"/>
  <c r="Z20" i="43"/>
  <c r="Z18" i="43"/>
  <c r="AT8" i="43"/>
  <c r="AJ10" i="43"/>
  <c r="AJ7" i="43"/>
  <c r="Z34" i="43"/>
  <c r="Z16" i="43"/>
  <c r="AJ24" i="43"/>
  <c r="AT35" i="43"/>
  <c r="Z13" i="43"/>
  <c r="AJ30" i="43"/>
  <c r="AJ26" i="43"/>
  <c r="AJ21" i="43"/>
  <c r="AJ17" i="43"/>
  <c r="W177" i="44"/>
  <c r="Z14" i="43"/>
  <c r="Z9" i="43"/>
  <c r="Z11" i="43"/>
  <c r="Z33" i="43"/>
  <c r="Z19" i="43"/>
  <c r="B6" i="71"/>
  <c r="B9" i="56"/>
  <c r="A9" i="54"/>
  <c r="AJ19" i="43"/>
  <c r="AJ11" i="43"/>
  <c r="AJ16" i="43"/>
  <c r="AJ9" i="43"/>
  <c r="K24" i="43"/>
  <c r="AJ15" i="43"/>
  <c r="AJ8" i="43"/>
  <c r="Q6" i="54"/>
  <c r="R31" i="69"/>
  <c r="D9" i="56"/>
  <c r="AT24" i="43"/>
  <c r="F24" i="43"/>
  <c r="F19" i="71"/>
  <c r="Z35" i="43"/>
  <c r="AJ35" i="43"/>
  <c r="K29" i="43"/>
  <c r="AJ29" i="43"/>
  <c r="F15" i="43"/>
  <c r="F11" i="71"/>
  <c r="K25" i="43"/>
  <c r="AJ25" i="43"/>
  <c r="F20" i="43"/>
  <c r="F16" i="71"/>
  <c r="AT18" i="43"/>
  <c r="AJ18" i="43"/>
  <c r="P8" i="43"/>
  <c r="AT34" i="43"/>
  <c r="AJ34" i="43"/>
  <c r="F16" i="43"/>
  <c r="F12" i="71"/>
  <c r="K186" i="40"/>
  <c r="K186" i="44"/>
  <c r="P17" i="43"/>
  <c r="F14" i="43"/>
  <c r="F10" i="71"/>
  <c r="F33" i="43"/>
  <c r="F26" i="71"/>
  <c r="L182" i="40"/>
  <c r="L182" i="44"/>
  <c r="P35" i="43"/>
  <c r="P29" i="43"/>
  <c r="AT29" i="43"/>
  <c r="P15" i="43"/>
  <c r="AT15" i="43"/>
  <c r="P25" i="43"/>
  <c r="AT25" i="43"/>
  <c r="P20" i="43"/>
  <c r="K20" i="43"/>
  <c r="P18" i="43"/>
  <c r="K18" i="43"/>
  <c r="K8" i="43"/>
  <c r="Z8" i="43"/>
  <c r="P34" i="43"/>
  <c r="K34" i="43"/>
  <c r="P16" i="43"/>
  <c r="K16" i="43"/>
  <c r="P26" i="43"/>
  <c r="AT21" i="43"/>
  <c r="Z17" i="43"/>
  <c r="AJ23" i="43"/>
  <c r="K19" i="43"/>
  <c r="K182" i="40"/>
  <c r="K182" i="44"/>
  <c r="U177" i="44"/>
  <c r="W167" i="44"/>
  <c r="X166" i="44"/>
  <c r="X176" i="44"/>
  <c r="AO31" i="43"/>
  <c r="K26" i="43"/>
  <c r="P21" i="43"/>
  <c r="Z21" i="43"/>
  <c r="AT17" i="43"/>
  <c r="P13" i="43"/>
  <c r="AT23" i="43"/>
  <c r="AT14" i="43"/>
  <c r="AJ14" i="43"/>
  <c r="K33" i="43"/>
  <c r="AJ33" i="43"/>
  <c r="F19" i="43"/>
  <c r="F15" i="71"/>
  <c r="N182" i="40"/>
  <c r="N182" i="44"/>
  <c r="O186" i="40"/>
  <c r="O186" i="44"/>
  <c r="O182" i="40"/>
  <c r="O182" i="44"/>
  <c r="Z5" i="43"/>
  <c r="AT26" i="43"/>
  <c r="F26" i="43"/>
  <c r="F21" i="71"/>
  <c r="K21" i="43"/>
  <c r="F21" i="43"/>
  <c r="F17" i="71"/>
  <c r="K17" i="43"/>
  <c r="F17" i="43"/>
  <c r="F13" i="71"/>
  <c r="AT13" i="43"/>
  <c r="P23" i="43"/>
  <c r="Z23" i="43"/>
  <c r="P14" i="43"/>
  <c r="K14" i="43"/>
  <c r="P5" i="43"/>
  <c r="AT5" i="43"/>
  <c r="P9" i="43"/>
  <c r="AT9" i="43"/>
  <c r="P11" i="43"/>
  <c r="AT11" i="43"/>
  <c r="P33" i="43"/>
  <c r="AT33" i="43"/>
  <c r="P19" i="43"/>
  <c r="AT19" i="43"/>
  <c r="D6" i="56"/>
  <c r="Q9" i="54"/>
  <c r="R19" i="69"/>
  <c r="U167" i="40"/>
  <c r="U177" i="40"/>
  <c r="X185" i="44"/>
  <c r="U167" i="44"/>
  <c r="U166" i="44"/>
  <c r="X177" i="44"/>
  <c r="W160" i="44"/>
  <c r="W183" i="44"/>
  <c r="W169" i="44"/>
  <c r="W179" i="44"/>
  <c r="W174" i="44"/>
  <c r="W172" i="44"/>
  <c r="W162" i="44"/>
  <c r="W164" i="44"/>
  <c r="W161" i="44"/>
  <c r="W188" i="44"/>
  <c r="W170" i="44"/>
  <c r="W178" i="44"/>
  <c r="W189" i="44"/>
  <c r="W184" i="44"/>
  <c r="W180" i="44"/>
  <c r="W175" i="44"/>
  <c r="W171" i="44"/>
  <c r="W168" i="44"/>
  <c r="W163" i="44"/>
  <c r="W165" i="44"/>
  <c r="W187" i="44"/>
  <c r="W173" i="44"/>
  <c r="U182" i="44"/>
  <c r="U185" i="44"/>
  <c r="X181" i="44"/>
  <c r="D10" i="56"/>
  <c r="D7" i="71"/>
  <c r="D11" i="56"/>
  <c r="D8" i="71"/>
  <c r="D7" i="56"/>
  <c r="D4" i="71"/>
  <c r="U176" i="44"/>
  <c r="X167" i="44"/>
  <c r="AE5" i="43"/>
  <c r="W83" i="44"/>
  <c r="AJ13" i="43"/>
  <c r="AO27" i="43"/>
  <c r="F23" i="43"/>
  <c r="F18" i="71"/>
  <c r="K13" i="43"/>
  <c r="F13" i="43"/>
  <c r="F9" i="71"/>
  <c r="K23" i="43"/>
  <c r="AE23" i="43"/>
  <c r="AO12" i="43"/>
  <c r="N157" i="38"/>
  <c r="N157" i="40"/>
  <c r="N157" i="44"/>
  <c r="AO22" i="43"/>
  <c r="L186" i="40"/>
  <c r="L186" i="44"/>
  <c r="AE13" i="43"/>
  <c r="K157" i="38"/>
  <c r="K157" i="40"/>
  <c r="K157" i="44"/>
  <c r="AE12" i="43"/>
  <c r="O157" i="38"/>
  <c r="O157" i="40"/>
  <c r="O157" i="44"/>
  <c r="K158" i="40"/>
  <c r="K158" i="44"/>
  <c r="AE22" i="43"/>
  <c r="AO23" i="43"/>
  <c r="AE31" i="43"/>
  <c r="L157" i="38"/>
  <c r="L157" i="40"/>
  <c r="L157" i="44"/>
  <c r="N158" i="40"/>
  <c r="N158" i="44"/>
  <c r="U166" i="40"/>
  <c r="U176" i="40"/>
  <c r="U185" i="40"/>
  <c r="AH5" i="43"/>
  <c r="D5" i="61"/>
  <c r="Q25" i="67"/>
  <c r="AD25" i="68"/>
  <c r="Q20" i="67"/>
  <c r="AD20" i="68"/>
  <c r="Q9" i="67"/>
  <c r="AD9" i="68"/>
  <c r="F35" i="56"/>
  <c r="AG35" i="54"/>
  <c r="F29" i="56"/>
  <c r="AG29" i="54"/>
  <c r="F15" i="56"/>
  <c r="F25" i="56"/>
  <c r="AG25" i="54"/>
  <c r="AH5" i="69"/>
  <c r="F18" i="56"/>
  <c r="AG18" i="54"/>
  <c r="F8" i="56"/>
  <c r="AG8" i="54"/>
  <c r="F10" i="56"/>
  <c r="AG10" i="54"/>
  <c r="F7" i="56"/>
  <c r="AG7" i="54"/>
  <c r="F34" i="56"/>
  <c r="AG34" i="54"/>
  <c r="F6" i="56"/>
  <c r="AG6" i="54"/>
  <c r="AH7" i="69"/>
  <c r="AG17" i="54"/>
  <c r="F5" i="56"/>
  <c r="AG5" i="54"/>
  <c r="AH25" i="69"/>
  <c r="F9" i="56"/>
  <c r="AG9" i="54"/>
  <c r="AH21" i="69"/>
  <c r="F11" i="56"/>
  <c r="AG11" i="54"/>
  <c r="F33" i="56"/>
  <c r="V157" i="36"/>
  <c r="AT12" i="43"/>
  <c r="Z12" i="43"/>
  <c r="K12" i="43"/>
  <c r="AT22" i="43"/>
  <c r="Z22" i="43"/>
  <c r="K22" i="43"/>
  <c r="F31" i="43"/>
  <c r="V186" i="36"/>
  <c r="CO4" i="25"/>
  <c r="AD17" i="68"/>
  <c r="AG13" i="54"/>
  <c r="AH53" i="69"/>
  <c r="Q11" i="67"/>
  <c r="AJ27" i="43"/>
  <c r="AJ22" i="43"/>
  <c r="AJ12" i="43"/>
  <c r="AJ4" i="43"/>
  <c r="AE28" i="43"/>
  <c r="Z31" i="43"/>
  <c r="B19" i="69"/>
  <c r="A11" i="67"/>
  <c r="B11" i="68"/>
  <c r="AG24" i="54"/>
  <c r="AG16" i="54"/>
  <c r="AG27" i="67"/>
  <c r="AG20" i="54"/>
  <c r="AH17" i="69"/>
  <c r="AG19" i="54"/>
  <c r="AH55" i="69"/>
  <c r="F14" i="56"/>
  <c r="F13" i="56"/>
  <c r="AG26" i="54"/>
  <c r="AH3" i="69"/>
  <c r="AG15" i="54"/>
  <c r="AG26" i="67"/>
  <c r="Q17" i="67"/>
  <c r="AG33" i="54"/>
  <c r="AH19" i="69"/>
  <c r="F24" i="56"/>
  <c r="F16" i="56"/>
  <c r="F20" i="56"/>
  <c r="AD11" i="68"/>
  <c r="U186" i="44"/>
  <c r="F4" i="43"/>
  <c r="AJ28" i="43"/>
  <c r="AT28" i="43"/>
  <c r="F28" i="43"/>
  <c r="F22" i="71"/>
  <c r="K31" i="43"/>
  <c r="AJ31" i="43"/>
  <c r="F22" i="43"/>
  <c r="F22" i="56"/>
  <c r="P22" i="43"/>
  <c r="F12" i="43"/>
  <c r="F12" i="56"/>
  <c r="P12" i="43"/>
  <c r="AT4" i="43"/>
  <c r="AG14" i="54"/>
  <c r="AH27" i="69"/>
  <c r="AG23" i="54"/>
  <c r="AG21" i="54"/>
  <c r="AH45" i="69"/>
  <c r="Z28" i="43"/>
  <c r="AE32" i="43"/>
  <c r="Z4" i="43"/>
  <c r="P31" i="43"/>
  <c r="AT31" i="43"/>
  <c r="P28" i="43"/>
  <c r="K28" i="43"/>
  <c r="P4" i="43"/>
  <c r="K4" i="43"/>
  <c r="F19" i="56"/>
  <c r="F23" i="56"/>
  <c r="F17" i="56"/>
  <c r="F21" i="56"/>
  <c r="F26" i="56"/>
  <c r="U182" i="40"/>
  <c r="W158" i="44"/>
  <c r="AO28" i="43"/>
  <c r="X182" i="44"/>
  <c r="W185" i="44"/>
  <c r="W182" i="44"/>
  <c r="W181" i="44"/>
  <c r="W176" i="44"/>
  <c r="W166" i="44"/>
  <c r="AO32" i="43"/>
  <c r="X186" i="44"/>
  <c r="X157" i="44"/>
  <c r="X158" i="44"/>
  <c r="AE4" i="43"/>
  <c r="AO3" i="43"/>
  <c r="U158" i="40"/>
  <c r="AO4" i="43"/>
  <c r="U186" i="40"/>
  <c r="AG29" i="67"/>
  <c r="AG20" i="67"/>
  <c r="AH37" i="69"/>
  <c r="BF20" i="68"/>
  <c r="AG12" i="67"/>
  <c r="BF12" i="68"/>
  <c r="AG14" i="67"/>
  <c r="BF14" i="68"/>
  <c r="AG22" i="67"/>
  <c r="AH41" i="69"/>
  <c r="BF22" i="68"/>
  <c r="AG28" i="67"/>
  <c r="BF28" i="68"/>
  <c r="AG25" i="67"/>
  <c r="AH47" i="69"/>
  <c r="BF25" i="68"/>
  <c r="BF24" i="68"/>
  <c r="AG3" i="67"/>
  <c r="BF3" i="68"/>
  <c r="AG9" i="67"/>
  <c r="BF9" i="68"/>
  <c r="AH15" i="69"/>
  <c r="AG5" i="67"/>
  <c r="BF5" i="68"/>
  <c r="AH51" i="69"/>
  <c r="AG18" i="67"/>
  <c r="AH33" i="69"/>
  <c r="BF18" i="68"/>
  <c r="AG6" i="67"/>
  <c r="AH9" i="69"/>
  <c r="BF6" i="68"/>
  <c r="AG23" i="67"/>
  <c r="AH43" i="69"/>
  <c r="BF23" i="68"/>
  <c r="AG21" i="67"/>
  <c r="AH39" i="69"/>
  <c r="BF21" i="68"/>
  <c r="AG19" i="67"/>
  <c r="AH35" i="69"/>
  <c r="BF19" i="68"/>
  <c r="AG10" i="67"/>
  <c r="BF10" i="68"/>
  <c r="AG4" i="67"/>
  <c r="BF4" i="68"/>
  <c r="AH49" i="69"/>
  <c r="AG7" i="67"/>
  <c r="BF7" i="68"/>
  <c r="AH11" i="69"/>
  <c r="AG17" i="67"/>
  <c r="AH31" i="69"/>
  <c r="BF17" i="68"/>
  <c r="F31" i="56"/>
  <c r="AG31" i="54"/>
  <c r="AG12" i="54"/>
  <c r="F4" i="56"/>
  <c r="AG4" i="54"/>
  <c r="BF29" i="68"/>
  <c r="AJ32" i="43"/>
  <c r="AJ3" i="43"/>
  <c r="BF27" i="68"/>
  <c r="AG11" i="67"/>
  <c r="AG28" i="54"/>
  <c r="AG16" i="67"/>
  <c r="BF26" i="68"/>
  <c r="F28" i="56"/>
  <c r="AG22" i="54"/>
  <c r="AG24" i="67"/>
  <c r="BF15" i="68"/>
  <c r="BF11" i="68"/>
  <c r="K32" i="43"/>
  <c r="P32" i="43"/>
  <c r="Z32" i="43"/>
  <c r="AG15" i="67"/>
  <c r="AT32" i="43"/>
  <c r="F32" i="43"/>
  <c r="F25" i="71"/>
  <c r="W186" i="44"/>
  <c r="W157" i="44"/>
  <c r="AH29" i="69"/>
  <c r="BF16" i="68"/>
  <c r="AG32" i="54"/>
  <c r="AH13" i="69"/>
  <c r="F32" i="56"/>
  <c r="AG8" i="67"/>
  <c r="BW31" i="25"/>
  <c r="BW16" i="25"/>
  <c r="BW35" i="25"/>
  <c r="BW25" i="25"/>
  <c r="BW17" i="25"/>
  <c r="BW22" i="25"/>
  <c r="BW26" i="25"/>
  <c r="BF8" i="68"/>
  <c r="BW21" i="25"/>
  <c r="BW34" i="25"/>
  <c r="BW9" i="25"/>
  <c r="BW30" i="25"/>
  <c r="BW36" i="25"/>
  <c r="BW29" i="25"/>
  <c r="BW27" i="25"/>
  <c r="V99" i="36"/>
  <c r="V98" i="36"/>
  <c r="V111" i="36"/>
  <c r="V102" i="36"/>
  <c r="V107" i="36"/>
  <c r="V95" i="36"/>
  <c r="V103" i="36"/>
  <c r="V108" i="36"/>
  <c r="V94" i="36"/>
  <c r="V93" i="36"/>
  <c r="V97" i="36"/>
  <c r="V113" i="36"/>
  <c r="V104" i="36"/>
  <c r="V112" i="36"/>
  <c r="V92" i="36"/>
  <c r="V106" i="36"/>
  <c r="V86" i="36"/>
  <c r="V110" i="36"/>
  <c r="V96" i="36"/>
  <c r="BW18" i="25"/>
  <c r="BW15" i="25"/>
  <c r="BW24" i="25"/>
  <c r="BW14" i="25"/>
  <c r="BW19" i="25"/>
  <c r="BW20" i="25"/>
  <c r="BW33" i="25"/>
  <c r="AM20" i="43"/>
  <c r="D20" i="62"/>
  <c r="U104" i="44"/>
  <c r="U96" i="44"/>
  <c r="U92" i="44"/>
  <c r="U95" i="44"/>
  <c r="U107" i="44"/>
  <c r="U99" i="44"/>
  <c r="AM26" i="43"/>
  <c r="D26" i="62"/>
  <c r="X92" i="44"/>
  <c r="X107" i="44"/>
  <c r="X113" i="44"/>
  <c r="X97" i="44"/>
  <c r="X93" i="44"/>
  <c r="X94" i="44"/>
  <c r="X103" i="44"/>
  <c r="X112" i="44"/>
  <c r="X102" i="44"/>
  <c r="X104" i="44"/>
  <c r="X98" i="44"/>
  <c r="X96" i="44"/>
  <c r="X108" i="44"/>
  <c r="X95" i="44"/>
  <c r="X111" i="44"/>
  <c r="AC30" i="43"/>
  <c r="D30" i="60"/>
  <c r="U108" i="44"/>
  <c r="AC15" i="43"/>
  <c r="D15" i="60"/>
  <c r="U93" i="44"/>
  <c r="AC16" i="43"/>
  <c r="D16" i="60"/>
  <c r="U94" i="44"/>
  <c r="AC25" i="43"/>
  <c r="D25" i="60"/>
  <c r="U103" i="44"/>
  <c r="AC34" i="43"/>
  <c r="D34" i="60"/>
  <c r="U112" i="44"/>
  <c r="AC24" i="43"/>
  <c r="D24" i="60"/>
  <c r="U102" i="44"/>
  <c r="AC20" i="43"/>
  <c r="D20" i="60"/>
  <c r="U98" i="44"/>
  <c r="AC35" i="43"/>
  <c r="D35" i="60"/>
  <c r="U113" i="44"/>
  <c r="X99" i="44"/>
  <c r="U97" i="44"/>
  <c r="U111" i="44"/>
  <c r="BW28" i="25"/>
  <c r="AC29" i="43"/>
  <c r="D29" i="60"/>
  <c r="U100" i="44"/>
  <c r="AM19" i="43"/>
  <c r="D19" i="62"/>
  <c r="AC19" i="43"/>
  <c r="D19" i="60"/>
  <c r="AC26" i="43"/>
  <c r="D26" i="60"/>
  <c r="AC18" i="43"/>
  <c r="D18" i="60"/>
  <c r="AM14" i="43"/>
  <c r="D14" i="62"/>
  <c r="AM17" i="43"/>
  <c r="D17" i="62"/>
  <c r="AM29" i="43"/>
  <c r="D29" i="62"/>
  <c r="AC33" i="43"/>
  <c r="D33" i="60"/>
  <c r="AM35" i="43"/>
  <c r="D35" i="62"/>
  <c r="AC21" i="43"/>
  <c r="D21" i="60"/>
  <c r="AM18" i="43"/>
  <c r="D18" i="62"/>
  <c r="AM30" i="43"/>
  <c r="D30" i="62"/>
  <c r="AM33" i="43"/>
  <c r="D33" i="62"/>
  <c r="AC14" i="43"/>
  <c r="D14" i="60"/>
  <c r="AC17" i="43"/>
  <c r="D17" i="60"/>
  <c r="AM15" i="43"/>
  <c r="D15" i="62"/>
  <c r="AM16" i="43"/>
  <c r="D16" i="62"/>
  <c r="AM25" i="43"/>
  <c r="D25" i="62"/>
  <c r="AM34" i="43"/>
  <c r="D34" i="62"/>
  <c r="AM24" i="43"/>
  <c r="D24" i="62"/>
  <c r="AM21" i="43"/>
  <c r="D21" i="62"/>
  <c r="AC32" i="43"/>
  <c r="D32" i="60"/>
  <c r="U92" i="40"/>
  <c r="U112" i="40"/>
  <c r="U104" i="40"/>
  <c r="X35" i="43"/>
  <c r="U113" i="40"/>
  <c r="U97" i="40"/>
  <c r="U93" i="40"/>
  <c r="U94" i="40"/>
  <c r="U108" i="40"/>
  <c r="U103" i="40"/>
  <c r="U95" i="40"/>
  <c r="I29" i="43"/>
  <c r="D29" i="57"/>
  <c r="U107" i="40"/>
  <c r="U102" i="40"/>
  <c r="AH33" i="43"/>
  <c r="D33" i="61"/>
  <c r="U111" i="40"/>
  <c r="U98" i="40"/>
  <c r="U99" i="40"/>
  <c r="U96" i="40"/>
  <c r="BW23" i="25"/>
  <c r="BW32" i="25"/>
  <c r="V101" i="36"/>
  <c r="V100" i="36"/>
  <c r="AH19" i="43"/>
  <c r="D19" i="61"/>
  <c r="I21" i="43"/>
  <c r="D21" i="57"/>
  <c r="V105" i="36"/>
  <c r="V91" i="36"/>
  <c r="V90" i="36"/>
  <c r="V109" i="36"/>
  <c r="V82" i="36"/>
  <c r="I18" i="43"/>
  <c r="D18" i="57"/>
  <c r="X14" i="43"/>
  <c r="D34" i="43"/>
  <c r="D27" i="71"/>
  <c r="BW5" i="25"/>
  <c r="BW13" i="25"/>
  <c r="X82" i="44"/>
  <c r="I17" i="43"/>
  <c r="D17" i="57"/>
  <c r="D20" i="43"/>
  <c r="D16" i="71"/>
  <c r="D16" i="43"/>
  <c r="D12" i="71"/>
  <c r="X105" i="44"/>
  <c r="W110" i="44"/>
  <c r="X18" i="43"/>
  <c r="AH21" i="43"/>
  <c r="D21" i="61"/>
  <c r="D33" i="43"/>
  <c r="D26" i="71"/>
  <c r="D24" i="43"/>
  <c r="D19" i="71"/>
  <c r="AH29" i="43"/>
  <c r="D29" i="61"/>
  <c r="AH25" i="43"/>
  <c r="D25" i="61"/>
  <c r="I15" i="43"/>
  <c r="D15" i="57"/>
  <c r="N35" i="43"/>
  <c r="D35" i="58"/>
  <c r="AR26" i="43"/>
  <c r="D26" i="63"/>
  <c r="AR34" i="43"/>
  <c r="D34" i="63"/>
  <c r="I32" i="43"/>
  <c r="D32" i="57"/>
  <c r="D28" i="43"/>
  <c r="D22" i="71"/>
  <c r="U106" i="44"/>
  <c r="AM32" i="43"/>
  <c r="D32" i="62"/>
  <c r="AM27" i="43"/>
  <c r="D27" i="62"/>
  <c r="AM8" i="43"/>
  <c r="D8" i="62"/>
  <c r="AR28" i="43"/>
  <c r="D28" i="63"/>
  <c r="I28" i="43"/>
  <c r="D28" i="57"/>
  <c r="U109" i="44"/>
  <c r="W96" i="44"/>
  <c r="W99" i="44"/>
  <c r="W98" i="44"/>
  <c r="W111" i="44"/>
  <c r="W102" i="44"/>
  <c r="W107" i="44"/>
  <c r="W95" i="44"/>
  <c r="W103" i="44"/>
  <c r="W108" i="44"/>
  <c r="W94" i="44"/>
  <c r="W93" i="44"/>
  <c r="W97" i="44"/>
  <c r="W113" i="44"/>
  <c r="W104" i="44"/>
  <c r="W112" i="44"/>
  <c r="W92" i="44"/>
  <c r="AC27" i="43"/>
  <c r="D27" i="60"/>
  <c r="U105" i="44"/>
  <c r="AM28" i="43"/>
  <c r="D28" i="62"/>
  <c r="X106" i="44"/>
  <c r="W86" i="44"/>
  <c r="AC13" i="43"/>
  <c r="D13" i="60"/>
  <c r="U91" i="44"/>
  <c r="AC23" i="43"/>
  <c r="D23" i="60"/>
  <c r="U101" i="44"/>
  <c r="X101" i="44"/>
  <c r="X86" i="44"/>
  <c r="AR35" i="43"/>
  <c r="D35" i="63"/>
  <c r="I26" i="43"/>
  <c r="D26" i="57"/>
  <c r="X26" i="43"/>
  <c r="I34" i="43"/>
  <c r="D34" i="57"/>
  <c r="I14" i="43"/>
  <c r="D14" i="57"/>
  <c r="AR14" i="43"/>
  <c r="D14" i="63"/>
  <c r="D32" i="43"/>
  <c r="D25" i="71"/>
  <c r="AR32" i="43"/>
  <c r="D32" i="63"/>
  <c r="AR18" i="43"/>
  <c r="D18" i="63"/>
  <c r="AC22" i="43"/>
  <c r="D22" i="60"/>
  <c r="D21" i="43"/>
  <c r="D17" i="71"/>
  <c r="N20" i="43"/>
  <c r="D20" i="58"/>
  <c r="AH20" i="43"/>
  <c r="D20" i="61"/>
  <c r="I33" i="43"/>
  <c r="D33" i="57"/>
  <c r="N24" i="43"/>
  <c r="D24" i="58"/>
  <c r="AH24" i="43"/>
  <c r="D24" i="61"/>
  <c r="D29" i="43"/>
  <c r="D23" i="71"/>
  <c r="X17" i="43"/>
  <c r="X25" i="43"/>
  <c r="D30" i="43"/>
  <c r="D24" i="71"/>
  <c r="AH16" i="43"/>
  <c r="D16" i="61"/>
  <c r="I19" i="43"/>
  <c r="D19" i="57"/>
  <c r="W106" i="44"/>
  <c r="X91" i="44"/>
  <c r="U90" i="44"/>
  <c r="X100" i="44"/>
  <c r="U86" i="44"/>
  <c r="X109" i="44"/>
  <c r="X110" i="44"/>
  <c r="U110" i="44"/>
  <c r="AM4" i="43"/>
  <c r="D4" i="62"/>
  <c r="AH17" i="43"/>
  <c r="D17" i="61"/>
  <c r="I25" i="43"/>
  <c r="D25" i="57"/>
  <c r="N30" i="43"/>
  <c r="D30" i="58"/>
  <c r="AH30" i="43"/>
  <c r="D30" i="61"/>
  <c r="N16" i="43"/>
  <c r="D16" i="58"/>
  <c r="X15" i="43"/>
  <c r="AH15" i="43"/>
  <c r="D15" i="61"/>
  <c r="D19" i="43"/>
  <c r="D15" i="71"/>
  <c r="I8" i="43"/>
  <c r="D8" i="57"/>
  <c r="AH28" i="43"/>
  <c r="D28" i="61"/>
  <c r="AM22" i="43"/>
  <c r="D22" i="62"/>
  <c r="N8" i="43"/>
  <c r="D8" i="58"/>
  <c r="X8" i="43"/>
  <c r="I35" i="43"/>
  <c r="D35" i="57"/>
  <c r="D35" i="43"/>
  <c r="Q35" i="54"/>
  <c r="R33" i="69"/>
  <c r="AH35" i="43"/>
  <c r="D35" i="61"/>
  <c r="N26" i="43"/>
  <c r="D26" i="58"/>
  <c r="D26" i="43"/>
  <c r="D21" i="71"/>
  <c r="AH26" i="43"/>
  <c r="D26" i="61"/>
  <c r="X34" i="43"/>
  <c r="N34" i="43"/>
  <c r="D34" i="58"/>
  <c r="AH34" i="43"/>
  <c r="D34" i="61"/>
  <c r="D14" i="43"/>
  <c r="N14" i="43"/>
  <c r="D14" i="58"/>
  <c r="AH14" i="43"/>
  <c r="D14" i="61"/>
  <c r="X28" i="43"/>
  <c r="N28" i="43"/>
  <c r="D28" i="58"/>
  <c r="AR8" i="43"/>
  <c r="D8" i="63"/>
  <c r="D8" i="43"/>
  <c r="Q8" i="54"/>
  <c r="R43" i="69"/>
  <c r="AH8" i="43"/>
  <c r="D8" i="61"/>
  <c r="X32" i="43"/>
  <c r="N32" i="43"/>
  <c r="D32" i="58"/>
  <c r="AH32" i="43"/>
  <c r="D32" i="61"/>
  <c r="N18" i="43"/>
  <c r="D18" i="58"/>
  <c r="D18" i="43"/>
  <c r="AH18" i="43"/>
  <c r="D18" i="61"/>
  <c r="N21" i="43"/>
  <c r="D21" i="58"/>
  <c r="AR21" i="43"/>
  <c r="D21" i="63"/>
  <c r="X21" i="43"/>
  <c r="I20" i="43"/>
  <c r="D20" i="57"/>
  <c r="AR20" i="43"/>
  <c r="D20" i="63"/>
  <c r="X20" i="43"/>
  <c r="X33" i="43"/>
  <c r="N33" i="43"/>
  <c r="D33" i="58"/>
  <c r="AR33" i="43"/>
  <c r="D33" i="63"/>
  <c r="I24" i="43"/>
  <c r="D24" i="57"/>
  <c r="AR24" i="43"/>
  <c r="D24" i="63"/>
  <c r="X24" i="43"/>
  <c r="N29" i="43"/>
  <c r="D29" i="58"/>
  <c r="AR29" i="43"/>
  <c r="D29" i="63"/>
  <c r="X29" i="43"/>
  <c r="D17" i="43"/>
  <c r="D13" i="71"/>
  <c r="N17" i="43"/>
  <c r="D17" i="58"/>
  <c r="AR17" i="43"/>
  <c r="D17" i="63"/>
  <c r="D25" i="43"/>
  <c r="N25" i="43"/>
  <c r="D25" i="58"/>
  <c r="AR25" i="43"/>
  <c r="D25" i="63"/>
  <c r="I30" i="43"/>
  <c r="D30" i="57"/>
  <c r="AR30" i="43"/>
  <c r="D30" i="63"/>
  <c r="X30" i="43"/>
  <c r="I16" i="43"/>
  <c r="D16" i="57"/>
  <c r="X16" i="43"/>
  <c r="AR16" i="43"/>
  <c r="D16" i="63"/>
  <c r="D15" i="43"/>
  <c r="D11" i="71"/>
  <c r="N15" i="43"/>
  <c r="D15" i="58"/>
  <c r="AR15" i="43"/>
  <c r="D15" i="63"/>
  <c r="N19" i="43"/>
  <c r="D19" i="58"/>
  <c r="AR19" i="43"/>
  <c r="D19" i="63"/>
  <c r="X19" i="43"/>
  <c r="U86" i="40"/>
  <c r="U110" i="40"/>
  <c r="U106" i="40"/>
  <c r="AM13" i="43"/>
  <c r="D13" i="62"/>
  <c r="AC12" i="43"/>
  <c r="D12" i="60"/>
  <c r="AC31" i="43"/>
  <c r="D31" i="60"/>
  <c r="AC8" i="43"/>
  <c r="D8" i="60"/>
  <c r="AM31" i="43"/>
  <c r="D31" i="62"/>
  <c r="AC28" i="43"/>
  <c r="D28" i="60"/>
  <c r="AM12" i="43"/>
  <c r="D12" i="62"/>
  <c r="AM23" i="43"/>
  <c r="D23" i="62"/>
  <c r="N31" i="43"/>
  <c r="D31" i="58"/>
  <c r="U109" i="40"/>
  <c r="X13" i="43"/>
  <c r="U91" i="40"/>
  <c r="U105" i="40"/>
  <c r="N22" i="43"/>
  <c r="D22" i="58"/>
  <c r="U100" i="40"/>
  <c r="U101" i="40"/>
  <c r="D34" i="56"/>
  <c r="Q34" i="54"/>
  <c r="R29" i="69"/>
  <c r="D32" i="56"/>
  <c r="D20" i="56"/>
  <c r="Q20" i="54"/>
  <c r="R23" i="69"/>
  <c r="D16" i="56"/>
  <c r="Q16" i="54"/>
  <c r="R49" i="69"/>
  <c r="X23" i="43"/>
  <c r="AR31" i="43"/>
  <c r="D31" i="63"/>
  <c r="I13" i="43"/>
  <c r="D13" i="57"/>
  <c r="I27" i="43"/>
  <c r="D27" i="57"/>
  <c r="X27" i="43"/>
  <c r="BW4" i="25"/>
  <c r="D33" i="56"/>
  <c r="D31" i="43"/>
  <c r="Q31" i="54"/>
  <c r="Q24" i="54"/>
  <c r="R9" i="69"/>
  <c r="D24" i="56"/>
  <c r="Q33" i="54"/>
  <c r="R17" i="69"/>
  <c r="Q21" i="54"/>
  <c r="R39" i="69"/>
  <c r="X12" i="43"/>
  <c r="AR23" i="43"/>
  <c r="D23" i="63"/>
  <c r="AR22" i="43"/>
  <c r="D22" i="63"/>
  <c r="AR27" i="43"/>
  <c r="D27" i="63"/>
  <c r="AR13" i="43"/>
  <c r="D13" i="63"/>
  <c r="AH31" i="43"/>
  <c r="D31" i="61"/>
  <c r="AH13" i="43"/>
  <c r="D13" i="61"/>
  <c r="Q29" i="54"/>
  <c r="Q5" i="67"/>
  <c r="AH27" i="43"/>
  <c r="D27" i="61"/>
  <c r="AH23" i="43"/>
  <c r="D23" i="61"/>
  <c r="D19" i="56"/>
  <c r="Q28" i="54"/>
  <c r="R27" i="69"/>
  <c r="AR12" i="43"/>
  <c r="D12" i="63"/>
  <c r="D30" i="56"/>
  <c r="Q26" i="54"/>
  <c r="Q3" i="67"/>
  <c r="D28" i="56"/>
  <c r="D27" i="43"/>
  <c r="D27" i="56"/>
  <c r="N27" i="43"/>
  <c r="D27" i="58"/>
  <c r="D13" i="43"/>
  <c r="D9" i="71"/>
  <c r="N13" i="43"/>
  <c r="D13" i="58"/>
  <c r="X31" i="43"/>
  <c r="I31" i="43"/>
  <c r="D31" i="57"/>
  <c r="I23" i="43"/>
  <c r="D23" i="57"/>
  <c r="X22" i="43"/>
  <c r="AH22" i="43"/>
  <c r="D22" i="61"/>
  <c r="D29" i="56"/>
  <c r="D21" i="56"/>
  <c r="Q32" i="54"/>
  <c r="R5" i="69"/>
  <c r="I12" i="43"/>
  <c r="D12" i="57"/>
  <c r="D15" i="56"/>
  <c r="D17" i="56"/>
  <c r="D23" i="43"/>
  <c r="D18" i="71"/>
  <c r="N23" i="43"/>
  <c r="D23" i="58"/>
  <c r="D22" i="43"/>
  <c r="Q22" i="54"/>
  <c r="I22" i="43"/>
  <c r="D22" i="57"/>
  <c r="D26" i="56"/>
  <c r="Q15" i="54"/>
  <c r="R51" i="69"/>
  <c r="Q17" i="54"/>
  <c r="R45" i="69"/>
  <c r="U90" i="40"/>
  <c r="AH12" i="43"/>
  <c r="D12" i="61"/>
  <c r="D25" i="56"/>
  <c r="D20" i="71"/>
  <c r="D18" i="56"/>
  <c r="D14" i="71"/>
  <c r="D8" i="56"/>
  <c r="D5" i="71"/>
  <c r="D14" i="56"/>
  <c r="D10" i="71"/>
  <c r="D35" i="56"/>
  <c r="D28" i="71"/>
  <c r="W101" i="44"/>
  <c r="W100" i="44"/>
  <c r="W105" i="44"/>
  <c r="W91" i="44"/>
  <c r="W109" i="44"/>
  <c r="D12" i="43"/>
  <c r="D12" i="56"/>
  <c r="N12" i="43"/>
  <c r="D12" i="58"/>
  <c r="Q19" i="54"/>
  <c r="Q29" i="67"/>
  <c r="Q30" i="54"/>
  <c r="R13" i="69"/>
  <c r="Q18" i="54"/>
  <c r="R41" i="69"/>
  <c r="Q14" i="54"/>
  <c r="R25" i="69"/>
  <c r="Q25" i="54"/>
  <c r="R21" i="69"/>
  <c r="W90" i="44"/>
  <c r="W82" i="44"/>
  <c r="X90" i="44"/>
  <c r="X81" i="44"/>
  <c r="AH4" i="43"/>
  <c r="D4" i="61"/>
  <c r="AM3" i="43"/>
  <c r="D3" i="62"/>
  <c r="Q26" i="67"/>
  <c r="AD26" i="68"/>
  <c r="Q13" i="67"/>
  <c r="AD13" i="68"/>
  <c r="Q21" i="67"/>
  <c r="Q23" i="67"/>
  <c r="AD23" i="68"/>
  <c r="Q18" i="67"/>
  <c r="AD18" i="68"/>
  <c r="Q16" i="67"/>
  <c r="AD16" i="68"/>
  <c r="V81" i="36"/>
  <c r="D31" i="56"/>
  <c r="AD6" i="68"/>
  <c r="Q6" i="67"/>
  <c r="R7" i="69"/>
  <c r="AD5" i="68"/>
  <c r="AD12" i="68"/>
  <c r="AD21" i="68"/>
  <c r="AD10" i="68"/>
  <c r="Q10" i="67"/>
  <c r="AD15" i="68"/>
  <c r="D23" i="56"/>
  <c r="AD4" i="68"/>
  <c r="D22" i="56"/>
  <c r="Q12" i="54"/>
  <c r="Q15" i="67"/>
  <c r="Q4" i="67"/>
  <c r="AD27" i="68"/>
  <c r="Q13" i="54"/>
  <c r="R53" i="69"/>
  <c r="AD3" i="68"/>
  <c r="Q27" i="54"/>
  <c r="D13" i="56"/>
  <c r="R3" i="69"/>
  <c r="Q23" i="54"/>
  <c r="R35" i="69"/>
  <c r="AD24" i="68"/>
  <c r="AD22" i="68"/>
  <c r="R55" i="69"/>
  <c r="Q24" i="67"/>
  <c r="Q12" i="67"/>
  <c r="Q22" i="67"/>
  <c r="AD29" i="68"/>
  <c r="Q27" i="67"/>
  <c r="Q14" i="67"/>
  <c r="AD8" i="68"/>
  <c r="Q8" i="67"/>
  <c r="AD14" i="68"/>
  <c r="Q19" i="67"/>
  <c r="Q28" i="67"/>
  <c r="W81" i="44"/>
  <c r="AD28" i="68"/>
  <c r="AD19" i="68"/>
  <c r="AH3" i="43"/>
  <c r="D3" i="61"/>
  <c r="V73" i="36"/>
  <c r="BN34" i="25"/>
  <c r="BE34" i="25"/>
  <c r="X73" i="44"/>
  <c r="X35" i="44"/>
  <c r="AL33" i="43"/>
  <c r="C33" i="62"/>
  <c r="AK33" i="43"/>
  <c r="B33" i="62"/>
  <c r="V35" i="40"/>
  <c r="V35" i="36"/>
  <c r="AG33" i="43"/>
  <c r="C33" i="61"/>
  <c r="W73" i="44"/>
  <c r="AA33" i="43"/>
  <c r="B33" i="60"/>
  <c r="U35" i="44"/>
  <c r="U35" i="40"/>
  <c r="AF33" i="43"/>
  <c r="B33" i="61"/>
  <c r="W35" i="44"/>
  <c r="G33" i="43"/>
  <c r="B33" i="57"/>
  <c r="B33" i="43"/>
  <c r="B33" i="56"/>
  <c r="L33" i="43"/>
  <c r="B33" i="58"/>
  <c r="AP33" i="43"/>
  <c r="B33" i="63"/>
  <c r="V33" i="43"/>
  <c r="A33" i="54"/>
  <c r="B27" i="69"/>
  <c r="B26" i="71"/>
  <c r="B15" i="68"/>
  <c r="A15" i="67"/>
  <c r="V72" i="36"/>
  <c r="BN33" i="25"/>
  <c r="BE33" i="25"/>
  <c r="V34" i="36"/>
  <c r="W72" i="44"/>
  <c r="AG32" i="43"/>
  <c r="C32" i="61"/>
  <c r="AL32" i="43"/>
  <c r="C32" i="62"/>
  <c r="X72" i="44"/>
  <c r="X34" i="44"/>
  <c r="V34" i="40"/>
  <c r="AK32" i="43"/>
  <c r="B32" i="62"/>
  <c r="U34" i="40"/>
  <c r="AF32" i="43"/>
  <c r="B32" i="61"/>
  <c r="B32" i="43"/>
  <c r="B25" i="71"/>
  <c r="L32" i="43"/>
  <c r="B32" i="58"/>
  <c r="W34" i="44"/>
  <c r="AA32" i="43"/>
  <c r="B32" i="60"/>
  <c r="U34" i="44"/>
  <c r="G32" i="43"/>
  <c r="B32" i="57"/>
  <c r="AP32" i="43"/>
  <c r="B32" i="63"/>
  <c r="V32" i="43"/>
  <c r="B32" i="56"/>
  <c r="A32" i="54"/>
  <c r="B7" i="69"/>
  <c r="B5" i="68"/>
  <c r="A5" i="67"/>
  <c r="V16" i="36"/>
  <c r="V54" i="36"/>
  <c r="BE15" i="25"/>
  <c r="BN15" i="25"/>
  <c r="X54" i="44"/>
  <c r="X16" i="44"/>
  <c r="AK14" i="43"/>
  <c r="B14" i="62"/>
  <c r="V16" i="40"/>
  <c r="AL14" i="43"/>
  <c r="C14" i="62"/>
  <c r="U16" i="40"/>
  <c r="V14" i="43"/>
  <c r="AG14" i="43"/>
  <c r="C14" i="61"/>
  <c r="B14" i="43"/>
  <c r="B10" i="71"/>
  <c r="L14" i="43"/>
  <c r="B14" i="58"/>
  <c r="AF14" i="43"/>
  <c r="B14" i="61"/>
  <c r="G14" i="43"/>
  <c r="B14" i="57"/>
  <c r="AP14" i="43"/>
  <c r="B14" i="63"/>
  <c r="W54" i="44"/>
  <c r="W16" i="44"/>
  <c r="AA14" i="43"/>
  <c r="B14" i="60"/>
  <c r="U16" i="44"/>
  <c r="A14" i="54"/>
  <c r="B15" i="69"/>
  <c r="B14" i="56"/>
  <c r="B9" i="68"/>
  <c r="A9" i="67"/>
  <c r="V61" i="36"/>
  <c r="V23" i="36"/>
  <c r="BN22" i="25"/>
  <c r="BE22" i="25"/>
  <c r="AK21" i="43"/>
  <c r="B21" i="62"/>
  <c r="X23" i="44"/>
  <c r="X61" i="44"/>
  <c r="V23" i="40"/>
  <c r="AL21" i="43"/>
  <c r="C21" i="62"/>
  <c r="AF21" i="43"/>
  <c r="B21" i="61"/>
  <c r="U23" i="40"/>
  <c r="AG21" i="43"/>
  <c r="C21" i="61"/>
  <c r="W23" i="44"/>
  <c r="G21" i="43"/>
  <c r="B21" i="57"/>
  <c r="L21" i="43"/>
  <c r="B21" i="58"/>
  <c r="V21" i="43"/>
  <c r="AP21" i="43"/>
  <c r="B21" i="63"/>
  <c r="W61" i="44"/>
  <c r="AA21" i="43"/>
  <c r="B21" i="60"/>
  <c r="U23" i="44"/>
  <c r="B21" i="43"/>
  <c r="B17" i="71"/>
  <c r="B21" i="56"/>
  <c r="A21" i="54"/>
  <c r="B47" i="69"/>
  <c r="B25" i="68"/>
  <c r="A25" i="67"/>
  <c r="V27" i="36"/>
  <c r="BE26" i="25"/>
  <c r="X27" i="44"/>
  <c r="V27" i="40"/>
  <c r="AK25" i="43"/>
  <c r="B25" i="62"/>
  <c r="U27" i="40"/>
  <c r="AF25" i="43"/>
  <c r="B25" i="61"/>
  <c r="V65" i="36"/>
  <c r="BN26" i="25"/>
  <c r="X65" i="44"/>
  <c r="W27" i="44"/>
  <c r="AA25" i="43"/>
  <c r="B25" i="60"/>
  <c r="U27" i="44"/>
  <c r="L25" i="43"/>
  <c r="B25" i="58"/>
  <c r="AL25" i="43"/>
  <c r="C25" i="62"/>
  <c r="AP25" i="43"/>
  <c r="B25" i="63"/>
  <c r="G25" i="43"/>
  <c r="B25" i="57"/>
  <c r="B25" i="43"/>
  <c r="B25" i="56"/>
  <c r="V25" i="43"/>
  <c r="AG25" i="43"/>
  <c r="C25" i="61"/>
  <c r="W65" i="44"/>
  <c r="A25" i="54"/>
  <c r="B17" i="69"/>
  <c r="B20" i="71"/>
  <c r="B10" i="68"/>
  <c r="A10" i="67"/>
  <c r="M140" i="38"/>
  <c r="N140" i="38"/>
  <c r="O140" i="38"/>
  <c r="Q140" i="38"/>
  <c r="L140" i="38"/>
  <c r="P140" i="38"/>
  <c r="K140" i="38"/>
  <c r="J140" i="38"/>
  <c r="M146" i="38"/>
  <c r="N146" i="38"/>
  <c r="O146" i="38"/>
  <c r="Q146" i="38"/>
  <c r="L146" i="38"/>
  <c r="P146" i="38"/>
  <c r="K146" i="38"/>
  <c r="J146" i="38"/>
  <c r="BN30" i="25"/>
  <c r="X69" i="44"/>
  <c r="AL29" i="43"/>
  <c r="C29" i="62"/>
  <c r="V69" i="36"/>
  <c r="V31" i="36"/>
  <c r="BE30" i="25"/>
  <c r="X31" i="44"/>
  <c r="AK29" i="43"/>
  <c r="B29" i="62"/>
  <c r="AA29" i="43"/>
  <c r="B29" i="60"/>
  <c r="V31" i="40"/>
  <c r="U31" i="40"/>
  <c r="AF29" i="43"/>
  <c r="B29" i="61"/>
  <c r="B29" i="43"/>
  <c r="B23" i="71"/>
  <c r="AG29" i="43"/>
  <c r="C29" i="61"/>
  <c r="G29" i="43"/>
  <c r="B29" i="57"/>
  <c r="L29" i="43"/>
  <c r="B29" i="58"/>
  <c r="W69" i="44"/>
  <c r="U31" i="44"/>
  <c r="W31" i="44"/>
  <c r="AP29" i="43"/>
  <c r="B29" i="63"/>
  <c r="V29" i="43"/>
  <c r="B29" i="56"/>
  <c r="A29" i="54"/>
  <c r="B5" i="69"/>
  <c r="A4" i="67"/>
  <c r="B4" i="68"/>
  <c r="V32" i="36"/>
  <c r="BE31" i="25"/>
  <c r="X32" i="44"/>
  <c r="V32" i="40"/>
  <c r="AK30" i="43"/>
  <c r="B30" i="62"/>
  <c r="U32" i="40"/>
  <c r="V70" i="36"/>
  <c r="BN31" i="25"/>
  <c r="AF30" i="43"/>
  <c r="B30" i="61"/>
  <c r="L30" i="43"/>
  <c r="B30" i="58"/>
  <c r="X70" i="44"/>
  <c r="W32" i="44"/>
  <c r="AA30" i="43"/>
  <c r="B30" i="60"/>
  <c r="U32" i="44"/>
  <c r="B30" i="43"/>
  <c r="B24" i="71"/>
  <c r="G30" i="43"/>
  <c r="B30" i="57"/>
  <c r="AP30" i="43"/>
  <c r="B30" i="63"/>
  <c r="V30" i="43"/>
  <c r="AL30" i="43"/>
  <c r="C30" i="62"/>
  <c r="AG30" i="43"/>
  <c r="C30" i="61"/>
  <c r="A30" i="54"/>
  <c r="B13" i="69"/>
  <c r="B30" i="56"/>
  <c r="W70" i="44"/>
  <c r="A8" i="67"/>
  <c r="B8" i="68"/>
  <c r="M145" i="38"/>
  <c r="Q145" i="38"/>
  <c r="L145" i="38"/>
  <c r="P145" i="38"/>
  <c r="K145" i="38"/>
  <c r="O145" i="38"/>
  <c r="J145" i="38"/>
  <c r="N145" i="38"/>
  <c r="BE20" i="25"/>
  <c r="X21" i="44"/>
  <c r="AK19" i="43"/>
  <c r="B19" i="62"/>
  <c r="V21" i="40"/>
  <c r="V21" i="36"/>
  <c r="AA19" i="43"/>
  <c r="B19" i="60"/>
  <c r="U21" i="44"/>
  <c r="U21" i="40"/>
  <c r="V59" i="36"/>
  <c r="BN20" i="25"/>
  <c r="AF19" i="43"/>
  <c r="B19" i="61"/>
  <c r="X59" i="44"/>
  <c r="W21" i="44"/>
  <c r="G19" i="43"/>
  <c r="B19" i="57"/>
  <c r="B19" i="43"/>
  <c r="L19" i="43"/>
  <c r="B19" i="58"/>
  <c r="AP19" i="43"/>
  <c r="B19" i="63"/>
  <c r="V19" i="43"/>
  <c r="AL19" i="43"/>
  <c r="C19" i="62"/>
  <c r="AG19" i="43"/>
  <c r="C19" i="61"/>
  <c r="W59" i="44"/>
  <c r="B19" i="56"/>
  <c r="B15" i="71"/>
  <c r="A19" i="54"/>
  <c r="B55" i="69"/>
  <c r="A29" i="67"/>
  <c r="B29" i="68"/>
  <c r="V55" i="36"/>
  <c r="BN16" i="25"/>
  <c r="X55" i="44"/>
  <c r="AL15" i="43"/>
  <c r="C15" i="62"/>
  <c r="BE16" i="25"/>
  <c r="AG15" i="43"/>
  <c r="C15" i="61"/>
  <c r="X17" i="44"/>
  <c r="W55" i="44"/>
  <c r="U17" i="44"/>
  <c r="V17" i="40"/>
  <c r="AK15" i="43"/>
  <c r="B15" i="62"/>
  <c r="V17" i="36"/>
  <c r="AA15" i="43"/>
  <c r="B15" i="60"/>
  <c r="U17" i="40"/>
  <c r="AP15" i="43"/>
  <c r="B15" i="63"/>
  <c r="V15" i="43"/>
  <c r="L15" i="43"/>
  <c r="B15" i="58"/>
  <c r="W17" i="44"/>
  <c r="G15" i="43"/>
  <c r="B15" i="57"/>
  <c r="B15" i="43"/>
  <c r="B15" i="56"/>
  <c r="AF15" i="43"/>
  <c r="B15" i="61"/>
  <c r="A15" i="54"/>
  <c r="B51" i="69"/>
  <c r="B11" i="71"/>
  <c r="A27" i="67"/>
  <c r="B27" i="68"/>
  <c r="V60" i="36"/>
  <c r="V22" i="36"/>
  <c r="BN21" i="25"/>
  <c r="BE21" i="25"/>
  <c r="X60" i="44"/>
  <c r="X22" i="44"/>
  <c r="AL20" i="43"/>
  <c r="C20" i="62"/>
  <c r="AK20" i="43"/>
  <c r="B20" i="62"/>
  <c r="V22" i="40"/>
  <c r="U22" i="40"/>
  <c r="AF20" i="43"/>
  <c r="B20" i="61"/>
  <c r="AG20" i="43"/>
  <c r="C20" i="61"/>
  <c r="AP20" i="43"/>
  <c r="B20" i="63"/>
  <c r="W60" i="44"/>
  <c r="V20" i="43"/>
  <c r="W22" i="44"/>
  <c r="AA20" i="43"/>
  <c r="B20" i="60"/>
  <c r="U22" i="44"/>
  <c r="G20" i="43"/>
  <c r="B20" i="57"/>
  <c r="L20" i="43"/>
  <c r="B20" i="58"/>
  <c r="B20" i="43"/>
  <c r="B20" i="56"/>
  <c r="B16" i="71"/>
  <c r="A20" i="54"/>
  <c r="B23" i="69"/>
  <c r="A13" i="67"/>
  <c r="B13" i="68"/>
  <c r="BE14" i="25"/>
  <c r="V15" i="36"/>
  <c r="V53" i="36"/>
  <c r="BN14" i="25"/>
  <c r="X15" i="44"/>
  <c r="L13" i="43"/>
  <c r="B13" i="58"/>
  <c r="U15" i="44"/>
  <c r="B13" i="43"/>
  <c r="B9" i="71"/>
  <c r="W15" i="44"/>
  <c r="AF13" i="43"/>
  <c r="B13" i="61"/>
  <c r="U15" i="40"/>
  <c r="AK13" i="43"/>
  <c r="B13" i="62"/>
  <c r="G13" i="43"/>
  <c r="B13" i="57"/>
  <c r="AP13" i="43"/>
  <c r="B13" i="63"/>
  <c r="V13" i="43"/>
  <c r="V15" i="40"/>
  <c r="AA13" i="43"/>
  <c r="B13" i="60"/>
  <c r="B13" i="56"/>
  <c r="A13" i="54"/>
  <c r="B53" i="69"/>
  <c r="W53" i="44"/>
  <c r="X53" i="44"/>
  <c r="AG13" i="43"/>
  <c r="C13" i="61"/>
  <c r="AL13" i="43"/>
  <c r="C13" i="62"/>
  <c r="A28" i="67"/>
  <c r="B28" i="68"/>
  <c r="V57" i="36"/>
  <c r="BN18" i="25"/>
  <c r="X57" i="44"/>
  <c r="AL17" i="43"/>
  <c r="C17" i="62"/>
  <c r="BE18" i="25"/>
  <c r="AG17" i="43"/>
  <c r="C17" i="61"/>
  <c r="X19" i="44"/>
  <c r="W57" i="44"/>
  <c r="AK17" i="43"/>
  <c r="B17" i="62"/>
  <c r="V19" i="40"/>
  <c r="V19" i="36"/>
  <c r="AA17" i="43"/>
  <c r="B17" i="60"/>
  <c r="U19" i="44"/>
  <c r="U19" i="40"/>
  <c r="V17" i="43"/>
  <c r="AP17" i="43"/>
  <c r="B17" i="63"/>
  <c r="L17" i="43"/>
  <c r="B17" i="58"/>
  <c r="W19" i="44"/>
  <c r="G17" i="43"/>
  <c r="B17" i="57"/>
  <c r="B17" i="43"/>
  <c r="B17" i="56"/>
  <c r="AF17" i="43"/>
  <c r="B17" i="61"/>
  <c r="A17" i="54"/>
  <c r="A23" i="67"/>
  <c r="B13" i="71"/>
  <c r="B43" i="69"/>
  <c r="B23" i="68"/>
  <c r="M132" i="38"/>
  <c r="M128" i="38"/>
  <c r="Q132" i="38"/>
  <c r="Q128" i="38"/>
  <c r="L132" i="38"/>
  <c r="L128" i="38"/>
  <c r="P132" i="38"/>
  <c r="P128" i="38"/>
  <c r="K132" i="38"/>
  <c r="K128" i="38"/>
  <c r="O132" i="38"/>
  <c r="O128" i="38"/>
  <c r="J132" i="38"/>
  <c r="J128" i="38"/>
  <c r="N132" i="38"/>
  <c r="N128" i="38"/>
  <c r="BE19" i="25"/>
  <c r="V20" i="36"/>
  <c r="X20" i="44"/>
  <c r="AA18" i="43"/>
  <c r="B18" i="60"/>
  <c r="V20" i="40"/>
  <c r="AK18" i="43"/>
  <c r="B18" i="62"/>
  <c r="U20" i="40"/>
  <c r="V58" i="36"/>
  <c r="BN19" i="25"/>
  <c r="AP18" i="43"/>
  <c r="B18" i="63"/>
  <c r="X58" i="44"/>
  <c r="U20" i="44"/>
  <c r="W20" i="44"/>
  <c r="G18" i="43"/>
  <c r="B18" i="57"/>
  <c r="V18" i="43"/>
  <c r="L18" i="43"/>
  <c r="B18" i="58"/>
  <c r="B18" i="43"/>
  <c r="AF18" i="43"/>
  <c r="B18" i="61"/>
  <c r="AL18" i="43"/>
  <c r="C18" i="62"/>
  <c r="W58" i="44"/>
  <c r="A18" i="54"/>
  <c r="A22" i="67"/>
  <c r="B14" i="71"/>
  <c r="B18" i="56"/>
  <c r="AG18" i="43"/>
  <c r="C18" i="61"/>
  <c r="B41" i="69"/>
  <c r="B22" i="68"/>
  <c r="V28" i="36"/>
  <c r="V66" i="36"/>
  <c r="BE27" i="25"/>
  <c r="BN27" i="25"/>
  <c r="X66" i="44"/>
  <c r="X28" i="44"/>
  <c r="AL26" i="43"/>
  <c r="C26" i="62"/>
  <c r="AK26" i="43"/>
  <c r="B26" i="62"/>
  <c r="V28" i="40"/>
  <c r="U28" i="40"/>
  <c r="W28" i="44"/>
  <c r="AG26" i="43"/>
  <c r="C26" i="61"/>
  <c r="G26" i="43"/>
  <c r="B26" i="57"/>
  <c r="W66" i="44"/>
  <c r="AA26" i="43"/>
  <c r="B26" i="60"/>
  <c r="U28" i="44"/>
  <c r="AF26" i="43"/>
  <c r="B26" i="61"/>
  <c r="AP26" i="43"/>
  <c r="B26" i="63"/>
  <c r="V26" i="43"/>
  <c r="L26" i="43"/>
  <c r="B26" i="58"/>
  <c r="B26" i="43"/>
  <c r="A26" i="54"/>
  <c r="B3" i="68"/>
  <c r="B21" i="71"/>
  <c r="B26" i="56"/>
  <c r="A3" i="67"/>
  <c r="B3" i="69"/>
  <c r="M142" i="38"/>
  <c r="N142" i="38"/>
  <c r="O142" i="38"/>
  <c r="Q142" i="38"/>
  <c r="L142" i="38"/>
  <c r="P142" i="38"/>
  <c r="K142" i="38"/>
  <c r="J142" i="38"/>
  <c r="V63" i="36"/>
  <c r="V25" i="36"/>
  <c r="BE24" i="25"/>
  <c r="BN24" i="25"/>
  <c r="W63" i="44"/>
  <c r="X25" i="44"/>
  <c r="X63" i="44"/>
  <c r="V23" i="43"/>
  <c r="W25" i="44"/>
  <c r="U25" i="44"/>
  <c r="B23" i="43"/>
  <c r="B18" i="71"/>
  <c r="G23" i="43"/>
  <c r="B23" i="57"/>
  <c r="AF23" i="43"/>
  <c r="B23" i="61"/>
  <c r="L23" i="43"/>
  <c r="B23" i="58"/>
  <c r="AP23" i="43"/>
  <c r="B23" i="63"/>
  <c r="U25" i="40"/>
  <c r="AG23" i="43"/>
  <c r="C23" i="61"/>
  <c r="AA23" i="43"/>
  <c r="B23" i="60"/>
  <c r="AL23" i="43"/>
  <c r="C23" i="62"/>
  <c r="AK23" i="43"/>
  <c r="B23" i="62"/>
  <c r="V25" i="40"/>
  <c r="A23" i="54"/>
  <c r="B35" i="69"/>
  <c r="B23" i="56"/>
  <c r="B19" i="68"/>
  <c r="A19" i="67"/>
  <c r="M139" i="38"/>
  <c r="M138" i="38"/>
  <c r="Q139" i="38"/>
  <c r="Q138" i="38"/>
  <c r="L139" i="38"/>
  <c r="L138" i="38"/>
  <c r="P139" i="38"/>
  <c r="P138" i="38"/>
  <c r="K139" i="38"/>
  <c r="K138" i="38"/>
  <c r="O139" i="38"/>
  <c r="O138" i="38"/>
  <c r="J139" i="38"/>
  <c r="J138" i="38"/>
  <c r="N139" i="38"/>
  <c r="N138" i="38"/>
  <c r="BN25" i="25"/>
  <c r="BE25" i="25"/>
  <c r="V26" i="36"/>
  <c r="V24" i="36"/>
  <c r="V64" i="36"/>
  <c r="BE23" i="25"/>
  <c r="BN23" i="25"/>
  <c r="AK24" i="43"/>
  <c r="B24" i="62"/>
  <c r="X62" i="44"/>
  <c r="V24" i="40"/>
  <c r="X24" i="44"/>
  <c r="AK22" i="43"/>
  <c r="B22" i="62"/>
  <c r="X64" i="44"/>
  <c r="U24" i="44"/>
  <c r="AA22" i="43"/>
  <c r="B22" i="60"/>
  <c r="X26" i="44"/>
  <c r="AL22" i="43"/>
  <c r="C22" i="62"/>
  <c r="V26" i="40"/>
  <c r="AL24" i="43"/>
  <c r="C24" i="62"/>
  <c r="U24" i="40"/>
  <c r="U26" i="40"/>
  <c r="AF24" i="43"/>
  <c r="B24" i="61"/>
  <c r="V62" i="36"/>
  <c r="AF22" i="43"/>
  <c r="B22" i="61"/>
  <c r="B22" i="43"/>
  <c r="B22" i="56"/>
  <c r="G24" i="43"/>
  <c r="B24" i="57"/>
  <c r="L22" i="43"/>
  <c r="B22" i="58"/>
  <c r="W64" i="44"/>
  <c r="AA24" i="43"/>
  <c r="B24" i="60"/>
  <c r="U26" i="44"/>
  <c r="V24" i="43"/>
  <c r="W26" i="44"/>
  <c r="W24" i="44"/>
  <c r="G22" i="43"/>
  <c r="B22" i="57"/>
  <c r="AP22" i="43"/>
  <c r="B22" i="63"/>
  <c r="V22" i="43"/>
  <c r="AG24" i="43"/>
  <c r="C24" i="61"/>
  <c r="AP24" i="43"/>
  <c r="B24" i="63"/>
  <c r="L24" i="43"/>
  <c r="B24" i="58"/>
  <c r="B24" i="43"/>
  <c r="B24" i="56"/>
  <c r="AG22" i="43"/>
  <c r="C22" i="61"/>
  <c r="A22" i="54"/>
  <c r="W62" i="44"/>
  <c r="A24" i="54"/>
  <c r="B9" i="69"/>
  <c r="B19" i="71"/>
  <c r="B6" i="68"/>
  <c r="A6" i="67"/>
  <c r="V48" i="36"/>
  <c r="BN9" i="25"/>
  <c r="V44" i="36"/>
  <c r="BN5" i="25"/>
  <c r="X48" i="44"/>
  <c r="X44" i="44"/>
  <c r="AL8" i="43"/>
  <c r="C8" i="62"/>
  <c r="AL4" i="43"/>
  <c r="C4" i="62"/>
  <c r="V10" i="36"/>
  <c r="BE9" i="25"/>
  <c r="AG8" i="43"/>
  <c r="C8" i="61"/>
  <c r="W48" i="44"/>
  <c r="W44" i="44"/>
  <c r="AA8" i="43"/>
  <c r="B8" i="60"/>
  <c r="AG4" i="43"/>
  <c r="C4" i="61"/>
  <c r="V6" i="36"/>
  <c r="BE5" i="25"/>
  <c r="X6" i="44"/>
  <c r="AK4" i="43"/>
  <c r="B4" i="62"/>
  <c r="W10" i="44"/>
  <c r="AK8" i="43"/>
  <c r="B8" i="62"/>
  <c r="X10" i="44"/>
  <c r="V10" i="40"/>
  <c r="U10" i="44"/>
  <c r="L8" i="43"/>
  <c r="B8" i="58"/>
  <c r="U10" i="40"/>
  <c r="AF8" i="43"/>
  <c r="B8" i="61"/>
  <c r="B8" i="43"/>
  <c r="G8" i="43"/>
  <c r="B8" i="57"/>
  <c r="AP8" i="43"/>
  <c r="B8" i="63"/>
  <c r="V8" i="43"/>
  <c r="B8" i="56"/>
  <c r="B5" i="71"/>
  <c r="AF4" i="43"/>
  <c r="B4" i="61"/>
  <c r="W6" i="44"/>
  <c r="A8" i="54"/>
  <c r="B39" i="69"/>
  <c r="B21" i="68"/>
  <c r="A21" i="67"/>
  <c r="M124" i="38"/>
  <c r="M120" i="38"/>
  <c r="Q124" i="38"/>
  <c r="Q120" i="38"/>
  <c r="L124" i="38"/>
  <c r="L120" i="38"/>
  <c r="P124" i="38"/>
  <c r="P120" i="38"/>
  <c r="K124" i="38"/>
  <c r="K120" i="38"/>
  <c r="O124" i="38"/>
  <c r="O120" i="38"/>
  <c r="J124" i="38"/>
  <c r="J120" i="38"/>
  <c r="N124" i="38"/>
  <c r="N120" i="38"/>
  <c r="V56" i="36"/>
  <c r="BN17" i="25"/>
  <c r="V18" i="36"/>
  <c r="V52" i="36"/>
  <c r="BN13" i="25"/>
  <c r="BE17" i="25"/>
  <c r="AL16" i="43"/>
  <c r="C16" i="62"/>
  <c r="X56" i="44"/>
  <c r="AL12" i="43"/>
  <c r="C12" i="62"/>
  <c r="X52" i="44"/>
  <c r="W56" i="44"/>
  <c r="AG16" i="43"/>
  <c r="C16" i="61"/>
  <c r="V14" i="36"/>
  <c r="BE13" i="25"/>
  <c r="AG12" i="43"/>
  <c r="C12" i="61"/>
  <c r="W18" i="44"/>
  <c r="X18" i="44"/>
  <c r="W52" i="44"/>
  <c r="U14" i="44"/>
  <c r="AA12" i="43"/>
  <c r="B12" i="60"/>
  <c r="AK16" i="43"/>
  <c r="B16" i="62"/>
  <c r="V14" i="40"/>
  <c r="U18" i="40"/>
  <c r="V18" i="40"/>
  <c r="AF16" i="43"/>
  <c r="B16" i="61"/>
  <c r="AK12" i="43"/>
  <c r="B12" i="62"/>
  <c r="U14" i="40"/>
  <c r="U18" i="44"/>
  <c r="W14" i="44"/>
  <c r="L16" i="43"/>
  <c r="B16" i="58"/>
  <c r="V12" i="43"/>
  <c r="X14" i="44"/>
  <c r="G12" i="43"/>
  <c r="B12" i="57"/>
  <c r="AP12" i="43"/>
  <c r="B12" i="63"/>
  <c r="AA16" i="43"/>
  <c r="B16" i="60"/>
  <c r="V16" i="43"/>
  <c r="AP16" i="43"/>
  <c r="B16" i="63"/>
  <c r="G16" i="43"/>
  <c r="B16" i="57"/>
  <c r="L12" i="43"/>
  <c r="B12" i="58"/>
  <c r="B12" i="43"/>
  <c r="B12" i="56"/>
  <c r="AF12" i="43"/>
  <c r="B12" i="61"/>
  <c r="B16" i="43"/>
  <c r="B12" i="71"/>
  <c r="A12" i="54"/>
  <c r="B16" i="56"/>
  <c r="A16" i="54"/>
  <c r="B49" i="69"/>
  <c r="A26" i="67"/>
  <c r="B26" i="68"/>
  <c r="M144" i="38"/>
  <c r="M143" i="38"/>
  <c r="Q144" i="38"/>
  <c r="Q143" i="38"/>
  <c r="L144" i="38"/>
  <c r="L143" i="38"/>
  <c r="P144" i="38"/>
  <c r="P143" i="38"/>
  <c r="K144" i="38"/>
  <c r="K143" i="38"/>
  <c r="O144" i="38"/>
  <c r="O143" i="38"/>
  <c r="J144" i="38"/>
  <c r="J143" i="38"/>
  <c r="N144" i="38"/>
  <c r="N143" i="38"/>
  <c r="V68" i="36"/>
  <c r="V30" i="36"/>
  <c r="BE29" i="25"/>
  <c r="BN29" i="25"/>
  <c r="U29" i="44"/>
  <c r="V29" i="36"/>
  <c r="V67" i="36"/>
  <c r="BN28" i="25"/>
  <c r="BE28" i="25"/>
  <c r="AA27" i="43"/>
  <c r="B27" i="60"/>
  <c r="V29" i="40"/>
  <c r="X67" i="44"/>
  <c r="AL28" i="43"/>
  <c r="C28" i="62"/>
  <c r="W68" i="44"/>
  <c r="AG28" i="43"/>
  <c r="C28" i="61"/>
  <c r="V30" i="40"/>
  <c r="AL27" i="43"/>
  <c r="C27" i="62"/>
  <c r="X68" i="44"/>
  <c r="AK28" i="43"/>
  <c r="B28" i="62"/>
  <c r="X30" i="44"/>
  <c r="W30" i="44"/>
  <c r="X29" i="44"/>
  <c r="B28" i="43"/>
  <c r="B22" i="71"/>
  <c r="AF28" i="43"/>
  <c r="B28" i="61"/>
  <c r="L28" i="43"/>
  <c r="B28" i="58"/>
  <c r="AK27" i="43"/>
  <c r="B27" i="62"/>
  <c r="AP28" i="43"/>
  <c r="B28" i="63"/>
  <c r="U30" i="40"/>
  <c r="U29" i="40"/>
  <c r="B27" i="43"/>
  <c r="A27" i="54"/>
  <c r="AG27" i="43"/>
  <c r="C27" i="61"/>
  <c r="B28" i="56"/>
  <c r="V28" i="43"/>
  <c r="G28" i="43"/>
  <c r="B28" i="57"/>
  <c r="U30" i="44"/>
  <c r="AA28" i="43"/>
  <c r="B28" i="60"/>
  <c r="A28" i="54"/>
  <c r="B33" i="69"/>
  <c r="W67" i="44"/>
  <c r="W29" i="44"/>
  <c r="G27" i="43"/>
  <c r="B27" i="57"/>
  <c r="AF27" i="43"/>
  <c r="B27" i="61"/>
  <c r="L27" i="43"/>
  <c r="B27" i="58"/>
  <c r="AP27" i="43"/>
  <c r="B27" i="63"/>
  <c r="V27" i="43"/>
  <c r="B27" i="56"/>
  <c r="A18" i="67"/>
  <c r="B18" i="68"/>
  <c r="V37" i="36"/>
  <c r="BE36" i="25"/>
  <c r="X37" i="44"/>
  <c r="U37" i="44"/>
  <c r="AK35" i="43"/>
  <c r="B35" i="62"/>
  <c r="AA35" i="43"/>
  <c r="B35" i="60"/>
  <c r="V37" i="40"/>
  <c r="U37" i="40"/>
  <c r="V75" i="36"/>
  <c r="BN36" i="25"/>
  <c r="B35" i="43"/>
  <c r="B28" i="71"/>
  <c r="AF35" i="43"/>
  <c r="B35" i="61"/>
  <c r="G35" i="43"/>
  <c r="B35" i="57"/>
  <c r="X75" i="44"/>
  <c r="W37" i="44"/>
  <c r="AL35" i="43"/>
  <c r="C35" i="62"/>
  <c r="L35" i="43"/>
  <c r="B35" i="58"/>
  <c r="AP35" i="43"/>
  <c r="B35" i="63"/>
  <c r="V35" i="43"/>
  <c r="A35" i="54"/>
  <c r="B29" i="69"/>
  <c r="B35" i="56"/>
  <c r="AG35" i="43"/>
  <c r="C35" i="61"/>
  <c r="W75" i="44"/>
  <c r="A16" i="67"/>
  <c r="B16" i="68"/>
  <c r="M151" i="38"/>
  <c r="M147" i="38"/>
  <c r="M119" i="38"/>
  <c r="Q151" i="38"/>
  <c r="Q147" i="38"/>
  <c r="Q119" i="38"/>
  <c r="L151" i="38"/>
  <c r="L147" i="38"/>
  <c r="L119" i="38"/>
  <c r="P151" i="38"/>
  <c r="P147" i="38"/>
  <c r="P119" i="38"/>
  <c r="K151" i="38"/>
  <c r="K147" i="38"/>
  <c r="K119" i="38"/>
  <c r="O151" i="38"/>
  <c r="O147" i="38"/>
  <c r="O119" i="38"/>
  <c r="J151" i="38"/>
  <c r="J147" i="38"/>
  <c r="J119" i="38"/>
  <c r="N151" i="38"/>
  <c r="N147" i="38"/>
  <c r="N119" i="38"/>
  <c r="V74" i="36"/>
  <c r="BN35" i="25"/>
  <c r="V36" i="36"/>
  <c r="BE35" i="25"/>
  <c r="BN32" i="25"/>
  <c r="AL34" i="43"/>
  <c r="C34" i="62"/>
  <c r="X71" i="44"/>
  <c r="AL31" i="43"/>
  <c r="C31" i="62"/>
  <c r="AL3" i="43"/>
  <c r="C3" i="62"/>
  <c r="W74" i="44"/>
  <c r="X74" i="44"/>
  <c r="X43" i="44"/>
  <c r="AG34" i="43"/>
  <c r="C34" i="61"/>
  <c r="V71" i="36"/>
  <c r="V43" i="36"/>
  <c r="V33" i="36"/>
  <c r="BN4" i="25"/>
  <c r="BE32" i="25"/>
  <c r="U36" i="40"/>
  <c r="V33" i="40"/>
  <c r="W36" i="44"/>
  <c r="AA31" i="43"/>
  <c r="B31" i="60"/>
  <c r="U33" i="44"/>
  <c r="AK34" i="43"/>
  <c r="B34" i="62"/>
  <c r="X36" i="44"/>
  <c r="AF34" i="43"/>
  <c r="B34" i="61"/>
  <c r="V36" i="40"/>
  <c r="V5" i="36"/>
  <c r="BE4" i="25"/>
  <c r="G34" i="43"/>
  <c r="B34" i="57"/>
  <c r="W43" i="44"/>
  <c r="X5" i="44"/>
  <c r="AK3" i="43"/>
  <c r="B3" i="62"/>
  <c r="AP31" i="43"/>
  <c r="B31" i="63"/>
  <c r="AK31" i="43"/>
  <c r="B31" i="62"/>
  <c r="U33" i="40"/>
  <c r="X33" i="44"/>
  <c r="W71" i="44"/>
  <c r="W33" i="44"/>
  <c r="V34" i="43"/>
  <c r="U36" i="44"/>
  <c r="L31" i="43"/>
  <c r="B31" i="58"/>
  <c r="V31" i="43"/>
  <c r="AP34" i="43"/>
  <c r="B34" i="63"/>
  <c r="AA34" i="43"/>
  <c r="B34" i="60"/>
  <c r="B34" i="43"/>
  <c r="B27" i="71"/>
  <c r="L34" i="43"/>
  <c r="B34" i="58"/>
  <c r="AG31" i="43"/>
  <c r="C31" i="61"/>
  <c r="G31" i="43"/>
  <c r="B31" i="57"/>
  <c r="B31" i="43"/>
  <c r="A31" i="54"/>
  <c r="AF31" i="43"/>
  <c r="B31" i="61"/>
  <c r="AG3" i="43"/>
  <c r="C3" i="61"/>
  <c r="W5" i="44"/>
  <c r="B31" i="56"/>
  <c r="B34" i="56"/>
  <c r="A34" i="54"/>
  <c r="B31" i="69"/>
  <c r="AF3" i="43"/>
  <c r="B3" i="61"/>
  <c r="A17" i="67"/>
  <c r="B17" i="68"/>
  <c r="B12" i="32"/>
  <c r="B11" i="32"/>
  <c r="AG31" i="33"/>
  <c r="U184" i="36"/>
  <c r="U184" i="40"/>
  <c r="U181" i="36"/>
  <c r="U157" i="40"/>
  <c r="AG28" i="33"/>
  <c r="U181" i="40"/>
  <c r="K3" i="43"/>
  <c r="AE3" i="43"/>
  <c r="F3" i="43"/>
  <c r="Z3" i="43"/>
  <c r="P3" i="43"/>
  <c r="AT3" i="43"/>
  <c r="K30" i="43"/>
  <c r="AT30" i="43"/>
  <c r="Z30" i="43"/>
  <c r="F30" i="43"/>
  <c r="P30" i="43"/>
  <c r="U184" i="44"/>
  <c r="AE30" i="43"/>
  <c r="F24" i="71"/>
  <c r="F30" i="56"/>
  <c r="AG30" i="54"/>
  <c r="F3" i="56"/>
  <c r="AG3" i="54"/>
  <c r="AE27" i="43"/>
  <c r="AT27" i="43"/>
  <c r="F27" i="43"/>
  <c r="U181" i="44"/>
  <c r="K27" i="43"/>
  <c r="P27" i="43"/>
  <c r="Z27" i="43"/>
  <c r="AG27" i="54"/>
  <c r="F27" i="56"/>
  <c r="AG13" i="67"/>
  <c r="AH23" i="69"/>
  <c r="BF13" i="68"/>
  <c r="T65" i="37"/>
  <c r="T70" i="37"/>
  <c r="T66" i="37"/>
  <c r="AB66" i="37"/>
  <c r="T57" i="37"/>
  <c r="AB57" i="37"/>
  <c r="T54" i="37"/>
  <c r="AJ54" i="37"/>
  <c r="V12" i="32"/>
  <c r="T47" i="37"/>
  <c r="AB47" i="37"/>
  <c r="T73" i="37"/>
  <c r="AB73" i="37"/>
  <c r="T75" i="37"/>
  <c r="T55" i="37"/>
  <c r="T58" i="37"/>
  <c r="AB70" i="37"/>
  <c r="AJ70" i="37"/>
  <c r="AF70" i="37"/>
  <c r="AB65" i="37"/>
  <c r="AJ65" i="37"/>
  <c r="AF65" i="37"/>
  <c r="T50" i="37"/>
  <c r="T59" i="37"/>
  <c r="T56" i="37"/>
  <c r="T69" i="37"/>
  <c r="T60" i="37"/>
  <c r="T46" i="37"/>
  <c r="T74" i="37"/>
  <c r="X12" i="32"/>
  <c r="X11" i="32"/>
  <c r="T61" i="37"/>
  <c r="T64" i="37"/>
  <c r="AF54" i="37"/>
  <c r="AJ73" i="37"/>
  <c r="AB54" i="37"/>
  <c r="AJ66" i="37"/>
  <c r="AJ47" i="37"/>
  <c r="AF47" i="37"/>
  <c r="AF57" i="37"/>
  <c r="AJ57" i="37"/>
  <c r="AF73" i="37"/>
  <c r="AF66" i="37"/>
  <c r="V11" i="32"/>
  <c r="AB56" i="37"/>
  <c r="AJ56" i="37"/>
  <c r="AF56" i="37"/>
  <c r="AB59" i="37"/>
  <c r="AJ59" i="37"/>
  <c r="AF59" i="37"/>
  <c r="AB61" i="37"/>
  <c r="AJ61" i="37"/>
  <c r="AF61" i="37"/>
  <c r="AB74" i="37"/>
  <c r="AJ74" i="37"/>
  <c r="AF74" i="37"/>
  <c r="AB46" i="37"/>
  <c r="AJ46" i="37"/>
  <c r="AF46" i="37"/>
  <c r="AJ69" i="37"/>
  <c r="AB69" i="37"/>
  <c r="AF69" i="37"/>
  <c r="AJ64" i="37"/>
  <c r="AB64" i="37"/>
  <c r="AF64" i="37"/>
  <c r="AJ60" i="37"/>
  <c r="AB60" i="37"/>
  <c r="AF60" i="37"/>
  <c r="AB50" i="37"/>
  <c r="AJ50" i="37"/>
  <c r="AF50" i="37"/>
  <c r="AB58" i="37"/>
  <c r="AJ58" i="37"/>
  <c r="AF58" i="37"/>
  <c r="AB55" i="37"/>
  <c r="AJ55" i="37"/>
  <c r="AF55" i="37"/>
  <c r="T51" i="37"/>
  <c r="T49" i="37"/>
  <c r="T72" i="37"/>
  <c r="T48" i="37"/>
  <c r="AB75" i="37"/>
  <c r="AJ75" i="37"/>
  <c r="AF75" i="37"/>
  <c r="T71" i="37"/>
  <c r="X26" i="33"/>
  <c r="X22" i="33"/>
  <c r="X9" i="33"/>
  <c r="X21" i="33"/>
  <c r="X31" i="33"/>
  <c r="X18" i="33"/>
  <c r="X20" i="33"/>
  <c r="X27" i="33"/>
  <c r="T62" i="37"/>
  <c r="AB62" i="37"/>
  <c r="T63" i="37"/>
  <c r="T52" i="37"/>
  <c r="AB52" i="37"/>
  <c r="T53" i="37"/>
  <c r="AJ48" i="37"/>
  <c r="AB48" i="37"/>
  <c r="AF48" i="37"/>
  <c r="AJ72" i="37"/>
  <c r="AB72" i="37"/>
  <c r="AF72" i="37"/>
  <c r="AB51" i="37"/>
  <c r="AJ51" i="37"/>
  <c r="AF51" i="37"/>
  <c r="AJ71" i="37"/>
  <c r="AB71" i="37"/>
  <c r="AF71" i="37"/>
  <c r="T67" i="37"/>
  <c r="T68" i="37"/>
  <c r="AB49" i="37"/>
  <c r="AJ49" i="37"/>
  <c r="AF49" i="37"/>
  <c r="X11" i="33"/>
  <c r="X10" i="33"/>
  <c r="X7" i="33"/>
  <c r="U61" i="36"/>
  <c r="X12" i="33"/>
  <c r="U65" i="36"/>
  <c r="X30" i="33"/>
  <c r="X19" i="33"/>
  <c r="X17" i="33"/>
  <c r="X35" i="33"/>
  <c r="X34" i="33"/>
  <c r="U60" i="36"/>
  <c r="X8" i="33"/>
  <c r="X33" i="33"/>
  <c r="AJ68" i="37"/>
  <c r="AB68" i="37"/>
  <c r="AF68" i="37"/>
  <c r="U74" i="36"/>
  <c r="U51" i="36"/>
  <c r="U58" i="36"/>
  <c r="U49" i="36"/>
  <c r="X15" i="33"/>
  <c r="X16" i="33"/>
  <c r="X25" i="33"/>
  <c r="X36" i="33"/>
  <c r="AJ67" i="37"/>
  <c r="AF67" i="37"/>
  <c r="AB67" i="37"/>
  <c r="AJ53" i="37"/>
  <c r="AB53" i="37"/>
  <c r="AF53" i="37"/>
  <c r="U47" i="36"/>
  <c r="U73" i="36"/>
  <c r="U69" i="36"/>
  <c r="AJ63" i="37"/>
  <c r="AB63" i="37"/>
  <c r="AF63" i="37"/>
  <c r="U56" i="36"/>
  <c r="U66" i="36"/>
  <c r="U59" i="36"/>
  <c r="U50" i="36"/>
  <c r="U57" i="36"/>
  <c r="U46" i="36"/>
  <c r="U70" i="36"/>
  <c r="U48" i="36"/>
  <c r="U60" i="40"/>
  <c r="U72" i="36"/>
  <c r="X24" i="33"/>
  <c r="U46" i="40"/>
  <c r="U50" i="40"/>
  <c r="U59" i="40"/>
  <c r="U56" i="40"/>
  <c r="U69" i="40"/>
  <c r="U47" i="40"/>
  <c r="U61" i="40"/>
  <c r="U75" i="36"/>
  <c r="U64" i="36"/>
  <c r="U55" i="36"/>
  <c r="U54" i="36"/>
  <c r="U49" i="40"/>
  <c r="U58" i="40"/>
  <c r="U51" i="40"/>
  <c r="U74" i="40"/>
  <c r="X32" i="33"/>
  <c r="U70" i="40"/>
  <c r="U57" i="40"/>
  <c r="U66" i="40"/>
  <c r="U48" i="40"/>
  <c r="U73" i="40"/>
  <c r="U65" i="40"/>
  <c r="U71" i="36"/>
  <c r="X14" i="33"/>
  <c r="AB30" i="43"/>
  <c r="C30" i="60"/>
  <c r="AQ30" i="43"/>
  <c r="C30" i="63"/>
  <c r="U70" i="44"/>
  <c r="W30" i="43"/>
  <c r="C30" i="43"/>
  <c r="M30" i="43"/>
  <c r="C30" i="58"/>
  <c r="H30" i="43"/>
  <c r="C30" i="57"/>
  <c r="U71" i="40"/>
  <c r="U53" i="36"/>
  <c r="U63" i="36"/>
  <c r="W25" i="43"/>
  <c r="C25" i="43"/>
  <c r="U65" i="44"/>
  <c r="AQ25" i="43"/>
  <c r="C25" i="63"/>
  <c r="H25" i="43"/>
  <c r="C25" i="57"/>
  <c r="AB25" i="43"/>
  <c r="C25" i="60"/>
  <c r="M25" i="43"/>
  <c r="C25" i="58"/>
  <c r="U73" i="44"/>
  <c r="H33" i="43"/>
  <c r="C33" i="57"/>
  <c r="W33" i="43"/>
  <c r="C33" i="43"/>
  <c r="AB33" i="43"/>
  <c r="C33" i="60"/>
  <c r="M33" i="43"/>
  <c r="C33" i="58"/>
  <c r="AQ33" i="43"/>
  <c r="C33" i="63"/>
  <c r="U66" i="44"/>
  <c r="AB26" i="43"/>
  <c r="C26" i="60"/>
  <c r="W26" i="43"/>
  <c r="AQ26" i="43"/>
  <c r="C26" i="63"/>
  <c r="M26" i="43"/>
  <c r="C26" i="58"/>
  <c r="H26" i="43"/>
  <c r="C26" i="57"/>
  <c r="C26" i="43"/>
  <c r="AQ17" i="43"/>
  <c r="C17" i="63"/>
  <c r="H17" i="43"/>
  <c r="C17" i="57"/>
  <c r="M17" i="43"/>
  <c r="C17" i="58"/>
  <c r="C17" i="43"/>
  <c r="U57" i="44"/>
  <c r="W17" i="43"/>
  <c r="AB17" i="43"/>
  <c r="C17" i="60"/>
  <c r="X23" i="33"/>
  <c r="X13" i="33"/>
  <c r="U48" i="44"/>
  <c r="W8" i="43"/>
  <c r="C8" i="43"/>
  <c r="M8" i="43"/>
  <c r="C8" i="58"/>
  <c r="AQ8" i="43"/>
  <c r="C8" i="63"/>
  <c r="H8" i="43"/>
  <c r="C8" i="57"/>
  <c r="AB8" i="43"/>
  <c r="C8" i="60"/>
  <c r="X28" i="33"/>
  <c r="X29" i="33"/>
  <c r="U74" i="44"/>
  <c r="AB34" i="43"/>
  <c r="C34" i="60"/>
  <c r="W34" i="43"/>
  <c r="C34" i="43"/>
  <c r="M34" i="43"/>
  <c r="C34" i="58"/>
  <c r="AQ34" i="43"/>
  <c r="C34" i="63"/>
  <c r="H34" i="43"/>
  <c r="C34" i="57"/>
  <c r="W11" i="43"/>
  <c r="H11" i="43"/>
  <c r="C11" i="57"/>
  <c r="M11" i="43"/>
  <c r="C11" i="58"/>
  <c r="U51" i="44"/>
  <c r="C11" i="43"/>
  <c r="AB11" i="43"/>
  <c r="C11" i="60"/>
  <c r="AQ11" i="43"/>
  <c r="C11" i="63"/>
  <c r="AB18" i="43"/>
  <c r="C18" i="60"/>
  <c r="H18" i="43"/>
  <c r="C18" i="57"/>
  <c r="AQ18" i="43"/>
  <c r="C18" i="63"/>
  <c r="M18" i="43"/>
  <c r="C18" i="58"/>
  <c r="C18" i="43"/>
  <c r="U58" i="44"/>
  <c r="W18" i="43"/>
  <c r="U49" i="44"/>
  <c r="W9" i="43"/>
  <c r="C9" i="43"/>
  <c r="AB9" i="43"/>
  <c r="C9" i="60"/>
  <c r="AQ9" i="43"/>
  <c r="C9" i="63"/>
  <c r="H9" i="43"/>
  <c r="C9" i="57"/>
  <c r="M9" i="43"/>
  <c r="C9" i="58"/>
  <c r="U72" i="40"/>
  <c r="U54" i="40"/>
  <c r="U55" i="40"/>
  <c r="U64" i="40"/>
  <c r="U75" i="40"/>
  <c r="W21" i="43"/>
  <c r="U61" i="44"/>
  <c r="AB21" i="43"/>
  <c r="C21" i="60"/>
  <c r="AQ21" i="43"/>
  <c r="C21" i="63"/>
  <c r="C21" i="43"/>
  <c r="M21" i="43"/>
  <c r="C21" i="58"/>
  <c r="H21" i="43"/>
  <c r="C21" i="57"/>
  <c r="W7" i="43"/>
  <c r="U47" i="44"/>
  <c r="C7" i="43"/>
  <c r="AB7" i="43"/>
  <c r="C7" i="60"/>
  <c r="AQ7" i="43"/>
  <c r="C7" i="63"/>
  <c r="H7" i="43"/>
  <c r="C7" i="57"/>
  <c r="M7" i="43"/>
  <c r="C7" i="58"/>
  <c r="H29" i="43"/>
  <c r="C29" i="57"/>
  <c r="AQ29" i="43"/>
  <c r="C29" i="63"/>
  <c r="C29" i="43"/>
  <c r="U69" i="44"/>
  <c r="W29" i="43"/>
  <c r="AB29" i="43"/>
  <c r="C29" i="60"/>
  <c r="M29" i="43"/>
  <c r="C29" i="58"/>
  <c r="C20" i="43"/>
  <c r="AQ20" i="43"/>
  <c r="C20" i="63"/>
  <c r="U56" i="44"/>
  <c r="AQ16" i="43"/>
  <c r="C16" i="63"/>
  <c r="C16" i="43"/>
  <c r="AB16" i="43"/>
  <c r="C16" i="60"/>
  <c r="M16" i="43"/>
  <c r="C16" i="58"/>
  <c r="W16" i="43"/>
  <c r="H16" i="43"/>
  <c r="C16" i="57"/>
  <c r="W19" i="43"/>
  <c r="U59" i="44"/>
  <c r="AB19" i="43"/>
  <c r="C19" i="60"/>
  <c r="M19" i="43"/>
  <c r="C19" i="58"/>
  <c r="H19" i="43"/>
  <c r="C19" i="57"/>
  <c r="C19" i="43"/>
  <c r="AQ19" i="43"/>
  <c r="C19" i="63"/>
  <c r="W10" i="43"/>
  <c r="M10" i="43"/>
  <c r="C10" i="58"/>
  <c r="U50" i="44"/>
  <c r="H10" i="43"/>
  <c r="C10" i="57"/>
  <c r="C10" i="43"/>
  <c r="AQ10" i="43"/>
  <c r="C10" i="63"/>
  <c r="AB10" i="43"/>
  <c r="C10" i="60"/>
  <c r="U46" i="44"/>
  <c r="M6" i="43"/>
  <c r="C6" i="58"/>
  <c r="W6" i="43"/>
  <c r="AQ6" i="43"/>
  <c r="C6" i="63"/>
  <c r="C6" i="43"/>
  <c r="AB6" i="43"/>
  <c r="C6" i="60"/>
  <c r="H6" i="43"/>
  <c r="C6" i="57"/>
  <c r="W20" i="43"/>
  <c r="H20" i="43"/>
  <c r="C20" i="57"/>
  <c r="AB20" i="43"/>
  <c r="C20" i="60"/>
  <c r="U60" i="44"/>
  <c r="M20" i="43"/>
  <c r="C20" i="58"/>
  <c r="C3" i="71"/>
  <c r="C6" i="56"/>
  <c r="I6" i="54"/>
  <c r="C7" i="71"/>
  <c r="I10" i="54"/>
  <c r="C10" i="56"/>
  <c r="C16" i="71"/>
  <c r="C20" i="56"/>
  <c r="I20" i="54"/>
  <c r="C23" i="71"/>
  <c r="C29" i="56"/>
  <c r="I29" i="54"/>
  <c r="C4" i="71"/>
  <c r="I7" i="54"/>
  <c r="C7" i="56"/>
  <c r="C21" i="56"/>
  <c r="I21" i="54"/>
  <c r="C17" i="71"/>
  <c r="U75" i="44"/>
  <c r="H35" i="43"/>
  <c r="C35" i="57"/>
  <c r="M35" i="43"/>
  <c r="C35" i="58"/>
  <c r="AQ35" i="43"/>
  <c r="C35" i="63"/>
  <c r="W35" i="43"/>
  <c r="C35" i="43"/>
  <c r="AB35" i="43"/>
  <c r="C35" i="60"/>
  <c r="U64" i="44"/>
  <c r="M24" i="43"/>
  <c r="C24" i="58"/>
  <c r="AQ24" i="43"/>
  <c r="C24" i="63"/>
  <c r="W24" i="43"/>
  <c r="C24" i="43"/>
  <c r="AB24" i="43"/>
  <c r="C24" i="60"/>
  <c r="H24" i="43"/>
  <c r="C24" i="57"/>
  <c r="W15" i="43"/>
  <c r="C15" i="43"/>
  <c r="U55" i="44"/>
  <c r="AQ15" i="43"/>
  <c r="C15" i="63"/>
  <c r="H15" i="43"/>
  <c r="C15" i="57"/>
  <c r="M15" i="43"/>
  <c r="C15" i="58"/>
  <c r="AB15" i="43"/>
  <c r="C15" i="60"/>
  <c r="M14" i="43"/>
  <c r="C14" i="58"/>
  <c r="H14" i="43"/>
  <c r="C14" i="57"/>
  <c r="C14" i="43"/>
  <c r="U54" i="44"/>
  <c r="W14" i="43"/>
  <c r="AB14" i="43"/>
  <c r="C14" i="60"/>
  <c r="AQ14" i="43"/>
  <c r="C14" i="63"/>
  <c r="W32" i="43"/>
  <c r="U72" i="44"/>
  <c r="AQ32" i="43"/>
  <c r="C32" i="63"/>
  <c r="C32" i="43"/>
  <c r="H32" i="43"/>
  <c r="C32" i="57"/>
  <c r="M32" i="43"/>
  <c r="C32" i="58"/>
  <c r="AB32" i="43"/>
  <c r="C32" i="60"/>
  <c r="C18" i="56"/>
  <c r="C14" i="71"/>
  <c r="I18" i="54"/>
  <c r="C8" i="71"/>
  <c r="I11" i="54"/>
  <c r="C11" i="56"/>
  <c r="C34" i="56"/>
  <c r="C27" i="71"/>
  <c r="I34" i="54"/>
  <c r="U68" i="36"/>
  <c r="U67" i="36"/>
  <c r="U52" i="36"/>
  <c r="U62" i="36"/>
  <c r="C26" i="56"/>
  <c r="I26" i="54"/>
  <c r="C21" i="71"/>
  <c r="C33" i="56"/>
  <c r="C26" i="71"/>
  <c r="I33" i="54"/>
  <c r="U63" i="40"/>
  <c r="U53" i="40"/>
  <c r="U71" i="44"/>
  <c r="AQ31" i="43"/>
  <c r="C31" i="63"/>
  <c r="H31" i="43"/>
  <c r="C31" i="57"/>
  <c r="C31" i="43"/>
  <c r="AB31" i="43"/>
  <c r="C31" i="60"/>
  <c r="M31" i="43"/>
  <c r="C31" i="58"/>
  <c r="W31" i="43"/>
  <c r="C15" i="71"/>
  <c r="I19" i="54"/>
  <c r="C19" i="56"/>
  <c r="C16" i="56"/>
  <c r="C12" i="71"/>
  <c r="I16" i="54"/>
  <c r="C6" i="71"/>
  <c r="C9" i="56"/>
  <c r="I9" i="54"/>
  <c r="C8" i="56"/>
  <c r="C5" i="71"/>
  <c r="I8" i="54"/>
  <c r="C13" i="71"/>
  <c r="C17" i="56"/>
  <c r="I17" i="54"/>
  <c r="C20" i="71"/>
  <c r="C25" i="56"/>
  <c r="I25" i="54"/>
  <c r="C30" i="56"/>
  <c r="I30" i="54"/>
  <c r="C24" i="71"/>
  <c r="I9" i="67"/>
  <c r="P9" i="68"/>
  <c r="J15" i="69"/>
  <c r="J41" i="69"/>
  <c r="I22" i="67"/>
  <c r="P22" i="68"/>
  <c r="P27" i="68"/>
  <c r="I27" i="67"/>
  <c r="J51" i="69"/>
  <c r="P29" i="68"/>
  <c r="I29" i="67"/>
  <c r="J55" i="69"/>
  <c r="I31" i="54"/>
  <c r="C31" i="56"/>
  <c r="U53" i="44"/>
  <c r="AB13" i="43"/>
  <c r="C13" i="60"/>
  <c r="AQ13" i="43"/>
  <c r="C13" i="63"/>
  <c r="M13" i="43"/>
  <c r="C13" i="58"/>
  <c r="C13" i="43"/>
  <c r="H13" i="43"/>
  <c r="C13" i="57"/>
  <c r="W13" i="43"/>
  <c r="W23" i="43"/>
  <c r="AQ23" i="43"/>
  <c r="C23" i="63"/>
  <c r="H23" i="43"/>
  <c r="C23" i="57"/>
  <c r="AB23" i="43"/>
  <c r="C23" i="60"/>
  <c r="M23" i="43"/>
  <c r="C23" i="58"/>
  <c r="U63" i="44"/>
  <c r="C23" i="43"/>
  <c r="I14" i="67"/>
  <c r="P14" i="68"/>
  <c r="J25" i="69"/>
  <c r="J3" i="69"/>
  <c r="I3" i="67"/>
  <c r="P3" i="68"/>
  <c r="U62" i="40"/>
  <c r="U52" i="40"/>
  <c r="U67" i="40"/>
  <c r="U68" i="40"/>
  <c r="P12" i="68"/>
  <c r="I12" i="67"/>
  <c r="J21" i="69"/>
  <c r="I20" i="67"/>
  <c r="J37" i="69"/>
  <c r="P20" i="68"/>
  <c r="J43" i="69"/>
  <c r="P23" i="68"/>
  <c r="I23" i="67"/>
  <c r="C32" i="56"/>
  <c r="I32" i="54"/>
  <c r="C25" i="71"/>
  <c r="C15" i="56"/>
  <c r="C11" i="71"/>
  <c r="I15" i="54"/>
  <c r="C28" i="71"/>
  <c r="I35" i="54"/>
  <c r="C35" i="56"/>
  <c r="P21" i="68"/>
  <c r="J39" i="69"/>
  <c r="I21" i="67"/>
  <c r="J19" i="69"/>
  <c r="I11" i="67"/>
  <c r="P11" i="68"/>
  <c r="J47" i="69"/>
  <c r="I25" i="67"/>
  <c r="P25" i="68"/>
  <c r="P16" i="68"/>
  <c r="I16" i="67"/>
  <c r="J29" i="69"/>
  <c r="J13" i="69"/>
  <c r="P8" i="68"/>
  <c r="I8" i="67"/>
  <c r="I24" i="67"/>
  <c r="J45" i="69"/>
  <c r="P24" i="68"/>
  <c r="I10" i="67"/>
  <c r="P10" i="68"/>
  <c r="J17" i="69"/>
  <c r="C14" i="56"/>
  <c r="C10" i="71"/>
  <c r="I14" i="54"/>
  <c r="C24" i="56"/>
  <c r="I24" i="54"/>
  <c r="C19" i="71"/>
  <c r="P7" i="68"/>
  <c r="J11" i="69"/>
  <c r="I7" i="67"/>
  <c r="J5" i="69"/>
  <c r="I4" i="67"/>
  <c r="P4" i="68"/>
  <c r="J35" i="69"/>
  <c r="I19" i="67"/>
  <c r="P19" i="68"/>
  <c r="I26" i="67"/>
  <c r="P26" i="68"/>
  <c r="J49" i="69"/>
  <c r="I6" i="67"/>
  <c r="J9" i="69"/>
  <c r="P6" i="68"/>
  <c r="AB27" i="43"/>
  <c r="C27" i="60"/>
  <c r="M27" i="43"/>
  <c r="C27" i="58"/>
  <c r="H27" i="43"/>
  <c r="C27" i="57"/>
  <c r="U67" i="44"/>
  <c r="W27" i="43"/>
  <c r="C27" i="43"/>
  <c r="AQ27" i="43"/>
  <c r="C27" i="63"/>
  <c r="W22" i="43"/>
  <c r="AQ22" i="43"/>
  <c r="C22" i="63"/>
  <c r="M22" i="43"/>
  <c r="C22" i="58"/>
  <c r="U62" i="44"/>
  <c r="AB22" i="43"/>
  <c r="C22" i="60"/>
  <c r="C22" i="43"/>
  <c r="H22" i="43"/>
  <c r="C22" i="57"/>
  <c r="C13" i="56"/>
  <c r="C9" i="71"/>
  <c r="I13" i="54"/>
  <c r="I5" i="67"/>
  <c r="J7" i="69"/>
  <c r="P5" i="68"/>
  <c r="P17" i="68"/>
  <c r="J31" i="69"/>
  <c r="I17" i="67"/>
  <c r="U68" i="44"/>
  <c r="AB28" i="43"/>
  <c r="C28" i="60"/>
  <c r="C28" i="43"/>
  <c r="W28" i="43"/>
  <c r="M28" i="43"/>
  <c r="C28" i="58"/>
  <c r="AQ28" i="43"/>
  <c r="C28" i="63"/>
  <c r="H28" i="43"/>
  <c r="C28" i="57"/>
  <c r="AB12" i="43"/>
  <c r="C12" i="60"/>
  <c r="H12" i="43"/>
  <c r="C12" i="57"/>
  <c r="M12" i="43"/>
  <c r="C12" i="58"/>
  <c r="AQ12" i="43"/>
  <c r="C12" i="63"/>
  <c r="C12" i="43"/>
  <c r="U52" i="44"/>
  <c r="W12" i="43"/>
  <c r="C23" i="56"/>
  <c r="I23" i="54"/>
  <c r="C18" i="71"/>
  <c r="J33" i="69"/>
  <c r="I18" i="67"/>
  <c r="P18" i="68"/>
  <c r="C12" i="56"/>
  <c r="I12" i="54"/>
  <c r="C22" i="71"/>
  <c r="C28" i="56"/>
  <c r="I28" i="54"/>
  <c r="I28" i="67"/>
  <c r="P28" i="68"/>
  <c r="J53" i="69"/>
  <c r="I22" i="54"/>
  <c r="C22" i="56"/>
  <c r="I27" i="54"/>
  <c r="C27" i="56"/>
  <c r="J23" i="69"/>
  <c r="P13" i="68"/>
  <c r="I13" i="67"/>
  <c r="H12" i="32"/>
  <c r="H11" i="32"/>
  <c r="E12" i="32"/>
  <c r="E11" i="32"/>
  <c r="L12" i="32"/>
  <c r="L11" i="32"/>
  <c r="M12" i="32"/>
  <c r="M11" i="32"/>
  <c r="H121" i="37"/>
  <c r="T121" i="37"/>
  <c r="AJ121" i="37"/>
  <c r="H120" i="37"/>
  <c r="T120" i="37"/>
  <c r="AB120" i="37"/>
  <c r="AB121" i="37"/>
  <c r="H119" i="37"/>
  <c r="T119" i="37"/>
  <c r="AB119" i="37"/>
  <c r="AF119" i="37"/>
  <c r="AG132" i="37"/>
  <c r="AG145" i="37"/>
  <c r="AG130" i="37"/>
  <c r="AG134" i="37"/>
  <c r="AG131" i="37"/>
  <c r="AG136" i="37"/>
  <c r="AG151" i="37"/>
  <c r="AG141" i="37"/>
  <c r="AG146" i="37"/>
  <c r="AG149" i="37"/>
  <c r="AG142" i="37"/>
  <c r="AG150" i="37"/>
  <c r="AG122" i="37"/>
  <c r="AG135" i="37"/>
  <c r="AG127" i="37"/>
  <c r="AG123" i="37"/>
  <c r="AG137" i="37"/>
  <c r="AG140" i="37"/>
  <c r="AG124" i="37"/>
  <c r="AG126" i="37"/>
  <c r="AG125" i="37"/>
  <c r="AG133" i="37"/>
  <c r="AG148" i="37"/>
  <c r="AG139" i="37"/>
  <c r="AG129" i="37"/>
  <c r="AG144" i="37"/>
  <c r="AF121" i="37"/>
  <c r="AG121" i="37"/>
  <c r="BG5" i="31"/>
  <c r="BG4" i="31"/>
  <c r="S3" i="43"/>
  <c r="D3" i="59"/>
  <c r="S4" i="43"/>
  <c r="D4" i="59"/>
  <c r="T82" i="36"/>
  <c r="T81" i="36"/>
  <c r="V82" i="44"/>
  <c r="V81" i="44"/>
  <c r="S5" i="43"/>
  <c r="D5" i="59"/>
  <c r="BG6" i="31"/>
  <c r="T83" i="36"/>
  <c r="V83" i="44"/>
  <c r="M12" i="26"/>
  <c r="M11" i="26"/>
  <c r="J12" i="26"/>
  <c r="J11" i="26"/>
  <c r="H12" i="26"/>
  <c r="H11" i="26"/>
  <c r="AZ4" i="31"/>
  <c r="AZ5" i="31"/>
  <c r="R3" i="43"/>
  <c r="C3" i="59"/>
  <c r="T44" i="36"/>
  <c r="R4" i="43"/>
  <c r="C4" i="59"/>
  <c r="T43" i="36"/>
  <c r="V44" i="44"/>
  <c r="V43" i="44"/>
  <c r="AZ6" i="31"/>
  <c r="T45" i="36"/>
  <c r="R5" i="43"/>
  <c r="C5" i="59"/>
  <c r="V45" i="44"/>
  <c r="I12" i="26"/>
  <c r="I11" i="26"/>
  <c r="F12" i="26"/>
  <c r="F11" i="26"/>
  <c r="E12" i="26"/>
  <c r="E11" i="26"/>
  <c r="V5" i="44"/>
  <c r="V6" i="44"/>
  <c r="T6" i="36"/>
  <c r="AS5" i="31"/>
  <c r="Q4" i="43"/>
  <c r="B4" i="59"/>
  <c r="AS4" i="31"/>
  <c r="T5" i="36"/>
  <c r="T7" i="36"/>
  <c r="V7" i="44"/>
  <c r="Q5" i="43"/>
  <c r="B5" i="59"/>
  <c r="AS6" i="31"/>
  <c r="Q3" i="43"/>
  <c r="B3" i="59"/>
  <c r="D12" i="26"/>
  <c r="D11" i="26"/>
  <c r="I12" i="32"/>
  <c r="I11" i="32"/>
  <c r="T83" i="37"/>
  <c r="AJ83" i="37"/>
  <c r="T82" i="37"/>
  <c r="AB82" i="37"/>
  <c r="J12" i="32"/>
  <c r="J11" i="32"/>
  <c r="AB83" i="37"/>
  <c r="AA6" i="33"/>
  <c r="T81" i="37"/>
  <c r="AB81" i="37"/>
  <c r="AF81" i="37"/>
  <c r="AG106" i="37"/>
  <c r="AG101" i="37"/>
  <c r="U83" i="36"/>
  <c r="AA5" i="33"/>
  <c r="AF83" i="37"/>
  <c r="AG83" i="37"/>
  <c r="AG91" i="37"/>
  <c r="AG110" i="37"/>
  <c r="AG94" i="37"/>
  <c r="AG84" i="37"/>
  <c r="AG87" i="37"/>
  <c r="AG108" i="37"/>
  <c r="AG89" i="37"/>
  <c r="AG97" i="37"/>
  <c r="AG92" i="37"/>
  <c r="AG102" i="37"/>
  <c r="AG86" i="37"/>
  <c r="AG103" i="37"/>
  <c r="AG85" i="37"/>
  <c r="AG96" i="37"/>
  <c r="AG95" i="37"/>
  <c r="AG98" i="37"/>
  <c r="AG107" i="37"/>
  <c r="AG88" i="37"/>
  <c r="AG99" i="37"/>
  <c r="AG93" i="37"/>
  <c r="AG111" i="37"/>
  <c r="AG104" i="37"/>
  <c r="AG113" i="37"/>
  <c r="AG112" i="37"/>
  <c r="AG109" i="37"/>
  <c r="U82" i="36"/>
  <c r="AA4" i="33"/>
  <c r="U83" i="44"/>
  <c r="U81" i="36"/>
  <c r="AC5" i="43"/>
  <c r="D5" i="60"/>
  <c r="U83" i="40"/>
  <c r="X5" i="43"/>
  <c r="D5" i="43"/>
  <c r="D2" i="71"/>
  <c r="AR5" i="43"/>
  <c r="D5" i="63"/>
  <c r="I5" i="43"/>
  <c r="D5" i="57"/>
  <c r="N5" i="43"/>
  <c r="D5" i="58"/>
  <c r="Q5" i="54"/>
  <c r="R11" i="69"/>
  <c r="D5" i="56"/>
  <c r="Q7" i="67"/>
  <c r="AD7" i="68"/>
  <c r="U82" i="44"/>
  <c r="AC4" i="43"/>
  <c r="D4" i="60"/>
  <c r="U82" i="40"/>
  <c r="N4" i="43"/>
  <c r="D4" i="58"/>
  <c r="X4" i="43"/>
  <c r="I4" i="43"/>
  <c r="D4" i="57"/>
  <c r="U81" i="44"/>
  <c r="AR4" i="43"/>
  <c r="D4" i="63"/>
  <c r="D4" i="43"/>
  <c r="Q4" i="54"/>
  <c r="AC3" i="43"/>
  <c r="D3" i="60"/>
  <c r="D4" i="56"/>
  <c r="AR3" i="43"/>
  <c r="D3" i="63"/>
  <c r="U81" i="40"/>
  <c r="N3" i="43"/>
  <c r="D3" i="58"/>
  <c r="X3" i="43"/>
  <c r="I3" i="43"/>
  <c r="D3" i="57"/>
  <c r="D3" i="43"/>
  <c r="D3" i="56"/>
  <c r="Q3" i="54"/>
  <c r="F12" i="32"/>
  <c r="F11" i="32"/>
  <c r="C3" i="43"/>
  <c r="I3" i="54"/>
  <c r="C3" i="56"/>
  <c r="C5" i="43"/>
  <c r="I5" i="54"/>
  <c r="P15" i="68"/>
  <c r="I15" i="67"/>
  <c r="J27" i="69"/>
  <c r="H3" i="43"/>
  <c r="C3" i="57"/>
  <c r="AQ3" i="43"/>
  <c r="C3" i="63"/>
  <c r="U43" i="44"/>
  <c r="M3" i="43"/>
  <c r="C3" i="58"/>
  <c r="AB3" i="43"/>
  <c r="C3" i="60"/>
  <c r="W3" i="43"/>
  <c r="U43" i="40"/>
  <c r="C4" i="43"/>
  <c r="C4" i="56"/>
  <c r="I4" i="54"/>
  <c r="C2" i="71"/>
  <c r="C5" i="56"/>
  <c r="U43" i="36"/>
  <c r="AB5" i="43"/>
  <c r="C5" i="60"/>
  <c r="M5" i="43"/>
  <c r="C5" i="58"/>
  <c r="AQ5" i="43"/>
  <c r="C5" i="63"/>
  <c r="U45" i="44"/>
  <c r="H5" i="43"/>
  <c r="C5" i="57"/>
  <c r="W5" i="43"/>
  <c r="H4" i="43"/>
  <c r="C4" i="57"/>
  <c r="M4" i="43"/>
  <c r="C4" i="58"/>
  <c r="AB4" i="43"/>
  <c r="C4" i="60"/>
  <c r="W4" i="43"/>
  <c r="AQ4" i="43"/>
  <c r="C4" i="63"/>
  <c r="U44" i="44"/>
  <c r="U44" i="40"/>
  <c r="U45" i="40"/>
  <c r="X4" i="33"/>
  <c r="U45" i="36"/>
  <c r="U44" i="36"/>
  <c r="T43" i="37"/>
  <c r="AF43" i="37"/>
  <c r="AG72" i="37"/>
  <c r="AG48" i="37"/>
  <c r="AG71" i="37"/>
  <c r="AG49" i="37"/>
  <c r="AG51" i="37"/>
  <c r="AG56" i="37"/>
  <c r="AG50" i="37"/>
  <c r="AG59" i="37"/>
  <c r="AG69" i="37"/>
  <c r="AG46" i="37"/>
  <c r="AG55" i="37"/>
  <c r="AG61" i="37"/>
  <c r="AG64" i="37"/>
  <c r="T45" i="37"/>
  <c r="AF45" i="37"/>
  <c r="AG45" i="37"/>
  <c r="AG74" i="37"/>
  <c r="AG60" i="37"/>
  <c r="AG58" i="37"/>
  <c r="AG75" i="37"/>
  <c r="AG57" i="37"/>
  <c r="AG73" i="37"/>
  <c r="AG70" i="37"/>
  <c r="AG65" i="37"/>
  <c r="AG66" i="37"/>
  <c r="AG54" i="37"/>
  <c r="AG47" i="37"/>
  <c r="AG67" i="37"/>
  <c r="X5" i="33"/>
  <c r="AG53" i="37"/>
  <c r="AG68" i="37"/>
  <c r="X6" i="33"/>
  <c r="AB43" i="37"/>
  <c r="AG63" i="37"/>
  <c r="T44" i="37"/>
  <c r="AB44" i="37"/>
  <c r="G12" i="32"/>
  <c r="G11" i="32"/>
  <c r="AB45" i="37"/>
  <c r="AJ45" i="37"/>
  <c r="C12" i="32"/>
  <c r="C11" i="32"/>
  <c r="D12" i="32"/>
  <c r="D11" i="32"/>
  <c r="U6" i="33"/>
  <c r="U7" i="36"/>
  <c r="U4" i="33"/>
  <c r="U5" i="33"/>
  <c r="U5" i="36"/>
  <c r="U6" i="36"/>
  <c r="V7" i="40"/>
  <c r="T7" i="37"/>
  <c r="AB7" i="37"/>
  <c r="T6" i="37"/>
  <c r="AB6" i="37"/>
  <c r="U7" i="40"/>
  <c r="U7" i="44"/>
  <c r="AJ7" i="37"/>
  <c r="AL7" i="37"/>
  <c r="AJ38" i="37"/>
  <c r="U6" i="40"/>
  <c r="V6" i="40"/>
  <c r="AA5" i="43"/>
  <c r="B5" i="60"/>
  <c r="L5" i="43"/>
  <c r="B5" i="58"/>
  <c r="G5" i="43"/>
  <c r="B5" i="57"/>
  <c r="AP5" i="43"/>
  <c r="B5" i="63"/>
  <c r="B5" i="43"/>
  <c r="B2" i="71"/>
  <c r="V5" i="43"/>
  <c r="AB5" i="37"/>
  <c r="AG7" i="37"/>
  <c r="V5" i="40"/>
  <c r="U5" i="40"/>
  <c r="U6" i="44"/>
  <c r="V3" i="43"/>
  <c r="AP3" i="43"/>
  <c r="B3" i="63"/>
  <c r="G3" i="43"/>
  <c r="B3" i="57"/>
  <c r="L3" i="43"/>
  <c r="B3" i="58"/>
  <c r="AA3" i="43"/>
  <c r="B3" i="60"/>
  <c r="AG26" i="37"/>
  <c r="AG9" i="37"/>
  <c r="AG8" i="37"/>
  <c r="AG20" i="37"/>
  <c r="AG15" i="37"/>
  <c r="AG11" i="37"/>
  <c r="AG16" i="37"/>
  <c r="AG17" i="37"/>
  <c r="AG30" i="37"/>
  <c r="AG28" i="37"/>
  <c r="AG27" i="37"/>
  <c r="AG21" i="37"/>
  <c r="AG31" i="37"/>
  <c r="AG18" i="37"/>
  <c r="AG36" i="37"/>
  <c r="AG32" i="37"/>
  <c r="AG12" i="37"/>
  <c r="AG35" i="37"/>
  <c r="AG10" i="37"/>
  <c r="AG34" i="37"/>
  <c r="AG13" i="37"/>
  <c r="AG23" i="37"/>
  <c r="AG22" i="37"/>
  <c r="AG25" i="37"/>
  <c r="AG19" i="37"/>
  <c r="B5" i="56"/>
  <c r="A5" i="54"/>
  <c r="B25" i="69"/>
  <c r="V4" i="43"/>
  <c r="G4" i="43"/>
  <c r="B4" i="57"/>
  <c r="AP4" i="43"/>
  <c r="B4" i="63"/>
  <c r="AA4" i="43"/>
  <c r="B4" i="60"/>
  <c r="L4" i="43"/>
  <c r="B4" i="58"/>
  <c r="B4" i="43"/>
  <c r="B4" i="56"/>
  <c r="A4" i="54"/>
  <c r="B14" i="68"/>
  <c r="A14" i="67"/>
  <c r="B3" i="43"/>
  <c r="B3" i="56"/>
  <c r="A3" i="54"/>
  <c r="U5" i="44"/>
  <c r="E5" i="27"/>
  <c r="H57" i="26"/>
  <c r="H60" i="26"/>
  <c r="H61" i="26"/>
  <c r="H62" i="26"/>
  <c r="H63" i="26"/>
  <c r="H64" i="26"/>
  <c r="H65" i="26"/>
  <c r="H66" i="26"/>
  <c r="H59" i="26"/>
  <c r="H68" i="26"/>
  <c r="H69" i="26"/>
  <c r="H70" i="26"/>
  <c r="H71" i="26"/>
  <c r="H72" i="26"/>
  <c r="H73" i="26"/>
  <c r="H74" i="26"/>
  <c r="H75" i="26"/>
  <c r="H76" i="26"/>
  <c r="H67" i="26"/>
  <c r="H78" i="26"/>
  <c r="H79" i="26"/>
  <c r="H80" i="26"/>
  <c r="H81" i="26"/>
  <c r="H77" i="26"/>
  <c r="H83" i="26"/>
  <c r="H84" i="26"/>
  <c r="H85" i="26"/>
  <c r="H82" i="26"/>
  <c r="H87" i="26"/>
  <c r="H88" i="26"/>
  <c r="H89" i="26"/>
  <c r="H90" i="26"/>
  <c r="H86" i="26"/>
  <c r="H58" i="26"/>
  <c r="AD58" i="26"/>
  <c r="W4" i="31"/>
  <c r="E6" i="27"/>
  <c r="I57" i="26"/>
  <c r="I60" i="26"/>
  <c r="I61" i="26"/>
  <c r="I62" i="26"/>
  <c r="I63" i="26"/>
  <c r="I64" i="26"/>
  <c r="I65" i="26"/>
  <c r="I66" i="26"/>
  <c r="I59" i="26"/>
  <c r="I68" i="26"/>
  <c r="I69" i="26"/>
  <c r="I70" i="26"/>
  <c r="I71" i="26"/>
  <c r="I72" i="26"/>
  <c r="I73" i="26"/>
  <c r="I74" i="26"/>
  <c r="I75" i="26"/>
  <c r="I76" i="26"/>
  <c r="I67" i="26"/>
  <c r="I78" i="26"/>
  <c r="I79" i="26"/>
  <c r="I80" i="26"/>
  <c r="I81" i="26"/>
  <c r="I77" i="26"/>
  <c r="I83" i="26"/>
  <c r="I84" i="26"/>
  <c r="I85" i="26"/>
  <c r="I82" i="26"/>
  <c r="I87" i="26"/>
  <c r="I88" i="26"/>
  <c r="I89" i="26"/>
  <c r="I90" i="26"/>
  <c r="I86" i="26"/>
  <c r="I58" i="26"/>
  <c r="AE58" i="26"/>
  <c r="X4" i="31"/>
  <c r="AC4" i="31"/>
  <c r="BH4" i="31"/>
  <c r="B119" i="36"/>
  <c r="B119" i="41"/>
  <c r="B119" i="40"/>
  <c r="B119" i="44"/>
  <c r="BI4" i="31"/>
  <c r="C119" i="36"/>
  <c r="C119" i="41"/>
  <c r="C119" i="40"/>
  <c r="C119" i="44"/>
  <c r="E12" i="27"/>
  <c r="H57" i="32"/>
  <c r="H60" i="32"/>
  <c r="H61" i="32"/>
  <c r="H62" i="32"/>
  <c r="H63" i="32"/>
  <c r="H64" i="32"/>
  <c r="H65" i="32"/>
  <c r="H66" i="32"/>
  <c r="H59" i="32"/>
  <c r="H68" i="32"/>
  <c r="H69" i="32"/>
  <c r="H70" i="32"/>
  <c r="H71" i="32"/>
  <c r="H72" i="32"/>
  <c r="H73" i="32"/>
  <c r="H74" i="32"/>
  <c r="H75" i="32"/>
  <c r="H76" i="32"/>
  <c r="H67" i="32"/>
  <c r="H78" i="32"/>
  <c r="H79" i="32"/>
  <c r="H80" i="32"/>
  <c r="H81" i="32"/>
  <c r="H77" i="32"/>
  <c r="H83" i="32"/>
  <c r="H84" i="32"/>
  <c r="H85" i="32"/>
  <c r="H82" i="32"/>
  <c r="H87" i="32"/>
  <c r="H88" i="32"/>
  <c r="H89" i="32"/>
  <c r="H90" i="32"/>
  <c r="H86" i="32"/>
  <c r="H58" i="32"/>
  <c r="Y58" i="32"/>
  <c r="K4" i="33"/>
  <c r="E13" i="27"/>
  <c r="I57" i="32"/>
  <c r="I60" i="32"/>
  <c r="I61" i="32"/>
  <c r="I62" i="32"/>
  <c r="I63" i="32"/>
  <c r="I64" i="32"/>
  <c r="I65" i="32"/>
  <c r="I66" i="32"/>
  <c r="I59" i="32"/>
  <c r="I68" i="32"/>
  <c r="I69" i="32"/>
  <c r="I70" i="32"/>
  <c r="I71" i="32"/>
  <c r="I72" i="32"/>
  <c r="I73" i="32"/>
  <c r="I74" i="32"/>
  <c r="I75" i="32"/>
  <c r="I76" i="32"/>
  <c r="I67" i="32"/>
  <c r="I78" i="32"/>
  <c r="I79" i="32"/>
  <c r="I80" i="32"/>
  <c r="I81" i="32"/>
  <c r="I77" i="32"/>
  <c r="I83" i="32"/>
  <c r="I84" i="32"/>
  <c r="I85" i="32"/>
  <c r="I82" i="32"/>
  <c r="I87" i="32"/>
  <c r="I88" i="32"/>
  <c r="I89" i="32"/>
  <c r="I90" i="32"/>
  <c r="I86" i="32"/>
  <c r="I58" i="32"/>
  <c r="Z58" i="32"/>
  <c r="L4" i="33"/>
  <c r="M4" i="33"/>
  <c r="AB4" i="33"/>
  <c r="H119" i="36"/>
  <c r="H119" i="41"/>
  <c r="H119" i="40"/>
  <c r="H119" i="44"/>
  <c r="AC4" i="33"/>
  <c r="I119" i="36"/>
  <c r="I119" i="41"/>
  <c r="I119" i="40"/>
  <c r="I119" i="44"/>
  <c r="E15" i="27"/>
  <c r="K10" i="24"/>
  <c r="AB13" i="24"/>
  <c r="AB14" i="24"/>
  <c r="AB15" i="24"/>
  <c r="AB16" i="24"/>
  <c r="AB17" i="24"/>
  <c r="AB18" i="24"/>
  <c r="AB19" i="24"/>
  <c r="AB12" i="24"/>
  <c r="AB21" i="24"/>
  <c r="AB22" i="24"/>
  <c r="AB23" i="24"/>
  <c r="AB24" i="24"/>
  <c r="AB25" i="24"/>
  <c r="AB26" i="24"/>
  <c r="AB27" i="24"/>
  <c r="AB28" i="24"/>
  <c r="AB29" i="24"/>
  <c r="AB20" i="24"/>
  <c r="AB31" i="24"/>
  <c r="AB32" i="24"/>
  <c r="AB33" i="24"/>
  <c r="AB34" i="24"/>
  <c r="AB30" i="24"/>
  <c r="AB36" i="24"/>
  <c r="AB37" i="24"/>
  <c r="AB38" i="24"/>
  <c r="AB35" i="24"/>
  <c r="AB40" i="24"/>
  <c r="AB41" i="24"/>
  <c r="AB42" i="24"/>
  <c r="AB43" i="24"/>
  <c r="AB39" i="24"/>
  <c r="AB11" i="24"/>
  <c r="AS11" i="24"/>
  <c r="AI4" i="25"/>
  <c r="E16" i="27"/>
  <c r="L10" i="24"/>
  <c r="AC13" i="24"/>
  <c r="AC14" i="24"/>
  <c r="AC15" i="24"/>
  <c r="AC16" i="24"/>
  <c r="AC17" i="24"/>
  <c r="AC18" i="24"/>
  <c r="AC19" i="24"/>
  <c r="AC12" i="24"/>
  <c r="AC21" i="24"/>
  <c r="AC22" i="24"/>
  <c r="AC23" i="24"/>
  <c r="AC24" i="24"/>
  <c r="AC25" i="24"/>
  <c r="AC26" i="24"/>
  <c r="AC27" i="24"/>
  <c r="AC28" i="24"/>
  <c r="AC29" i="24"/>
  <c r="AC20" i="24"/>
  <c r="AC31" i="24"/>
  <c r="AC32" i="24"/>
  <c r="AC33" i="24"/>
  <c r="AC34" i="24"/>
  <c r="AC30" i="24"/>
  <c r="AC36" i="24"/>
  <c r="AC37" i="24"/>
  <c r="AC38" i="24"/>
  <c r="AC35" i="24"/>
  <c r="AC40" i="24"/>
  <c r="AC41" i="24"/>
  <c r="AC42" i="24"/>
  <c r="AC43" i="24"/>
  <c r="AC39" i="24"/>
  <c r="AC11" i="24"/>
  <c r="AT11" i="24"/>
  <c r="AJ4" i="25"/>
  <c r="AK4" i="25"/>
  <c r="CD4" i="25"/>
  <c r="P119" i="36"/>
  <c r="P119" i="41"/>
  <c r="P119" i="40"/>
  <c r="P119" i="44"/>
  <c r="CE4" i="25"/>
  <c r="Q119" i="36"/>
  <c r="Q119" i="41"/>
  <c r="Q119" i="40"/>
  <c r="Q119" i="44"/>
  <c r="U119" i="44"/>
  <c r="AB119" i="44"/>
  <c r="BJ4" i="31"/>
  <c r="D119" i="36"/>
  <c r="D119" i="40"/>
  <c r="D119" i="44"/>
  <c r="BK4" i="31"/>
  <c r="E119" i="36"/>
  <c r="E119" i="40"/>
  <c r="E119" i="44"/>
  <c r="BL4" i="31"/>
  <c r="F119" i="36"/>
  <c r="F119" i="40"/>
  <c r="F119" i="44"/>
  <c r="BM4" i="31"/>
  <c r="G119" i="36"/>
  <c r="G119" i="40"/>
  <c r="G119" i="44"/>
  <c r="AC119" i="44"/>
  <c r="AC194" i="44"/>
  <c r="V119" i="44"/>
  <c r="V194" i="44"/>
  <c r="BX4" i="25"/>
  <c r="J119" i="36"/>
  <c r="J119" i="40"/>
  <c r="J119" i="44"/>
  <c r="BY4" i="25"/>
  <c r="K119" i="36"/>
  <c r="K119" i="40"/>
  <c r="K119" i="44"/>
  <c r="BZ4" i="25"/>
  <c r="L119" i="36"/>
  <c r="L119" i="40"/>
  <c r="L119" i="44"/>
  <c r="CA4" i="25"/>
  <c r="M119" i="36"/>
  <c r="M119" i="40"/>
  <c r="M119" i="44"/>
  <c r="CB4" i="25"/>
  <c r="N119" i="36"/>
  <c r="N119" i="40"/>
  <c r="N119" i="44"/>
  <c r="CC4" i="25"/>
  <c r="O119" i="36"/>
  <c r="O119" i="40"/>
  <c r="O119" i="44"/>
  <c r="E3" i="43"/>
  <c r="E3" i="56"/>
  <c r="Y3" i="43"/>
  <c r="AS3" i="43"/>
  <c r="E3" i="63"/>
  <c r="J3" i="43"/>
  <c r="E3" i="57"/>
  <c r="S119" i="44"/>
  <c r="O3" i="43"/>
  <c r="E3" i="58"/>
  <c r="Y3" i="54"/>
  <c r="U119" i="40"/>
  <c r="AD3" i="43"/>
  <c r="E3" i="60"/>
  <c r="AD59" i="26"/>
  <c r="W5" i="31"/>
  <c r="AE59" i="26"/>
  <c r="X5" i="31"/>
  <c r="AC5" i="31"/>
  <c r="BH5" i="31"/>
  <c r="B120" i="36"/>
  <c r="B120" i="41"/>
  <c r="B120" i="40"/>
  <c r="B120" i="44"/>
  <c r="BI5" i="31"/>
  <c r="C120" i="36"/>
  <c r="C120" i="41"/>
  <c r="C120" i="40"/>
  <c r="C120" i="44"/>
  <c r="BJ5" i="31"/>
  <c r="D120" i="36"/>
  <c r="D120" i="40"/>
  <c r="D120" i="44"/>
  <c r="BK5" i="31"/>
  <c r="E120" i="36"/>
  <c r="E120" i="40"/>
  <c r="E120" i="44"/>
  <c r="BL5" i="31"/>
  <c r="F120" i="36"/>
  <c r="F120" i="40"/>
  <c r="F120" i="44"/>
  <c r="BM5" i="31"/>
  <c r="G120" i="36"/>
  <c r="G120" i="40"/>
  <c r="G120" i="44"/>
  <c r="Y59" i="32"/>
  <c r="K5" i="33"/>
  <c r="Z59" i="32"/>
  <c r="L5" i="33"/>
  <c r="M5" i="33"/>
  <c r="AB5" i="33"/>
  <c r="H120" i="36"/>
  <c r="H120" i="41"/>
  <c r="H120" i="40"/>
  <c r="H120" i="44"/>
  <c r="AC5" i="33"/>
  <c r="I120" i="36"/>
  <c r="I120" i="41"/>
  <c r="I120" i="40"/>
  <c r="I120" i="44"/>
  <c r="AS12" i="24"/>
  <c r="AI5" i="25"/>
  <c r="AT12" i="24"/>
  <c r="AJ5" i="25"/>
  <c r="AK5" i="25"/>
  <c r="BX5" i="25"/>
  <c r="J120" i="36"/>
  <c r="J120" i="40"/>
  <c r="J120" i="44"/>
  <c r="BY5" i="25"/>
  <c r="K120" i="36"/>
  <c r="K120" i="40"/>
  <c r="K120" i="44"/>
  <c r="BZ5" i="25"/>
  <c r="L120" i="36"/>
  <c r="L120" i="40"/>
  <c r="L120" i="44"/>
  <c r="CA5" i="25"/>
  <c r="M120" i="36"/>
  <c r="M120" i="40"/>
  <c r="M120" i="44"/>
  <c r="CB5" i="25"/>
  <c r="N120" i="36"/>
  <c r="N120" i="40"/>
  <c r="N120" i="44"/>
  <c r="CC5" i="25"/>
  <c r="O120" i="36"/>
  <c r="O120" i="40"/>
  <c r="O120" i="44"/>
  <c r="CD5" i="25"/>
  <c r="P120" i="36"/>
  <c r="P120" i="41"/>
  <c r="P120" i="40"/>
  <c r="P120" i="44"/>
  <c r="CE5" i="25"/>
  <c r="Q120" i="36"/>
  <c r="Q120" i="41"/>
  <c r="Q120" i="40"/>
  <c r="Q120" i="44"/>
  <c r="E4" i="43"/>
  <c r="Y4" i="54"/>
  <c r="Y4" i="43"/>
  <c r="AS4" i="43"/>
  <c r="E4" i="63"/>
  <c r="J4" i="43"/>
  <c r="E4" i="57"/>
  <c r="O4" i="43"/>
  <c r="E4" i="58"/>
  <c r="S120" i="44"/>
  <c r="E4" i="56"/>
  <c r="U120" i="40"/>
  <c r="U120" i="44"/>
  <c r="AD4" i="43"/>
  <c r="E4" i="60"/>
  <c r="AD60" i="26"/>
  <c r="W6" i="31"/>
  <c r="AE60" i="26"/>
  <c r="X6" i="31"/>
  <c r="AC6" i="31"/>
  <c r="BH6" i="31"/>
  <c r="B121" i="36"/>
  <c r="B121" i="41"/>
  <c r="B121" i="40"/>
  <c r="B121" i="44"/>
  <c r="BI6" i="31"/>
  <c r="C121" i="36"/>
  <c r="C121" i="41"/>
  <c r="C121" i="40"/>
  <c r="C121" i="44"/>
  <c r="BJ6" i="31"/>
  <c r="D121" i="36"/>
  <c r="D121" i="40"/>
  <c r="D121" i="44"/>
  <c r="BK6" i="31"/>
  <c r="E121" i="36"/>
  <c r="E121" i="40"/>
  <c r="E121" i="44"/>
  <c r="BL6" i="31"/>
  <c r="F121" i="36"/>
  <c r="F121" i="40"/>
  <c r="F121" i="44"/>
  <c r="BM6" i="31"/>
  <c r="G121" i="36"/>
  <c r="G121" i="40"/>
  <c r="G121" i="44"/>
  <c r="Y60" i="32"/>
  <c r="K6" i="33"/>
  <c r="Z60" i="32"/>
  <c r="L6" i="33"/>
  <c r="M6" i="33"/>
  <c r="AB6" i="33"/>
  <c r="H121" i="36"/>
  <c r="H121" i="41"/>
  <c r="H121" i="40"/>
  <c r="H121" i="44"/>
  <c r="AC6" i="33"/>
  <c r="I121" i="36"/>
  <c r="I121" i="41"/>
  <c r="I121" i="40"/>
  <c r="I121" i="44"/>
  <c r="AS13" i="24"/>
  <c r="AI6" i="25"/>
  <c r="AT13" i="24"/>
  <c r="AJ6" i="25"/>
  <c r="AK6" i="25"/>
  <c r="BX6" i="25"/>
  <c r="J121" i="36"/>
  <c r="J121" i="40"/>
  <c r="J121" i="44"/>
  <c r="BY6" i="25"/>
  <c r="K121" i="36"/>
  <c r="K121" i="40"/>
  <c r="K121" i="44"/>
  <c r="BZ6" i="25"/>
  <c r="L121" i="36"/>
  <c r="L121" i="40"/>
  <c r="L121" i="44"/>
  <c r="CA6" i="25"/>
  <c r="M121" i="36"/>
  <c r="M121" i="40"/>
  <c r="M121" i="44"/>
  <c r="CB6" i="25"/>
  <c r="N121" i="36"/>
  <c r="N121" i="40"/>
  <c r="N121" i="44"/>
  <c r="CC6" i="25"/>
  <c r="O121" i="36"/>
  <c r="O121" i="40"/>
  <c r="O121" i="44"/>
  <c r="CD6" i="25"/>
  <c r="P121" i="36"/>
  <c r="P121" i="41"/>
  <c r="P121" i="40"/>
  <c r="P121" i="44"/>
  <c r="CE6" i="25"/>
  <c r="Q121" i="36"/>
  <c r="Q121" i="41"/>
  <c r="Q121" i="40"/>
  <c r="Q121" i="44"/>
  <c r="E5" i="43"/>
  <c r="Y5" i="54"/>
  <c r="AR14" i="68"/>
  <c r="Y14" i="67"/>
  <c r="Z25" i="69"/>
  <c r="E5" i="56"/>
  <c r="AS5" i="43"/>
  <c r="E5" i="63"/>
  <c r="Y5" i="43"/>
  <c r="O5" i="43"/>
  <c r="E5" i="58"/>
  <c r="S121" i="44"/>
  <c r="E2" i="71"/>
  <c r="J5" i="43"/>
  <c r="E5" i="57"/>
  <c r="U121" i="40"/>
  <c r="AD5" i="43"/>
  <c r="E5" i="60"/>
  <c r="U121" i="44"/>
  <c r="U119" i="36"/>
  <c r="AD4" i="33"/>
  <c r="U120" i="36"/>
  <c r="AD5" i="33"/>
  <c r="U121" i="36"/>
  <c r="AD6" i="33"/>
  <c r="AD119" i="44"/>
  <c r="AD194" i="44"/>
  <c r="W119" i="44"/>
  <c r="W194" i="44"/>
  <c r="AI3" i="43"/>
  <c r="E3" i="61"/>
  <c r="AD90" i="26"/>
  <c r="W36" i="31"/>
  <c r="AE90" i="26"/>
  <c r="X36" i="31"/>
  <c r="AC36" i="31"/>
  <c r="BH36" i="31"/>
  <c r="B151" i="36"/>
  <c r="B151" i="41"/>
  <c r="B151" i="40"/>
  <c r="B151" i="44"/>
  <c r="BI36" i="31"/>
  <c r="C151" i="36"/>
  <c r="C151" i="41"/>
  <c r="C151" i="40"/>
  <c r="C151" i="44"/>
  <c r="BJ36" i="31"/>
  <c r="D151" i="36"/>
  <c r="D151" i="40"/>
  <c r="D151" i="44"/>
  <c r="BK36" i="31"/>
  <c r="E151" i="36"/>
  <c r="E151" i="40"/>
  <c r="E151" i="44"/>
  <c r="BL36" i="31"/>
  <c r="F151" i="36"/>
  <c r="F151" i="40"/>
  <c r="F151" i="44"/>
  <c r="BM36" i="31"/>
  <c r="G151" i="36"/>
  <c r="G151" i="40"/>
  <c r="G151" i="44"/>
  <c r="Y90" i="32"/>
  <c r="K36" i="33"/>
  <c r="Z90" i="32"/>
  <c r="L36" i="33"/>
  <c r="M36" i="33"/>
  <c r="AB36" i="33"/>
  <c r="H151" i="36"/>
  <c r="H151" i="41"/>
  <c r="H151" i="40"/>
  <c r="H151" i="44"/>
  <c r="AC36" i="33"/>
  <c r="I151" i="36"/>
  <c r="I151" i="41"/>
  <c r="I151" i="40"/>
  <c r="I151" i="44"/>
  <c r="AS43" i="24"/>
  <c r="AI36" i="25"/>
  <c r="AT43" i="24"/>
  <c r="AJ36" i="25"/>
  <c r="AK36" i="25"/>
  <c r="BX36" i="25"/>
  <c r="J151" i="36"/>
  <c r="J151" i="40"/>
  <c r="J151" i="44"/>
  <c r="BY36" i="25"/>
  <c r="K151" i="36"/>
  <c r="K151" i="40"/>
  <c r="K151" i="44"/>
  <c r="BZ36" i="25"/>
  <c r="L151" i="36"/>
  <c r="L151" i="40"/>
  <c r="L151" i="44"/>
  <c r="CA36" i="25"/>
  <c r="M151" i="36"/>
  <c r="M151" i="40"/>
  <c r="M151" i="44"/>
  <c r="CB36" i="25"/>
  <c r="N151" i="36"/>
  <c r="N151" i="40"/>
  <c r="N151" i="44"/>
  <c r="CC36" i="25"/>
  <c r="O151" i="36"/>
  <c r="O151" i="40"/>
  <c r="O151" i="44"/>
  <c r="CD36" i="25"/>
  <c r="P151" i="36"/>
  <c r="P151" i="41"/>
  <c r="P151" i="40"/>
  <c r="P151" i="44"/>
  <c r="CE36" i="25"/>
  <c r="Q151" i="36"/>
  <c r="Q151" i="41"/>
  <c r="Q151" i="40"/>
  <c r="Q151" i="44"/>
  <c r="E35" i="43"/>
  <c r="Y35" i="54"/>
  <c r="Y15" i="67"/>
  <c r="X119" i="44"/>
  <c r="X194" i="44"/>
  <c r="AE119" i="44"/>
  <c r="AE194" i="44"/>
  <c r="AR18" i="68"/>
  <c r="E35" i="56"/>
  <c r="Z33" i="69"/>
  <c r="AD86" i="26"/>
  <c r="W32" i="31"/>
  <c r="AE86" i="26"/>
  <c r="X32" i="31"/>
  <c r="AC32" i="31"/>
  <c r="BH32" i="31"/>
  <c r="B147" i="36"/>
  <c r="B147" i="41"/>
  <c r="B147" i="40"/>
  <c r="B147" i="44"/>
  <c r="BI32" i="31"/>
  <c r="C147" i="36"/>
  <c r="C147" i="41"/>
  <c r="C147" i="40"/>
  <c r="C147" i="44"/>
  <c r="BJ32" i="31"/>
  <c r="D147" i="36"/>
  <c r="D147" i="40"/>
  <c r="D147" i="44"/>
  <c r="BK32" i="31"/>
  <c r="E147" i="36"/>
  <c r="E147" i="40"/>
  <c r="E147" i="44"/>
  <c r="BL32" i="31"/>
  <c r="F147" i="36"/>
  <c r="F147" i="40"/>
  <c r="F147" i="44"/>
  <c r="BM32" i="31"/>
  <c r="G147" i="36"/>
  <c r="G147" i="40"/>
  <c r="G147" i="44"/>
  <c r="Y86" i="32"/>
  <c r="K32" i="33"/>
  <c r="Z86" i="32"/>
  <c r="L32" i="33"/>
  <c r="M32" i="33"/>
  <c r="AB32" i="33"/>
  <c r="H147" i="36"/>
  <c r="H147" i="41"/>
  <c r="H147" i="40"/>
  <c r="H147" i="44"/>
  <c r="AC32" i="33"/>
  <c r="I147" i="36"/>
  <c r="I147" i="41"/>
  <c r="I147" i="40"/>
  <c r="I147" i="44"/>
  <c r="AS39" i="24"/>
  <c r="AI32" i="25"/>
  <c r="AT39" i="24"/>
  <c r="AJ32" i="25"/>
  <c r="AK32" i="25"/>
  <c r="BX32" i="25"/>
  <c r="J147" i="36"/>
  <c r="J147" i="40"/>
  <c r="J147" i="44"/>
  <c r="BY32" i="25"/>
  <c r="K147" i="36"/>
  <c r="K147" i="40"/>
  <c r="K147" i="44"/>
  <c r="BZ32" i="25"/>
  <c r="L147" i="36"/>
  <c r="L147" i="40"/>
  <c r="L147" i="44"/>
  <c r="CA32" i="25"/>
  <c r="M147" i="36"/>
  <c r="M147" i="40"/>
  <c r="M147" i="44"/>
  <c r="CB32" i="25"/>
  <c r="N147" i="36"/>
  <c r="N147" i="40"/>
  <c r="N147" i="44"/>
  <c r="CC32" i="25"/>
  <c r="O147" i="36"/>
  <c r="O147" i="40"/>
  <c r="O147" i="44"/>
  <c r="CD32" i="25"/>
  <c r="P147" i="36"/>
  <c r="P147" i="41"/>
  <c r="P147" i="40"/>
  <c r="P147" i="44"/>
  <c r="CE32" i="25"/>
  <c r="Q147" i="36"/>
  <c r="Q147" i="41"/>
  <c r="Q147" i="40"/>
  <c r="Q147" i="44"/>
  <c r="E31" i="43"/>
  <c r="E31" i="56"/>
  <c r="V119" i="36"/>
  <c r="AI31" i="43"/>
  <c r="E31" i="61"/>
  <c r="J31" i="43"/>
  <c r="E31" i="57"/>
  <c r="Y31" i="54"/>
  <c r="AI35" i="43"/>
  <c r="E35" i="61"/>
  <c r="J35" i="43"/>
  <c r="E35" i="57"/>
  <c r="E28" i="71"/>
  <c r="W147" i="44"/>
  <c r="S147" i="44"/>
  <c r="W151" i="44"/>
  <c r="S151" i="44"/>
  <c r="O35" i="43"/>
  <c r="E35" i="58"/>
  <c r="AS31" i="43"/>
  <c r="E31" i="63"/>
  <c r="Y35" i="43"/>
  <c r="O31" i="43"/>
  <c r="E31" i="58"/>
  <c r="Y31" i="43"/>
  <c r="AS35" i="43"/>
  <c r="E35" i="63"/>
  <c r="CF4" i="25"/>
  <c r="AN3" i="43"/>
  <c r="E3" i="62"/>
  <c r="U151" i="40"/>
  <c r="U147" i="40"/>
  <c r="U151" i="44"/>
  <c r="AD35" i="43"/>
  <c r="E35" i="60"/>
  <c r="AN35" i="43"/>
  <c r="E35" i="62"/>
  <c r="AN31" i="43"/>
  <c r="E31" i="62"/>
  <c r="U147" i="44"/>
  <c r="AD31" i="43"/>
  <c r="E31" i="60"/>
  <c r="X147" i="44"/>
  <c r="V147" i="36"/>
  <c r="V151" i="36"/>
  <c r="X151" i="44"/>
  <c r="CF32" i="25"/>
  <c r="CF36" i="25"/>
  <c r="AD83" i="26"/>
  <c r="W29" i="31"/>
  <c r="AE83" i="26"/>
  <c r="X29" i="31"/>
  <c r="AC29" i="31"/>
  <c r="BH29" i="31"/>
  <c r="B144" i="36"/>
  <c r="B144" i="41"/>
  <c r="B144" i="40"/>
  <c r="B144" i="44"/>
  <c r="BI29" i="31"/>
  <c r="C144" i="36"/>
  <c r="C144" i="41"/>
  <c r="C144" i="40"/>
  <c r="C144" i="44"/>
  <c r="BJ29" i="31"/>
  <c r="D144" i="36"/>
  <c r="D144" i="40"/>
  <c r="D144" i="44"/>
  <c r="BK29" i="31"/>
  <c r="E144" i="36"/>
  <c r="E144" i="40"/>
  <c r="E144" i="44"/>
  <c r="BL29" i="31"/>
  <c r="F144" i="36"/>
  <c r="F144" i="40"/>
  <c r="F144" i="44"/>
  <c r="BM29" i="31"/>
  <c r="G144" i="36"/>
  <c r="G144" i="40"/>
  <c r="G144" i="44"/>
  <c r="Y83" i="32"/>
  <c r="K29" i="33"/>
  <c r="Z83" i="32"/>
  <c r="L29" i="33"/>
  <c r="M29" i="33"/>
  <c r="AB29" i="33"/>
  <c r="H144" i="36"/>
  <c r="H144" i="41"/>
  <c r="H144" i="40"/>
  <c r="H144" i="44"/>
  <c r="AC29" i="33"/>
  <c r="I144" i="36"/>
  <c r="I144" i="41"/>
  <c r="I144" i="40"/>
  <c r="I144" i="44"/>
  <c r="AS36" i="24"/>
  <c r="AI29" i="25"/>
  <c r="AT36" i="24"/>
  <c r="AJ29" i="25"/>
  <c r="AK29" i="25"/>
  <c r="BX29" i="25"/>
  <c r="J144" i="36"/>
  <c r="J144" i="40"/>
  <c r="J144" i="44"/>
  <c r="BY29" i="25"/>
  <c r="K144" i="36"/>
  <c r="K144" i="40"/>
  <c r="K144" i="44"/>
  <c r="BZ29" i="25"/>
  <c r="L144" i="36"/>
  <c r="L144" i="40"/>
  <c r="L144" i="44"/>
  <c r="CA29" i="25"/>
  <c r="M144" i="36"/>
  <c r="M144" i="40"/>
  <c r="M144" i="44"/>
  <c r="CB29" i="25"/>
  <c r="N144" i="36"/>
  <c r="N144" i="40"/>
  <c r="N144" i="44"/>
  <c r="CC29" i="25"/>
  <c r="O144" i="36"/>
  <c r="O144" i="40"/>
  <c r="O144" i="44"/>
  <c r="CD29" i="25"/>
  <c r="P144" i="36"/>
  <c r="P144" i="41"/>
  <c r="P144" i="40"/>
  <c r="P144" i="44"/>
  <c r="CE29" i="25"/>
  <c r="Q144" i="36"/>
  <c r="Q144" i="41"/>
  <c r="Q144" i="40"/>
  <c r="Q144" i="44"/>
  <c r="E28" i="43"/>
  <c r="Y28" i="54"/>
  <c r="AR15" i="68"/>
  <c r="AD82" i="26"/>
  <c r="W28" i="31"/>
  <c r="AE82" i="26"/>
  <c r="X28" i="31"/>
  <c r="AC28" i="31"/>
  <c r="BH28" i="31"/>
  <c r="B143" i="36"/>
  <c r="B143" i="41"/>
  <c r="B143" i="40"/>
  <c r="B143" i="44"/>
  <c r="BI28" i="31"/>
  <c r="C143" i="36"/>
  <c r="C143" i="41"/>
  <c r="C143" i="40"/>
  <c r="C143" i="44"/>
  <c r="BJ28" i="31"/>
  <c r="D143" i="36"/>
  <c r="D143" i="40"/>
  <c r="D143" i="44"/>
  <c r="BK28" i="31"/>
  <c r="E143" i="36"/>
  <c r="E143" i="40"/>
  <c r="E143" i="44"/>
  <c r="BL28" i="31"/>
  <c r="F143" i="36"/>
  <c r="F143" i="40"/>
  <c r="F143" i="44"/>
  <c r="BM28" i="31"/>
  <c r="G143" i="36"/>
  <c r="G143" i="40"/>
  <c r="G143" i="44"/>
  <c r="Y82" i="32"/>
  <c r="K28" i="33"/>
  <c r="Z82" i="32"/>
  <c r="L28" i="33"/>
  <c r="M28" i="33"/>
  <c r="AB28" i="33"/>
  <c r="H143" i="36"/>
  <c r="H143" i="41"/>
  <c r="H143" i="40"/>
  <c r="H143" i="44"/>
  <c r="AC28" i="33"/>
  <c r="I143" i="36"/>
  <c r="I143" i="41"/>
  <c r="I143" i="40"/>
  <c r="I143" i="44"/>
  <c r="AS35" i="24"/>
  <c r="AI28" i="25"/>
  <c r="AT35" i="24"/>
  <c r="AJ28" i="25"/>
  <c r="AK28" i="25"/>
  <c r="BX28" i="25"/>
  <c r="J143" i="36"/>
  <c r="J143" i="40"/>
  <c r="J143" i="44"/>
  <c r="BY28" i="25"/>
  <c r="K143" i="36"/>
  <c r="K143" i="40"/>
  <c r="K143" i="44"/>
  <c r="BZ28" i="25"/>
  <c r="L143" i="36"/>
  <c r="L143" i="40"/>
  <c r="L143" i="44"/>
  <c r="CA28" i="25"/>
  <c r="M143" i="36"/>
  <c r="M143" i="40"/>
  <c r="M143" i="44"/>
  <c r="CB28" i="25"/>
  <c r="N143" i="36"/>
  <c r="N143" i="40"/>
  <c r="N143" i="44"/>
  <c r="CC28" i="25"/>
  <c r="O143" i="36"/>
  <c r="O143" i="40"/>
  <c r="O143" i="44"/>
  <c r="CD28" i="25"/>
  <c r="P143" i="36"/>
  <c r="P143" i="41"/>
  <c r="P143" i="40"/>
  <c r="P143" i="44"/>
  <c r="CE28" i="25"/>
  <c r="Q143" i="36"/>
  <c r="Q143" i="41"/>
  <c r="Q143" i="40"/>
  <c r="Q143" i="44"/>
  <c r="E27" i="43"/>
  <c r="E27" i="56"/>
  <c r="Y16" i="67"/>
  <c r="Z27" i="69"/>
  <c r="E22" i="71"/>
  <c r="E28" i="56"/>
  <c r="W143" i="44"/>
  <c r="S143" i="44"/>
  <c r="Y27" i="43"/>
  <c r="O27" i="43"/>
  <c r="E27" i="58"/>
  <c r="J27" i="43"/>
  <c r="E27" i="57"/>
  <c r="Y27" i="54"/>
  <c r="AS27" i="43"/>
  <c r="E27" i="63"/>
  <c r="AI27" i="43"/>
  <c r="E27" i="61"/>
  <c r="U143" i="40"/>
  <c r="S144" i="44"/>
  <c r="J28" i="43"/>
  <c r="E28" i="57"/>
  <c r="AS28" i="43"/>
  <c r="E28" i="63"/>
  <c r="U144" i="40"/>
  <c r="Y28" i="43"/>
  <c r="X144" i="44"/>
  <c r="AN28" i="43"/>
  <c r="E28" i="62"/>
  <c r="X143" i="44"/>
  <c r="AN27" i="43"/>
  <c r="E27" i="62"/>
  <c r="W144" i="44"/>
  <c r="AI28" i="43"/>
  <c r="E28" i="61"/>
  <c r="U144" i="44"/>
  <c r="O28" i="43"/>
  <c r="E28" i="58"/>
  <c r="CF28" i="25"/>
  <c r="V143" i="36"/>
  <c r="AD27" i="43"/>
  <c r="E27" i="60"/>
  <c r="AD28" i="43"/>
  <c r="E28" i="60"/>
  <c r="U143" i="44"/>
  <c r="CF29" i="25"/>
  <c r="V144" i="36"/>
  <c r="AI4" i="43"/>
  <c r="E4" i="61"/>
  <c r="W120" i="44"/>
  <c r="AD63" i="26"/>
  <c r="W9" i="31"/>
  <c r="AE63" i="26"/>
  <c r="X9" i="31"/>
  <c r="AC9" i="31"/>
  <c r="BH9" i="31"/>
  <c r="B124" i="36"/>
  <c r="B124" i="41"/>
  <c r="B124" i="40"/>
  <c r="B124" i="44"/>
  <c r="BI9" i="31"/>
  <c r="C124" i="36"/>
  <c r="C124" i="41"/>
  <c r="C124" i="40"/>
  <c r="C124" i="44"/>
  <c r="BJ9" i="31"/>
  <c r="D124" i="36"/>
  <c r="D124" i="40"/>
  <c r="D124" i="44"/>
  <c r="BK9" i="31"/>
  <c r="E124" i="36"/>
  <c r="E124" i="40"/>
  <c r="E124" i="44"/>
  <c r="BL9" i="31"/>
  <c r="F124" i="36"/>
  <c r="F124" i="40"/>
  <c r="F124" i="44"/>
  <c r="BM9" i="31"/>
  <c r="G124" i="36"/>
  <c r="G124" i="40"/>
  <c r="G124" i="44"/>
  <c r="Y63" i="32"/>
  <c r="K9" i="33"/>
  <c r="Z63" i="32"/>
  <c r="L9" i="33"/>
  <c r="M9" i="33"/>
  <c r="AB9" i="33"/>
  <c r="H124" i="36"/>
  <c r="H124" i="41"/>
  <c r="H124" i="40"/>
  <c r="H124" i="44"/>
  <c r="AC9" i="33"/>
  <c r="I124" i="36"/>
  <c r="I124" i="41"/>
  <c r="I124" i="40"/>
  <c r="I124" i="44"/>
  <c r="AS16" i="24"/>
  <c r="AI9" i="25"/>
  <c r="AT16" i="24"/>
  <c r="AJ9" i="25"/>
  <c r="AK9" i="25"/>
  <c r="BX9" i="25"/>
  <c r="J124" i="36"/>
  <c r="J124" i="40"/>
  <c r="J124" i="44"/>
  <c r="BY9" i="25"/>
  <c r="K124" i="36"/>
  <c r="K124" i="40"/>
  <c r="K124" i="44"/>
  <c r="BZ9" i="25"/>
  <c r="L124" i="36"/>
  <c r="L124" i="40"/>
  <c r="L124" i="44"/>
  <c r="CA9" i="25"/>
  <c r="M124" i="36"/>
  <c r="M124" i="40"/>
  <c r="M124" i="44"/>
  <c r="CB9" i="25"/>
  <c r="N124" i="36"/>
  <c r="N124" i="40"/>
  <c r="N124" i="44"/>
  <c r="CC9" i="25"/>
  <c r="O124" i="36"/>
  <c r="O124" i="40"/>
  <c r="O124" i="44"/>
  <c r="CD9" i="25"/>
  <c r="P124" i="36"/>
  <c r="P124" i="41"/>
  <c r="P124" i="40"/>
  <c r="P124" i="44"/>
  <c r="CE9" i="25"/>
  <c r="Q124" i="36"/>
  <c r="Q124" i="41"/>
  <c r="Q124" i="40"/>
  <c r="Q124" i="44"/>
  <c r="E8" i="43"/>
  <c r="Y8" i="54"/>
  <c r="Y19" i="67"/>
  <c r="AR19" i="68"/>
  <c r="E5" i="71"/>
  <c r="Z35" i="69"/>
  <c r="V120" i="36"/>
  <c r="Y8" i="43"/>
  <c r="O8" i="43"/>
  <c r="E8" i="58"/>
  <c r="AI8" i="43"/>
  <c r="E8" i="61"/>
  <c r="E8" i="56"/>
  <c r="J8" i="43"/>
  <c r="E8" i="57"/>
  <c r="AS8" i="43"/>
  <c r="E8" i="63"/>
  <c r="S124" i="44"/>
  <c r="U124" i="40"/>
  <c r="X120" i="44"/>
  <c r="U124" i="44"/>
  <c r="AD8" i="43"/>
  <c r="E8" i="60"/>
  <c r="X124" i="44"/>
  <c r="W124" i="44"/>
  <c r="CF5" i="25"/>
  <c r="AN8" i="43"/>
  <c r="E8" i="62"/>
  <c r="AN4" i="43"/>
  <c r="E4" i="62"/>
  <c r="CF9" i="25"/>
  <c r="V124" i="36"/>
  <c r="AD77" i="26"/>
  <c r="W23" i="31"/>
  <c r="AE77" i="26"/>
  <c r="X23" i="31"/>
  <c r="AC23" i="31"/>
  <c r="BH23" i="31"/>
  <c r="B138" i="36"/>
  <c r="B138" i="41"/>
  <c r="B138" i="40"/>
  <c r="B138" i="44"/>
  <c r="BI23" i="31"/>
  <c r="C138" i="36"/>
  <c r="C138" i="41"/>
  <c r="C138" i="40"/>
  <c r="C138" i="44"/>
  <c r="BJ23" i="31"/>
  <c r="D138" i="36"/>
  <c r="D138" i="40"/>
  <c r="D138" i="44"/>
  <c r="BK23" i="31"/>
  <c r="E138" i="36"/>
  <c r="E138" i="40"/>
  <c r="E138" i="44"/>
  <c r="BL23" i="31"/>
  <c r="F138" i="36"/>
  <c r="F138" i="40"/>
  <c r="F138" i="44"/>
  <c r="BM23" i="31"/>
  <c r="G138" i="36"/>
  <c r="G138" i="40"/>
  <c r="G138" i="44"/>
  <c r="Y77" i="32"/>
  <c r="K23" i="33"/>
  <c r="Z77" i="32"/>
  <c r="L23" i="33"/>
  <c r="M23" i="33"/>
  <c r="AB23" i="33"/>
  <c r="H138" i="36"/>
  <c r="H138" i="41"/>
  <c r="H138" i="40"/>
  <c r="H138" i="44"/>
  <c r="AC23" i="33"/>
  <c r="I138" i="36"/>
  <c r="I138" i="41"/>
  <c r="I138" i="40"/>
  <c r="I138" i="44"/>
  <c r="AS30" i="24"/>
  <c r="AI23" i="25"/>
  <c r="AT30" i="24"/>
  <c r="AJ23" i="25"/>
  <c r="AK23" i="25"/>
  <c r="BX23" i="25"/>
  <c r="J138" i="36"/>
  <c r="J138" i="40"/>
  <c r="J138" i="44"/>
  <c r="BY23" i="25"/>
  <c r="K138" i="36"/>
  <c r="K138" i="40"/>
  <c r="K138" i="44"/>
  <c r="BZ23" i="25"/>
  <c r="L138" i="36"/>
  <c r="L138" i="40"/>
  <c r="L138" i="44"/>
  <c r="CA23" i="25"/>
  <c r="M138" i="36"/>
  <c r="M138" i="40"/>
  <c r="M138" i="44"/>
  <c r="CB23" i="25"/>
  <c r="N138" i="36"/>
  <c r="N138" i="40"/>
  <c r="N138" i="44"/>
  <c r="CC23" i="25"/>
  <c r="O138" i="36"/>
  <c r="O138" i="40"/>
  <c r="O138" i="44"/>
  <c r="CD23" i="25"/>
  <c r="P138" i="36"/>
  <c r="P138" i="41"/>
  <c r="P138" i="40"/>
  <c r="P138" i="44"/>
  <c r="CE23" i="25"/>
  <c r="Q138" i="36"/>
  <c r="Q138" i="41"/>
  <c r="Q138" i="40"/>
  <c r="Q138" i="44"/>
  <c r="E22" i="43"/>
  <c r="E22" i="56"/>
  <c r="AD78" i="26"/>
  <c r="W24" i="31"/>
  <c r="AE78" i="26"/>
  <c r="X24" i="31"/>
  <c r="AC24" i="31"/>
  <c r="BH24" i="31"/>
  <c r="B139" i="36"/>
  <c r="B139" i="41"/>
  <c r="B139" i="40"/>
  <c r="B139" i="44"/>
  <c r="BI24" i="31"/>
  <c r="C139" i="36"/>
  <c r="C139" i="41"/>
  <c r="C139" i="40"/>
  <c r="C139" i="44"/>
  <c r="BJ24" i="31"/>
  <c r="D139" i="36"/>
  <c r="D139" i="40"/>
  <c r="D139" i="44"/>
  <c r="BK24" i="31"/>
  <c r="E139" i="36"/>
  <c r="E139" i="40"/>
  <c r="E139" i="44"/>
  <c r="BL24" i="31"/>
  <c r="F139" i="36"/>
  <c r="F139" i="40"/>
  <c r="F139" i="44"/>
  <c r="BM24" i="31"/>
  <c r="G139" i="36"/>
  <c r="G139" i="40"/>
  <c r="G139" i="44"/>
  <c r="Y78" i="32"/>
  <c r="K24" i="33"/>
  <c r="Z78" i="32"/>
  <c r="L24" i="33"/>
  <c r="M24" i="33"/>
  <c r="AB24" i="33"/>
  <c r="H139" i="36"/>
  <c r="H139" i="41"/>
  <c r="H139" i="40"/>
  <c r="H139" i="44"/>
  <c r="AC24" i="33"/>
  <c r="I139" i="36"/>
  <c r="I139" i="41"/>
  <c r="I139" i="40"/>
  <c r="I139" i="44"/>
  <c r="AS31" i="24"/>
  <c r="AI24" i="25"/>
  <c r="AT31" i="24"/>
  <c r="AJ24" i="25"/>
  <c r="AK24" i="25"/>
  <c r="BX24" i="25"/>
  <c r="J139" i="36"/>
  <c r="J139" i="40"/>
  <c r="J139" i="44"/>
  <c r="BY24" i="25"/>
  <c r="K139" i="36"/>
  <c r="K139" i="40"/>
  <c r="K139" i="44"/>
  <c r="BZ24" i="25"/>
  <c r="L139" i="36"/>
  <c r="L139" i="40"/>
  <c r="L139" i="44"/>
  <c r="CA24" i="25"/>
  <c r="M139" i="36"/>
  <c r="M139" i="40"/>
  <c r="M139" i="44"/>
  <c r="CB24" i="25"/>
  <c r="N139" i="36"/>
  <c r="N139" i="40"/>
  <c r="N139" i="44"/>
  <c r="CC24" i="25"/>
  <c r="O139" i="36"/>
  <c r="O139" i="40"/>
  <c r="O139" i="44"/>
  <c r="CD24" i="25"/>
  <c r="P139" i="36"/>
  <c r="P139" i="41"/>
  <c r="P139" i="40"/>
  <c r="P139" i="44"/>
  <c r="CE24" i="25"/>
  <c r="Q139" i="36"/>
  <c r="Q139" i="41"/>
  <c r="Q139" i="40"/>
  <c r="Q139" i="44"/>
  <c r="E23" i="43"/>
  <c r="Y23" i="54"/>
  <c r="AR21" i="68"/>
  <c r="Y21" i="67"/>
  <c r="AS22" i="43"/>
  <c r="E22" i="63"/>
  <c r="J22" i="43"/>
  <c r="E22" i="57"/>
  <c r="Y22" i="54"/>
  <c r="Z39" i="69"/>
  <c r="O22" i="43"/>
  <c r="E22" i="58"/>
  <c r="E18" i="71"/>
  <c r="E23" i="56"/>
  <c r="W138" i="44"/>
  <c r="S138" i="44"/>
  <c r="Y22" i="43"/>
  <c r="AI22" i="43"/>
  <c r="E22" i="61"/>
  <c r="U138" i="40"/>
  <c r="AN23" i="43"/>
  <c r="E23" i="62"/>
  <c r="S139" i="44"/>
  <c r="U139" i="40"/>
  <c r="J23" i="43"/>
  <c r="E23" i="57"/>
  <c r="AS23" i="43"/>
  <c r="E23" i="63"/>
  <c r="O23" i="43"/>
  <c r="E23" i="58"/>
  <c r="AI23" i="43"/>
  <c r="E23" i="61"/>
  <c r="Y23" i="43"/>
  <c r="X138" i="44"/>
  <c r="X139" i="44"/>
  <c r="U139" i="44"/>
  <c r="W139" i="44"/>
  <c r="AN22" i="43"/>
  <c r="E22" i="62"/>
  <c r="AD22" i="43"/>
  <c r="E22" i="60"/>
  <c r="U138" i="44"/>
  <c r="CF23" i="25"/>
  <c r="V138" i="36"/>
  <c r="AD23" i="43"/>
  <c r="E23" i="60"/>
  <c r="CF24" i="25"/>
  <c r="V139" i="36"/>
  <c r="AD81" i="26"/>
  <c r="W27" i="31"/>
  <c r="AE81" i="26"/>
  <c r="X27" i="31"/>
  <c r="AC27" i="31"/>
  <c r="BH27" i="31"/>
  <c r="B142" i="36"/>
  <c r="B142" i="41"/>
  <c r="B142" i="40"/>
  <c r="B142" i="44"/>
  <c r="BI27" i="31"/>
  <c r="C142" i="36"/>
  <c r="C142" i="41"/>
  <c r="C142" i="40"/>
  <c r="C142" i="44"/>
  <c r="BJ27" i="31"/>
  <c r="D142" i="36"/>
  <c r="D142" i="40"/>
  <c r="D142" i="44"/>
  <c r="BK27" i="31"/>
  <c r="E142" i="36"/>
  <c r="E142" i="40"/>
  <c r="E142" i="44"/>
  <c r="BL27" i="31"/>
  <c r="F142" i="36"/>
  <c r="F142" i="40"/>
  <c r="F142" i="44"/>
  <c r="BM27" i="31"/>
  <c r="G142" i="36"/>
  <c r="G142" i="40"/>
  <c r="G142" i="44"/>
  <c r="Y81" i="32"/>
  <c r="K27" i="33"/>
  <c r="Z81" i="32"/>
  <c r="L27" i="33"/>
  <c r="M27" i="33"/>
  <c r="AB27" i="33"/>
  <c r="H142" i="36"/>
  <c r="H142" i="41"/>
  <c r="H142" i="40"/>
  <c r="H142" i="44"/>
  <c r="AC27" i="33"/>
  <c r="I142" i="36"/>
  <c r="I142" i="41"/>
  <c r="I142" i="40"/>
  <c r="I142" i="44"/>
  <c r="AS34" i="24"/>
  <c r="AI27" i="25"/>
  <c r="AT34" i="24"/>
  <c r="AJ27" i="25"/>
  <c r="AK27" i="25"/>
  <c r="BX27" i="25"/>
  <c r="J142" i="36"/>
  <c r="J142" i="40"/>
  <c r="J142" i="44"/>
  <c r="BY27" i="25"/>
  <c r="K142" i="36"/>
  <c r="K142" i="40"/>
  <c r="K142" i="44"/>
  <c r="BZ27" i="25"/>
  <c r="L142" i="36"/>
  <c r="L142" i="40"/>
  <c r="L142" i="44"/>
  <c r="CA27" i="25"/>
  <c r="M142" i="36"/>
  <c r="M142" i="40"/>
  <c r="M142" i="44"/>
  <c r="CB27" i="25"/>
  <c r="N142" i="36"/>
  <c r="N142" i="40"/>
  <c r="N142" i="44"/>
  <c r="CC27" i="25"/>
  <c r="O142" i="36"/>
  <c r="O142" i="40"/>
  <c r="O142" i="44"/>
  <c r="CD27" i="25"/>
  <c r="P142" i="36"/>
  <c r="P142" i="41"/>
  <c r="P142" i="40"/>
  <c r="P142" i="44"/>
  <c r="CE27" i="25"/>
  <c r="Q142" i="36"/>
  <c r="Q142" i="41"/>
  <c r="Q142" i="40"/>
  <c r="Q142" i="44"/>
  <c r="E26" i="43"/>
  <c r="Y26" i="54"/>
  <c r="AR3" i="68"/>
  <c r="Y3" i="67"/>
  <c r="E21" i="71"/>
  <c r="Z3" i="69"/>
  <c r="AS26" i="43"/>
  <c r="E26" i="63"/>
  <c r="J26" i="43"/>
  <c r="E26" i="57"/>
  <c r="E26" i="56"/>
  <c r="O26" i="43"/>
  <c r="E26" i="58"/>
  <c r="AI26" i="43"/>
  <c r="E26" i="61"/>
  <c r="W142" i="44"/>
  <c r="S142" i="44"/>
  <c r="Y26" i="43"/>
  <c r="U142" i="40"/>
  <c r="V142" i="36"/>
  <c r="AN26" i="43"/>
  <c r="E26" i="62"/>
  <c r="U142" i="44"/>
  <c r="AD26" i="43"/>
  <c r="E26" i="60"/>
  <c r="X142" i="44"/>
  <c r="CF27" i="25"/>
  <c r="AD71" i="26"/>
  <c r="W17" i="31"/>
  <c r="AE71" i="26"/>
  <c r="X17" i="31"/>
  <c r="AC17" i="31"/>
  <c r="BH17" i="31"/>
  <c r="B132" i="36"/>
  <c r="B132" i="41"/>
  <c r="B132" i="40"/>
  <c r="B132" i="44"/>
  <c r="BI17" i="31"/>
  <c r="C132" i="36"/>
  <c r="C132" i="41"/>
  <c r="C132" i="40"/>
  <c r="C132" i="44"/>
  <c r="BJ17" i="31"/>
  <c r="D132" i="36"/>
  <c r="D132" i="40"/>
  <c r="D132" i="44"/>
  <c r="BK17" i="31"/>
  <c r="E132" i="36"/>
  <c r="E132" i="40"/>
  <c r="E132" i="44"/>
  <c r="BL17" i="31"/>
  <c r="F132" i="36"/>
  <c r="F132" i="40"/>
  <c r="F132" i="44"/>
  <c r="BM17" i="31"/>
  <c r="G132" i="36"/>
  <c r="G132" i="40"/>
  <c r="G132" i="44"/>
  <c r="Y71" i="32"/>
  <c r="K17" i="33"/>
  <c r="Z71" i="32"/>
  <c r="L17" i="33"/>
  <c r="M17" i="33"/>
  <c r="AB17" i="33"/>
  <c r="H132" i="36"/>
  <c r="H132" i="41"/>
  <c r="H132" i="40"/>
  <c r="H132" i="44"/>
  <c r="AC17" i="33"/>
  <c r="I132" i="36"/>
  <c r="I132" i="41"/>
  <c r="I132" i="40"/>
  <c r="I132" i="44"/>
  <c r="AS24" i="24"/>
  <c r="AI17" i="25"/>
  <c r="AT24" i="24"/>
  <c r="AJ17" i="25"/>
  <c r="AK17" i="25"/>
  <c r="BX17" i="25"/>
  <c r="J132" i="36"/>
  <c r="J132" i="40"/>
  <c r="J132" i="44"/>
  <c r="BY17" i="25"/>
  <c r="K132" i="36"/>
  <c r="K132" i="40"/>
  <c r="K132" i="44"/>
  <c r="BZ17" i="25"/>
  <c r="L132" i="36"/>
  <c r="L132" i="40"/>
  <c r="L132" i="44"/>
  <c r="CA17" i="25"/>
  <c r="M132" i="36"/>
  <c r="M132" i="40"/>
  <c r="M132" i="44"/>
  <c r="CB17" i="25"/>
  <c r="N132" i="36"/>
  <c r="N132" i="40"/>
  <c r="N132" i="44"/>
  <c r="CC17" i="25"/>
  <c r="O132" i="36"/>
  <c r="O132" i="40"/>
  <c r="O132" i="44"/>
  <c r="CD17" i="25"/>
  <c r="P132" i="36"/>
  <c r="P132" i="41"/>
  <c r="P132" i="40"/>
  <c r="P132" i="44"/>
  <c r="CE17" i="25"/>
  <c r="Q132" i="36"/>
  <c r="Q132" i="41"/>
  <c r="Q132" i="40"/>
  <c r="Q132" i="44"/>
  <c r="E16" i="43"/>
  <c r="Y16" i="54"/>
  <c r="Y27" i="67"/>
  <c r="AR26" i="68"/>
  <c r="AD67" i="26"/>
  <c r="W13" i="31"/>
  <c r="AE67" i="26"/>
  <c r="X13" i="31"/>
  <c r="AC13" i="31"/>
  <c r="BH13" i="31"/>
  <c r="B128" i="36"/>
  <c r="B128" i="41"/>
  <c r="B128" i="40"/>
  <c r="B128" i="44"/>
  <c r="BI13" i="31"/>
  <c r="C128" i="36"/>
  <c r="C128" i="41"/>
  <c r="C128" i="40"/>
  <c r="C128" i="44"/>
  <c r="BJ13" i="31"/>
  <c r="D128" i="36"/>
  <c r="D128" i="40"/>
  <c r="D128" i="44"/>
  <c r="BK13" i="31"/>
  <c r="E128" i="36"/>
  <c r="E128" i="40"/>
  <c r="E128" i="44"/>
  <c r="BL13" i="31"/>
  <c r="F128" i="36"/>
  <c r="F128" i="40"/>
  <c r="F128" i="44"/>
  <c r="BM13" i="31"/>
  <c r="G128" i="36"/>
  <c r="G128" i="40"/>
  <c r="G128" i="44"/>
  <c r="Y67" i="32"/>
  <c r="K13" i="33"/>
  <c r="Z67" i="32"/>
  <c r="L13" i="33"/>
  <c r="M13" i="33"/>
  <c r="AB13" i="33"/>
  <c r="H128" i="36"/>
  <c r="H128" i="41"/>
  <c r="H128" i="40"/>
  <c r="H128" i="44"/>
  <c r="AC13" i="33"/>
  <c r="I128" i="36"/>
  <c r="I128" i="41"/>
  <c r="I128" i="40"/>
  <c r="I128" i="44"/>
  <c r="AS20" i="24"/>
  <c r="AI13" i="25"/>
  <c r="AT20" i="24"/>
  <c r="AJ13" i="25"/>
  <c r="AK13" i="25"/>
  <c r="BX13" i="25"/>
  <c r="J128" i="36"/>
  <c r="J128" i="40"/>
  <c r="J128" i="44"/>
  <c r="BY13" i="25"/>
  <c r="K128" i="36"/>
  <c r="K128" i="40"/>
  <c r="K128" i="44"/>
  <c r="BZ13" i="25"/>
  <c r="L128" i="36"/>
  <c r="L128" i="40"/>
  <c r="L128" i="44"/>
  <c r="CA13" i="25"/>
  <c r="M128" i="36"/>
  <c r="M128" i="40"/>
  <c r="M128" i="44"/>
  <c r="CB13" i="25"/>
  <c r="N128" i="36"/>
  <c r="N128" i="40"/>
  <c r="N128" i="44"/>
  <c r="CC13" i="25"/>
  <c r="O128" i="36"/>
  <c r="O128" i="40"/>
  <c r="O128" i="44"/>
  <c r="CD13" i="25"/>
  <c r="P128" i="36"/>
  <c r="P128" i="41"/>
  <c r="P128" i="40"/>
  <c r="P128" i="44"/>
  <c r="CE13" i="25"/>
  <c r="Q128" i="36"/>
  <c r="Q128" i="41"/>
  <c r="Q128" i="40"/>
  <c r="Q128" i="44"/>
  <c r="E12" i="43"/>
  <c r="Y12" i="54"/>
  <c r="AI12" i="43"/>
  <c r="E12" i="61"/>
  <c r="O12" i="43"/>
  <c r="E12" i="58"/>
  <c r="Y12" i="43"/>
  <c r="E16" i="56"/>
  <c r="J12" i="43"/>
  <c r="E12" i="57"/>
  <c r="AS12" i="43"/>
  <c r="E12" i="63"/>
  <c r="E12" i="56"/>
  <c r="W128" i="44"/>
  <c r="S128" i="44"/>
  <c r="E12" i="71"/>
  <c r="Z49" i="69"/>
  <c r="U128" i="40"/>
  <c r="AN16" i="43"/>
  <c r="E16" i="62"/>
  <c r="U132" i="40"/>
  <c r="AS16" i="43"/>
  <c r="E16" i="63"/>
  <c r="J16" i="43"/>
  <c r="E16" i="57"/>
  <c r="S132" i="44"/>
  <c r="O16" i="43"/>
  <c r="E16" i="58"/>
  <c r="Y16" i="43"/>
  <c r="AI16" i="43"/>
  <c r="E16" i="61"/>
  <c r="X128" i="44"/>
  <c r="AN12" i="43"/>
  <c r="E12" i="62"/>
  <c r="U128" i="44"/>
  <c r="W132" i="44"/>
  <c r="X132" i="44"/>
  <c r="U132" i="44"/>
  <c r="AD16" i="43"/>
  <c r="E16" i="60"/>
  <c r="CF13" i="25"/>
  <c r="AD12" i="43"/>
  <c r="E12" i="60"/>
  <c r="V128" i="36"/>
  <c r="CF17" i="25"/>
  <c r="V132" i="36"/>
  <c r="AD84" i="26"/>
  <c r="W30" i="31"/>
  <c r="AE84" i="26"/>
  <c r="X30" i="31"/>
  <c r="AC30" i="31"/>
  <c r="BH30" i="31"/>
  <c r="B145" i="36"/>
  <c r="B145" i="41"/>
  <c r="B145" i="40"/>
  <c r="B145" i="44"/>
  <c r="BI30" i="31"/>
  <c r="C145" i="36"/>
  <c r="C145" i="41"/>
  <c r="C145" i="40"/>
  <c r="C145" i="44"/>
  <c r="BJ30" i="31"/>
  <c r="D145" i="36"/>
  <c r="D145" i="40"/>
  <c r="D145" i="44"/>
  <c r="BK30" i="31"/>
  <c r="E145" i="36"/>
  <c r="E145" i="40"/>
  <c r="E145" i="44"/>
  <c r="BL30" i="31"/>
  <c r="F145" i="36"/>
  <c r="F145" i="40"/>
  <c r="F145" i="44"/>
  <c r="BM30" i="31"/>
  <c r="G145" i="36"/>
  <c r="G145" i="40"/>
  <c r="G145" i="44"/>
  <c r="Y84" i="32"/>
  <c r="K30" i="33"/>
  <c r="Z84" i="32"/>
  <c r="L30" i="33"/>
  <c r="M30" i="33"/>
  <c r="AB30" i="33"/>
  <c r="H145" i="36"/>
  <c r="H145" i="41"/>
  <c r="H145" i="40"/>
  <c r="H145" i="44"/>
  <c r="AC30" i="33"/>
  <c r="I145" i="36"/>
  <c r="I145" i="41"/>
  <c r="I145" i="40"/>
  <c r="I145" i="44"/>
  <c r="AS37" i="24"/>
  <c r="AI30" i="25"/>
  <c r="AT37" i="24"/>
  <c r="AJ30" i="25"/>
  <c r="AK30" i="25"/>
  <c r="BX30" i="25"/>
  <c r="J145" i="36"/>
  <c r="J145" i="40"/>
  <c r="J145" i="44"/>
  <c r="BY30" i="25"/>
  <c r="K145" i="36"/>
  <c r="K145" i="40"/>
  <c r="K145" i="44"/>
  <c r="BZ30" i="25"/>
  <c r="L145" i="36"/>
  <c r="L145" i="40"/>
  <c r="L145" i="44"/>
  <c r="CA30" i="25"/>
  <c r="M145" i="36"/>
  <c r="M145" i="40"/>
  <c r="M145" i="44"/>
  <c r="CB30" i="25"/>
  <c r="N145" i="36"/>
  <c r="N145" i="40"/>
  <c r="N145" i="44"/>
  <c r="CC30" i="25"/>
  <c r="O145" i="36"/>
  <c r="O145" i="40"/>
  <c r="O145" i="44"/>
  <c r="CD30" i="25"/>
  <c r="P145" i="36"/>
  <c r="P145" i="41"/>
  <c r="P145" i="40"/>
  <c r="P145" i="44"/>
  <c r="CE30" i="25"/>
  <c r="Q145" i="36"/>
  <c r="Q145" i="41"/>
  <c r="Q145" i="40"/>
  <c r="Q145" i="44"/>
  <c r="E29" i="43"/>
  <c r="Y29" i="54"/>
  <c r="Y4" i="67"/>
  <c r="AR4" i="68"/>
  <c r="Z5" i="69"/>
  <c r="E23" i="71"/>
  <c r="E29" i="56"/>
  <c r="AS29" i="43"/>
  <c r="E29" i="63"/>
  <c r="Y29" i="43"/>
  <c r="AI29" i="43"/>
  <c r="E29" i="61"/>
  <c r="J29" i="43"/>
  <c r="E29" i="57"/>
  <c r="W145" i="44"/>
  <c r="S145" i="44"/>
  <c r="O29" i="43"/>
  <c r="E29" i="58"/>
  <c r="U145" i="40"/>
  <c r="AD29" i="43"/>
  <c r="E29" i="60"/>
  <c r="X145" i="44"/>
  <c r="U145" i="44"/>
  <c r="AN29" i="43"/>
  <c r="E29" i="62"/>
  <c r="CF30" i="25"/>
  <c r="V145" i="36"/>
  <c r="AD85" i="26"/>
  <c r="W31" i="31"/>
  <c r="AE85" i="26"/>
  <c r="X31" i="31"/>
  <c r="AC31" i="31"/>
  <c r="BH31" i="31"/>
  <c r="B146" i="36"/>
  <c r="B146" i="41"/>
  <c r="B146" i="40"/>
  <c r="B146" i="44"/>
  <c r="BI31" i="31"/>
  <c r="C146" i="36"/>
  <c r="C146" i="41"/>
  <c r="C146" i="40"/>
  <c r="C146" i="44"/>
  <c r="BJ31" i="31"/>
  <c r="D146" i="36"/>
  <c r="D146" i="40"/>
  <c r="D146" i="44"/>
  <c r="BK31" i="31"/>
  <c r="E146" i="36"/>
  <c r="E146" i="40"/>
  <c r="E146" i="44"/>
  <c r="BL31" i="31"/>
  <c r="F146" i="36"/>
  <c r="F146" i="40"/>
  <c r="F146" i="44"/>
  <c r="BM31" i="31"/>
  <c r="G146" i="36"/>
  <c r="G146" i="40"/>
  <c r="G146" i="44"/>
  <c r="Y85" i="32"/>
  <c r="K31" i="33"/>
  <c r="Z85" i="32"/>
  <c r="L31" i="33"/>
  <c r="M31" i="33"/>
  <c r="AB31" i="33"/>
  <c r="H146" i="36"/>
  <c r="H146" i="41"/>
  <c r="H146" i="40"/>
  <c r="H146" i="44"/>
  <c r="AC31" i="33"/>
  <c r="I146" i="36"/>
  <c r="I146" i="41"/>
  <c r="I146" i="40"/>
  <c r="I146" i="44"/>
  <c r="AS38" i="24"/>
  <c r="AI31" i="25"/>
  <c r="AT38" i="24"/>
  <c r="AJ31" i="25"/>
  <c r="AK31" i="25"/>
  <c r="BX31" i="25"/>
  <c r="J146" i="36"/>
  <c r="J146" i="40"/>
  <c r="J146" i="44"/>
  <c r="BY31" i="25"/>
  <c r="K146" i="36"/>
  <c r="K146" i="40"/>
  <c r="K146" i="44"/>
  <c r="BZ31" i="25"/>
  <c r="L146" i="36"/>
  <c r="L146" i="40"/>
  <c r="L146" i="44"/>
  <c r="CA31" i="25"/>
  <c r="M146" i="36"/>
  <c r="M146" i="40"/>
  <c r="M146" i="44"/>
  <c r="CB31" i="25"/>
  <c r="N146" i="36"/>
  <c r="N146" i="40"/>
  <c r="N146" i="44"/>
  <c r="CC31" i="25"/>
  <c r="O146" i="36"/>
  <c r="O146" i="40"/>
  <c r="O146" i="44"/>
  <c r="CD31" i="25"/>
  <c r="P146" i="36"/>
  <c r="P146" i="41"/>
  <c r="P146" i="40"/>
  <c r="P146" i="44"/>
  <c r="CE31" i="25"/>
  <c r="Q146" i="36"/>
  <c r="Q146" i="41"/>
  <c r="Q146" i="40"/>
  <c r="Q146" i="44"/>
  <c r="E30" i="43"/>
  <c r="Y30" i="54"/>
  <c r="Y10" i="67"/>
  <c r="AR10" i="68"/>
  <c r="E30" i="56"/>
  <c r="Z17" i="69"/>
  <c r="W146" i="44"/>
  <c r="S146" i="44"/>
  <c r="AS30" i="43"/>
  <c r="E30" i="63"/>
  <c r="J30" i="43"/>
  <c r="E30" i="57"/>
  <c r="E24" i="71"/>
  <c r="O30" i="43"/>
  <c r="E30" i="58"/>
  <c r="Y30" i="43"/>
  <c r="U146" i="40"/>
  <c r="AI30" i="43"/>
  <c r="E30" i="61"/>
  <c r="AN30" i="43"/>
  <c r="E30" i="62"/>
  <c r="AD30" i="43"/>
  <c r="E30" i="60"/>
  <c r="X146" i="44"/>
  <c r="U146" i="44"/>
  <c r="CF31" i="25"/>
  <c r="V146" i="36"/>
  <c r="AD79" i="26"/>
  <c r="W25" i="31"/>
  <c r="AE79" i="26"/>
  <c r="X25" i="31"/>
  <c r="AC25" i="31"/>
  <c r="BH25" i="31"/>
  <c r="B140" i="36"/>
  <c r="B140" i="41"/>
  <c r="B140" i="40"/>
  <c r="B140" i="44"/>
  <c r="BI25" i="31"/>
  <c r="C140" i="36"/>
  <c r="C140" i="41"/>
  <c r="C140" i="40"/>
  <c r="C140" i="44"/>
  <c r="BJ25" i="31"/>
  <c r="D140" i="36"/>
  <c r="D140" i="40"/>
  <c r="D140" i="44"/>
  <c r="BK25" i="31"/>
  <c r="E140" i="36"/>
  <c r="E140" i="40"/>
  <c r="E140" i="44"/>
  <c r="BL25" i="31"/>
  <c r="F140" i="36"/>
  <c r="F140" i="40"/>
  <c r="F140" i="44"/>
  <c r="BM25" i="31"/>
  <c r="G140" i="36"/>
  <c r="G140" i="40"/>
  <c r="G140" i="44"/>
  <c r="Y79" i="32"/>
  <c r="K25" i="33"/>
  <c r="Z79" i="32"/>
  <c r="L25" i="33"/>
  <c r="M25" i="33"/>
  <c r="AB25" i="33"/>
  <c r="H140" i="36"/>
  <c r="H140" i="41"/>
  <c r="H140" i="40"/>
  <c r="H140" i="44"/>
  <c r="AC25" i="33"/>
  <c r="I140" i="36"/>
  <c r="I140" i="41"/>
  <c r="I140" i="40"/>
  <c r="I140" i="44"/>
  <c r="AS32" i="24"/>
  <c r="AI25" i="25"/>
  <c r="AT32" i="24"/>
  <c r="AJ25" i="25"/>
  <c r="AK25" i="25"/>
  <c r="BX25" i="25"/>
  <c r="J140" i="36"/>
  <c r="J140" i="40"/>
  <c r="J140" i="44"/>
  <c r="BY25" i="25"/>
  <c r="K140" i="36"/>
  <c r="K140" i="40"/>
  <c r="K140" i="44"/>
  <c r="BZ25" i="25"/>
  <c r="L140" i="36"/>
  <c r="L140" i="40"/>
  <c r="L140" i="44"/>
  <c r="CA25" i="25"/>
  <c r="M140" i="36"/>
  <c r="M140" i="40"/>
  <c r="M140" i="44"/>
  <c r="CB25" i="25"/>
  <c r="N140" i="36"/>
  <c r="N140" i="40"/>
  <c r="N140" i="44"/>
  <c r="CC25" i="25"/>
  <c r="O140" i="36"/>
  <c r="O140" i="40"/>
  <c r="O140" i="44"/>
  <c r="CD25" i="25"/>
  <c r="P140" i="36"/>
  <c r="P140" i="41"/>
  <c r="P140" i="40"/>
  <c r="P140" i="44"/>
  <c r="CE25" i="25"/>
  <c r="Q140" i="36"/>
  <c r="Q140" i="41"/>
  <c r="Q140" i="40"/>
  <c r="Q140" i="44"/>
  <c r="E24" i="43"/>
  <c r="Y24" i="54"/>
  <c r="Y6" i="67"/>
  <c r="AR6" i="68"/>
  <c r="E24" i="56"/>
  <c r="Z9" i="69"/>
  <c r="AS24" i="43"/>
  <c r="E24" i="63"/>
  <c r="J24" i="43"/>
  <c r="E24" i="57"/>
  <c r="W140" i="44"/>
  <c r="S140" i="44"/>
  <c r="E19" i="71"/>
  <c r="Y24" i="43"/>
  <c r="O24" i="43"/>
  <c r="E24" i="58"/>
  <c r="U140" i="40"/>
  <c r="AI24" i="43"/>
  <c r="E24" i="61"/>
  <c r="AN24" i="43"/>
  <c r="E24" i="62"/>
  <c r="U140" i="44"/>
  <c r="AD24" i="43"/>
  <c r="E24" i="60"/>
  <c r="X140" i="44"/>
  <c r="CF25" i="25"/>
  <c r="V140" i="36"/>
  <c r="AD87" i="26"/>
  <c r="W33" i="31"/>
  <c r="AE87" i="26"/>
  <c r="X33" i="31"/>
  <c r="AC33" i="31"/>
  <c r="BH33" i="31"/>
  <c r="B148" i="36"/>
  <c r="B148" i="41"/>
  <c r="B148" i="40"/>
  <c r="B148" i="44"/>
  <c r="BI33" i="31"/>
  <c r="C148" i="36"/>
  <c r="C148" i="41"/>
  <c r="C148" i="40"/>
  <c r="C148" i="44"/>
  <c r="BJ33" i="31"/>
  <c r="D148" i="36"/>
  <c r="D148" i="40"/>
  <c r="D148" i="44"/>
  <c r="BK33" i="31"/>
  <c r="E148" i="36"/>
  <c r="E148" i="40"/>
  <c r="E148" i="44"/>
  <c r="BL33" i="31"/>
  <c r="F148" i="36"/>
  <c r="F148" i="40"/>
  <c r="F148" i="44"/>
  <c r="BM33" i="31"/>
  <c r="G148" i="36"/>
  <c r="G148" i="40"/>
  <c r="G148" i="44"/>
  <c r="Y87" i="32"/>
  <c r="K33" i="33"/>
  <c r="Z87" i="32"/>
  <c r="L33" i="33"/>
  <c r="M33" i="33"/>
  <c r="AB33" i="33"/>
  <c r="H148" i="36"/>
  <c r="H148" i="41"/>
  <c r="H148" i="40"/>
  <c r="H148" i="44"/>
  <c r="AC33" i="33"/>
  <c r="I148" i="36"/>
  <c r="I148" i="41"/>
  <c r="I148" i="40"/>
  <c r="I148" i="44"/>
  <c r="AS40" i="24"/>
  <c r="AI33" i="25"/>
  <c r="AT40" i="24"/>
  <c r="AJ33" i="25"/>
  <c r="AK33" i="25"/>
  <c r="BX33" i="25"/>
  <c r="J148" i="36"/>
  <c r="J148" i="40"/>
  <c r="J148" i="44"/>
  <c r="BY33" i="25"/>
  <c r="K148" i="36"/>
  <c r="K148" i="40"/>
  <c r="K148" i="44"/>
  <c r="BZ33" i="25"/>
  <c r="L148" i="36"/>
  <c r="L148" i="40"/>
  <c r="L148" i="44"/>
  <c r="CA33" i="25"/>
  <c r="M148" i="36"/>
  <c r="M148" i="40"/>
  <c r="M148" i="44"/>
  <c r="CB33" i="25"/>
  <c r="N148" i="36"/>
  <c r="N148" i="40"/>
  <c r="N148" i="44"/>
  <c r="CC33" i="25"/>
  <c r="O148" i="36"/>
  <c r="O148" i="40"/>
  <c r="O148" i="44"/>
  <c r="CD33" i="25"/>
  <c r="P148" i="36"/>
  <c r="P148" i="41"/>
  <c r="P148" i="40"/>
  <c r="P148" i="44"/>
  <c r="CE33" i="25"/>
  <c r="Q148" i="36"/>
  <c r="Q148" i="41"/>
  <c r="Q148" i="40"/>
  <c r="Q148" i="44"/>
  <c r="E32" i="43"/>
  <c r="Y32" i="54"/>
  <c r="AR7" i="68"/>
  <c r="AD68" i="26"/>
  <c r="W14" i="31"/>
  <c r="AE68" i="26"/>
  <c r="X14" i="31"/>
  <c r="AC14" i="31"/>
  <c r="BH14" i="31"/>
  <c r="B129" i="36"/>
  <c r="B129" i="41"/>
  <c r="B129" i="40"/>
  <c r="B129" i="44"/>
  <c r="BI14" i="31"/>
  <c r="C129" i="36"/>
  <c r="C129" i="41"/>
  <c r="C129" i="40"/>
  <c r="C129" i="44"/>
  <c r="BJ14" i="31"/>
  <c r="D129" i="36"/>
  <c r="D129" i="40"/>
  <c r="D129" i="44"/>
  <c r="BK14" i="31"/>
  <c r="E129" i="36"/>
  <c r="E129" i="40"/>
  <c r="E129" i="44"/>
  <c r="BL14" i="31"/>
  <c r="F129" i="36"/>
  <c r="F129" i="40"/>
  <c r="F129" i="44"/>
  <c r="BM14" i="31"/>
  <c r="G129" i="36"/>
  <c r="G129" i="40"/>
  <c r="G129" i="44"/>
  <c r="Y68" i="32"/>
  <c r="K14" i="33"/>
  <c r="Z68" i="32"/>
  <c r="L14" i="33"/>
  <c r="M14" i="33"/>
  <c r="AB14" i="33"/>
  <c r="H129" i="36"/>
  <c r="H129" i="41"/>
  <c r="H129" i="40"/>
  <c r="H129" i="44"/>
  <c r="AC14" i="33"/>
  <c r="I129" i="36"/>
  <c r="I129" i="41"/>
  <c r="I129" i="40"/>
  <c r="I129" i="44"/>
  <c r="AS21" i="24"/>
  <c r="AI14" i="25"/>
  <c r="AT21" i="24"/>
  <c r="AJ14" i="25"/>
  <c r="AK14" i="25"/>
  <c r="BX14" i="25"/>
  <c r="J129" i="36"/>
  <c r="J129" i="40"/>
  <c r="J129" i="44"/>
  <c r="BY14" i="25"/>
  <c r="K129" i="36"/>
  <c r="K129" i="40"/>
  <c r="K129" i="44"/>
  <c r="BZ14" i="25"/>
  <c r="L129" i="36"/>
  <c r="L129" i="40"/>
  <c r="L129" i="44"/>
  <c r="CA14" i="25"/>
  <c r="M129" i="36"/>
  <c r="M129" i="40"/>
  <c r="M129" i="44"/>
  <c r="CB14" i="25"/>
  <c r="N129" i="36"/>
  <c r="N129" i="40"/>
  <c r="N129" i="44"/>
  <c r="CC14" i="25"/>
  <c r="O129" i="36"/>
  <c r="O129" i="40"/>
  <c r="O129" i="44"/>
  <c r="CD14" i="25"/>
  <c r="P129" i="36"/>
  <c r="P129" i="41"/>
  <c r="P129" i="40"/>
  <c r="P129" i="44"/>
  <c r="CE14" i="25"/>
  <c r="Q129" i="36"/>
  <c r="Q129" i="41"/>
  <c r="Q129" i="40"/>
  <c r="Q129" i="44"/>
  <c r="E13" i="43"/>
  <c r="Y13" i="54"/>
  <c r="AR28" i="68"/>
  <c r="Y28" i="67"/>
  <c r="Y7" i="67"/>
  <c r="AD69" i="26"/>
  <c r="W15" i="31"/>
  <c r="AE69" i="26"/>
  <c r="X15" i="31"/>
  <c r="AC15" i="31"/>
  <c r="BH15" i="31"/>
  <c r="B130" i="36"/>
  <c r="B130" i="41"/>
  <c r="B130" i="40"/>
  <c r="B130" i="44"/>
  <c r="BI15" i="31"/>
  <c r="C130" i="36"/>
  <c r="C130" i="41"/>
  <c r="C130" i="40"/>
  <c r="C130" i="44"/>
  <c r="BJ15" i="31"/>
  <c r="D130" i="36"/>
  <c r="D130" i="40"/>
  <c r="D130" i="44"/>
  <c r="BK15" i="31"/>
  <c r="E130" i="36"/>
  <c r="E130" i="40"/>
  <c r="E130" i="44"/>
  <c r="BL15" i="31"/>
  <c r="F130" i="36"/>
  <c r="F130" i="40"/>
  <c r="F130" i="44"/>
  <c r="BM15" i="31"/>
  <c r="G130" i="36"/>
  <c r="G130" i="40"/>
  <c r="G130" i="44"/>
  <c r="Y69" i="32"/>
  <c r="K15" i="33"/>
  <c r="Z69" i="32"/>
  <c r="L15" i="33"/>
  <c r="M15" i="33"/>
  <c r="AB15" i="33"/>
  <c r="H130" i="36"/>
  <c r="H130" i="41"/>
  <c r="H130" i="40"/>
  <c r="H130" i="44"/>
  <c r="AC15" i="33"/>
  <c r="I130" i="36"/>
  <c r="I130" i="41"/>
  <c r="I130" i="40"/>
  <c r="I130" i="44"/>
  <c r="AS22" i="24"/>
  <c r="AI15" i="25"/>
  <c r="AT22" i="24"/>
  <c r="AJ15" i="25"/>
  <c r="AK15" i="25"/>
  <c r="BX15" i="25"/>
  <c r="J130" i="36"/>
  <c r="J130" i="40"/>
  <c r="J130" i="44"/>
  <c r="BY15" i="25"/>
  <c r="K130" i="36"/>
  <c r="K130" i="40"/>
  <c r="K130" i="44"/>
  <c r="BZ15" i="25"/>
  <c r="L130" i="36"/>
  <c r="L130" i="40"/>
  <c r="L130" i="44"/>
  <c r="CA15" i="25"/>
  <c r="M130" i="36"/>
  <c r="M130" i="40"/>
  <c r="M130" i="44"/>
  <c r="CB15" i="25"/>
  <c r="N130" i="36"/>
  <c r="N130" i="40"/>
  <c r="N130" i="44"/>
  <c r="CC15" i="25"/>
  <c r="O130" i="36"/>
  <c r="O130" i="40"/>
  <c r="O130" i="44"/>
  <c r="CD15" i="25"/>
  <c r="P130" i="36"/>
  <c r="P130" i="41"/>
  <c r="P130" i="40"/>
  <c r="P130" i="44"/>
  <c r="CE15" i="25"/>
  <c r="Q130" i="36"/>
  <c r="Q130" i="41"/>
  <c r="Q130" i="40"/>
  <c r="Q130" i="44"/>
  <c r="E14" i="43"/>
  <c r="Y14" i="54"/>
  <c r="Y17" i="67"/>
  <c r="AD73" i="26"/>
  <c r="W19" i="31"/>
  <c r="AE73" i="26"/>
  <c r="X19" i="31"/>
  <c r="AC19" i="31"/>
  <c r="BH19" i="31"/>
  <c r="B134" i="36"/>
  <c r="B134" i="41"/>
  <c r="B134" i="40"/>
  <c r="B134" i="44"/>
  <c r="BI19" i="31"/>
  <c r="C134" i="36"/>
  <c r="C134" i="41"/>
  <c r="C134" i="40"/>
  <c r="C134" i="44"/>
  <c r="BJ19" i="31"/>
  <c r="D134" i="36"/>
  <c r="D134" i="40"/>
  <c r="D134" i="44"/>
  <c r="BK19" i="31"/>
  <c r="E134" i="36"/>
  <c r="E134" i="40"/>
  <c r="E134" i="44"/>
  <c r="BL19" i="31"/>
  <c r="F134" i="36"/>
  <c r="F134" i="40"/>
  <c r="F134" i="44"/>
  <c r="BM19" i="31"/>
  <c r="G134" i="36"/>
  <c r="G134" i="40"/>
  <c r="G134" i="44"/>
  <c r="Y73" i="32"/>
  <c r="K19" i="33"/>
  <c r="Z73" i="32"/>
  <c r="L19" i="33"/>
  <c r="M19" i="33"/>
  <c r="AB19" i="33"/>
  <c r="H134" i="36"/>
  <c r="H134" i="41"/>
  <c r="H134" i="40"/>
  <c r="H134" i="44"/>
  <c r="AC19" i="33"/>
  <c r="I134" i="36"/>
  <c r="I134" i="41"/>
  <c r="I134" i="40"/>
  <c r="I134" i="44"/>
  <c r="AS26" i="24"/>
  <c r="AI19" i="25"/>
  <c r="AT26" i="24"/>
  <c r="AJ19" i="25"/>
  <c r="AK19" i="25"/>
  <c r="BX19" i="25"/>
  <c r="J134" i="36"/>
  <c r="J134" i="40"/>
  <c r="J134" i="44"/>
  <c r="BY19" i="25"/>
  <c r="K134" i="36"/>
  <c r="K134" i="40"/>
  <c r="K134" i="44"/>
  <c r="BZ19" i="25"/>
  <c r="L134" i="36"/>
  <c r="L134" i="40"/>
  <c r="L134" i="44"/>
  <c r="CA19" i="25"/>
  <c r="M134" i="36"/>
  <c r="M134" i="40"/>
  <c r="M134" i="44"/>
  <c r="CB19" i="25"/>
  <c r="N134" i="36"/>
  <c r="N134" i="40"/>
  <c r="N134" i="44"/>
  <c r="CC19" i="25"/>
  <c r="O134" i="36"/>
  <c r="O134" i="40"/>
  <c r="O134" i="44"/>
  <c r="CD19" i="25"/>
  <c r="P134" i="36"/>
  <c r="P134" i="41"/>
  <c r="P134" i="40"/>
  <c r="P134" i="44"/>
  <c r="CE19" i="25"/>
  <c r="Q134" i="36"/>
  <c r="Q134" i="41"/>
  <c r="Q134" i="40"/>
  <c r="Q134" i="44"/>
  <c r="E18" i="43"/>
  <c r="Y18" i="54"/>
  <c r="Y22" i="67"/>
  <c r="AD75" i="26"/>
  <c r="W21" i="31"/>
  <c r="AE75" i="26"/>
  <c r="X21" i="31"/>
  <c r="AC21" i="31"/>
  <c r="BH21" i="31"/>
  <c r="B136" i="36"/>
  <c r="B136" i="41"/>
  <c r="B136" i="40"/>
  <c r="B136" i="44"/>
  <c r="BI21" i="31"/>
  <c r="C136" i="36"/>
  <c r="C136" i="41"/>
  <c r="C136" i="40"/>
  <c r="C136" i="44"/>
  <c r="BJ21" i="31"/>
  <c r="D136" i="36"/>
  <c r="D136" i="40"/>
  <c r="D136" i="44"/>
  <c r="BK21" i="31"/>
  <c r="E136" i="36"/>
  <c r="E136" i="40"/>
  <c r="E136" i="44"/>
  <c r="BL21" i="31"/>
  <c r="F136" i="36"/>
  <c r="F136" i="40"/>
  <c r="F136" i="44"/>
  <c r="BM21" i="31"/>
  <c r="G136" i="36"/>
  <c r="G136" i="40"/>
  <c r="G136" i="44"/>
  <c r="Y75" i="32"/>
  <c r="K21" i="33"/>
  <c r="Z75" i="32"/>
  <c r="L21" i="33"/>
  <c r="M21" i="33"/>
  <c r="AB21" i="33"/>
  <c r="H136" i="36"/>
  <c r="H136" i="41"/>
  <c r="H136" i="40"/>
  <c r="H136" i="44"/>
  <c r="AC21" i="33"/>
  <c r="I136" i="36"/>
  <c r="I136" i="41"/>
  <c r="I136" i="40"/>
  <c r="I136" i="44"/>
  <c r="AS28" i="24"/>
  <c r="AI21" i="25"/>
  <c r="AT28" i="24"/>
  <c r="AJ21" i="25"/>
  <c r="AK21" i="25"/>
  <c r="BX21" i="25"/>
  <c r="J136" i="36"/>
  <c r="J136" i="40"/>
  <c r="J136" i="44"/>
  <c r="BY21" i="25"/>
  <c r="K136" i="36"/>
  <c r="K136" i="40"/>
  <c r="K136" i="44"/>
  <c r="BZ21" i="25"/>
  <c r="L136" i="36"/>
  <c r="L136" i="40"/>
  <c r="L136" i="44"/>
  <c r="CA21" i="25"/>
  <c r="M136" i="36"/>
  <c r="M136" i="40"/>
  <c r="M136" i="44"/>
  <c r="CB21" i="25"/>
  <c r="N136" i="36"/>
  <c r="N136" i="40"/>
  <c r="N136" i="44"/>
  <c r="CC21" i="25"/>
  <c r="O136" i="36"/>
  <c r="O136" i="40"/>
  <c r="O136" i="44"/>
  <c r="CD21" i="25"/>
  <c r="P136" i="36"/>
  <c r="P136" i="41"/>
  <c r="P136" i="40"/>
  <c r="P136" i="44"/>
  <c r="CE21" i="25"/>
  <c r="Q136" i="36"/>
  <c r="Q136" i="41"/>
  <c r="Q136" i="40"/>
  <c r="Q136" i="44"/>
  <c r="E20" i="43"/>
  <c r="Y20" i="54"/>
  <c r="AR11" i="68"/>
  <c r="AR16" i="68"/>
  <c r="Z11" i="69"/>
  <c r="AR22" i="68"/>
  <c r="AD70" i="26"/>
  <c r="W16" i="31"/>
  <c r="AE70" i="26"/>
  <c r="X16" i="31"/>
  <c r="AC16" i="31"/>
  <c r="BH16" i="31"/>
  <c r="B131" i="36"/>
  <c r="B131" i="41"/>
  <c r="B131" i="40"/>
  <c r="B131" i="44"/>
  <c r="BI16" i="31"/>
  <c r="C131" i="36"/>
  <c r="C131" i="41"/>
  <c r="C131" i="40"/>
  <c r="C131" i="44"/>
  <c r="BJ16" i="31"/>
  <c r="D131" i="36"/>
  <c r="D131" i="40"/>
  <c r="D131" i="44"/>
  <c r="BK16" i="31"/>
  <c r="E131" i="36"/>
  <c r="E131" i="40"/>
  <c r="E131" i="44"/>
  <c r="BL16" i="31"/>
  <c r="F131" i="36"/>
  <c r="F131" i="40"/>
  <c r="F131" i="44"/>
  <c r="BM16" i="31"/>
  <c r="G131" i="36"/>
  <c r="G131" i="40"/>
  <c r="G131" i="44"/>
  <c r="Y70" i="32"/>
  <c r="K16" i="33"/>
  <c r="Z70" i="32"/>
  <c r="L16" i="33"/>
  <c r="M16" i="33"/>
  <c r="AB16" i="33"/>
  <c r="H131" i="36"/>
  <c r="H131" i="41"/>
  <c r="H131" i="40"/>
  <c r="H131" i="44"/>
  <c r="AC16" i="33"/>
  <c r="I131" i="36"/>
  <c r="I131" i="41"/>
  <c r="I131" i="40"/>
  <c r="I131" i="44"/>
  <c r="AS23" i="24"/>
  <c r="AI16" i="25"/>
  <c r="AT23" i="24"/>
  <c r="AJ16" i="25"/>
  <c r="AK16" i="25"/>
  <c r="BX16" i="25"/>
  <c r="J131" i="36"/>
  <c r="J131" i="40"/>
  <c r="J131" i="44"/>
  <c r="BY16" i="25"/>
  <c r="K131" i="36"/>
  <c r="K131" i="40"/>
  <c r="K131" i="44"/>
  <c r="BZ16" i="25"/>
  <c r="L131" i="36"/>
  <c r="L131" i="40"/>
  <c r="L131" i="44"/>
  <c r="CA16" i="25"/>
  <c r="M131" i="36"/>
  <c r="M131" i="40"/>
  <c r="M131" i="44"/>
  <c r="CB16" i="25"/>
  <c r="N131" i="36"/>
  <c r="N131" i="40"/>
  <c r="N131" i="44"/>
  <c r="CC16" i="25"/>
  <c r="O131" i="36"/>
  <c r="O131" i="40"/>
  <c r="O131" i="44"/>
  <c r="CD16" i="25"/>
  <c r="P131" i="36"/>
  <c r="P131" i="41"/>
  <c r="P131" i="40"/>
  <c r="P131" i="44"/>
  <c r="CE16" i="25"/>
  <c r="Q131" i="36"/>
  <c r="Q131" i="41"/>
  <c r="Q131" i="40"/>
  <c r="Q131" i="44"/>
  <c r="E15" i="43"/>
  <c r="Y15" i="54"/>
  <c r="AR25" i="68"/>
  <c r="E13" i="56"/>
  <c r="AD76" i="26"/>
  <c r="W22" i="31"/>
  <c r="AE76" i="26"/>
  <c r="X22" i="31"/>
  <c r="AC22" i="31"/>
  <c r="BH22" i="31"/>
  <c r="B137" i="36"/>
  <c r="B137" i="41"/>
  <c r="B137" i="40"/>
  <c r="B137" i="44"/>
  <c r="BI22" i="31"/>
  <c r="C137" i="36"/>
  <c r="C137" i="41"/>
  <c r="C137" i="40"/>
  <c r="C137" i="44"/>
  <c r="BJ22" i="31"/>
  <c r="D137" i="36"/>
  <c r="D137" i="40"/>
  <c r="D137" i="44"/>
  <c r="BK22" i="31"/>
  <c r="E137" i="36"/>
  <c r="E137" i="40"/>
  <c r="E137" i="44"/>
  <c r="BL22" i="31"/>
  <c r="F137" i="36"/>
  <c r="F137" i="40"/>
  <c r="F137" i="44"/>
  <c r="BM22" i="31"/>
  <c r="G137" i="36"/>
  <c r="G137" i="40"/>
  <c r="G137" i="44"/>
  <c r="Y76" i="32"/>
  <c r="K22" i="33"/>
  <c r="Z76" i="32"/>
  <c r="L22" i="33"/>
  <c r="M22" i="33"/>
  <c r="AB22" i="33"/>
  <c r="H137" i="36"/>
  <c r="H137" i="41"/>
  <c r="H137" i="40"/>
  <c r="H137" i="44"/>
  <c r="AC22" i="33"/>
  <c r="I137" i="36"/>
  <c r="I137" i="41"/>
  <c r="I137" i="40"/>
  <c r="I137" i="44"/>
  <c r="AS29" i="24"/>
  <c r="AI22" i="25"/>
  <c r="AT29" i="24"/>
  <c r="AJ22" i="25"/>
  <c r="AK22" i="25"/>
  <c r="BX22" i="25"/>
  <c r="J137" i="36"/>
  <c r="J137" i="40"/>
  <c r="J137" i="44"/>
  <c r="BY22" i="25"/>
  <c r="K137" i="36"/>
  <c r="K137" i="40"/>
  <c r="K137" i="44"/>
  <c r="BZ22" i="25"/>
  <c r="L137" i="36"/>
  <c r="L137" i="40"/>
  <c r="L137" i="44"/>
  <c r="CA22" i="25"/>
  <c r="M137" i="36"/>
  <c r="M137" i="40"/>
  <c r="M137" i="44"/>
  <c r="CB22" i="25"/>
  <c r="N137" i="36"/>
  <c r="N137" i="40"/>
  <c r="N137" i="44"/>
  <c r="CC22" i="25"/>
  <c r="O137" i="36"/>
  <c r="O137" i="40"/>
  <c r="O137" i="44"/>
  <c r="CD22" i="25"/>
  <c r="P137" i="36"/>
  <c r="P137" i="41"/>
  <c r="P137" i="40"/>
  <c r="P137" i="44"/>
  <c r="CE22" i="25"/>
  <c r="Q137" i="36"/>
  <c r="Q137" i="41"/>
  <c r="Q137" i="40"/>
  <c r="Q137" i="44"/>
  <c r="E21" i="43"/>
  <c r="Y21" i="54"/>
  <c r="Y24" i="67"/>
  <c r="AD72" i="26"/>
  <c r="W18" i="31"/>
  <c r="AE72" i="26"/>
  <c r="X18" i="31"/>
  <c r="AC18" i="31"/>
  <c r="BH18" i="31"/>
  <c r="B133" i="36"/>
  <c r="B133" i="41"/>
  <c r="B133" i="40"/>
  <c r="B133" i="44"/>
  <c r="BI18" i="31"/>
  <c r="C133" i="36"/>
  <c r="C133" i="41"/>
  <c r="C133" i="40"/>
  <c r="C133" i="44"/>
  <c r="BJ18" i="31"/>
  <c r="D133" i="36"/>
  <c r="D133" i="40"/>
  <c r="D133" i="44"/>
  <c r="BK18" i="31"/>
  <c r="E133" i="36"/>
  <c r="E133" i="40"/>
  <c r="E133" i="44"/>
  <c r="BL18" i="31"/>
  <c r="F133" i="36"/>
  <c r="F133" i="40"/>
  <c r="F133" i="44"/>
  <c r="BM18" i="31"/>
  <c r="G133" i="36"/>
  <c r="G133" i="40"/>
  <c r="G133" i="44"/>
  <c r="Y72" i="32"/>
  <c r="K18" i="33"/>
  <c r="Z72" i="32"/>
  <c r="L18" i="33"/>
  <c r="M18" i="33"/>
  <c r="AB18" i="33"/>
  <c r="H133" i="36"/>
  <c r="H133" i="41"/>
  <c r="H133" i="40"/>
  <c r="H133" i="44"/>
  <c r="AC18" i="33"/>
  <c r="I133" i="36"/>
  <c r="I133" i="41"/>
  <c r="I133" i="40"/>
  <c r="I133" i="44"/>
  <c r="AS25" i="24"/>
  <c r="AI18" i="25"/>
  <c r="AT25" i="24"/>
  <c r="AJ18" i="25"/>
  <c r="AK18" i="25"/>
  <c r="BX18" i="25"/>
  <c r="J133" i="36"/>
  <c r="J133" i="40"/>
  <c r="J133" i="44"/>
  <c r="BY18" i="25"/>
  <c r="K133" i="36"/>
  <c r="K133" i="40"/>
  <c r="K133" i="44"/>
  <c r="BZ18" i="25"/>
  <c r="L133" i="36"/>
  <c r="L133" i="40"/>
  <c r="L133" i="44"/>
  <c r="CA18" i="25"/>
  <c r="M133" i="36"/>
  <c r="M133" i="40"/>
  <c r="M133" i="44"/>
  <c r="CB18" i="25"/>
  <c r="N133" i="36"/>
  <c r="N133" i="40"/>
  <c r="N133" i="44"/>
  <c r="CC18" i="25"/>
  <c r="O133" i="36"/>
  <c r="O133" i="40"/>
  <c r="O133" i="44"/>
  <c r="CD18" i="25"/>
  <c r="P133" i="36"/>
  <c r="P133" i="41"/>
  <c r="P133" i="40"/>
  <c r="P133" i="44"/>
  <c r="CE18" i="25"/>
  <c r="Q133" i="36"/>
  <c r="Q133" i="41"/>
  <c r="Q133" i="40"/>
  <c r="Q133" i="44"/>
  <c r="E17" i="43"/>
  <c r="Y17" i="54"/>
  <c r="Y23" i="67"/>
  <c r="AR24" i="68"/>
  <c r="AD65" i="26"/>
  <c r="W11" i="31"/>
  <c r="AE65" i="26"/>
  <c r="X11" i="31"/>
  <c r="AC11" i="31"/>
  <c r="BH11" i="31"/>
  <c r="B126" i="36"/>
  <c r="B126" i="41"/>
  <c r="B126" i="40"/>
  <c r="B126" i="44"/>
  <c r="BI11" i="31"/>
  <c r="C126" i="36"/>
  <c r="C126" i="41"/>
  <c r="C126" i="40"/>
  <c r="C126" i="44"/>
  <c r="BJ11" i="31"/>
  <c r="D126" i="36"/>
  <c r="D126" i="40"/>
  <c r="D126" i="44"/>
  <c r="BK11" i="31"/>
  <c r="E126" i="36"/>
  <c r="E126" i="40"/>
  <c r="E126" i="44"/>
  <c r="BL11" i="31"/>
  <c r="F126" i="36"/>
  <c r="F126" i="40"/>
  <c r="F126" i="44"/>
  <c r="BM11" i="31"/>
  <c r="G126" i="36"/>
  <c r="G126" i="40"/>
  <c r="G126" i="44"/>
  <c r="Y65" i="32"/>
  <c r="K11" i="33"/>
  <c r="Z65" i="32"/>
  <c r="L11" i="33"/>
  <c r="M11" i="33"/>
  <c r="AB11" i="33"/>
  <c r="H126" i="36"/>
  <c r="H126" i="41"/>
  <c r="H126" i="40"/>
  <c r="H126" i="44"/>
  <c r="AC11" i="33"/>
  <c r="I126" i="36"/>
  <c r="I126" i="41"/>
  <c r="I126" i="40"/>
  <c r="I126" i="44"/>
  <c r="AS18" i="24"/>
  <c r="AI11" i="25"/>
  <c r="AT18" i="24"/>
  <c r="AJ11" i="25"/>
  <c r="AK11" i="25"/>
  <c r="BX11" i="25"/>
  <c r="J126" i="36"/>
  <c r="J126" i="40"/>
  <c r="J126" i="44"/>
  <c r="BY11" i="25"/>
  <c r="K126" i="36"/>
  <c r="K126" i="40"/>
  <c r="K126" i="44"/>
  <c r="BZ11" i="25"/>
  <c r="L126" i="36"/>
  <c r="L126" i="40"/>
  <c r="L126" i="44"/>
  <c r="CA11" i="25"/>
  <c r="M126" i="36"/>
  <c r="M126" i="40"/>
  <c r="M126" i="44"/>
  <c r="CB11" i="25"/>
  <c r="N126" i="36"/>
  <c r="N126" i="40"/>
  <c r="N126" i="44"/>
  <c r="CC11" i="25"/>
  <c r="O126" i="36"/>
  <c r="O126" i="40"/>
  <c r="O126" i="44"/>
  <c r="CD11" i="25"/>
  <c r="P126" i="36"/>
  <c r="P126" i="41"/>
  <c r="P126" i="40"/>
  <c r="P126" i="44"/>
  <c r="CE11" i="25"/>
  <c r="Q126" i="36"/>
  <c r="Q126" i="41"/>
  <c r="Q126" i="40"/>
  <c r="Q126" i="44"/>
  <c r="E10" i="43"/>
  <c r="Y10" i="54"/>
  <c r="AR27" i="68"/>
  <c r="E32" i="56"/>
  <c r="Z53" i="69"/>
  <c r="Y11" i="67"/>
  <c r="AD88" i="26"/>
  <c r="W34" i="31"/>
  <c r="AE88" i="26"/>
  <c r="X34" i="31"/>
  <c r="AC34" i="31"/>
  <c r="BH34" i="31"/>
  <c r="B149" i="36"/>
  <c r="B149" i="41"/>
  <c r="B149" i="40"/>
  <c r="B149" i="44"/>
  <c r="BI34" i="31"/>
  <c r="C149" i="36"/>
  <c r="C149" i="41"/>
  <c r="C149" i="40"/>
  <c r="C149" i="44"/>
  <c r="BJ34" i="31"/>
  <c r="D149" i="36"/>
  <c r="D149" i="40"/>
  <c r="D149" i="44"/>
  <c r="BK34" i="31"/>
  <c r="E149" i="36"/>
  <c r="E149" i="40"/>
  <c r="E149" i="44"/>
  <c r="BL34" i="31"/>
  <c r="F149" i="36"/>
  <c r="F149" i="40"/>
  <c r="F149" i="44"/>
  <c r="BM34" i="31"/>
  <c r="G149" i="36"/>
  <c r="G149" i="40"/>
  <c r="G149" i="44"/>
  <c r="Y88" i="32"/>
  <c r="K34" i="33"/>
  <c r="Z88" i="32"/>
  <c r="L34" i="33"/>
  <c r="M34" i="33"/>
  <c r="AB34" i="33"/>
  <c r="H149" i="36"/>
  <c r="H149" i="41"/>
  <c r="H149" i="40"/>
  <c r="H149" i="44"/>
  <c r="AC34" i="33"/>
  <c r="I149" i="36"/>
  <c r="I149" i="41"/>
  <c r="I149" i="40"/>
  <c r="I149" i="44"/>
  <c r="AS41" i="24"/>
  <c r="AI34" i="25"/>
  <c r="AT41" i="24"/>
  <c r="AJ34" i="25"/>
  <c r="AK34" i="25"/>
  <c r="BX34" i="25"/>
  <c r="J149" i="36"/>
  <c r="J149" i="40"/>
  <c r="J149" i="44"/>
  <c r="BY34" i="25"/>
  <c r="K149" i="36"/>
  <c r="K149" i="40"/>
  <c r="K149" i="44"/>
  <c r="BZ34" i="25"/>
  <c r="L149" i="36"/>
  <c r="L149" i="40"/>
  <c r="L149" i="44"/>
  <c r="CA34" i="25"/>
  <c r="M149" i="36"/>
  <c r="M149" i="40"/>
  <c r="M149" i="44"/>
  <c r="CB34" i="25"/>
  <c r="N149" i="36"/>
  <c r="N149" i="40"/>
  <c r="N149" i="44"/>
  <c r="CC34" i="25"/>
  <c r="O149" i="36"/>
  <c r="O149" i="40"/>
  <c r="O149" i="44"/>
  <c r="CD34" i="25"/>
  <c r="P149" i="36"/>
  <c r="P149" i="41"/>
  <c r="P149" i="40"/>
  <c r="P149" i="44"/>
  <c r="CE34" i="25"/>
  <c r="Q149" i="36"/>
  <c r="Q149" i="41"/>
  <c r="Q149" i="40"/>
  <c r="Q149" i="44"/>
  <c r="E33" i="43"/>
  <c r="Y33" i="54"/>
  <c r="AR12" i="68"/>
  <c r="Y12" i="67"/>
  <c r="AD62" i="26"/>
  <c r="W8" i="31"/>
  <c r="AE62" i="26"/>
  <c r="X8" i="31"/>
  <c r="AC8" i="31"/>
  <c r="BH8" i="31"/>
  <c r="B123" i="36"/>
  <c r="B123" i="41"/>
  <c r="B123" i="40"/>
  <c r="B123" i="44"/>
  <c r="BI8" i="31"/>
  <c r="C123" i="36"/>
  <c r="C123" i="41"/>
  <c r="C123" i="40"/>
  <c r="C123" i="44"/>
  <c r="BJ8" i="31"/>
  <c r="D123" i="36"/>
  <c r="D123" i="40"/>
  <c r="D123" i="44"/>
  <c r="BK8" i="31"/>
  <c r="E123" i="36"/>
  <c r="E123" i="40"/>
  <c r="E123" i="44"/>
  <c r="BL8" i="31"/>
  <c r="F123" i="36"/>
  <c r="F123" i="40"/>
  <c r="F123" i="44"/>
  <c r="BM8" i="31"/>
  <c r="G123" i="36"/>
  <c r="G123" i="40"/>
  <c r="G123" i="44"/>
  <c r="Y62" i="32"/>
  <c r="K8" i="33"/>
  <c r="Z62" i="32"/>
  <c r="L8" i="33"/>
  <c r="M8" i="33"/>
  <c r="AB8" i="33"/>
  <c r="H123" i="36"/>
  <c r="H123" i="41"/>
  <c r="H123" i="40"/>
  <c r="H123" i="44"/>
  <c r="AC8" i="33"/>
  <c r="I123" i="36"/>
  <c r="I123" i="41"/>
  <c r="I123" i="40"/>
  <c r="I123" i="44"/>
  <c r="AS15" i="24"/>
  <c r="AI8" i="25"/>
  <c r="AT15" i="24"/>
  <c r="AJ8" i="25"/>
  <c r="AK8" i="25"/>
  <c r="BX8" i="25"/>
  <c r="J123" i="36"/>
  <c r="J123" i="40"/>
  <c r="J123" i="44"/>
  <c r="BY8" i="25"/>
  <c r="K123" i="36"/>
  <c r="K123" i="40"/>
  <c r="K123" i="44"/>
  <c r="BZ8" i="25"/>
  <c r="L123" i="36"/>
  <c r="L123" i="40"/>
  <c r="L123" i="44"/>
  <c r="CA8" i="25"/>
  <c r="M123" i="36"/>
  <c r="M123" i="40"/>
  <c r="M123" i="44"/>
  <c r="CB8" i="25"/>
  <c r="N123" i="36"/>
  <c r="N123" i="40"/>
  <c r="N123" i="44"/>
  <c r="CC8" i="25"/>
  <c r="O123" i="36"/>
  <c r="O123" i="40"/>
  <c r="O123" i="44"/>
  <c r="CD8" i="25"/>
  <c r="P123" i="36"/>
  <c r="P123" i="41"/>
  <c r="P123" i="40"/>
  <c r="P123" i="44"/>
  <c r="CE8" i="25"/>
  <c r="Q123" i="36"/>
  <c r="Q123" i="41"/>
  <c r="Q123" i="40"/>
  <c r="Q123" i="44"/>
  <c r="E7" i="43"/>
  <c r="Y7" i="54"/>
  <c r="AR5" i="68"/>
  <c r="Y5" i="67"/>
  <c r="AD61" i="26"/>
  <c r="W7" i="31"/>
  <c r="AE61" i="26"/>
  <c r="X7" i="31"/>
  <c r="AC7" i="31"/>
  <c r="BH7" i="31"/>
  <c r="B122" i="36"/>
  <c r="B122" i="41"/>
  <c r="B122" i="40"/>
  <c r="B122" i="44"/>
  <c r="BI7" i="31"/>
  <c r="C122" i="36"/>
  <c r="C122" i="41"/>
  <c r="C122" i="40"/>
  <c r="C122" i="44"/>
  <c r="BJ7" i="31"/>
  <c r="D122" i="36"/>
  <c r="D122" i="40"/>
  <c r="D122" i="44"/>
  <c r="BK7" i="31"/>
  <c r="E122" i="36"/>
  <c r="E122" i="40"/>
  <c r="E122" i="44"/>
  <c r="BL7" i="31"/>
  <c r="F122" i="36"/>
  <c r="F122" i="40"/>
  <c r="F122" i="44"/>
  <c r="BM7" i="31"/>
  <c r="G122" i="36"/>
  <c r="G122" i="40"/>
  <c r="G122" i="44"/>
  <c r="Y61" i="32"/>
  <c r="K7" i="33"/>
  <c r="Z61" i="32"/>
  <c r="L7" i="33"/>
  <c r="M7" i="33"/>
  <c r="AB7" i="33"/>
  <c r="H122" i="36"/>
  <c r="H122" i="41"/>
  <c r="H122" i="40"/>
  <c r="H122" i="44"/>
  <c r="AC7" i="33"/>
  <c r="I122" i="36"/>
  <c r="I122" i="41"/>
  <c r="I122" i="40"/>
  <c r="I122" i="44"/>
  <c r="AS14" i="24"/>
  <c r="AI7" i="25"/>
  <c r="AT14" i="24"/>
  <c r="AJ7" i="25"/>
  <c r="AK7" i="25"/>
  <c r="BX7" i="25"/>
  <c r="J122" i="36"/>
  <c r="J122" i="40"/>
  <c r="J122" i="44"/>
  <c r="BY7" i="25"/>
  <c r="K122" i="36"/>
  <c r="K122" i="40"/>
  <c r="K122" i="44"/>
  <c r="BZ7" i="25"/>
  <c r="L122" i="36"/>
  <c r="L122" i="40"/>
  <c r="L122" i="44"/>
  <c r="CA7" i="25"/>
  <c r="M122" i="36"/>
  <c r="M122" i="40"/>
  <c r="M122" i="44"/>
  <c r="CB7" i="25"/>
  <c r="N122" i="36"/>
  <c r="N122" i="40"/>
  <c r="N122" i="44"/>
  <c r="CC7" i="25"/>
  <c r="O122" i="36"/>
  <c r="O122" i="40"/>
  <c r="O122" i="44"/>
  <c r="CD7" i="25"/>
  <c r="P122" i="36"/>
  <c r="P122" i="41"/>
  <c r="P122" i="40"/>
  <c r="P122" i="44"/>
  <c r="CE7" i="25"/>
  <c r="Q122" i="36"/>
  <c r="Q122" i="41"/>
  <c r="Q122" i="40"/>
  <c r="Q122" i="44"/>
  <c r="E6" i="43"/>
  <c r="Y6" i="54"/>
  <c r="AR13" i="68"/>
  <c r="Y13" i="67"/>
  <c r="AR23" i="68"/>
  <c r="AD80" i="26"/>
  <c r="W26" i="31"/>
  <c r="AE80" i="26"/>
  <c r="X26" i="31"/>
  <c r="AC26" i="31"/>
  <c r="BH26" i="31"/>
  <c r="B141" i="36"/>
  <c r="B141" i="41"/>
  <c r="B141" i="40"/>
  <c r="B141" i="44"/>
  <c r="BI26" i="31"/>
  <c r="C141" i="36"/>
  <c r="C141" i="41"/>
  <c r="C141" i="40"/>
  <c r="C141" i="44"/>
  <c r="BJ26" i="31"/>
  <c r="D141" i="36"/>
  <c r="D141" i="40"/>
  <c r="D141" i="44"/>
  <c r="BK26" i="31"/>
  <c r="E141" i="36"/>
  <c r="E141" i="40"/>
  <c r="E141" i="44"/>
  <c r="BL26" i="31"/>
  <c r="F141" i="36"/>
  <c r="F141" i="40"/>
  <c r="F141" i="44"/>
  <c r="BM26" i="31"/>
  <c r="G141" i="36"/>
  <c r="G141" i="40"/>
  <c r="G141" i="44"/>
  <c r="Y80" i="32"/>
  <c r="K26" i="33"/>
  <c r="Z80" i="32"/>
  <c r="L26" i="33"/>
  <c r="M26" i="33"/>
  <c r="AB26" i="33"/>
  <c r="H141" i="36"/>
  <c r="H141" i="41"/>
  <c r="H141" i="40"/>
  <c r="H141" i="44"/>
  <c r="AC26" i="33"/>
  <c r="I141" i="36"/>
  <c r="I141" i="41"/>
  <c r="I141" i="40"/>
  <c r="I141" i="44"/>
  <c r="AS33" i="24"/>
  <c r="AI26" i="25"/>
  <c r="AT33" i="24"/>
  <c r="AJ26" i="25"/>
  <c r="AK26" i="25"/>
  <c r="BX26" i="25"/>
  <c r="J141" i="36"/>
  <c r="J141" i="40"/>
  <c r="J141" i="44"/>
  <c r="BY26" i="25"/>
  <c r="K141" i="36"/>
  <c r="K141" i="40"/>
  <c r="K141" i="44"/>
  <c r="BZ26" i="25"/>
  <c r="L141" i="36"/>
  <c r="L141" i="40"/>
  <c r="L141" i="44"/>
  <c r="CA26" i="25"/>
  <c r="M141" i="36"/>
  <c r="M141" i="40"/>
  <c r="M141" i="44"/>
  <c r="CB26" i="25"/>
  <c r="N141" i="36"/>
  <c r="N141" i="40"/>
  <c r="N141" i="44"/>
  <c r="CC26" i="25"/>
  <c r="O141" i="36"/>
  <c r="O141" i="40"/>
  <c r="O141" i="44"/>
  <c r="CD26" i="25"/>
  <c r="P141" i="36"/>
  <c r="P141" i="41"/>
  <c r="P141" i="40"/>
  <c r="P141" i="44"/>
  <c r="CE26" i="25"/>
  <c r="Q141" i="36"/>
  <c r="Q141" i="41"/>
  <c r="Q141" i="40"/>
  <c r="Q141" i="44"/>
  <c r="E25" i="43"/>
  <c r="Y25" i="54"/>
  <c r="AR8" i="68"/>
  <c r="Y8" i="67"/>
  <c r="AD74" i="26"/>
  <c r="W20" i="31"/>
  <c r="AE74" i="26"/>
  <c r="X20" i="31"/>
  <c r="AC20" i="31"/>
  <c r="BH20" i="31"/>
  <c r="B135" i="36"/>
  <c r="B135" i="41"/>
  <c r="B135" i="40"/>
  <c r="B135" i="44"/>
  <c r="BI20" i="31"/>
  <c r="C135" i="36"/>
  <c r="C135" i="41"/>
  <c r="C135" i="40"/>
  <c r="C135" i="44"/>
  <c r="BJ20" i="31"/>
  <c r="D135" i="36"/>
  <c r="D135" i="40"/>
  <c r="D135" i="44"/>
  <c r="BK20" i="31"/>
  <c r="E135" i="36"/>
  <c r="E135" i="40"/>
  <c r="E135" i="44"/>
  <c r="BL20" i="31"/>
  <c r="F135" i="36"/>
  <c r="F135" i="40"/>
  <c r="F135" i="44"/>
  <c r="BM20" i="31"/>
  <c r="G135" i="36"/>
  <c r="G135" i="40"/>
  <c r="G135" i="44"/>
  <c r="Y74" i="32"/>
  <c r="K20" i="33"/>
  <c r="Z74" i="32"/>
  <c r="L20" i="33"/>
  <c r="M20" i="33"/>
  <c r="AB20" i="33"/>
  <c r="H135" i="36"/>
  <c r="H135" i="41"/>
  <c r="H135" i="40"/>
  <c r="H135" i="44"/>
  <c r="AC20" i="33"/>
  <c r="I135" i="36"/>
  <c r="I135" i="41"/>
  <c r="I135" i="40"/>
  <c r="I135" i="44"/>
  <c r="AS27" i="24"/>
  <c r="AI20" i="25"/>
  <c r="AT27" i="24"/>
  <c r="AJ20" i="25"/>
  <c r="AK20" i="25"/>
  <c r="BX20" i="25"/>
  <c r="J135" i="36"/>
  <c r="J135" i="40"/>
  <c r="J135" i="44"/>
  <c r="BY20" i="25"/>
  <c r="K135" i="36"/>
  <c r="K135" i="40"/>
  <c r="K135" i="44"/>
  <c r="BZ20" i="25"/>
  <c r="L135" i="36"/>
  <c r="L135" i="40"/>
  <c r="L135" i="44"/>
  <c r="CA20" i="25"/>
  <c r="M135" i="36"/>
  <c r="M135" i="40"/>
  <c r="M135" i="44"/>
  <c r="CB20" i="25"/>
  <c r="N135" i="36"/>
  <c r="N135" i="40"/>
  <c r="N135" i="44"/>
  <c r="CC20" i="25"/>
  <c r="O135" i="36"/>
  <c r="O135" i="40"/>
  <c r="O135" i="44"/>
  <c r="CD20" i="25"/>
  <c r="P135" i="36"/>
  <c r="P135" i="41"/>
  <c r="P135" i="40"/>
  <c r="P135" i="44"/>
  <c r="CE20" i="25"/>
  <c r="Q135" i="36"/>
  <c r="Q135" i="41"/>
  <c r="Q135" i="40"/>
  <c r="Q135" i="44"/>
  <c r="E19" i="43"/>
  <c r="Y19" i="54"/>
  <c r="AR29" i="68"/>
  <c r="Y29" i="67"/>
  <c r="Y25" i="67"/>
  <c r="Y26" i="67"/>
  <c r="AD64" i="26"/>
  <c r="W10" i="31"/>
  <c r="AE64" i="26"/>
  <c r="X10" i="31"/>
  <c r="AC10" i="31"/>
  <c r="BH10" i="31"/>
  <c r="B125" i="36"/>
  <c r="B125" i="41"/>
  <c r="B125" i="40"/>
  <c r="B125" i="44"/>
  <c r="BI10" i="31"/>
  <c r="C125" i="36"/>
  <c r="C125" i="41"/>
  <c r="C125" i="40"/>
  <c r="C125" i="44"/>
  <c r="BJ10" i="31"/>
  <c r="D125" i="36"/>
  <c r="D125" i="40"/>
  <c r="D125" i="44"/>
  <c r="BK10" i="31"/>
  <c r="E125" i="36"/>
  <c r="E125" i="40"/>
  <c r="E125" i="44"/>
  <c r="BL10" i="31"/>
  <c r="F125" i="36"/>
  <c r="F125" i="40"/>
  <c r="F125" i="44"/>
  <c r="BM10" i="31"/>
  <c r="G125" i="36"/>
  <c r="G125" i="40"/>
  <c r="G125" i="44"/>
  <c r="Y64" i="32"/>
  <c r="K10" i="33"/>
  <c r="Z64" i="32"/>
  <c r="L10" i="33"/>
  <c r="M10" i="33"/>
  <c r="AB10" i="33"/>
  <c r="H125" i="36"/>
  <c r="H125" i="41"/>
  <c r="H125" i="40"/>
  <c r="H125" i="44"/>
  <c r="AC10" i="33"/>
  <c r="I125" i="36"/>
  <c r="I125" i="41"/>
  <c r="I125" i="40"/>
  <c r="I125" i="44"/>
  <c r="AS17" i="24"/>
  <c r="AI10" i="25"/>
  <c r="AT17" i="24"/>
  <c r="AJ10" i="25"/>
  <c r="AK10" i="25"/>
  <c r="BX10" i="25"/>
  <c r="J125" i="36"/>
  <c r="J125" i="40"/>
  <c r="J125" i="44"/>
  <c r="BY10" i="25"/>
  <c r="K125" i="36"/>
  <c r="K125" i="40"/>
  <c r="K125" i="44"/>
  <c r="BZ10" i="25"/>
  <c r="L125" i="36"/>
  <c r="L125" i="40"/>
  <c r="L125" i="44"/>
  <c r="CA10" i="25"/>
  <c r="M125" i="36"/>
  <c r="M125" i="40"/>
  <c r="M125" i="44"/>
  <c r="CB10" i="25"/>
  <c r="N125" i="36"/>
  <c r="N125" i="40"/>
  <c r="N125" i="44"/>
  <c r="CC10" i="25"/>
  <c r="O125" i="36"/>
  <c r="O125" i="40"/>
  <c r="O125" i="44"/>
  <c r="CD10" i="25"/>
  <c r="P125" i="36"/>
  <c r="P125" i="41"/>
  <c r="P125" i="40"/>
  <c r="P125" i="44"/>
  <c r="CE10" i="25"/>
  <c r="Q125" i="36"/>
  <c r="Q125" i="41"/>
  <c r="Q125" i="40"/>
  <c r="Q125" i="44"/>
  <c r="E9" i="43"/>
  <c r="Y9" i="54"/>
  <c r="AR9" i="68"/>
  <c r="Y9" i="67"/>
  <c r="AD89" i="26"/>
  <c r="W35" i="31"/>
  <c r="AE89" i="26"/>
  <c r="X35" i="31"/>
  <c r="AC35" i="31"/>
  <c r="BH35" i="31"/>
  <c r="B150" i="36"/>
  <c r="B150" i="41"/>
  <c r="B150" i="40"/>
  <c r="B150" i="44"/>
  <c r="BI35" i="31"/>
  <c r="C150" i="36"/>
  <c r="C150" i="41"/>
  <c r="C150" i="40"/>
  <c r="C150" i="44"/>
  <c r="BJ35" i="31"/>
  <c r="D150" i="36"/>
  <c r="D150" i="40"/>
  <c r="D150" i="44"/>
  <c r="BK35" i="31"/>
  <c r="E150" i="36"/>
  <c r="E150" i="40"/>
  <c r="E150" i="44"/>
  <c r="BL35" i="31"/>
  <c r="F150" i="36"/>
  <c r="F150" i="40"/>
  <c r="F150" i="44"/>
  <c r="BM35" i="31"/>
  <c r="G150" i="36"/>
  <c r="G150" i="40"/>
  <c r="G150" i="44"/>
  <c r="Y89" i="32"/>
  <c r="K35" i="33"/>
  <c r="Z89" i="32"/>
  <c r="L35" i="33"/>
  <c r="M35" i="33"/>
  <c r="AB35" i="33"/>
  <c r="H150" i="36"/>
  <c r="H150" i="41"/>
  <c r="H150" i="40"/>
  <c r="H150" i="44"/>
  <c r="AC35" i="33"/>
  <c r="I150" i="36"/>
  <c r="I150" i="41"/>
  <c r="I150" i="40"/>
  <c r="I150" i="44"/>
  <c r="AS42" i="24"/>
  <c r="AI35" i="25"/>
  <c r="AT42" i="24"/>
  <c r="AJ35" i="25"/>
  <c r="AK35" i="25"/>
  <c r="BX35" i="25"/>
  <c r="J150" i="36"/>
  <c r="J150" i="40"/>
  <c r="J150" i="44"/>
  <c r="BY35" i="25"/>
  <c r="K150" i="36"/>
  <c r="K150" i="40"/>
  <c r="K150" i="44"/>
  <c r="BZ35" i="25"/>
  <c r="L150" i="36"/>
  <c r="L150" i="40"/>
  <c r="L150" i="44"/>
  <c r="CA35" i="25"/>
  <c r="M150" i="36"/>
  <c r="M150" i="40"/>
  <c r="M150" i="44"/>
  <c r="CB35" i="25"/>
  <c r="N150" i="36"/>
  <c r="N150" i="40"/>
  <c r="N150" i="44"/>
  <c r="CC35" i="25"/>
  <c r="O150" i="36"/>
  <c r="O150" i="40"/>
  <c r="O150" i="44"/>
  <c r="CD35" i="25"/>
  <c r="P150" i="36"/>
  <c r="P150" i="41"/>
  <c r="P150" i="40"/>
  <c r="P150" i="44"/>
  <c r="CE35" i="25"/>
  <c r="Q150" i="36"/>
  <c r="Q150" i="41"/>
  <c r="Q150" i="40"/>
  <c r="Q150" i="44"/>
  <c r="E34" i="43"/>
  <c r="Y34" i="54"/>
  <c r="AR17" i="68"/>
  <c r="Y18" i="67"/>
  <c r="AD66" i="26"/>
  <c r="W12" i="31"/>
  <c r="AE66" i="26"/>
  <c r="X12" i="31"/>
  <c r="AC12" i="31"/>
  <c r="BH12" i="31"/>
  <c r="B127" i="36"/>
  <c r="B127" i="41"/>
  <c r="B127" i="40"/>
  <c r="B127" i="44"/>
  <c r="BI12" i="31"/>
  <c r="C127" i="36"/>
  <c r="C127" i="41"/>
  <c r="C127" i="40"/>
  <c r="C127" i="44"/>
  <c r="BJ12" i="31"/>
  <c r="D127" i="36"/>
  <c r="D127" i="40"/>
  <c r="D127" i="44"/>
  <c r="BK12" i="31"/>
  <c r="E127" i="36"/>
  <c r="E127" i="40"/>
  <c r="E127" i="44"/>
  <c r="BL12" i="31"/>
  <c r="F127" i="36"/>
  <c r="F127" i="40"/>
  <c r="F127" i="44"/>
  <c r="BM12" i="31"/>
  <c r="G127" i="36"/>
  <c r="G127" i="40"/>
  <c r="G127" i="44"/>
  <c r="Y66" i="32"/>
  <c r="K12" i="33"/>
  <c r="Z66" i="32"/>
  <c r="L12" i="33"/>
  <c r="M12" i="33"/>
  <c r="AB12" i="33"/>
  <c r="H127" i="36"/>
  <c r="H127" i="41"/>
  <c r="H127" i="40"/>
  <c r="H127" i="44"/>
  <c r="AC12" i="33"/>
  <c r="I127" i="36"/>
  <c r="I127" i="41"/>
  <c r="I127" i="40"/>
  <c r="I127" i="44"/>
  <c r="AS19" i="24"/>
  <c r="AI12" i="25"/>
  <c r="AT19" i="24"/>
  <c r="AJ12" i="25"/>
  <c r="AK12" i="25"/>
  <c r="BX12" i="25"/>
  <c r="J127" i="36"/>
  <c r="J127" i="40"/>
  <c r="J127" i="44"/>
  <c r="BY12" i="25"/>
  <c r="K127" i="36"/>
  <c r="K127" i="40"/>
  <c r="K127" i="44"/>
  <c r="BZ12" i="25"/>
  <c r="L127" i="36"/>
  <c r="L127" i="40"/>
  <c r="L127" i="44"/>
  <c r="CA12" i="25"/>
  <c r="M127" i="36"/>
  <c r="M127" i="40"/>
  <c r="M127" i="44"/>
  <c r="CB12" i="25"/>
  <c r="N127" i="36"/>
  <c r="N127" i="40"/>
  <c r="N127" i="44"/>
  <c r="CC12" i="25"/>
  <c r="O127" i="36"/>
  <c r="O127" i="40"/>
  <c r="O127" i="44"/>
  <c r="CD12" i="25"/>
  <c r="P127" i="36"/>
  <c r="P127" i="41"/>
  <c r="P127" i="40"/>
  <c r="P127" i="44"/>
  <c r="CE12" i="25"/>
  <c r="Q127" i="36"/>
  <c r="Q127" i="41"/>
  <c r="Q127" i="40"/>
  <c r="Q127" i="44"/>
  <c r="E11" i="43"/>
  <c r="Y11" i="54"/>
  <c r="AR20" i="68"/>
  <c r="Y20" i="67"/>
  <c r="AS13" i="43"/>
  <c r="E13" i="63"/>
  <c r="Y13" i="43"/>
  <c r="O13" i="43"/>
  <c r="E13" i="58"/>
  <c r="AS32" i="43"/>
  <c r="E32" i="63"/>
  <c r="J32" i="43"/>
  <c r="E32" i="57"/>
  <c r="E25" i="71"/>
  <c r="W121" i="44"/>
  <c r="W129" i="44"/>
  <c r="S129" i="44"/>
  <c r="W148" i="44"/>
  <c r="S148" i="44"/>
  <c r="E16" i="71"/>
  <c r="Z19" i="69"/>
  <c r="E6" i="71"/>
  <c r="Z15" i="69"/>
  <c r="E14" i="71"/>
  <c r="Z41" i="69"/>
  <c r="E10" i="71"/>
  <c r="Z29" i="69"/>
  <c r="E33" i="56"/>
  <c r="E25" i="56"/>
  <c r="E34" i="56"/>
  <c r="Y32" i="43"/>
  <c r="Z21" i="69"/>
  <c r="Z13" i="69"/>
  <c r="Z31" i="69"/>
  <c r="E9" i="71"/>
  <c r="E7" i="56"/>
  <c r="E11" i="56"/>
  <c r="Z23" i="69"/>
  <c r="Z43" i="69"/>
  <c r="Z45" i="69"/>
  <c r="Z47" i="69"/>
  <c r="Z51" i="69"/>
  <c r="E6" i="56"/>
  <c r="E15" i="56"/>
  <c r="J13" i="43"/>
  <c r="E13" i="57"/>
  <c r="AI32" i="43"/>
  <c r="E32" i="61"/>
  <c r="E17" i="56"/>
  <c r="E21" i="56"/>
  <c r="Z7" i="69"/>
  <c r="O32" i="43"/>
  <c r="E32" i="58"/>
  <c r="AI13" i="43"/>
  <c r="E13" i="61"/>
  <c r="AI5" i="43"/>
  <c r="E5" i="61"/>
  <c r="Z37" i="69"/>
  <c r="E9" i="56"/>
  <c r="E10" i="56"/>
  <c r="Z55" i="69"/>
  <c r="E19" i="56"/>
  <c r="U148" i="40"/>
  <c r="U129" i="40"/>
  <c r="AD13" i="43"/>
  <c r="E13" i="60"/>
  <c r="AS17" i="43"/>
  <c r="E17" i="63"/>
  <c r="Y17" i="43"/>
  <c r="O17" i="43"/>
  <c r="E17" i="58"/>
  <c r="AS14" i="43"/>
  <c r="E14" i="63"/>
  <c r="J14" i="43"/>
  <c r="E14" i="57"/>
  <c r="E14" i="56"/>
  <c r="E8" i="71"/>
  <c r="AS11" i="43"/>
  <c r="E11" i="63"/>
  <c r="Y11" i="43"/>
  <c r="Y6" i="43"/>
  <c r="AS6" i="43"/>
  <c r="E6" i="63"/>
  <c r="J6" i="43"/>
  <c r="E6" i="57"/>
  <c r="AS34" i="43"/>
  <c r="E34" i="63"/>
  <c r="J34" i="43"/>
  <c r="E34" i="57"/>
  <c r="E27" i="71"/>
  <c r="AS18" i="43"/>
  <c r="E18" i="63"/>
  <c r="J18" i="43"/>
  <c r="E18" i="57"/>
  <c r="E18" i="56"/>
  <c r="AS7" i="43"/>
  <c r="E7" i="63"/>
  <c r="Y7" i="43"/>
  <c r="O7" i="43"/>
  <c r="E7" i="58"/>
  <c r="AS9" i="43"/>
  <c r="E9" i="63"/>
  <c r="Y9" i="43"/>
  <c r="E26" i="71"/>
  <c r="AS33" i="43"/>
  <c r="E33" i="63"/>
  <c r="Y33" i="43"/>
  <c r="Y10" i="43"/>
  <c r="AS10" i="43"/>
  <c r="E10" i="63"/>
  <c r="J10" i="43"/>
  <c r="E10" i="57"/>
  <c r="AS15" i="43"/>
  <c r="E15" i="63"/>
  <c r="Y15" i="43"/>
  <c r="O15" i="43"/>
  <c r="E15" i="58"/>
  <c r="AS19" i="43"/>
  <c r="E19" i="63"/>
  <c r="Y19" i="43"/>
  <c r="O19" i="43"/>
  <c r="E19" i="58"/>
  <c r="AS25" i="43"/>
  <c r="E25" i="63"/>
  <c r="Y25" i="43"/>
  <c r="O25" i="43"/>
  <c r="E25" i="58"/>
  <c r="AS20" i="43"/>
  <c r="E20" i="63"/>
  <c r="J20" i="43"/>
  <c r="E20" i="57"/>
  <c r="E20" i="56"/>
  <c r="AS21" i="43"/>
  <c r="E21" i="63"/>
  <c r="Y21" i="43"/>
  <c r="O21" i="43"/>
  <c r="E21" i="58"/>
  <c r="AN32" i="43"/>
  <c r="E32" i="62"/>
  <c r="AI17" i="43"/>
  <c r="E17" i="61"/>
  <c r="E13" i="71"/>
  <c r="O14" i="43"/>
  <c r="E14" i="58"/>
  <c r="AI11" i="43"/>
  <c r="E11" i="61"/>
  <c r="J11" i="43"/>
  <c r="E11" i="57"/>
  <c r="E3" i="71"/>
  <c r="AI34" i="43"/>
  <c r="E34" i="61"/>
  <c r="Y34" i="43"/>
  <c r="O18" i="43"/>
  <c r="E18" i="58"/>
  <c r="AI7" i="43"/>
  <c r="E7" i="61"/>
  <c r="E4" i="71"/>
  <c r="O9" i="43"/>
  <c r="E9" i="58"/>
  <c r="AI33" i="43"/>
  <c r="E33" i="61"/>
  <c r="J33" i="43"/>
  <c r="E33" i="57"/>
  <c r="E7" i="71"/>
  <c r="AI15" i="43"/>
  <c r="E15" i="61"/>
  <c r="E11" i="71"/>
  <c r="J19" i="43"/>
  <c r="E19" i="57"/>
  <c r="AI25" i="43"/>
  <c r="E25" i="61"/>
  <c r="E20" i="71"/>
  <c r="O20" i="43"/>
  <c r="E20" i="58"/>
  <c r="AI21" i="43"/>
  <c r="E21" i="61"/>
  <c r="E17" i="71"/>
  <c r="AN5" i="43"/>
  <c r="E5" i="62"/>
  <c r="X148" i="44"/>
  <c r="X129" i="44"/>
  <c r="AN13" i="43"/>
  <c r="E13" i="62"/>
  <c r="U129" i="44"/>
  <c r="U148" i="44"/>
  <c r="AD32" i="43"/>
  <c r="E32" i="60"/>
  <c r="W135" i="44"/>
  <c r="S135" i="44"/>
  <c r="W141" i="44"/>
  <c r="S141" i="44"/>
  <c r="W136" i="44"/>
  <c r="S136" i="44"/>
  <c r="W137" i="44"/>
  <c r="S137" i="44"/>
  <c r="W133" i="44"/>
  <c r="S133" i="44"/>
  <c r="W130" i="44"/>
  <c r="S130" i="44"/>
  <c r="W127" i="44"/>
  <c r="S127" i="44"/>
  <c r="W122" i="44"/>
  <c r="S122" i="44"/>
  <c r="W134" i="44"/>
  <c r="S134" i="44"/>
  <c r="W123" i="44"/>
  <c r="S123" i="44"/>
  <c r="W125" i="44"/>
  <c r="S125" i="44"/>
  <c r="W149" i="44"/>
  <c r="S149" i="44"/>
  <c r="W126" i="44"/>
  <c r="S126" i="44"/>
  <c r="W131" i="44"/>
  <c r="S131" i="44"/>
  <c r="W150" i="44"/>
  <c r="S150" i="44"/>
  <c r="X121" i="44"/>
  <c r="AI20" i="43"/>
  <c r="E20" i="61"/>
  <c r="AI19" i="43"/>
  <c r="E19" i="61"/>
  <c r="J25" i="43"/>
  <c r="E25" i="57"/>
  <c r="Y20" i="43"/>
  <c r="AI14" i="43"/>
  <c r="E14" i="61"/>
  <c r="AI6" i="43"/>
  <c r="E6" i="61"/>
  <c r="AI18" i="43"/>
  <c r="E18" i="61"/>
  <c r="O33" i="43"/>
  <c r="E33" i="58"/>
  <c r="AI10" i="43"/>
  <c r="E10" i="61"/>
  <c r="CF14" i="25"/>
  <c r="CF33" i="25"/>
  <c r="CF6" i="25"/>
  <c r="J21" i="43"/>
  <c r="E21" i="57"/>
  <c r="E15" i="71"/>
  <c r="J15" i="43"/>
  <c r="E15" i="57"/>
  <c r="O10" i="43"/>
  <c r="E10" i="58"/>
  <c r="V121" i="36"/>
  <c r="J9" i="43"/>
  <c r="E9" i="57"/>
  <c r="AI9" i="43"/>
  <c r="E9" i="61"/>
  <c r="J7" i="43"/>
  <c r="E7" i="57"/>
  <c r="Y18" i="43"/>
  <c r="O34" i="43"/>
  <c r="E34" i="58"/>
  <c r="O6" i="43"/>
  <c r="E6" i="58"/>
  <c r="O11" i="43"/>
  <c r="E11" i="58"/>
  <c r="Y14" i="43"/>
  <c r="J17" i="43"/>
  <c r="E17" i="57"/>
  <c r="T119" i="36"/>
  <c r="V129" i="36"/>
  <c r="V148" i="36"/>
  <c r="U150" i="40"/>
  <c r="U131" i="40"/>
  <c r="U126" i="40"/>
  <c r="U149" i="40"/>
  <c r="U125" i="40"/>
  <c r="U123" i="40"/>
  <c r="U134" i="40"/>
  <c r="U122" i="40"/>
  <c r="U127" i="40"/>
  <c r="U130" i="40"/>
  <c r="U133" i="40"/>
  <c r="U137" i="40"/>
  <c r="U136" i="40"/>
  <c r="U141" i="40"/>
  <c r="U135" i="40"/>
  <c r="AD18" i="43"/>
  <c r="E18" i="60"/>
  <c r="AD34" i="43"/>
  <c r="E34" i="60"/>
  <c r="AN15" i="43"/>
  <c r="E15" i="62"/>
  <c r="AN20" i="43"/>
  <c r="E20" i="62"/>
  <c r="AN9" i="43"/>
  <c r="E9" i="62"/>
  <c r="AD21" i="43"/>
  <c r="E21" i="60"/>
  <c r="AN21" i="43"/>
  <c r="E21" i="62"/>
  <c r="AD7" i="43"/>
  <c r="E7" i="60"/>
  <c r="AN7" i="43"/>
  <c r="E7" i="62"/>
  <c r="AD19" i="43"/>
  <c r="E19" i="60"/>
  <c r="AN19" i="43"/>
  <c r="E19" i="62"/>
  <c r="AD9" i="43"/>
  <c r="E9" i="60"/>
  <c r="AN25" i="43"/>
  <c r="E25" i="62"/>
  <c r="AN18" i="43"/>
  <c r="E18" i="62"/>
  <c r="AN34" i="43"/>
  <c r="E34" i="62"/>
  <c r="X123" i="44"/>
  <c r="X134" i="44"/>
  <c r="X149" i="44"/>
  <c r="AN33" i="43"/>
  <c r="E33" i="62"/>
  <c r="U136" i="44"/>
  <c r="AD20" i="43"/>
  <c r="E20" i="60"/>
  <c r="U141" i="44"/>
  <c r="AD25" i="43"/>
  <c r="E25" i="60"/>
  <c r="U131" i="44"/>
  <c r="AD15" i="43"/>
  <c r="E15" i="60"/>
  <c r="X122" i="44"/>
  <c r="X136" i="44"/>
  <c r="X131" i="44"/>
  <c r="X125" i="44"/>
  <c r="X127" i="44"/>
  <c r="X150" i="44"/>
  <c r="X137" i="44"/>
  <c r="X135" i="44"/>
  <c r="AD14" i="43"/>
  <c r="E14" i="60"/>
  <c r="AN14" i="43"/>
  <c r="E14" i="62"/>
  <c r="U130" i="44"/>
  <c r="X133" i="44"/>
  <c r="X130" i="44"/>
  <c r="AN17" i="43"/>
  <c r="E17" i="62"/>
  <c r="X141" i="44"/>
  <c r="U150" i="44"/>
  <c r="AN6" i="43"/>
  <c r="E6" i="62"/>
  <c r="U134" i="44"/>
  <c r="U137" i="44"/>
  <c r="U135" i="44"/>
  <c r="U125" i="44"/>
  <c r="U123" i="44"/>
  <c r="U127" i="44"/>
  <c r="CF15" i="25"/>
  <c r="CF34" i="25"/>
  <c r="CF16" i="25"/>
  <c r="CF20" i="25"/>
  <c r="CF26" i="25"/>
  <c r="CF21" i="25"/>
  <c r="CF22" i="25"/>
  <c r="CF10" i="25"/>
  <c r="CF18" i="25"/>
  <c r="CF12" i="25"/>
  <c r="CF7" i="25"/>
  <c r="CF11" i="25"/>
  <c r="CF35" i="25"/>
  <c r="CF19" i="25"/>
  <c r="CF8" i="25"/>
  <c r="BN4" i="31"/>
  <c r="BN5" i="31"/>
  <c r="T3" i="43"/>
  <c r="E3" i="59"/>
  <c r="T4" i="43"/>
  <c r="E4" i="59"/>
  <c r="AD11" i="43"/>
  <c r="E11" i="60"/>
  <c r="AN10" i="43"/>
  <c r="E10" i="62"/>
  <c r="T120" i="36"/>
  <c r="V149" i="36"/>
  <c r="V126" i="36"/>
  <c r="V131" i="36"/>
  <c r="V135" i="36"/>
  <c r="V141" i="36"/>
  <c r="V136" i="36"/>
  <c r="V137" i="36"/>
  <c r="AD17" i="43"/>
  <c r="E17" i="60"/>
  <c r="AD33" i="43"/>
  <c r="E33" i="60"/>
  <c r="AN11" i="43"/>
  <c r="E11" i="62"/>
  <c r="AD6" i="43"/>
  <c r="E6" i="60"/>
  <c r="AD10" i="43"/>
  <c r="E10" i="60"/>
  <c r="V133" i="36"/>
  <c r="V130" i="36"/>
  <c r="V127" i="36"/>
  <c r="V122" i="36"/>
  <c r="V150" i="36"/>
  <c r="V134" i="36"/>
  <c r="V123" i="36"/>
  <c r="V125" i="36"/>
  <c r="U133" i="44"/>
  <c r="U149" i="44"/>
  <c r="U122" i="44"/>
  <c r="X126" i="44"/>
  <c r="U126" i="44"/>
  <c r="V120" i="44"/>
  <c r="BN6" i="31"/>
  <c r="BN14" i="31"/>
  <c r="BN13" i="31"/>
  <c r="BN24" i="31"/>
  <c r="T23" i="43"/>
  <c r="E23" i="59"/>
  <c r="BN29" i="31"/>
  <c r="BN32" i="31"/>
  <c r="BN23" i="31"/>
  <c r="BN28" i="31"/>
  <c r="BN33" i="31"/>
  <c r="T5" i="43"/>
  <c r="E5" i="59"/>
  <c r="T31" i="43"/>
  <c r="E31" i="59"/>
  <c r="T12" i="43"/>
  <c r="E12" i="59"/>
  <c r="T121" i="36"/>
  <c r="T147" i="36"/>
  <c r="T138" i="36"/>
  <c r="T143" i="36"/>
  <c r="T128" i="36"/>
  <c r="T13" i="43"/>
  <c r="E13" i="59"/>
  <c r="T22" i="43"/>
  <c r="E22" i="59"/>
  <c r="T27" i="43"/>
  <c r="E27" i="59"/>
  <c r="T144" i="36"/>
  <c r="T129" i="36"/>
  <c r="T148" i="36"/>
  <c r="T139" i="36"/>
  <c r="U129" i="36"/>
  <c r="U128" i="36"/>
  <c r="T28" i="43"/>
  <c r="E28" i="59"/>
  <c r="T32" i="43"/>
  <c r="E32" i="59"/>
  <c r="V121" i="44"/>
  <c r="Z121" i="44"/>
  <c r="V122" i="44"/>
  <c r="Z122" i="44"/>
  <c r="V123" i="44"/>
  <c r="Z123" i="44"/>
  <c r="V124" i="44"/>
  <c r="Z124" i="44"/>
  <c r="V125" i="44"/>
  <c r="Z125" i="44"/>
  <c r="V126" i="44"/>
  <c r="Z126" i="44"/>
  <c r="V127" i="44"/>
  <c r="Z127" i="44"/>
  <c r="V129" i="44"/>
  <c r="Z129" i="44"/>
  <c r="V130" i="44"/>
  <c r="Z130" i="44"/>
  <c r="V131" i="44"/>
  <c r="Z131" i="44"/>
  <c r="V132" i="44"/>
  <c r="Z132" i="44"/>
  <c r="V133" i="44"/>
  <c r="Z133" i="44"/>
  <c r="V134" i="44"/>
  <c r="Z134" i="44"/>
  <c r="V135" i="44"/>
  <c r="Z135" i="44"/>
  <c r="V136" i="44"/>
  <c r="Z136" i="44"/>
  <c r="V137" i="44"/>
  <c r="Z137" i="44"/>
  <c r="V139" i="44"/>
  <c r="Z139" i="44"/>
  <c r="V140" i="44"/>
  <c r="Z140" i="44"/>
  <c r="V141" i="44"/>
  <c r="Z141" i="44"/>
  <c r="V142" i="44"/>
  <c r="Z142" i="44"/>
  <c r="V144" i="44"/>
  <c r="Z144" i="44"/>
  <c r="V145" i="44"/>
  <c r="Z145" i="44"/>
  <c r="V146" i="44"/>
  <c r="Z146" i="44"/>
  <c r="V148" i="44"/>
  <c r="Z148" i="44"/>
  <c r="V149" i="44"/>
  <c r="Z149" i="44"/>
  <c r="V150" i="44"/>
  <c r="Z150" i="44"/>
  <c r="V151" i="44"/>
  <c r="Z151" i="44"/>
  <c r="Z153" i="44"/>
  <c r="V128" i="44"/>
  <c r="V138" i="44"/>
  <c r="V143" i="44"/>
  <c r="V147" i="44"/>
  <c r="AD13" i="33"/>
  <c r="AD14" i="33"/>
  <c r="T130" i="36"/>
  <c r="T131" i="36"/>
  <c r="T150" i="36"/>
  <c r="U139" i="36"/>
  <c r="U143" i="36"/>
  <c r="T132" i="36"/>
  <c r="T142" i="36"/>
  <c r="T134" i="36"/>
  <c r="T123" i="36"/>
  <c r="T151" i="36"/>
  <c r="U147" i="36"/>
  <c r="T140" i="36"/>
  <c r="U138" i="36"/>
  <c r="U148" i="36"/>
  <c r="U144" i="36"/>
  <c r="AD29" i="33"/>
  <c r="AD33" i="33"/>
  <c r="AD23" i="33"/>
  <c r="BN25" i="31"/>
  <c r="BN19" i="31"/>
  <c r="BN27" i="31"/>
  <c r="BN17" i="31"/>
  <c r="AD28" i="33"/>
  <c r="AD32" i="33"/>
  <c r="AD24" i="33"/>
  <c r="BN35" i="31"/>
  <c r="BN16" i="31"/>
  <c r="BN15" i="31"/>
  <c r="BN36" i="31"/>
  <c r="BN8" i="31"/>
  <c r="AD17" i="33"/>
  <c r="T24" i="43"/>
  <c r="E24" i="59"/>
  <c r="BN9" i="31"/>
  <c r="BN20" i="31"/>
  <c r="BN10" i="31"/>
  <c r="BN22" i="31"/>
  <c r="BN26" i="31"/>
  <c r="T11" i="43"/>
  <c r="E11" i="59"/>
  <c r="BN7" i="31"/>
  <c r="BN30" i="31"/>
  <c r="BN11" i="31"/>
  <c r="BN31" i="31"/>
  <c r="BN21" i="31"/>
  <c r="BN12" i="31"/>
  <c r="BN34" i="31"/>
  <c r="T26" i="43"/>
  <c r="E26" i="59"/>
  <c r="BN18" i="31"/>
  <c r="T8" i="43"/>
  <c r="E8" i="59"/>
  <c r="T9" i="43"/>
  <c r="E9" i="59"/>
  <c r="T30" i="43"/>
  <c r="E30" i="59"/>
  <c r="T33" i="43"/>
  <c r="E33" i="59"/>
  <c r="T29" i="43"/>
  <c r="E29" i="59"/>
  <c r="T6" i="43"/>
  <c r="E6" i="59"/>
  <c r="T15" i="43"/>
  <c r="E15" i="59"/>
  <c r="T18" i="43"/>
  <c r="E18" i="59"/>
  <c r="T16" i="43"/>
  <c r="E16" i="59"/>
  <c r="T7" i="43"/>
  <c r="E7" i="59"/>
  <c r="T17" i="43"/>
  <c r="E17" i="59"/>
  <c r="T124" i="36"/>
  <c r="T135" i="36"/>
  <c r="T137" i="36"/>
  <c r="T136" i="36"/>
  <c r="T133" i="36"/>
  <c r="T141" i="36"/>
  <c r="U133" i="36"/>
  <c r="T34" i="43"/>
  <c r="E34" i="59"/>
  <c r="T14" i="43"/>
  <c r="E14" i="59"/>
  <c r="T35" i="43"/>
  <c r="E35" i="59"/>
  <c r="T10" i="43"/>
  <c r="E10" i="59"/>
  <c r="T21" i="43"/>
  <c r="E21" i="59"/>
  <c r="T20" i="43"/>
  <c r="E20" i="59"/>
  <c r="T25" i="43"/>
  <c r="E25" i="59"/>
  <c r="U132" i="36"/>
  <c r="T122" i="36"/>
  <c r="T145" i="36"/>
  <c r="T126" i="36"/>
  <c r="T125" i="36"/>
  <c r="T146" i="36"/>
  <c r="T127" i="36"/>
  <c r="T149" i="36"/>
  <c r="U142" i="36"/>
  <c r="U150" i="36"/>
  <c r="U130" i="36"/>
  <c r="U151" i="36"/>
  <c r="U136" i="36"/>
  <c r="U140" i="36"/>
  <c r="U134" i="36"/>
  <c r="U149" i="36"/>
  <c r="U127" i="36"/>
  <c r="U146" i="36"/>
  <c r="U145" i="36"/>
  <c r="U131" i="36"/>
  <c r="U141" i="36"/>
  <c r="T19" i="43"/>
  <c r="E19" i="59"/>
  <c r="AD26" i="33"/>
  <c r="AD16" i="33"/>
  <c r="AD30" i="33"/>
  <c r="AD31" i="33"/>
  <c r="AD18" i="33"/>
  <c r="AD12" i="33"/>
  <c r="AD34" i="33"/>
  <c r="AD19" i="33"/>
  <c r="AD25" i="33"/>
  <c r="AD21" i="33"/>
  <c r="AD36" i="33"/>
  <c r="AD15" i="33"/>
  <c r="AD35" i="33"/>
  <c r="AD27" i="33"/>
  <c r="U124" i="36"/>
  <c r="U122" i="36"/>
  <c r="U137" i="36"/>
  <c r="U125" i="36"/>
  <c r="U135" i="36"/>
  <c r="U126" i="36"/>
  <c r="U123" i="36"/>
  <c r="AD8" i="33"/>
  <c r="AD11" i="33"/>
  <c r="AD20" i="33"/>
  <c r="AD10" i="33"/>
  <c r="AD22" i="33"/>
  <c r="AD7" i="33"/>
  <c r="AD9" i="33"/>
  <c r="AE57" i="26"/>
  <c r="AD57" i="26"/>
  <c r="Y57" i="32"/>
  <c r="AC10" i="24"/>
  <c r="AT10" i="24"/>
  <c r="AB10" i="24"/>
  <c r="AS10" i="24"/>
  <c r="Z57" i="32"/>
  <c r="AG119" i="44"/>
  <c r="AH119" i="44"/>
  <c r="AH194" i="44"/>
  <c r="AI119" i="44"/>
  <c r="AI194" i="44"/>
  <c r="AJ119" i="44"/>
  <c r="AJ194" i="44"/>
  <c r="AB151" i="44"/>
  <c r="AG151" i="44"/>
  <c r="AC151" i="44"/>
  <c r="AH151" i="44"/>
  <c r="AD151" i="44"/>
  <c r="AI151" i="44"/>
  <c r="AE151" i="44"/>
  <c r="AJ151" i="44"/>
  <c r="AL151" i="44"/>
  <c r="AB150" i="44"/>
  <c r="AG150" i="44"/>
  <c r="AC150" i="44"/>
  <c r="AH150" i="44"/>
  <c r="AD150" i="44"/>
  <c r="AI150" i="44"/>
  <c r="AE150" i="44"/>
  <c r="AJ150" i="44"/>
  <c r="AL150" i="44"/>
  <c r="AB149" i="44"/>
  <c r="AG149" i="44"/>
  <c r="AC149" i="44"/>
  <c r="AH149" i="44"/>
  <c r="AD149" i="44"/>
  <c r="AI149" i="44"/>
  <c r="AE149" i="44"/>
  <c r="AJ149" i="44"/>
  <c r="AL149" i="44"/>
  <c r="AB148" i="44"/>
  <c r="AG148" i="44"/>
  <c r="AC148" i="44"/>
  <c r="AH148" i="44"/>
  <c r="AD148" i="44"/>
  <c r="AI148" i="44"/>
  <c r="AE148" i="44"/>
  <c r="AJ148" i="44"/>
  <c r="AL148" i="44"/>
  <c r="AB147" i="44"/>
  <c r="AG147" i="44"/>
  <c r="AC147" i="44"/>
  <c r="AH147" i="44"/>
  <c r="AD147" i="44"/>
  <c r="AI147" i="44"/>
  <c r="AE147" i="44"/>
  <c r="AJ147" i="44"/>
  <c r="AL147" i="44"/>
  <c r="AB146" i="44"/>
  <c r="AG146" i="44"/>
  <c r="AC146" i="44"/>
  <c r="AH146" i="44"/>
  <c r="AD146" i="44"/>
  <c r="AI146" i="44"/>
  <c r="AE146" i="44"/>
  <c r="AJ146" i="44"/>
  <c r="AL146" i="44"/>
  <c r="AB145" i="44"/>
  <c r="AG145" i="44"/>
  <c r="AC145" i="44"/>
  <c r="AH145" i="44"/>
  <c r="AD145" i="44"/>
  <c r="AI145" i="44"/>
  <c r="AE145" i="44"/>
  <c r="AJ145" i="44"/>
  <c r="AL145" i="44"/>
  <c r="AB144" i="44"/>
  <c r="AG144" i="44"/>
  <c r="AC144" i="44"/>
  <c r="AH144" i="44"/>
  <c r="AD144" i="44"/>
  <c r="AI144" i="44"/>
  <c r="AE144" i="44"/>
  <c r="AJ144" i="44"/>
  <c r="AL144" i="44"/>
  <c r="AB143" i="44"/>
  <c r="AG143" i="44"/>
  <c r="AC143" i="44"/>
  <c r="AH143" i="44"/>
  <c r="AD143" i="44"/>
  <c r="AI143" i="44"/>
  <c r="AE143" i="44"/>
  <c r="AJ143" i="44"/>
  <c r="AL143" i="44"/>
  <c r="AB142" i="44"/>
  <c r="AG142" i="44"/>
  <c r="AC142" i="44"/>
  <c r="AH142" i="44"/>
  <c r="AD142" i="44"/>
  <c r="AI142" i="44"/>
  <c r="AE142" i="44"/>
  <c r="AJ142" i="44"/>
  <c r="AL142" i="44"/>
  <c r="AB141" i="44"/>
  <c r="AG141" i="44"/>
  <c r="AC141" i="44"/>
  <c r="AH141" i="44"/>
  <c r="AD141" i="44"/>
  <c r="AI141" i="44"/>
  <c r="AE141" i="44"/>
  <c r="AJ141" i="44"/>
  <c r="AL141" i="44"/>
  <c r="AB140" i="44"/>
  <c r="AG140" i="44"/>
  <c r="AC140" i="44"/>
  <c r="AH140" i="44"/>
  <c r="AD140" i="44"/>
  <c r="AI140" i="44"/>
  <c r="AE140" i="44"/>
  <c r="AJ140" i="44"/>
  <c r="AL140" i="44"/>
  <c r="AB139" i="44"/>
  <c r="AG139" i="44"/>
  <c r="AC139" i="44"/>
  <c r="AH139" i="44"/>
  <c r="AD139" i="44"/>
  <c r="AI139" i="44"/>
  <c r="AE139" i="44"/>
  <c r="AJ139" i="44"/>
  <c r="AL139" i="44"/>
  <c r="AB138" i="44"/>
  <c r="AG138" i="44"/>
  <c r="AC138" i="44"/>
  <c r="AH138" i="44"/>
  <c r="AD138" i="44"/>
  <c r="AI138" i="44"/>
  <c r="AE138" i="44"/>
  <c r="AJ138" i="44"/>
  <c r="AL138" i="44"/>
  <c r="AB137" i="44"/>
  <c r="AG137" i="44"/>
  <c r="AC137" i="44"/>
  <c r="AH137" i="44"/>
  <c r="AD137" i="44"/>
  <c r="AI137" i="44"/>
  <c r="AE137" i="44"/>
  <c r="AJ137" i="44"/>
  <c r="AL137" i="44"/>
  <c r="AB136" i="44"/>
  <c r="AG136" i="44"/>
  <c r="AC136" i="44"/>
  <c r="AH136" i="44"/>
  <c r="AD136" i="44"/>
  <c r="AI136" i="44"/>
  <c r="AE136" i="44"/>
  <c r="AJ136" i="44"/>
  <c r="AL136" i="44"/>
  <c r="AB135" i="44"/>
  <c r="AG135" i="44"/>
  <c r="AC135" i="44"/>
  <c r="AH135" i="44"/>
  <c r="AD135" i="44"/>
  <c r="AI135" i="44"/>
  <c r="AE135" i="44"/>
  <c r="AJ135" i="44"/>
  <c r="AL135" i="44"/>
  <c r="AB134" i="44"/>
  <c r="AG134" i="44"/>
  <c r="AC134" i="44"/>
  <c r="AH134" i="44"/>
  <c r="AD134" i="44"/>
  <c r="AI134" i="44"/>
  <c r="AE134" i="44"/>
  <c r="AJ134" i="44"/>
  <c r="AL134" i="44"/>
  <c r="AB133" i="44"/>
  <c r="AG133" i="44"/>
  <c r="AC133" i="44"/>
  <c r="AH133" i="44"/>
  <c r="AD133" i="44"/>
  <c r="AI133" i="44"/>
  <c r="AE133" i="44"/>
  <c r="AJ133" i="44"/>
  <c r="AL133" i="44"/>
  <c r="AB132" i="44"/>
  <c r="AG132" i="44"/>
  <c r="AC132" i="44"/>
  <c r="AH132" i="44"/>
  <c r="AD132" i="44"/>
  <c r="AI132" i="44"/>
  <c r="AE132" i="44"/>
  <c r="AJ132" i="44"/>
  <c r="AL132" i="44"/>
  <c r="AB131" i="44"/>
  <c r="AG131" i="44"/>
  <c r="AC131" i="44"/>
  <c r="AH131" i="44"/>
  <c r="AD131" i="44"/>
  <c r="AI131" i="44"/>
  <c r="AE131" i="44"/>
  <c r="AJ131" i="44"/>
  <c r="AL131" i="44"/>
  <c r="AB130" i="44"/>
  <c r="AG130" i="44"/>
  <c r="AC130" i="44"/>
  <c r="AH130" i="44"/>
  <c r="AD130" i="44"/>
  <c r="AI130" i="44"/>
  <c r="AE130" i="44"/>
  <c r="AJ130" i="44"/>
  <c r="AL130" i="44"/>
  <c r="AB129" i="44"/>
  <c r="AG129" i="44"/>
  <c r="AC129" i="44"/>
  <c r="AH129" i="44"/>
  <c r="AD129" i="44"/>
  <c r="AI129" i="44"/>
  <c r="AE129" i="44"/>
  <c r="AJ129" i="44"/>
  <c r="AL129" i="44"/>
  <c r="AB128" i="44"/>
  <c r="AG128" i="44"/>
  <c r="AC128" i="44"/>
  <c r="AH128" i="44"/>
  <c r="AD128" i="44"/>
  <c r="AI128" i="44"/>
  <c r="AE128" i="44"/>
  <c r="AJ128" i="44"/>
  <c r="AL128" i="44"/>
  <c r="AB127" i="44"/>
  <c r="AG127" i="44"/>
  <c r="AC127" i="44"/>
  <c r="AH127" i="44"/>
  <c r="AD127" i="44"/>
  <c r="AI127" i="44"/>
  <c r="AE127" i="44"/>
  <c r="AJ127" i="44"/>
  <c r="AL127" i="44"/>
  <c r="AB126" i="44"/>
  <c r="AG126" i="44"/>
  <c r="AC126" i="44"/>
  <c r="AH126" i="44"/>
  <c r="AD126" i="44"/>
  <c r="AI126" i="44"/>
  <c r="AE126" i="44"/>
  <c r="AJ126" i="44"/>
  <c r="AL126" i="44"/>
  <c r="AB125" i="44"/>
  <c r="AG125" i="44"/>
  <c r="AC125" i="44"/>
  <c r="AH125" i="44"/>
  <c r="AD125" i="44"/>
  <c r="AI125" i="44"/>
  <c r="AE125" i="44"/>
  <c r="AJ125" i="44"/>
  <c r="AL125" i="44"/>
  <c r="AB124" i="44"/>
  <c r="AG124" i="44"/>
  <c r="AC124" i="44"/>
  <c r="AH124" i="44"/>
  <c r="AD124" i="44"/>
  <c r="AI124" i="44"/>
  <c r="AE124" i="44"/>
  <c r="AJ124" i="44"/>
  <c r="AL124" i="44"/>
  <c r="AB123" i="44"/>
  <c r="AG123" i="44"/>
  <c r="AC123" i="44"/>
  <c r="AH123" i="44"/>
  <c r="AD123" i="44"/>
  <c r="AI123" i="44"/>
  <c r="AE123" i="44"/>
  <c r="AJ123" i="44"/>
  <c r="AL123" i="44"/>
  <c r="AB122" i="44"/>
  <c r="AG122" i="44"/>
  <c r="AC122" i="44"/>
  <c r="AH122" i="44"/>
  <c r="AD122" i="44"/>
  <c r="AI122" i="44"/>
  <c r="AE122" i="44"/>
  <c r="AJ122" i="44"/>
  <c r="AL122" i="44"/>
  <c r="AB121" i="44"/>
  <c r="AG121" i="44"/>
  <c r="AC121" i="44"/>
  <c r="AH121" i="44"/>
  <c r="AD121" i="44"/>
  <c r="AI121" i="44"/>
  <c r="AE121" i="44"/>
  <c r="AJ121" i="44"/>
  <c r="AL121" i="44"/>
  <c r="AB120" i="44"/>
  <c r="AG120" i="44"/>
  <c r="AC120" i="44"/>
  <c r="AH120" i="44"/>
  <c r="AD120" i="44"/>
  <c r="AI120" i="44"/>
  <c r="AE120" i="44"/>
  <c r="AJ120" i="44"/>
  <c r="AL120" i="44"/>
  <c r="AL119" i="44"/>
  <c r="AN43" i="44"/>
  <c r="AQ43" i="44"/>
  <c r="AP43" i="44"/>
  <c r="AO43" i="44"/>
  <c r="AQ75" i="44"/>
  <c r="AP75" i="44"/>
  <c r="AO75" i="44"/>
  <c r="AN75" i="44"/>
  <c r="AQ74" i="44"/>
  <c r="AP74" i="44"/>
  <c r="AO74" i="44"/>
  <c r="AN74" i="44"/>
  <c r="AQ73" i="44"/>
  <c r="AP73" i="44"/>
  <c r="AO73" i="44"/>
  <c r="AN73" i="44"/>
  <c r="AQ72" i="44"/>
  <c r="AP72" i="44"/>
  <c r="AO72" i="44"/>
  <c r="AN72" i="44"/>
  <c r="AQ71" i="44"/>
  <c r="AP71" i="44"/>
  <c r="AO71" i="44"/>
  <c r="AN71" i="44"/>
  <c r="AQ70" i="44"/>
  <c r="AP70" i="44"/>
  <c r="AO70" i="44"/>
  <c r="AN70" i="44"/>
  <c r="AQ69" i="44"/>
  <c r="AP69" i="44"/>
  <c r="AO69" i="44"/>
  <c r="AN69" i="44"/>
  <c r="AQ68" i="44"/>
  <c r="AP68" i="44"/>
  <c r="AO68" i="44"/>
  <c r="AN68" i="44"/>
  <c r="AQ67" i="44"/>
  <c r="AP67" i="44"/>
  <c r="AO67" i="44"/>
  <c r="AN67" i="44"/>
  <c r="AQ66" i="44"/>
  <c r="AP66" i="44"/>
  <c r="AO66" i="44"/>
  <c r="AN66" i="44"/>
  <c r="AQ65" i="44"/>
  <c r="AP65" i="44"/>
  <c r="AO65" i="44"/>
  <c r="AN65" i="44"/>
  <c r="AQ64" i="44"/>
  <c r="AP64" i="44"/>
  <c r="AO64" i="44"/>
  <c r="AN64" i="44"/>
  <c r="AQ63" i="44"/>
  <c r="AP63" i="44"/>
  <c r="AO63" i="44"/>
  <c r="AN63" i="44"/>
  <c r="AQ62" i="44"/>
  <c r="AP62" i="44"/>
  <c r="AO62" i="44"/>
  <c r="AN62" i="44"/>
  <c r="AQ61" i="44"/>
  <c r="AP61" i="44"/>
  <c r="AO61" i="44"/>
  <c r="AN61" i="44"/>
  <c r="AQ60" i="44"/>
  <c r="AP60" i="44"/>
  <c r="AO60" i="44"/>
  <c r="AN60" i="44"/>
  <c r="AQ59" i="44"/>
  <c r="AP59" i="44"/>
  <c r="AO59" i="44"/>
  <c r="AN59" i="44"/>
  <c r="AQ58" i="44"/>
  <c r="AP58" i="44"/>
  <c r="AO58" i="44"/>
  <c r="AN58" i="44"/>
  <c r="AQ57" i="44"/>
  <c r="AP57" i="44"/>
  <c r="AO57" i="44"/>
  <c r="AN57" i="44"/>
  <c r="AQ56" i="44"/>
  <c r="AP56" i="44"/>
  <c r="AO56" i="44"/>
  <c r="AN56" i="44"/>
  <c r="AQ55" i="44"/>
  <c r="AP55" i="44"/>
  <c r="AO55" i="44"/>
  <c r="AN55" i="44"/>
  <c r="AQ54" i="44"/>
  <c r="AP54" i="44"/>
  <c r="AO54" i="44"/>
  <c r="AN54" i="44"/>
  <c r="AQ53" i="44"/>
  <c r="AP53" i="44"/>
  <c r="AO53" i="44"/>
  <c r="AN53" i="44"/>
  <c r="AQ52" i="44"/>
  <c r="AP52" i="44"/>
  <c r="AO52" i="44"/>
  <c r="AN52" i="44"/>
  <c r="AQ51" i="44"/>
  <c r="AP51" i="44"/>
  <c r="AO51" i="44"/>
  <c r="AN51" i="44"/>
  <c r="AQ50" i="44"/>
  <c r="AP50" i="44"/>
  <c r="AO50" i="44"/>
  <c r="AN50" i="44"/>
  <c r="AQ49" i="44"/>
  <c r="AP49" i="44"/>
  <c r="AO49" i="44"/>
  <c r="AN49" i="44"/>
  <c r="AQ48" i="44"/>
  <c r="AP48" i="44"/>
  <c r="AO48" i="44"/>
  <c r="AN48" i="44"/>
  <c r="AQ47" i="44"/>
  <c r="AP47" i="44"/>
  <c r="AO47" i="44"/>
  <c r="AN47" i="44"/>
  <c r="AQ46" i="44"/>
  <c r="AP46" i="44"/>
  <c r="AO46" i="44"/>
  <c r="AN46" i="44"/>
  <c r="AQ45" i="44"/>
  <c r="AP45" i="44"/>
  <c r="AO45" i="44"/>
  <c r="AN45" i="44"/>
  <c r="AQ44" i="44"/>
  <c r="AP44" i="44"/>
  <c r="AO44" i="44"/>
  <c r="AN44" i="44"/>
  <c r="AS43" i="44"/>
  <c r="AS44" i="44"/>
  <c r="AV75" i="44"/>
  <c r="AU75" i="44"/>
  <c r="AT75" i="44"/>
  <c r="AV74" i="44"/>
  <c r="AU74" i="44"/>
  <c r="AT74" i="44"/>
  <c r="AV73" i="44"/>
  <c r="AU73" i="44"/>
  <c r="AT73" i="44"/>
  <c r="AV72" i="44"/>
  <c r="AU72" i="44"/>
  <c r="AT72" i="44"/>
  <c r="AV71" i="44"/>
  <c r="AU71" i="44"/>
  <c r="AT71" i="44"/>
  <c r="AV70" i="44"/>
  <c r="AU70" i="44"/>
  <c r="AT70" i="44"/>
  <c r="AV69" i="44"/>
  <c r="AU69" i="44"/>
  <c r="AT69" i="44"/>
  <c r="AV68" i="44"/>
  <c r="AU68" i="44"/>
  <c r="AT68" i="44"/>
  <c r="AV67" i="44"/>
  <c r="AU67" i="44"/>
  <c r="AT67" i="44"/>
  <c r="AV66" i="44"/>
  <c r="AU66" i="44"/>
  <c r="AT66" i="44"/>
  <c r="AV65" i="44"/>
  <c r="AU65" i="44"/>
  <c r="AT65" i="44"/>
  <c r="AV64" i="44"/>
  <c r="AU64" i="44"/>
  <c r="AT64" i="44"/>
  <c r="AV63" i="44"/>
  <c r="AU63" i="44"/>
  <c r="AT63" i="44"/>
  <c r="AV62" i="44"/>
  <c r="AU62" i="44"/>
  <c r="AT62" i="44"/>
  <c r="AV61" i="44"/>
  <c r="AU61" i="44"/>
  <c r="AT61" i="44"/>
  <c r="AV60" i="44"/>
  <c r="AU60" i="44"/>
  <c r="AT60" i="44"/>
  <c r="AV59" i="44"/>
  <c r="AU59" i="44"/>
  <c r="AT59" i="44"/>
  <c r="AV58" i="44"/>
  <c r="AU58" i="44"/>
  <c r="AT58" i="44"/>
  <c r="AV57" i="44"/>
  <c r="AU57" i="44"/>
  <c r="AT57" i="44"/>
  <c r="AV56" i="44"/>
  <c r="AU56" i="44"/>
  <c r="AT56" i="44"/>
  <c r="AV55" i="44"/>
  <c r="AU55" i="44"/>
  <c r="AT55" i="44"/>
  <c r="AV54" i="44"/>
  <c r="AU54" i="44"/>
  <c r="AT54" i="44"/>
  <c r="AV53" i="44"/>
  <c r="AU53" i="44"/>
  <c r="AT53" i="44"/>
  <c r="AV52" i="44"/>
  <c r="AU52" i="44"/>
  <c r="AT52" i="44"/>
  <c r="AV51" i="44"/>
  <c r="AU51" i="44"/>
  <c r="AT51" i="44"/>
  <c r="AV50" i="44"/>
  <c r="AU50" i="44"/>
  <c r="AT50" i="44"/>
  <c r="AV49" i="44"/>
  <c r="AU49" i="44"/>
  <c r="AT49" i="44"/>
  <c r="AV48" i="44"/>
  <c r="AU48" i="44"/>
  <c r="AT48" i="44"/>
  <c r="AV47" i="44"/>
  <c r="AU47" i="44"/>
  <c r="AT47" i="44"/>
  <c r="AV46" i="44"/>
  <c r="AU46" i="44"/>
  <c r="AT46" i="44"/>
  <c r="AV45" i="44"/>
  <c r="AU45" i="44"/>
  <c r="AT45" i="44"/>
  <c r="AV44" i="44"/>
  <c r="AU44" i="44"/>
  <c r="AT44" i="44"/>
  <c r="AV43" i="44"/>
  <c r="AU43" i="44"/>
  <c r="AT43" i="44"/>
  <c r="AS45" i="44"/>
  <c r="AX45" i="44"/>
  <c r="AS51" i="44"/>
  <c r="AX51" i="44"/>
  <c r="AS50" i="44"/>
  <c r="AX50" i="44"/>
  <c r="AS49" i="44"/>
  <c r="AX49" i="44"/>
  <c r="AS48" i="44"/>
  <c r="AX48" i="44"/>
  <c r="AS47" i="44"/>
  <c r="AX47" i="44"/>
  <c r="AS46" i="44"/>
  <c r="AX46" i="44"/>
  <c r="AS69" i="44"/>
  <c r="AX69" i="44"/>
  <c r="AS68" i="44"/>
  <c r="AX68" i="44"/>
  <c r="AS67" i="44"/>
  <c r="AX67" i="44"/>
  <c r="AS66" i="44"/>
  <c r="AX66" i="44"/>
  <c r="AS65" i="44"/>
  <c r="AX65" i="44"/>
  <c r="AS64" i="44"/>
  <c r="AX64" i="44"/>
  <c r="AS63" i="44"/>
  <c r="AX63" i="44"/>
  <c r="AS62" i="44"/>
  <c r="AX62" i="44"/>
  <c r="AS61" i="44"/>
  <c r="AX61" i="44"/>
  <c r="AS60" i="44"/>
  <c r="AX60" i="44"/>
  <c r="AS59" i="44"/>
  <c r="AX59" i="44"/>
  <c r="AS58" i="44"/>
  <c r="AX58" i="44"/>
  <c r="AS57" i="44"/>
  <c r="AX57" i="44"/>
  <c r="AS56" i="44"/>
  <c r="AX56" i="44"/>
  <c r="AS55" i="44"/>
  <c r="AX55" i="44"/>
  <c r="AS54" i="44"/>
  <c r="AX54" i="44"/>
  <c r="AS53" i="44"/>
  <c r="AX53" i="44"/>
  <c r="AS52" i="44"/>
  <c r="AX52" i="44"/>
  <c r="AS75" i="44"/>
  <c r="AX75" i="44"/>
  <c r="AS74" i="44"/>
  <c r="AX74" i="44"/>
  <c r="AS73" i="44"/>
  <c r="AX73" i="44"/>
  <c r="AS72" i="44"/>
  <c r="AX72" i="44"/>
  <c r="AS71" i="44"/>
  <c r="AX71" i="44"/>
  <c r="AS70" i="44"/>
  <c r="AX70" i="44"/>
  <c r="K5" i="29" l="1"/>
  <c r="AA60" i="32" l="1"/>
  <c r="N6" i="33" s="1"/>
  <c r="H159" i="38"/>
  <c r="H158" i="38" s="1"/>
  <c r="H157" i="38" s="1"/>
  <c r="AB60" i="32"/>
  <c r="O6" i="33" s="1"/>
  <c r="I159" i="38"/>
  <c r="I158" i="38" s="1"/>
  <c r="I157" i="38" s="1"/>
  <c r="K4" i="29"/>
  <c r="AF159" i="37"/>
  <c r="AA59" i="32" l="1"/>
  <c r="N5" i="33" s="1"/>
  <c r="AB59" i="32"/>
  <c r="O5" i="33" s="1"/>
  <c r="K3" i="29"/>
  <c r="P6" i="33"/>
  <c r="AF6" i="33" s="1"/>
  <c r="I159" i="36" s="1"/>
  <c r="I159" i="40" s="1"/>
  <c r="I159" i="44" s="1"/>
  <c r="AE6" i="33"/>
  <c r="H159" i="36" l="1"/>
  <c r="AG6" i="33"/>
  <c r="AA58" i="32"/>
  <c r="N4" i="33" s="1"/>
  <c r="AB58" i="32"/>
  <c r="O4" i="33" s="1"/>
  <c r="AF157" i="37"/>
  <c r="P5" i="33"/>
  <c r="AF5" i="33" s="1"/>
  <c r="I158" i="36" s="1"/>
  <c r="I158" i="40" s="1"/>
  <c r="I158" i="44" s="1"/>
  <c r="AE5" i="33"/>
  <c r="H158" i="36" l="1"/>
  <c r="AG5" i="33"/>
  <c r="AG182" i="37"/>
  <c r="AG167" i="37"/>
  <c r="AG177" i="37"/>
  <c r="AG186" i="37"/>
  <c r="AG187" i="37"/>
  <c r="AG170" i="37"/>
  <c r="AG179" i="37"/>
  <c r="AG175" i="37"/>
  <c r="AG163" i="37"/>
  <c r="AG174" i="37"/>
  <c r="AG160" i="37"/>
  <c r="AG188" i="37"/>
  <c r="AG171" i="37"/>
  <c r="AG178" i="37"/>
  <c r="AG162" i="37"/>
  <c r="AG173" i="37"/>
  <c r="AG183" i="37"/>
  <c r="AG180" i="37"/>
  <c r="AG164" i="37"/>
  <c r="AG168" i="37"/>
  <c r="AG184" i="37"/>
  <c r="AG161" i="37"/>
  <c r="AG165" i="37"/>
  <c r="AG169" i="37"/>
  <c r="AG189" i="37"/>
  <c r="AG172" i="37"/>
  <c r="AG159" i="37"/>
  <c r="P4" i="33"/>
  <c r="AF4" i="33" s="1"/>
  <c r="I157" i="36" s="1"/>
  <c r="I157" i="40" s="1"/>
  <c r="I157" i="44" s="1"/>
  <c r="AE4" i="33"/>
  <c r="H159" i="40"/>
  <c r="H159" i="44" s="1"/>
  <c r="U159" i="36"/>
  <c r="AB159" i="44" l="1"/>
  <c r="AG159" i="44" s="1"/>
  <c r="U159" i="44"/>
  <c r="H157" i="36"/>
  <c r="AG4" i="33"/>
  <c r="H158" i="40"/>
  <c r="H158" i="44" s="1"/>
  <c r="U158" i="36"/>
  <c r="AB158" i="44" l="1"/>
  <c r="AG158" i="44" s="1"/>
  <c r="U158" i="44"/>
  <c r="H157" i="40"/>
  <c r="H157" i="44" s="1"/>
  <c r="U157" i="36"/>
  <c r="AB157" i="44" l="1"/>
  <c r="U157" i="44"/>
  <c r="U194" i="44" s="1"/>
  <c r="AG157" i="44" l="1"/>
  <c r="AG194" i="44" s="1"/>
  <c r="AB194" i="4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Tiago</author>
  </authors>
  <commentList>
    <comment ref="D4" authorId="0" shapeId="0" xr:uid="{00000000-0006-0000-1300-000001000000}">
      <text>
        <r>
          <rPr>
            <b/>
            <sz val="9"/>
            <color indexed="81"/>
            <rFont val="Tahoma"/>
            <family val="2"/>
          </rPr>
          <t>Tiago: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4" authorId="0" shapeId="0" xr:uid="{00000000-0006-0000-1300-000002000000}">
      <text>
        <r>
          <rPr>
            <b/>
            <sz val="9"/>
            <color indexed="81"/>
            <rFont val="Tahoma"/>
            <family val="2"/>
          </rPr>
          <t>Tiago: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<sst xmlns="http://schemas.openxmlformats.org/spreadsheetml/2006/main" count="8930" uniqueCount="575">
  <si>
    <t>TIPO</t>
  </si>
  <si>
    <t>TOTAL</t>
  </si>
  <si>
    <t>PEDESTRE</t>
  </si>
  <si>
    <t>CICLISTA</t>
  </si>
  <si>
    <t>MOTOCICLETA</t>
  </si>
  <si>
    <t>TRICICLO</t>
  </si>
  <si>
    <t>VEÍCULO LEVE</t>
  </si>
  <si>
    <t>CAMINHÃO</t>
  </si>
  <si>
    <t>ÔNIBUS</t>
  </si>
  <si>
    <t>OUTROS</t>
  </si>
  <si>
    <t>ANO</t>
  </si>
  <si>
    <t>Brasil</t>
  </si>
  <si>
    <t>N</t>
  </si>
  <si>
    <t>Acre</t>
  </si>
  <si>
    <t>Amapá</t>
  </si>
  <si>
    <t>Amazonas</t>
  </si>
  <si>
    <t>Pará</t>
  </si>
  <si>
    <t>Rondônia</t>
  </si>
  <si>
    <t>Roraima</t>
  </si>
  <si>
    <t>Tocantins</t>
  </si>
  <si>
    <t>NE</t>
  </si>
  <si>
    <t>Alagoas</t>
  </si>
  <si>
    <t>Bahia</t>
  </si>
  <si>
    <t>Ceará</t>
  </si>
  <si>
    <t>Maranhão</t>
  </si>
  <si>
    <t>Paraíba</t>
  </si>
  <si>
    <t>Pernambuco</t>
  </si>
  <si>
    <t>Piauí</t>
  </si>
  <si>
    <t>Rio Grande do Norte</t>
  </si>
  <si>
    <t>Sergipe</t>
  </si>
  <si>
    <t>SE</t>
  </si>
  <si>
    <t>Espírito Santo</t>
  </si>
  <si>
    <t>Minas Gerais</t>
  </si>
  <si>
    <t>Rio de Janeiro</t>
  </si>
  <si>
    <t>São Paulo</t>
  </si>
  <si>
    <t>S</t>
  </si>
  <si>
    <t>Paraná</t>
  </si>
  <si>
    <t>Rio Grande do Sul</t>
  </si>
  <si>
    <t>Santa Catarina</t>
  </si>
  <si>
    <t>CO</t>
  </si>
  <si>
    <t>Distrito Federal</t>
  </si>
  <si>
    <t>Goiás</t>
  </si>
  <si>
    <t>Mato Grosso</t>
  </si>
  <si>
    <t>Mato Grosso do Sul</t>
  </si>
  <si>
    <t>Unidaddes da federação</t>
  </si>
  <si>
    <t>Mortes por 100mil hab</t>
  </si>
  <si>
    <t>Região Norte</t>
  </si>
  <si>
    <t>.. Acre</t>
  </si>
  <si>
    <t>.. Amapá</t>
  </si>
  <si>
    <t>.. Amazonas</t>
  </si>
  <si>
    <t>.. Pará</t>
  </si>
  <si>
    <t>.. Rondônia</t>
  </si>
  <si>
    <t>.. Roraima</t>
  </si>
  <si>
    <t>.. Tocantins</t>
  </si>
  <si>
    <t>Região Nordeste</t>
  </si>
  <si>
    <t>.. Alagoas</t>
  </si>
  <si>
    <t>.. Bahia</t>
  </si>
  <si>
    <t>.. Ceará</t>
  </si>
  <si>
    <t>.. Maranhão</t>
  </si>
  <si>
    <t>.. Paraíba</t>
  </si>
  <si>
    <t>.. Pernambuco</t>
  </si>
  <si>
    <t>.. Piauí</t>
  </si>
  <si>
    <t>.. Rio Grande do Norte</t>
  </si>
  <si>
    <t>.. Sergipe</t>
  </si>
  <si>
    <t>Região Sudeste</t>
  </si>
  <si>
    <t>.. Espírito Santo</t>
  </si>
  <si>
    <t>.. Minas Gerais</t>
  </si>
  <si>
    <t>.. Rio de Janeiro</t>
  </si>
  <si>
    <t>.. São Paulo</t>
  </si>
  <si>
    <t>Região Sul</t>
  </si>
  <si>
    <t>.. Paraná</t>
  </si>
  <si>
    <t>.. Rio Grande do Sul</t>
  </si>
  <si>
    <t>.. Santa Catarina</t>
  </si>
  <si>
    <t>Região Centro-Oeste</t>
  </si>
  <si>
    <t>.. Distrito Federal</t>
  </si>
  <si>
    <t>.. Goiás</t>
  </si>
  <si>
    <t>.. Mato Grosso</t>
  </si>
  <si>
    <t>.. Mato Grosso do Sul</t>
  </si>
  <si>
    <t>AUTOMÓVEL</t>
  </si>
  <si>
    <t>CAMINHONETE</t>
  </si>
  <si>
    <t>ANIMAL</t>
  </si>
  <si>
    <t>TOTAL - SOMA</t>
  </si>
  <si>
    <t>NÃO MOTORIZADOS</t>
  </si>
  <si>
    <t>VEÍCULOS LEVES</t>
  </si>
  <si>
    <t>Unidade da Federação"</t>
  </si>
  <si>
    <t>Total</t>
  </si>
  <si>
    <t>BRASIL</t>
  </si>
  <si>
    <t>NORTE</t>
  </si>
  <si>
    <t>NORDESTE</t>
  </si>
  <si>
    <t xml:space="preserve"> Bahia</t>
  </si>
  <si>
    <t>SUDESTE</t>
  </si>
  <si>
    <t>SUL</t>
  </si>
  <si>
    <t>CENTRO-OESTE</t>
  </si>
  <si>
    <t xml:space="preserve"> Fonte: MS/SVS/CGIAE - Sistema de Informações sobre Mortalidade - SIM</t>
  </si>
  <si>
    <t xml:space="preserve"> Nota:</t>
  </si>
  <si>
    <t>Quilometragem total percorrida pela frota em 2009</t>
  </si>
  <si>
    <t>SOMA</t>
  </si>
  <si>
    <t>GASOLINA</t>
  </si>
  <si>
    <t>ÁLCOOL</t>
  </si>
  <si>
    <t>DIESEL</t>
  </si>
  <si>
    <t>GNV</t>
  </si>
  <si>
    <t>automóvel</t>
  </si>
  <si>
    <t>comercial leve</t>
  </si>
  <si>
    <t>motocicleta</t>
  </si>
  <si>
    <t>caminhão</t>
  </si>
  <si>
    <t>ônibus</t>
  </si>
  <si>
    <t>≤115</t>
  </si>
  <si>
    <t>&gt;115 e ≤250</t>
  </si>
  <si>
    <t>&gt;250 e ≤500</t>
  </si>
  <si>
    <t>&gt;500</t>
  </si>
  <si>
    <t xml:space="preserve">leve </t>
  </si>
  <si>
    <t xml:space="preserve">médio </t>
  </si>
  <si>
    <t xml:space="preserve">pesado </t>
  </si>
  <si>
    <t>micro</t>
  </si>
  <si>
    <t>rodoviário</t>
  </si>
  <si>
    <t>urbano</t>
  </si>
  <si>
    <t>Quilometragem total percorrida pela frota em 2010</t>
  </si>
  <si>
    <t>MEDIA 2010-2011-2012</t>
  </si>
  <si>
    <t>Quilometragem total percorrida pela frota em 2011</t>
  </si>
  <si>
    <t>Quilometragem total percorrida pela frota em 2012</t>
  </si>
  <si>
    <t>Quilometragem total percorrida pela frota em 2013</t>
  </si>
  <si>
    <t>TODO PERÍODO</t>
  </si>
  <si>
    <t>Veículo leve</t>
  </si>
  <si>
    <t>Motocicleta</t>
  </si>
  <si>
    <t>Caminhão</t>
  </si>
  <si>
    <t>Ônibus</t>
  </si>
  <si>
    <t>Quilometragem média anual em 2004</t>
  </si>
  <si>
    <t>Quilometragem média anual em 2005</t>
  </si>
  <si>
    <t>Quilometragem média anual em 2006</t>
  </si>
  <si>
    <t>Quilometragem média anual em 2007</t>
  </si>
  <si>
    <t>Quilometragem média anual em 2008</t>
  </si>
  <si>
    <t>Frota de veículos, por tipo e com placa, segundo as Grandes Regiões e Unidades da Federação - Junho/2009</t>
  </si>
  <si>
    <t>Grandes Regiões e
Unidades da Federação</t>
  </si>
  <si>
    <t>CAMINHÃO TRATOR</t>
  </si>
  <si>
    <t>CAMIONETA</t>
  </si>
  <si>
    <t>MICROÔNIBUS</t>
  </si>
  <si>
    <t>MOTONETA</t>
  </si>
  <si>
    <t>UTILITÁRIO</t>
  </si>
  <si>
    <t>Norte</t>
  </si>
  <si>
    <t xml:space="preserve">Acre </t>
  </si>
  <si>
    <t xml:space="preserve">Amapá </t>
  </si>
  <si>
    <t xml:space="preserve">Pará </t>
  </si>
  <si>
    <t xml:space="preserve">Rondônia </t>
  </si>
  <si>
    <t>Nordeste</t>
  </si>
  <si>
    <t xml:space="preserve">Maranhão </t>
  </si>
  <si>
    <t xml:space="preserve">Paraíba </t>
  </si>
  <si>
    <t xml:space="preserve">Pernambuco </t>
  </si>
  <si>
    <t xml:space="preserve">Rio Grande do Norte </t>
  </si>
  <si>
    <t>Sudeste</t>
  </si>
  <si>
    <t xml:space="preserve">Minas Gerais </t>
  </si>
  <si>
    <t xml:space="preserve">São Paulo </t>
  </si>
  <si>
    <t>Sul</t>
  </si>
  <si>
    <t xml:space="preserve">Rio Grande do Sul </t>
  </si>
  <si>
    <t>Centro-Oeste</t>
  </si>
  <si>
    <t>Frota de veículos, por tipo e com placa, segundo as Grandes Regiões e Unidades da Federação - Junho/2010</t>
  </si>
  <si>
    <t>Frota de veículos, por tipo e com placa, segundo as Grandes Regiões e Unidades da Federação - Junho/2011</t>
  </si>
  <si>
    <t>Frota de veículos, por tipo e com placa, segundo as Grandes Regiões e Unidades da Federação -Junho/2012</t>
  </si>
  <si>
    <t>Frota de veículos, por tipo e com placa, segundo as Grandes Regiões e Unidades da Federação - Junho/2013</t>
  </si>
  <si>
    <t>COMBUSTÍVEL</t>
  </si>
  <si>
    <t>GASOLINA C (litros)</t>
  </si>
  <si>
    <t>ÁLCOOL HIDRATADO (litros)</t>
  </si>
  <si>
    <t>ÓLEO DIESEL (litros)</t>
  </si>
  <si>
    <t>GNV (m³)</t>
  </si>
  <si>
    <t>ACRE</t>
  </si>
  <si>
    <t>AMAPÁ</t>
  </si>
  <si>
    <t>AMAZONAS</t>
  </si>
  <si>
    <t>PARÁ</t>
  </si>
  <si>
    <t>RONDÔNIA</t>
  </si>
  <si>
    <t>RORAIMA</t>
  </si>
  <si>
    <t>TOCANTINS</t>
  </si>
  <si>
    <t>ALAGOAS</t>
  </si>
  <si>
    <t>BAHIA</t>
  </si>
  <si>
    <t>CEARÁ</t>
  </si>
  <si>
    <t>MARANHÃO</t>
  </si>
  <si>
    <t>PARAÍBA</t>
  </si>
  <si>
    <t>PERNAMBUCO</t>
  </si>
  <si>
    <t>PIAUÍ</t>
  </si>
  <si>
    <t>RIO GRANDE DO NORTE</t>
  </si>
  <si>
    <t>SERGIPE</t>
  </si>
  <si>
    <t>ESPÍRITO SANTO</t>
  </si>
  <si>
    <t>MINAS GERAIS</t>
  </si>
  <si>
    <t>RIO DE JANEIRO</t>
  </si>
  <si>
    <t>SÃO PAULO</t>
  </si>
  <si>
    <t>PARANÁ</t>
  </si>
  <si>
    <t>RIO GRANDE DO SUL</t>
  </si>
  <si>
    <t>SANTA CATARINA</t>
  </si>
  <si>
    <t>DISTRITO FEDERAL</t>
  </si>
  <si>
    <t>GOIÁS</t>
  </si>
  <si>
    <t>MATO GROSSO</t>
  </si>
  <si>
    <t xml:space="preserve">MATO GROSSO DO SUL </t>
  </si>
  <si>
    <t>ÁLCOOL (l)</t>
  </si>
  <si>
    <t>Vendas - Site ANP</t>
  </si>
  <si>
    <t>% de cada estado nas vendas</t>
  </si>
  <si>
    <t>Fator de correção 1 - Valor Nacional - BEN2011</t>
  </si>
  <si>
    <t>Fator de correção 2 - Consumo não energético</t>
  </si>
  <si>
    <r>
      <t>Quantidade em 10</t>
    </r>
    <r>
      <rPr>
        <b/>
        <vertAlign val="superscript"/>
        <sz val="12"/>
        <color theme="1"/>
        <rFont val="Calibri"/>
        <family val="2"/>
        <scheme val="minor"/>
      </rPr>
      <t>3</t>
    </r>
    <r>
      <rPr>
        <b/>
        <sz val="12"/>
        <color theme="1"/>
        <rFont val="Calibri"/>
        <family val="2"/>
        <scheme val="minor"/>
      </rPr>
      <t xml:space="preserve"> metros cúbicos destinada ao transporte ferroviário</t>
    </r>
  </si>
  <si>
    <t>Valores dos balancos estaduais (litros)</t>
  </si>
  <si>
    <t>Estado</t>
  </si>
  <si>
    <t>Extensao Ferrovias</t>
  </si>
  <si>
    <t>Extensao Ferrovias (%)</t>
  </si>
  <si>
    <t>LITROS DE DIESEL PARA FERROVIAS ESTIMADO POR ESTADO</t>
  </si>
  <si>
    <t>LITROS DE DIESEL TOTAL VENDIDO POR ESTADO</t>
  </si>
  <si>
    <t>SP</t>
  </si>
  <si>
    <t>-</t>
  </si>
  <si>
    <t>MG</t>
  </si>
  <si>
    <t>GO</t>
  </si>
  <si>
    <t>DF</t>
  </si>
  <si>
    <t>BA</t>
  </si>
  <si>
    <t>ES</t>
  </si>
  <si>
    <t>RJ</t>
  </si>
  <si>
    <t>SC</t>
  </si>
  <si>
    <t>RS</t>
  </si>
  <si>
    <t>PR</t>
  </si>
  <si>
    <t>MA</t>
  </si>
  <si>
    <t>PI</t>
  </si>
  <si>
    <t>CE</t>
  </si>
  <si>
    <t>RN</t>
  </si>
  <si>
    <t>AL</t>
  </si>
  <si>
    <t>PB</t>
  </si>
  <si>
    <t>PE</t>
  </si>
  <si>
    <t>PA</t>
  </si>
  <si>
    <t>MS</t>
  </si>
  <si>
    <t>MT</t>
  </si>
  <si>
    <t>DIESEL (l)</t>
  </si>
  <si>
    <t>Fator de correção 1 - Valor Nacional - BEN</t>
  </si>
  <si>
    <t>Fator de correção 2 - Transformacao - BEN</t>
  </si>
  <si>
    <t>Fator de correção 3 - Setor Energetico - BEN</t>
  </si>
  <si>
    <t>Fator de correção 4 - Comercial - BEN</t>
  </si>
  <si>
    <t>Fator de correção 5 - Setor Publico - BEN</t>
  </si>
  <si>
    <t>Fator de correção 6 - Setor Industrial - BEN</t>
  </si>
  <si>
    <t>Outros usos do diesel</t>
  </si>
  <si>
    <t>Valor Nacional</t>
  </si>
  <si>
    <t>Transformação</t>
  </si>
  <si>
    <t>Setor energético</t>
  </si>
  <si>
    <t>Comercial</t>
  </si>
  <si>
    <t>Público</t>
  </si>
  <si>
    <t>Industrial</t>
  </si>
  <si>
    <t xml:space="preserve">Diesel agropecuário </t>
  </si>
  <si>
    <t>Fator de correção 7 - Diesel agropecuário</t>
  </si>
  <si>
    <t>1000litros</t>
  </si>
  <si>
    <t>%</t>
  </si>
  <si>
    <t>Diesel hidroviário</t>
  </si>
  <si>
    <t>Malha hidroviária de cada estado (km)</t>
  </si>
  <si>
    <t>Fator de correção 9 - Diesel hidroviário</t>
  </si>
  <si>
    <t>Diesel hidroviário - VALOR ESTADUAL</t>
  </si>
  <si>
    <t>km</t>
  </si>
  <si>
    <t>FATORES DE CORREÇÃO</t>
  </si>
  <si>
    <t>GASOLINA C - FATOR 1</t>
  </si>
  <si>
    <t>ÁLCOOL HIDRATADO - FATOR 1</t>
  </si>
  <si>
    <t>ÁLCOOL HIDRATADO - FATOR 2</t>
  </si>
  <si>
    <t xml:space="preserve">ÓLEO DIESEL - FATOR 1 </t>
  </si>
  <si>
    <t>ÓLEO DIESEL - FATOR 2</t>
  </si>
  <si>
    <t>ÓLEO DIESEL - FATOR 3</t>
  </si>
  <si>
    <t>ÓLEO DIESEL - FATOR 4</t>
  </si>
  <si>
    <t>ÓLEO DIESEL - FATOR 5</t>
  </si>
  <si>
    <t>ÓLEO DIESEL - FATOR 6</t>
  </si>
  <si>
    <t>ÓLEO DIESEL - FATOR 7</t>
  </si>
  <si>
    <t>ÓLEO DIESEL - FATOR 8</t>
  </si>
  <si>
    <t xml:space="preserve">ÓLEO DIESEL - FATOR 9 </t>
  </si>
  <si>
    <t xml:space="preserve">ÓLEO DIESEL - FATOR 10 </t>
  </si>
  <si>
    <t>Sem correção, pois o valor fornecido pela ANP por estado já exclui as vendas de gasolina para aviação e é maior que os valores do Balanço Energético</t>
  </si>
  <si>
    <t>Devido ao valor nacional fornecido no Balanço Energético ser maior que o dado estadual da ANP</t>
  </si>
  <si>
    <t>Devido ao consumo final não energético</t>
  </si>
  <si>
    <t>Devido ao diesel usado para transformação (geração de eletricidade)</t>
  </si>
  <si>
    <t>Devido ao diesel destinado ao setor energético</t>
  </si>
  <si>
    <t>Devido ao diesel destinado ao setor comercial</t>
  </si>
  <si>
    <t>Devido ao diesel destinado ao setor público</t>
  </si>
  <si>
    <t>Devido ao diesel destinado ao setor industrial</t>
  </si>
  <si>
    <t>Devido ao diesel destinado ao setor agropecuário</t>
  </si>
  <si>
    <t>Devido ao diesel destinado ao transporte ferroviário</t>
  </si>
  <si>
    <t>Devido ao diesel destinado ao setor aquaviário</t>
  </si>
  <si>
    <t>Row Labels</t>
  </si>
  <si>
    <t>AMAPA</t>
  </si>
  <si>
    <t>CEARA</t>
  </si>
  <si>
    <t>ESPIRITO SANTO</t>
  </si>
  <si>
    <t>GOIAS</t>
  </si>
  <si>
    <t>MARANHAO</t>
  </si>
  <si>
    <t>MATO GROSSO DO SUL</t>
  </si>
  <si>
    <t>PARA</t>
  </si>
  <si>
    <t>PARAIBA</t>
  </si>
  <si>
    <t>PARANA</t>
  </si>
  <si>
    <t>PIAUI</t>
  </si>
  <si>
    <t>RONDONIA</t>
  </si>
  <si>
    <t>SAO PAULO</t>
  </si>
  <si>
    <t>Grand Total</t>
  </si>
  <si>
    <t>ALCOOL</t>
  </si>
  <si>
    <t>ALCOOL/GAS NATURAL VEICULAR</t>
  </si>
  <si>
    <t>ALCOOL/GASOLINA</t>
  </si>
  <si>
    <t>DIESEL/GAS NATURAL VEICULAR</t>
  </si>
  <si>
    <t>GAS NATURAL VEICULAR</t>
  </si>
  <si>
    <t>GASOLINA/ALCOOL/GAS NATURAL</t>
  </si>
  <si>
    <t>GASOLINA/GAS NATURAL VEICULAR</t>
  </si>
  <si>
    <t>AUTOMOVEL</t>
  </si>
  <si>
    <t>CAMINHAO</t>
  </si>
  <si>
    <t>CAMINHAO TRATOR</t>
  </si>
  <si>
    <t>MICROONIBUS</t>
  </si>
  <si>
    <t>ONIBUS</t>
  </si>
  <si>
    <t>UTILITARIO</t>
  </si>
  <si>
    <t>AUTOMOVEL - GASOLINA</t>
  </si>
  <si>
    <t>AUTOMOVEL - FLEX</t>
  </si>
  <si>
    <t>AUTOMOVEL - ALCOOL</t>
  </si>
  <si>
    <t>AUTOMOVEL - DIESEL</t>
  </si>
  <si>
    <t>COMERCIAL LEVE - GASOLINA</t>
  </si>
  <si>
    <t>COMERCIAL LEVE - FLEX</t>
  </si>
  <si>
    <t>COMERCIAL LEVE - ALCOOL</t>
  </si>
  <si>
    <t>COMERCIAL LEVE - DIESEL</t>
  </si>
  <si>
    <t>AUTOMOVEL - TOTAL</t>
  </si>
  <si>
    <t>COMERCIAL LEVE - TOTAL</t>
  </si>
  <si>
    <t>AUTO + COMERCIAL LEVE - GASOLINA</t>
  </si>
  <si>
    <t>AUTO + COMERCIAL LEVE - FLEX</t>
  </si>
  <si>
    <t>AUTO + COMERCIAL LEVE - ALCOOL</t>
  </si>
  <si>
    <t>AUTO + COMERCIAL LEVE - DIESEL</t>
  </si>
  <si>
    <t>MOTONETA ≤115 - GASOLINA</t>
  </si>
  <si>
    <t>MOTO &gt;115 - GASOLINA</t>
  </si>
  <si>
    <t>MOTO &gt;115 e ≤250 - GASOLINA</t>
  </si>
  <si>
    <t>MOTO &gt;250 e ≤500 - GASOLINA</t>
  </si>
  <si>
    <t>MOTO &gt;500 - GASOLINA</t>
  </si>
  <si>
    <t>ONIBUS - DIESEL</t>
  </si>
  <si>
    <t>MICROONIBUS - DIESEL</t>
  </si>
  <si>
    <t>ONIBUS - DIESEL (URBANO)</t>
  </si>
  <si>
    <t>ONIBUS - DIESEL (RODOVIÁRIO)</t>
  </si>
  <si>
    <t>CAMINHÃO - DIESEL</t>
  </si>
  <si>
    <t>CAMINHÃO - DIESEL (PEQUENO)</t>
  </si>
  <si>
    <t>CAMINHÃO - DIESEL (MEDIO)</t>
  </si>
  <si>
    <t>CAMINHÃO - DIESEL (GRANDE)</t>
  </si>
  <si>
    <t>AUTOMÓVEIS A GASOLINA</t>
  </si>
  <si>
    <t>Subcategorias</t>
  </si>
  <si>
    <t>Taxa de consumo (km/l)</t>
  </si>
  <si>
    <t>Frota</t>
  </si>
  <si>
    <t>cupe/conversível</t>
  </si>
  <si>
    <t>cupe/conversível/sedan</t>
  </si>
  <si>
    <t>esportivo</t>
  </si>
  <si>
    <t>hatchback médio</t>
  </si>
  <si>
    <t>hatchback pequeno</t>
  </si>
  <si>
    <t>hatchback popular</t>
  </si>
  <si>
    <t>hatchback/sedan</t>
  </si>
  <si>
    <t>minivan</t>
  </si>
  <si>
    <t>sedan grande</t>
  </si>
  <si>
    <t>sedan médio</t>
  </si>
  <si>
    <t>sedan pequeno</t>
  </si>
  <si>
    <t>sedan popular</t>
  </si>
  <si>
    <t>sedan/SW</t>
  </si>
  <si>
    <t>sedan/SW/conversível</t>
  </si>
  <si>
    <t>sedan/SW/cupe</t>
  </si>
  <si>
    <t>SW</t>
  </si>
  <si>
    <t>SW popular</t>
  </si>
  <si>
    <t>utilitário</t>
  </si>
  <si>
    <t>Total/Média</t>
  </si>
  <si>
    <t>COMERCIAIS LEVES A GASOLINA</t>
  </si>
  <si>
    <t>Autonomia (km/l)</t>
  </si>
  <si>
    <t>furgão grande</t>
  </si>
  <si>
    <t>furgão pequeno</t>
  </si>
  <si>
    <t>furgão popular</t>
  </si>
  <si>
    <t>jeep</t>
  </si>
  <si>
    <t>pickup grande</t>
  </si>
  <si>
    <t>pickup média</t>
  </si>
  <si>
    <t>pickup pequena</t>
  </si>
  <si>
    <t>pickup popular</t>
  </si>
  <si>
    <t>utiliário esportivo</t>
  </si>
  <si>
    <t>utilitário/esportivo/popular</t>
  </si>
  <si>
    <t>van</t>
  </si>
  <si>
    <t>AUTOMÓVEIS FLEX</t>
  </si>
  <si>
    <t xml:space="preserve">sedan grande </t>
  </si>
  <si>
    <t>COMERCIAIS LEVES FLEX</t>
  </si>
  <si>
    <t>AUTOMÓVEIS A ÁLCOOL</t>
  </si>
  <si>
    <t>COMERCIAIS LEVES A ÁLCOOL</t>
  </si>
  <si>
    <t>AUTOMÓVEIS A DIESEL</t>
  </si>
  <si>
    <t>COMERCIAIS LEVES A DIESEL</t>
  </si>
  <si>
    <t>utilitário CC</t>
  </si>
  <si>
    <t>van/furgão</t>
  </si>
  <si>
    <t>PERCENTUAIS</t>
  </si>
  <si>
    <t>auto gasolina</t>
  </si>
  <si>
    <t>comercial leve gasolina</t>
  </si>
  <si>
    <t>auto flex</t>
  </si>
  <si>
    <t>comercial leve flex</t>
  </si>
  <si>
    <t>auto álcool</t>
  </si>
  <si>
    <t>comercial leve álcool</t>
  </si>
  <si>
    <t>auto diesel</t>
  </si>
  <si>
    <t>comercial leve diesel</t>
  </si>
  <si>
    <t>PERCENTUAIS - AUTOMÓVEIS</t>
  </si>
  <si>
    <t>PERCENTUAIS - COMERCIAIS LEVES</t>
  </si>
  <si>
    <t>PERCENTUAIS - GASOLINA</t>
  </si>
  <si>
    <t>PERCENTUAIS - FLEX</t>
  </si>
  <si>
    <t>PERCENTUAIS - ALCOOL</t>
  </si>
  <si>
    <t>auto alcool</t>
  </si>
  <si>
    <t>comercial leve alcool</t>
  </si>
  <si>
    <t>PERCENTUAIS - DIESEL</t>
  </si>
  <si>
    <t>Tipo de uso</t>
  </si>
  <si>
    <t>km média anual</t>
  </si>
  <si>
    <t>Motoboy</t>
  </si>
  <si>
    <t>Normal</t>
  </si>
  <si>
    <t>WBSD</t>
  </si>
  <si>
    <t>Vieira (2008)</t>
  </si>
  <si>
    <t>Reportagem Bom Dia Brasil</t>
  </si>
  <si>
    <t>CAMINHÕES</t>
  </si>
  <si>
    <t>chassis</t>
  </si>
  <si>
    <t>diversos</t>
  </si>
  <si>
    <t>leve</t>
  </si>
  <si>
    <t>médio</t>
  </si>
  <si>
    <t>pesado</t>
  </si>
  <si>
    <t>semi-leve</t>
  </si>
  <si>
    <t>semi-pesado</t>
  </si>
  <si>
    <t>Subcategorias agregadas</t>
  </si>
  <si>
    <t>chassi</t>
  </si>
  <si>
    <t>microonibus</t>
  </si>
  <si>
    <t>plataforma</t>
  </si>
  <si>
    <t>Unidades da Federação</t>
  </si>
  <si>
    <t>ESCOLHA</t>
  </si>
  <si>
    <t>Fonte: ANP/SBQ (Levantamento de Preços).</t>
  </si>
  <si>
    <t>Nota: Preços em valores correntes.</t>
  </si>
  <si>
    <t>¹Preços médios de 2001 calculados com base nos preços entre julho e dezembro.</t>
  </si>
  <si>
    <t>VEÍCULOS CONVERTIDOS PARA GNV</t>
  </si>
  <si>
    <t>****Em 2007 há um valor não especificado de 21002 conversões</t>
  </si>
  <si>
    <t>2013- fonte denatran</t>
  </si>
  <si>
    <t>Categorias de veículos</t>
  </si>
  <si>
    <t>TAXAS DE CONSUMO DE COMBUSTÍVEL (km/l)</t>
  </si>
  <si>
    <t>automóveis</t>
  </si>
  <si>
    <t>comerciais leves</t>
  </si>
  <si>
    <t>caminhão leve</t>
  </si>
  <si>
    <t>caminhão médio</t>
  </si>
  <si>
    <t>caminhão pesado</t>
  </si>
  <si>
    <t>microônibus</t>
  </si>
  <si>
    <t>ônibus rodoviário</t>
  </si>
  <si>
    <t>ônibus urbano</t>
  </si>
  <si>
    <t>FROTA EM 2004</t>
  </si>
  <si>
    <t>CALCULADA</t>
  </si>
  <si>
    <t>DENATRAN</t>
  </si>
  <si>
    <t>CONFERÊNCIA</t>
  </si>
  <si>
    <t>AUTO</t>
  </si>
  <si>
    <t>MOTO</t>
  </si>
  <si>
    <t>Volume/Frota</t>
  </si>
  <si>
    <t>AJUSTE</t>
  </si>
  <si>
    <t>Conferência</t>
  </si>
  <si>
    <t>CORREÇÃO FINAL</t>
  </si>
  <si>
    <t>FLEX</t>
  </si>
  <si>
    <t xml:space="preserve">ALCOOL </t>
  </si>
  <si>
    <t>FROTA EM 2005</t>
  </si>
  <si>
    <t>FROTA EM 2006</t>
  </si>
  <si>
    <t>FROTA EM 2007</t>
  </si>
  <si>
    <t>FROTA EM 2008</t>
  </si>
  <si>
    <t>Tipo</t>
  </si>
  <si>
    <t>Automóvel</t>
  </si>
  <si>
    <t>Comercial leve</t>
  </si>
  <si>
    <t>Automóvel flex</t>
  </si>
  <si>
    <t>Comercial leve flex</t>
  </si>
  <si>
    <t>COMERCIAL LEVE</t>
  </si>
  <si>
    <t>Consumo de gasolina</t>
  </si>
  <si>
    <t>% da gasolina total</t>
  </si>
  <si>
    <t>km/l</t>
  </si>
  <si>
    <t>Soma</t>
  </si>
  <si>
    <t>FROTA DE MOTOCICLETAS</t>
  </si>
  <si>
    <t>NORMALIZADO</t>
  </si>
  <si>
    <t>MOTOCICLETAS</t>
  </si>
  <si>
    <t>Leve</t>
  </si>
  <si>
    <t>Médio</t>
  </si>
  <si>
    <t>FROTA DE CAMINHÕES</t>
  </si>
  <si>
    <t>Consumo de diesel</t>
  </si>
  <si>
    <t>% do diesel total</t>
  </si>
  <si>
    <t>LEVE</t>
  </si>
  <si>
    <t>MÉDIO</t>
  </si>
  <si>
    <t>PESADO</t>
  </si>
  <si>
    <t>Rodoviário</t>
  </si>
  <si>
    <t>Urbano</t>
  </si>
  <si>
    <t>FROTA DE ÔNIBUS</t>
  </si>
  <si>
    <t>MICRO</t>
  </si>
  <si>
    <t xml:space="preserve">RODOVIÁRIO </t>
  </si>
  <si>
    <t>URBANO</t>
  </si>
  <si>
    <t>FROTA DE VEÍCULOS LEVES A DIESEL</t>
  </si>
  <si>
    <t>COMERCIAL</t>
  </si>
  <si>
    <t>VAZIA</t>
  </si>
  <si>
    <t>KM</t>
  </si>
  <si>
    <t>RODOV</t>
  </si>
  <si>
    <t>0)</t>
  </si>
  <si>
    <t>Consumo de álcool</t>
  </si>
  <si>
    <t>Distribuição dos combustíveis para as categorias de veículos - 2004</t>
  </si>
  <si>
    <t>Distribuição dos combustíveis para as categorias de veículos - 2005</t>
  </si>
  <si>
    <t>Distribuição dos combustíveis para as categorias de veículos - 2006</t>
  </si>
  <si>
    <t>Distribuição dos combustíveis para as categorias de veículos - 2007</t>
  </si>
  <si>
    <t>Distribuição dos combustíveis para as categorias de veículos - 2008</t>
  </si>
  <si>
    <t>Volume total de combustível - 2004 (p/ multiplicar pelo % da categoria)</t>
  </si>
  <si>
    <t>Volume total de combustível - 2005 (p/ multiplicar pelo % da categoria)</t>
  </si>
  <si>
    <t>Volume total de combustível - 2006 (p/ multiplicar pelo % da categoria)</t>
  </si>
  <si>
    <t>Volume total de combustível - 2007 (p/ multiplicar pelo % da categoria)</t>
  </si>
  <si>
    <t>Volume total de combustível - 2008 (p/ multiplicar pelo % da categoria)</t>
  </si>
  <si>
    <t>Taxas de consumo em 2004 (km/l)</t>
  </si>
  <si>
    <t>Taxas de consumo em 2005 (km/l)</t>
  </si>
  <si>
    <t>Taxas de consumo em 2006 (km/l)</t>
  </si>
  <si>
    <t>Taxas de consumo em 2007 (km/l)</t>
  </si>
  <si>
    <t>Taxas de consumo em 2008 (km/l)</t>
  </si>
  <si>
    <t>População - DATASUS</t>
  </si>
  <si>
    <t>IDH</t>
  </si>
  <si>
    <r>
      <t xml:space="preserve">PIB </t>
    </r>
    <r>
      <rPr>
        <b/>
        <i/>
        <sz val="10"/>
        <rFont val="Arial"/>
        <family val="2"/>
      </rPr>
      <t>per capta</t>
    </r>
  </si>
  <si>
    <t>Fonte: IBGE, em parceria com os Órgãos Estaduais de Estatística, Secretarias Estaduais de Governo e Superintendência da Zona Franca de Manaus - SUFRAMA.</t>
  </si>
  <si>
    <t xml:space="preserve">Frota </t>
  </si>
  <si>
    <t>Índice de motorização</t>
  </si>
  <si>
    <t>Mortes por 100mil veículos</t>
  </si>
  <si>
    <r>
      <t>Mortes/10</t>
    </r>
    <r>
      <rPr>
        <b/>
        <vertAlign val="superscript"/>
        <sz val="10"/>
        <color theme="1"/>
        <rFont val="Arial"/>
        <family val="2"/>
      </rPr>
      <t>9</t>
    </r>
    <r>
      <rPr>
        <b/>
        <sz val="10"/>
        <color theme="1"/>
        <rFont val="Arial"/>
        <family val="2"/>
      </rPr>
      <t>km</t>
    </r>
  </si>
  <si>
    <t>Mortes</t>
  </si>
  <si>
    <t>Mortes/100mil hab</t>
  </si>
  <si>
    <t>Mortes/100mil veic</t>
  </si>
  <si>
    <t>Veic/hab</t>
  </si>
  <si>
    <r>
      <t xml:space="preserve">PIB </t>
    </r>
    <r>
      <rPr>
        <b/>
        <i/>
        <sz val="10"/>
        <color theme="1"/>
        <rFont val="Arial"/>
        <family val="2"/>
      </rPr>
      <t>per capta</t>
    </r>
  </si>
  <si>
    <t>Estados</t>
  </si>
  <si>
    <t>Veic/100hab</t>
  </si>
  <si>
    <r>
      <t xml:space="preserve">PIB </t>
    </r>
    <r>
      <rPr>
        <b/>
        <i/>
        <sz val="10"/>
        <color theme="1"/>
        <rFont val="Arial"/>
        <family val="2"/>
      </rPr>
      <t>per capta/</t>
    </r>
    <r>
      <rPr>
        <b/>
        <sz val="10"/>
        <color theme="1"/>
        <rFont val="Arial"/>
        <family val="2"/>
      </rPr>
      <t>100</t>
    </r>
  </si>
  <si>
    <t>IDHx100</t>
  </si>
  <si>
    <t>Veic/200hab</t>
  </si>
  <si>
    <r>
      <t xml:space="preserve">PIB </t>
    </r>
    <r>
      <rPr>
        <b/>
        <i/>
        <sz val="10"/>
        <color theme="1"/>
        <rFont val="Arial"/>
        <family val="2"/>
      </rPr>
      <t>per capita/5</t>
    </r>
    <r>
      <rPr>
        <b/>
        <sz val="10"/>
        <color theme="1"/>
        <rFont val="Arial"/>
        <family val="2"/>
      </rPr>
      <t>00</t>
    </r>
  </si>
  <si>
    <t>q</t>
  </si>
  <si>
    <t>PIB per capta/100</t>
  </si>
  <si>
    <t>(1º)</t>
  </si>
  <si>
    <t>(27º)</t>
  </si>
  <si>
    <t>(8º)</t>
  </si>
  <si>
    <t>(3º)</t>
  </si>
  <si>
    <t>(º)</t>
  </si>
  <si>
    <t>(11º)</t>
  </si>
  <si>
    <t>(10º)</t>
  </si>
  <si>
    <t>(2º)</t>
  </si>
  <si>
    <t>(23º)</t>
  </si>
  <si>
    <t>(14º)</t>
  </si>
  <si>
    <t>(5º)</t>
  </si>
  <si>
    <t>(12º)</t>
  </si>
  <si>
    <t>(9º)</t>
  </si>
  <si>
    <t>(17º)</t>
  </si>
  <si>
    <t>(21º)</t>
  </si>
  <si>
    <t>(4º)</t>
  </si>
  <si>
    <t>(20º)</t>
  </si>
  <si>
    <t>(26º)</t>
  </si>
  <si>
    <t>(22º)</t>
  </si>
  <si>
    <t>(24º)</t>
  </si>
  <si>
    <t>(13º)</t>
  </si>
  <si>
    <t>(16º)</t>
  </si>
  <si>
    <t>(6º)</t>
  </si>
  <si>
    <t>(19º)</t>
  </si>
  <si>
    <t>(7º)</t>
  </si>
  <si>
    <t>(18º)</t>
  </si>
  <si>
    <t>(15º)</t>
  </si>
  <si>
    <t>(25º)</t>
  </si>
  <si>
    <t xml:space="preserve">Mato Grosso </t>
  </si>
  <si>
    <t>Espirito Santo</t>
  </si>
  <si>
    <t>Paraiba</t>
  </si>
  <si>
    <t>Ranking</t>
  </si>
  <si>
    <t>1º</t>
  </si>
  <si>
    <t>2º</t>
  </si>
  <si>
    <t>3º</t>
  </si>
  <si>
    <t>4º</t>
  </si>
  <si>
    <t>5º</t>
  </si>
  <si>
    <t>6º</t>
  </si>
  <si>
    <t>7º</t>
  </si>
  <si>
    <t>8º</t>
  </si>
  <si>
    <t>9º</t>
  </si>
  <si>
    <t>10º</t>
  </si>
  <si>
    <t>11º</t>
  </si>
  <si>
    <t>12º</t>
  </si>
  <si>
    <t>13º</t>
  </si>
  <si>
    <t>14º</t>
  </si>
  <si>
    <t>15º</t>
  </si>
  <si>
    <t>16º</t>
  </si>
  <si>
    <t>17º</t>
  </si>
  <si>
    <t>18º</t>
  </si>
  <si>
    <t>19º</t>
  </si>
  <si>
    <t>20º</t>
  </si>
  <si>
    <t>21º</t>
  </si>
  <si>
    <t>22º</t>
  </si>
  <si>
    <t>23º</t>
  </si>
  <si>
    <t>24º</t>
  </si>
  <si>
    <t>25º</t>
  </si>
  <si>
    <t>26º</t>
  </si>
  <si>
    <t>27º</t>
  </si>
  <si>
    <t>UF</t>
  </si>
  <si>
    <t>AC</t>
  </si>
  <si>
    <t>AP</t>
  </si>
  <si>
    <t>AM</t>
  </si>
  <si>
    <t>RO</t>
  </si>
  <si>
    <t>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</si>
</sst>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-* #,##0.00_-;\-* #,##0.00_-;_-* &quot;-&quot;??_-;_-@_-"/>
    <numFmt numFmtId="164" formatCode="0.0%"/>
    <numFmt numFmtId="165" formatCode="#,##0.000"/>
    <numFmt numFmtId="166" formatCode="0.000"/>
    <numFmt numFmtId="167" formatCode="_(* #,##0_);_(* \(#,##0\);_(* &quot;-&quot;??_);_(@_)"/>
    <numFmt numFmtId="168" formatCode="0.0"/>
    <numFmt numFmtId="169" formatCode="#,##0.0"/>
    <numFmt numFmtId="170" formatCode="#,##0.0000"/>
    <numFmt numFmtId="171" formatCode="#,##0.00000"/>
    <numFmt numFmtId="172" formatCode="_(* #,##0.00_);_(* \(#,##0.00\);_(* &quot;-&quot;??_);_(@_)"/>
  </numFmts>
  <fonts count="44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name val="Arial"/>
      <family val="2"/>
    </font>
    <font>
      <b/>
      <sz val="10"/>
      <color theme="1"/>
      <name val="Arial"/>
      <family val="2"/>
    </font>
    <font>
      <sz val="10"/>
      <color rgb="FF000000"/>
      <name val="Arial"/>
      <family val="2"/>
    </font>
    <font>
      <b/>
      <sz val="10"/>
      <color indexed="8"/>
      <name val="Arial"/>
      <family val="2"/>
    </font>
    <font>
      <b/>
      <sz val="10"/>
      <color rgb="FF000000"/>
      <name val="Arial"/>
      <family val="2"/>
    </font>
    <font>
      <u/>
      <sz val="10"/>
      <color indexed="12"/>
      <name val="Arial"/>
      <family val="2"/>
    </font>
    <font>
      <sz val="10"/>
      <color indexed="8"/>
      <name val="Arial"/>
      <family val="2"/>
    </font>
    <font>
      <sz val="10"/>
      <color theme="1"/>
      <name val="Arial Unicode MS"/>
      <family val="2"/>
    </font>
    <font>
      <b/>
      <sz val="10"/>
      <color theme="1"/>
      <name val="Arial Unicode MS"/>
      <family val="2"/>
    </font>
    <font>
      <sz val="10"/>
      <name val="Univers 55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name val="Arial"/>
      <family val="2"/>
    </font>
    <font>
      <b/>
      <sz val="12"/>
      <color theme="1"/>
      <name val="Calibri"/>
      <family val="2"/>
      <scheme val="minor"/>
    </font>
    <font>
      <b/>
      <vertAlign val="superscript"/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vertAlign val="superscript"/>
      <sz val="10"/>
      <color theme="1"/>
      <name val="Arial"/>
      <family val="2"/>
    </font>
    <font>
      <b/>
      <i/>
      <sz val="10"/>
      <color theme="1"/>
      <name val="Arial"/>
      <family val="2"/>
    </font>
    <font>
      <sz val="9"/>
      <color theme="1"/>
      <name val="Arial"/>
      <family val="2"/>
    </font>
    <font>
      <b/>
      <sz val="11"/>
      <color theme="1"/>
      <name val="Arial"/>
      <family val="2"/>
    </font>
    <font>
      <sz val="12"/>
      <color rgb="FF074D8F"/>
      <name val="Times New Roman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Arial"/>
      <family val="2"/>
    </font>
    <font>
      <b/>
      <sz val="10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2"/>
      <color rgb="FF0000FF"/>
      <name val="Calibri"/>
      <family val="2"/>
      <scheme val="minor"/>
    </font>
    <font>
      <sz val="12"/>
      <color rgb="FF0000FF"/>
      <name val="Calibri"/>
      <family val="2"/>
      <scheme val="minor"/>
    </font>
    <font>
      <b/>
      <sz val="11"/>
      <color rgb="FFFF6600"/>
      <name val="Calibri"/>
      <family val="2"/>
      <scheme val="minor"/>
    </font>
    <font>
      <sz val="10"/>
      <color rgb="FFFF6600"/>
      <name val="Arial"/>
      <family val="2"/>
    </font>
    <font>
      <sz val="11"/>
      <color rgb="FFFF660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0"/>
      <name val="Arial"/>
      <family val="2"/>
    </font>
    <font>
      <sz val="11"/>
      <color rgb="FF000000"/>
      <name val="Calibri"/>
      <family val="2"/>
    </font>
    <font>
      <b/>
      <sz val="10"/>
      <color theme="1"/>
      <name val="Arial"/>
    </font>
    <font>
      <sz val="10"/>
      <color rgb="FF000000"/>
      <name val="Arial"/>
    </font>
    <font>
      <b/>
      <sz val="10"/>
      <name val="Arial"/>
    </font>
    <font>
      <sz val="10"/>
      <color theme="1"/>
      <name val="Arial"/>
    </font>
    <font>
      <sz val="10"/>
      <name val="Arial"/>
    </font>
  </fonts>
  <fills count="2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66"/>
        <bgColor indexed="64"/>
      </patternFill>
    </fill>
  </fills>
  <borders count="89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auto="1"/>
      </right>
      <top/>
      <bottom style="thin">
        <color auto="1"/>
      </bottom>
      <diagonal/>
    </border>
  </borders>
  <cellStyleXfs count="202">
    <xf numFmtId="0" fontId="0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2" fillId="0" borderId="0" applyFont="0" applyFill="0" applyBorder="0" applyAlignment="0" applyProtection="0"/>
    <xf numFmtId="0" fontId="10" fillId="0" borderId="0" applyNumberFormat="0" applyFill="0" applyBorder="0" applyAlignment="0" applyProtection="0">
      <alignment vertical="top"/>
      <protection locked="0"/>
    </xf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7" fillId="0" borderId="0"/>
    <xf numFmtId="9" fontId="37" fillId="0" borderId="0" applyFont="0" applyFill="0" applyBorder="0" applyAlignment="0" applyProtection="0"/>
    <xf numFmtId="172" fontId="37" fillId="0" borderId="0" applyFont="0" applyFill="0" applyBorder="0" applyAlignment="0" applyProtection="0"/>
  </cellStyleXfs>
  <cellXfs count="1290">
    <xf numFmtId="0" fontId="0" fillId="0" borderId="0" xfId="0"/>
    <xf numFmtId="0" fontId="0" fillId="3" borderId="0" xfId="0" applyFill="1"/>
    <xf numFmtId="3" fontId="0" fillId="3" borderId="0" xfId="0" applyNumberFormat="1" applyFill="1"/>
    <xf numFmtId="0" fontId="4" fillId="3" borderId="0" xfId="0" applyFont="1" applyFill="1"/>
    <xf numFmtId="0" fontId="5" fillId="3" borderId="16" xfId="0" applyFont="1" applyFill="1" applyBorder="1" applyAlignment="1">
      <alignment horizontal="center" vertical="center" wrapText="1"/>
    </xf>
    <xf numFmtId="0" fontId="5" fillId="3" borderId="13" xfId="0" applyFont="1" applyFill="1" applyBorder="1" applyAlignment="1">
      <alignment horizontal="center" wrapText="1"/>
    </xf>
    <xf numFmtId="0" fontId="5" fillId="3" borderId="35" xfId="0" applyFont="1" applyFill="1" applyBorder="1" applyAlignment="1">
      <alignment horizontal="center" vertical="center"/>
    </xf>
    <xf numFmtId="0" fontId="5" fillId="3" borderId="36" xfId="0" applyFont="1" applyFill="1" applyBorder="1" applyAlignment="1">
      <alignment horizontal="center" vertical="center"/>
    </xf>
    <xf numFmtId="0" fontId="5" fillId="3" borderId="37" xfId="0" applyFont="1" applyFill="1" applyBorder="1" applyAlignment="1">
      <alignment horizontal="center" vertical="center"/>
    </xf>
    <xf numFmtId="0" fontId="6" fillId="3" borderId="35" xfId="0" applyFont="1" applyFill="1" applyBorder="1" applyAlignment="1">
      <alignment horizontal="center" vertical="center"/>
    </xf>
    <xf numFmtId="0" fontId="6" fillId="3" borderId="36" xfId="0" applyFont="1" applyFill="1" applyBorder="1" applyAlignment="1">
      <alignment horizontal="center" vertical="center"/>
    </xf>
    <xf numFmtId="0" fontId="6" fillId="3" borderId="37" xfId="0" applyFont="1" applyFill="1" applyBorder="1" applyAlignment="1">
      <alignment horizontal="center" vertical="center"/>
    </xf>
    <xf numFmtId="0" fontId="5" fillId="3" borderId="14" xfId="0" applyFont="1" applyFill="1" applyBorder="1" applyAlignment="1">
      <alignment horizontal="left" wrapText="1"/>
    </xf>
    <xf numFmtId="0" fontId="1" fillId="3" borderId="39" xfId="0" applyFont="1" applyFill="1" applyBorder="1" applyAlignment="1">
      <alignment horizontal="center" vertical="center"/>
    </xf>
    <xf numFmtId="0" fontId="1" fillId="3" borderId="40" xfId="0" applyFont="1" applyFill="1" applyBorder="1" applyAlignment="1">
      <alignment horizontal="center" vertical="center"/>
    </xf>
    <xf numFmtId="0" fontId="4" fillId="3" borderId="38" xfId="0" applyFont="1" applyFill="1" applyBorder="1" applyAlignment="1">
      <alignment horizontal="center" vertical="center"/>
    </xf>
    <xf numFmtId="0" fontId="4" fillId="3" borderId="39" xfId="0" applyFont="1" applyFill="1" applyBorder="1" applyAlignment="1">
      <alignment horizontal="center" vertical="center"/>
    </xf>
    <xf numFmtId="0" fontId="4" fillId="3" borderId="40" xfId="0" applyFont="1" applyFill="1" applyBorder="1" applyAlignment="1">
      <alignment horizontal="center" vertical="center"/>
    </xf>
    <xf numFmtId="0" fontId="6" fillId="3" borderId="38" xfId="0" applyFont="1" applyFill="1" applyBorder="1" applyAlignment="1">
      <alignment horizontal="center" vertical="center"/>
    </xf>
    <xf numFmtId="0" fontId="6" fillId="3" borderId="39" xfId="0" applyFont="1" applyFill="1" applyBorder="1" applyAlignment="1">
      <alignment horizontal="center" vertical="center"/>
    </xf>
    <xf numFmtId="0" fontId="6" fillId="3" borderId="40" xfId="0" applyFont="1" applyFill="1" applyBorder="1" applyAlignment="1">
      <alignment horizontal="center" vertical="center"/>
    </xf>
    <xf numFmtId="0" fontId="5" fillId="3" borderId="12" xfId="0" applyFont="1" applyFill="1" applyBorder="1" applyAlignment="1">
      <alignment horizontal="left" wrapText="1"/>
    </xf>
    <xf numFmtId="0" fontId="1" fillId="3" borderId="5" xfId="0" applyFont="1" applyFill="1" applyBorder="1" applyAlignment="1">
      <alignment horizontal="center" vertical="center"/>
    </xf>
    <xf numFmtId="0" fontId="1" fillId="3" borderId="34" xfId="0" applyFont="1" applyFill="1" applyBorder="1" applyAlignment="1">
      <alignment horizontal="center" vertical="center"/>
    </xf>
    <xf numFmtId="0" fontId="4" fillId="3" borderId="33" xfId="0" applyFont="1" applyFill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4" fillId="3" borderId="34" xfId="0" applyFont="1" applyFill="1" applyBorder="1" applyAlignment="1">
      <alignment horizontal="center" vertical="center"/>
    </xf>
    <xf numFmtId="0" fontId="6" fillId="3" borderId="33" xfId="0" applyFont="1" applyFill="1" applyBorder="1" applyAlignment="1">
      <alignment horizontal="center" vertical="center"/>
    </xf>
    <xf numFmtId="0" fontId="6" fillId="3" borderId="5" xfId="0" applyFont="1" applyFill="1" applyBorder="1" applyAlignment="1">
      <alignment horizontal="center" vertical="center"/>
    </xf>
    <xf numFmtId="0" fontId="6" fillId="3" borderId="34" xfId="0" applyFont="1" applyFill="1" applyBorder="1" applyAlignment="1">
      <alignment horizontal="center" vertical="center"/>
    </xf>
    <xf numFmtId="3" fontId="1" fillId="3" borderId="5" xfId="0" applyNumberFormat="1" applyFont="1" applyFill="1" applyBorder="1" applyAlignment="1">
      <alignment horizontal="center" vertical="center" wrapText="1"/>
    </xf>
    <xf numFmtId="3" fontId="1" fillId="3" borderId="34" xfId="0" applyNumberFormat="1" applyFont="1" applyFill="1" applyBorder="1" applyAlignment="1">
      <alignment horizontal="center" vertical="center" wrapText="1"/>
    </xf>
    <xf numFmtId="3" fontId="1" fillId="3" borderId="33" xfId="0" applyNumberFormat="1" applyFont="1" applyFill="1" applyBorder="1" applyAlignment="1">
      <alignment horizontal="center" vertical="center" wrapText="1"/>
    </xf>
    <xf numFmtId="0" fontId="5" fillId="3" borderId="13" xfId="0" applyFont="1" applyFill="1" applyBorder="1" applyAlignment="1">
      <alignment horizontal="left" wrapText="1"/>
    </xf>
    <xf numFmtId="3" fontId="1" fillId="3" borderId="35" xfId="0" applyNumberFormat="1" applyFont="1" applyFill="1" applyBorder="1" applyAlignment="1">
      <alignment horizontal="center" vertical="center" wrapText="1"/>
    </xf>
    <xf numFmtId="3" fontId="1" fillId="3" borderId="36" xfId="0" applyNumberFormat="1" applyFont="1" applyFill="1" applyBorder="1" applyAlignment="1">
      <alignment horizontal="center" vertical="center" wrapText="1"/>
    </xf>
    <xf numFmtId="3" fontId="1" fillId="3" borderId="37" xfId="0" applyNumberFormat="1" applyFont="1" applyFill="1" applyBorder="1" applyAlignment="1">
      <alignment horizontal="center" vertical="center" wrapText="1"/>
    </xf>
    <xf numFmtId="0" fontId="1" fillId="3" borderId="36" xfId="0" applyFont="1" applyFill="1" applyBorder="1" applyAlignment="1">
      <alignment horizontal="center" vertical="center"/>
    </xf>
    <xf numFmtId="0" fontId="1" fillId="3" borderId="37" xfId="0" applyFont="1" applyFill="1" applyBorder="1" applyAlignment="1">
      <alignment horizontal="center" vertical="center"/>
    </xf>
    <xf numFmtId="0" fontId="4" fillId="3" borderId="35" xfId="0" applyFont="1" applyFill="1" applyBorder="1" applyAlignment="1">
      <alignment horizontal="center" vertical="center"/>
    </xf>
    <xf numFmtId="0" fontId="4" fillId="3" borderId="36" xfId="0" applyFont="1" applyFill="1" applyBorder="1" applyAlignment="1">
      <alignment horizontal="center" vertical="center"/>
    </xf>
    <xf numFmtId="0" fontId="4" fillId="3" borderId="37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left" wrapText="1"/>
    </xf>
    <xf numFmtId="0" fontId="1" fillId="3" borderId="0" xfId="0" applyFont="1" applyFill="1" applyAlignment="1">
      <alignment horizontal="center" vertical="center" wrapText="1"/>
    </xf>
    <xf numFmtId="0" fontId="1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6" fillId="3" borderId="0" xfId="0" applyFont="1" applyFill="1" applyAlignment="1">
      <alignment horizontal="center" vertical="center"/>
    </xf>
    <xf numFmtId="0" fontId="5" fillId="3" borderId="16" xfId="0" applyFont="1" applyFill="1" applyBorder="1" applyAlignment="1">
      <alignment horizontal="left" wrapText="1"/>
    </xf>
    <xf numFmtId="0" fontId="1" fillId="3" borderId="31" xfId="0" applyFont="1" applyFill="1" applyBorder="1" applyAlignment="1">
      <alignment horizontal="center" vertical="center"/>
    </xf>
    <xf numFmtId="0" fontId="1" fillId="3" borderId="32" xfId="0" applyFont="1" applyFill="1" applyBorder="1" applyAlignment="1">
      <alignment horizontal="center" vertical="center"/>
    </xf>
    <xf numFmtId="0" fontId="4" fillId="3" borderId="31" xfId="0" applyFont="1" applyFill="1" applyBorder="1" applyAlignment="1">
      <alignment horizontal="center" vertical="center"/>
    </xf>
    <xf numFmtId="0" fontId="4" fillId="3" borderId="32" xfId="0" applyFont="1" applyFill="1" applyBorder="1" applyAlignment="1">
      <alignment horizontal="center" vertical="center"/>
    </xf>
    <xf numFmtId="0" fontId="6" fillId="3" borderId="30" xfId="0" applyFont="1" applyFill="1" applyBorder="1" applyAlignment="1">
      <alignment horizontal="center" vertical="center"/>
    </xf>
    <xf numFmtId="0" fontId="6" fillId="3" borderId="31" xfId="0" applyFont="1" applyFill="1" applyBorder="1" applyAlignment="1">
      <alignment horizontal="center" vertical="center"/>
    </xf>
    <xf numFmtId="0" fontId="6" fillId="3" borderId="32" xfId="0" applyFont="1" applyFill="1" applyBorder="1" applyAlignment="1">
      <alignment horizontal="center" vertical="center"/>
    </xf>
    <xf numFmtId="3" fontId="1" fillId="3" borderId="30" xfId="0" applyNumberFormat="1" applyFont="1" applyFill="1" applyBorder="1" applyAlignment="1">
      <alignment horizontal="center" vertical="center" wrapText="1"/>
    </xf>
    <xf numFmtId="3" fontId="1" fillId="3" borderId="31" xfId="0" applyNumberFormat="1" applyFont="1" applyFill="1" applyBorder="1" applyAlignment="1">
      <alignment horizontal="center" vertical="center" wrapText="1"/>
    </xf>
    <xf numFmtId="3" fontId="4" fillId="3" borderId="0" xfId="0" applyNumberFormat="1" applyFont="1" applyFill="1"/>
    <xf numFmtId="3" fontId="4" fillId="3" borderId="0" xfId="0" applyNumberFormat="1" applyFont="1" applyFill="1" applyAlignment="1">
      <alignment horizontal="left"/>
    </xf>
    <xf numFmtId="3" fontId="4" fillId="3" borderId="5" xfId="0" applyNumberFormat="1" applyFont="1" applyFill="1" applyBorder="1"/>
    <xf numFmtId="3" fontId="4" fillId="3" borderId="34" xfId="0" applyNumberFormat="1" applyFont="1" applyFill="1" applyBorder="1"/>
    <xf numFmtId="3" fontId="4" fillId="3" borderId="36" xfId="0" applyNumberFormat="1" applyFont="1" applyFill="1" applyBorder="1"/>
    <xf numFmtId="3" fontId="4" fillId="3" borderId="37" xfId="0" applyNumberFormat="1" applyFont="1" applyFill="1" applyBorder="1"/>
    <xf numFmtId="1" fontId="6" fillId="3" borderId="33" xfId="0" applyNumberFormat="1" applyFont="1" applyFill="1" applyBorder="1" applyAlignment="1">
      <alignment horizontal="center" vertical="center"/>
    </xf>
    <xf numFmtId="1" fontId="6" fillId="3" borderId="5" xfId="0" applyNumberFormat="1" applyFont="1" applyFill="1" applyBorder="1" applyAlignment="1">
      <alignment horizontal="center" vertical="center"/>
    </xf>
    <xf numFmtId="3" fontId="6" fillId="3" borderId="35" xfId="0" applyNumberFormat="1" applyFont="1" applyFill="1" applyBorder="1" applyAlignment="1">
      <alignment horizontal="center" vertical="center"/>
    </xf>
    <xf numFmtId="3" fontId="4" fillId="3" borderId="31" xfId="0" applyNumberFormat="1" applyFont="1" applyFill="1" applyBorder="1"/>
    <xf numFmtId="3" fontId="4" fillId="3" borderId="32" xfId="0" applyNumberFormat="1" applyFont="1" applyFill="1" applyBorder="1"/>
    <xf numFmtId="0" fontId="4" fillId="3" borderId="5" xfId="0" applyFont="1" applyFill="1" applyBorder="1"/>
    <xf numFmtId="0" fontId="4" fillId="3" borderId="31" xfId="0" applyFont="1" applyFill="1" applyBorder="1"/>
    <xf numFmtId="0" fontId="4" fillId="3" borderId="32" xfId="0" applyFont="1" applyFill="1" applyBorder="1"/>
    <xf numFmtId="0" fontId="4" fillId="3" borderId="34" xfId="0" applyFont="1" applyFill="1" applyBorder="1"/>
    <xf numFmtId="0" fontId="4" fillId="3" borderId="36" xfId="0" applyFont="1" applyFill="1" applyBorder="1"/>
    <xf numFmtId="0" fontId="4" fillId="3" borderId="37" xfId="0" applyFont="1" applyFill="1" applyBorder="1"/>
    <xf numFmtId="3" fontId="4" fillId="3" borderId="30" xfId="0" applyNumberFormat="1" applyFont="1" applyFill="1" applyBorder="1"/>
    <xf numFmtId="3" fontId="4" fillId="3" borderId="33" xfId="0" applyNumberFormat="1" applyFont="1" applyFill="1" applyBorder="1"/>
    <xf numFmtId="3" fontId="4" fillId="3" borderId="35" xfId="0" applyNumberFormat="1" applyFont="1" applyFill="1" applyBorder="1"/>
    <xf numFmtId="3" fontId="4" fillId="3" borderId="17" xfId="0" applyNumberFormat="1" applyFont="1" applyFill="1" applyBorder="1" applyAlignment="1">
      <alignment horizontal="left"/>
    </xf>
    <xf numFmtId="3" fontId="4" fillId="3" borderId="18" xfId="0" applyNumberFormat="1" applyFont="1" applyFill="1" applyBorder="1" applyAlignment="1">
      <alignment horizontal="left"/>
    </xf>
    <xf numFmtId="3" fontId="4" fillId="3" borderId="19" xfId="0" applyNumberFormat="1" applyFont="1" applyFill="1" applyBorder="1" applyAlignment="1">
      <alignment horizontal="left"/>
    </xf>
    <xf numFmtId="3" fontId="6" fillId="3" borderId="17" xfId="0" applyNumberFormat="1" applyFont="1" applyFill="1" applyBorder="1" applyAlignment="1">
      <alignment horizontal="center" vertical="center"/>
    </xf>
    <xf numFmtId="1" fontId="6" fillId="3" borderId="18" xfId="0" applyNumberFormat="1" applyFont="1" applyFill="1" applyBorder="1" applyAlignment="1">
      <alignment horizontal="center" vertical="center"/>
    </xf>
    <xf numFmtId="3" fontId="6" fillId="3" borderId="19" xfId="0" applyNumberFormat="1" applyFont="1" applyFill="1" applyBorder="1" applyAlignment="1">
      <alignment horizontal="center" vertical="center"/>
    </xf>
    <xf numFmtId="165" fontId="4" fillId="3" borderId="30" xfId="0" applyNumberFormat="1" applyFont="1" applyFill="1" applyBorder="1"/>
    <xf numFmtId="165" fontId="4" fillId="3" borderId="5" xfId="0" applyNumberFormat="1" applyFont="1" applyFill="1" applyBorder="1"/>
    <xf numFmtId="165" fontId="4" fillId="3" borderId="31" xfId="0" applyNumberFormat="1" applyFont="1" applyFill="1" applyBorder="1"/>
    <xf numFmtId="165" fontId="4" fillId="3" borderId="33" xfId="0" applyNumberFormat="1" applyFont="1" applyFill="1" applyBorder="1"/>
    <xf numFmtId="165" fontId="4" fillId="3" borderId="35" xfId="0" applyNumberFormat="1" applyFont="1" applyFill="1" applyBorder="1"/>
    <xf numFmtId="165" fontId="4" fillId="3" borderId="36" xfId="0" applyNumberFormat="1" applyFont="1" applyFill="1" applyBorder="1"/>
    <xf numFmtId="166" fontId="7" fillId="0" borderId="31" xfId="0" applyNumberFormat="1" applyFont="1" applyBorder="1" applyAlignment="1">
      <alignment horizontal="right" vertical="center" wrapText="1"/>
    </xf>
    <xf numFmtId="3" fontId="6" fillId="3" borderId="16" xfId="0" applyNumberFormat="1" applyFont="1" applyFill="1" applyBorder="1" applyAlignment="1">
      <alignment vertical="center"/>
    </xf>
    <xf numFmtId="3" fontId="6" fillId="3" borderId="12" xfId="0" applyNumberFormat="1" applyFont="1" applyFill="1" applyBorder="1" applyAlignment="1">
      <alignment vertical="center"/>
    </xf>
    <xf numFmtId="3" fontId="6" fillId="3" borderId="13" xfId="0" applyNumberFormat="1" applyFont="1" applyFill="1" applyBorder="1" applyAlignment="1">
      <alignment vertical="center"/>
    </xf>
    <xf numFmtId="166" fontId="4" fillId="3" borderId="31" xfId="0" applyNumberFormat="1" applyFont="1" applyFill="1" applyBorder="1"/>
    <xf numFmtId="0" fontId="9" fillId="3" borderId="1" xfId="0" applyFont="1" applyFill="1" applyBorder="1" applyAlignment="1">
      <alignment horizontal="center"/>
    </xf>
    <xf numFmtId="0" fontId="7" fillId="3" borderId="3" xfId="0" applyFont="1" applyFill="1" applyBorder="1" applyAlignment="1">
      <alignment horizontal="center"/>
    </xf>
    <xf numFmtId="3" fontId="7" fillId="3" borderId="4" xfId="0" applyNumberFormat="1" applyFont="1" applyFill="1" applyBorder="1" applyAlignment="1">
      <alignment horizontal="center"/>
    </xf>
    <xf numFmtId="10" fontId="7" fillId="3" borderId="4" xfId="0" applyNumberFormat="1" applyFont="1" applyFill="1" applyBorder="1" applyAlignment="1">
      <alignment horizontal="center"/>
    </xf>
    <xf numFmtId="0" fontId="7" fillId="3" borderId="4" xfId="0" applyFont="1" applyFill="1" applyBorder="1" applyAlignment="1">
      <alignment horizontal="center"/>
    </xf>
    <xf numFmtId="0" fontId="9" fillId="3" borderId="3" xfId="0" applyFont="1" applyFill="1" applyBorder="1" applyAlignment="1">
      <alignment horizontal="center"/>
    </xf>
    <xf numFmtId="2" fontId="9" fillId="3" borderId="1" xfId="0" applyNumberFormat="1" applyFont="1" applyFill="1" applyBorder="1" applyAlignment="1">
      <alignment horizontal="center" wrapText="1"/>
    </xf>
    <xf numFmtId="0" fontId="9" fillId="3" borderId="0" xfId="0" applyFont="1" applyFill="1"/>
    <xf numFmtId="0" fontId="7" fillId="3" borderId="28" xfId="0" applyFont="1" applyFill="1" applyBorder="1" applyAlignment="1">
      <alignment horizontal="center"/>
    </xf>
    <xf numFmtId="1" fontId="7" fillId="3" borderId="4" xfId="0" applyNumberFormat="1" applyFont="1" applyFill="1" applyBorder="1" applyAlignment="1">
      <alignment horizontal="center"/>
    </xf>
    <xf numFmtId="168" fontId="4" fillId="3" borderId="4" xfId="0" applyNumberFormat="1" applyFont="1" applyFill="1" applyBorder="1" applyAlignment="1">
      <alignment horizontal="center" wrapText="1"/>
    </xf>
    <xf numFmtId="0" fontId="9" fillId="3" borderId="0" xfId="0" applyFont="1" applyFill="1" applyAlignment="1">
      <alignment horizontal="center" wrapText="1"/>
    </xf>
    <xf numFmtId="0" fontId="4" fillId="3" borderId="30" xfId="0" applyFont="1" applyFill="1" applyBorder="1"/>
    <xf numFmtId="0" fontId="4" fillId="3" borderId="33" xfId="0" applyFont="1" applyFill="1" applyBorder="1"/>
    <xf numFmtId="10" fontId="4" fillId="3" borderId="45" xfId="3" applyNumberFormat="1" applyFont="1" applyFill="1" applyBorder="1"/>
    <xf numFmtId="10" fontId="4" fillId="3" borderId="47" xfId="3" applyNumberFormat="1" applyFont="1" applyFill="1" applyBorder="1"/>
    <xf numFmtId="0" fontId="4" fillId="3" borderId="16" xfId="0" applyFont="1" applyFill="1" applyBorder="1" applyAlignment="1">
      <alignment horizontal="center" wrapText="1"/>
    </xf>
    <xf numFmtId="0" fontId="4" fillId="3" borderId="12" xfId="0" applyFont="1" applyFill="1" applyBorder="1" applyAlignment="1">
      <alignment horizontal="center" wrapText="1"/>
    </xf>
    <xf numFmtId="10" fontId="4" fillId="3" borderId="32" xfId="3" applyNumberFormat="1" applyFont="1" applyFill="1" applyBorder="1"/>
    <xf numFmtId="10" fontId="4" fillId="3" borderId="34" xfId="3" applyNumberFormat="1" applyFont="1" applyFill="1" applyBorder="1"/>
    <xf numFmtId="0" fontId="4" fillId="3" borderId="35" xfId="0" applyFont="1" applyFill="1" applyBorder="1"/>
    <xf numFmtId="10" fontId="4" fillId="3" borderId="37" xfId="3" applyNumberFormat="1" applyFont="1" applyFill="1" applyBorder="1"/>
    <xf numFmtId="1" fontId="7" fillId="3" borderId="30" xfId="0" applyNumberFormat="1" applyFont="1" applyFill="1" applyBorder="1" applyAlignment="1">
      <alignment horizontal="center"/>
    </xf>
    <xf numFmtId="1" fontId="7" fillId="3" borderId="33" xfId="0" applyNumberFormat="1" applyFont="1" applyFill="1" applyBorder="1" applyAlignment="1">
      <alignment horizontal="center"/>
    </xf>
    <xf numFmtId="1" fontId="7" fillId="3" borderId="35" xfId="0" applyNumberFormat="1" applyFont="1" applyFill="1" applyBorder="1" applyAlignment="1">
      <alignment horizontal="center"/>
    </xf>
    <xf numFmtId="3" fontId="7" fillId="3" borderId="41" xfId="0" applyNumberFormat="1" applyFont="1" applyFill="1" applyBorder="1" applyAlignment="1">
      <alignment horizontal="center"/>
    </xf>
    <xf numFmtId="168" fontId="4" fillId="3" borderId="16" xfId="0" applyNumberFormat="1" applyFont="1" applyFill="1" applyBorder="1" applyAlignment="1">
      <alignment horizontal="center" wrapText="1"/>
    </xf>
    <xf numFmtId="168" fontId="4" fillId="3" borderId="12" xfId="0" applyNumberFormat="1" applyFont="1" applyFill="1" applyBorder="1" applyAlignment="1">
      <alignment horizontal="center" wrapText="1"/>
    </xf>
    <xf numFmtId="3" fontId="9" fillId="3" borderId="2" xfId="0" applyNumberFormat="1" applyFont="1" applyFill="1" applyBorder="1" applyAlignment="1">
      <alignment horizontal="center"/>
    </xf>
    <xf numFmtId="0" fontId="7" fillId="3" borderId="4" xfId="0" applyFont="1" applyFill="1" applyBorder="1" applyAlignment="1">
      <alignment horizontal="center" wrapText="1"/>
    </xf>
    <xf numFmtId="2" fontId="7" fillId="3" borderId="4" xfId="0" applyNumberFormat="1" applyFont="1" applyFill="1" applyBorder="1" applyAlignment="1">
      <alignment horizontal="center" wrapText="1"/>
    </xf>
    <xf numFmtId="0" fontId="5" fillId="3" borderId="1" xfId="0" applyFont="1" applyFill="1" applyBorder="1" applyAlignment="1">
      <alignment horizontal="center" vertical="center" wrapText="1"/>
    </xf>
    <xf numFmtId="0" fontId="5" fillId="3" borderId="14" xfId="0" applyFont="1" applyFill="1" applyBorder="1" applyAlignment="1">
      <alignment horizontal="center" vertical="center" wrapText="1"/>
    </xf>
    <xf numFmtId="0" fontId="1" fillId="3" borderId="12" xfId="0" applyFont="1" applyFill="1" applyBorder="1" applyAlignment="1">
      <alignment horizontal="center" vertical="center" wrapText="1"/>
    </xf>
    <xf numFmtId="0" fontId="1" fillId="3" borderId="13" xfId="0" applyFont="1" applyFill="1" applyBorder="1" applyAlignment="1">
      <alignment horizontal="center" vertical="center" wrapText="1"/>
    </xf>
    <xf numFmtId="0" fontId="1" fillId="3" borderId="15" xfId="0" applyFont="1" applyFill="1" applyBorder="1" applyAlignment="1">
      <alignment horizontal="center" vertical="center"/>
    </xf>
    <xf numFmtId="0" fontId="1" fillId="3" borderId="18" xfId="0" applyFont="1" applyFill="1" applyBorder="1" applyAlignment="1">
      <alignment horizontal="center" vertical="center" wrapText="1"/>
    </xf>
    <xf numFmtId="0" fontId="1" fillId="3" borderId="19" xfId="0" applyFont="1" applyFill="1" applyBorder="1" applyAlignment="1">
      <alignment horizontal="center" vertical="center" wrapText="1"/>
    </xf>
    <xf numFmtId="166" fontId="1" fillId="3" borderId="5" xfId="0" applyNumberFormat="1" applyFont="1" applyFill="1" applyBorder="1" applyAlignment="1">
      <alignment horizontal="center" vertical="center" wrapText="1"/>
    </xf>
    <xf numFmtId="166" fontId="4" fillId="3" borderId="5" xfId="0" applyNumberFormat="1" applyFont="1" applyFill="1" applyBorder="1" applyAlignment="1">
      <alignment horizontal="center" vertical="center"/>
    </xf>
    <xf numFmtId="0" fontId="5" fillId="3" borderId="9" xfId="0" applyFont="1" applyFill="1" applyBorder="1" applyAlignment="1">
      <alignment horizontal="center" vertical="center" wrapText="1"/>
    </xf>
    <xf numFmtId="0" fontId="5" fillId="3" borderId="27" xfId="0" applyFont="1" applyFill="1" applyBorder="1" applyAlignment="1">
      <alignment horizontal="center" vertical="center" wrapText="1"/>
    </xf>
    <xf numFmtId="0" fontId="6" fillId="3" borderId="9" xfId="0" applyFont="1" applyFill="1" applyBorder="1" applyAlignment="1">
      <alignment horizontal="center" vertical="center"/>
    </xf>
    <xf numFmtId="166" fontId="11" fillId="3" borderId="5" xfId="32" applyNumberFormat="1" applyFont="1" applyFill="1" applyBorder="1" applyAlignment="1" applyProtection="1">
      <alignment horizontal="center" vertical="center" wrapText="1"/>
    </xf>
    <xf numFmtId="166" fontId="8" fillId="3" borderId="34" xfId="32" applyNumberFormat="1" applyFont="1" applyFill="1" applyBorder="1" applyAlignment="1" applyProtection="1">
      <alignment horizontal="center" vertical="center" wrapText="1"/>
    </xf>
    <xf numFmtId="166" fontId="1" fillId="3" borderId="36" xfId="0" applyNumberFormat="1" applyFont="1" applyFill="1" applyBorder="1" applyAlignment="1">
      <alignment horizontal="center" vertical="center" wrapText="1"/>
    </xf>
    <xf numFmtId="166" fontId="4" fillId="3" borderId="36" xfId="0" applyNumberFormat="1" applyFont="1" applyFill="1" applyBorder="1" applyAlignment="1">
      <alignment horizontal="center" vertical="center"/>
    </xf>
    <xf numFmtId="166" fontId="11" fillId="3" borderId="36" xfId="32" applyNumberFormat="1" applyFont="1" applyFill="1" applyBorder="1" applyAlignment="1" applyProtection="1">
      <alignment horizontal="center" vertical="center" wrapText="1"/>
    </xf>
    <xf numFmtId="166" fontId="8" fillId="3" borderId="37" xfId="32" applyNumberFormat="1" applyFont="1" applyFill="1" applyBorder="1" applyAlignment="1" applyProtection="1">
      <alignment horizontal="center" vertical="center" wrapText="1"/>
    </xf>
    <xf numFmtId="166" fontId="1" fillId="3" borderId="33" xfId="0" applyNumberFormat="1" applyFont="1" applyFill="1" applyBorder="1" applyAlignment="1">
      <alignment horizontal="center" vertical="center" wrapText="1"/>
    </xf>
    <xf numFmtId="166" fontId="1" fillId="3" borderId="35" xfId="0" applyNumberFormat="1" applyFont="1" applyFill="1" applyBorder="1" applyAlignment="1">
      <alignment horizontal="center" vertical="center" wrapText="1"/>
    </xf>
    <xf numFmtId="166" fontId="1" fillId="3" borderId="44" xfId="0" applyNumberFormat="1" applyFont="1" applyFill="1" applyBorder="1" applyAlignment="1">
      <alignment horizontal="center" vertical="center"/>
    </xf>
    <xf numFmtId="166" fontId="1" fillId="3" borderId="42" xfId="0" applyNumberFormat="1" applyFont="1" applyFill="1" applyBorder="1" applyAlignment="1">
      <alignment horizontal="center" vertical="center"/>
    </xf>
    <xf numFmtId="3" fontId="5" fillId="3" borderId="21" xfId="0" applyNumberFormat="1" applyFont="1" applyFill="1" applyBorder="1" applyAlignment="1">
      <alignment horizontal="center" vertical="center" wrapText="1"/>
    </xf>
    <xf numFmtId="3" fontId="5" fillId="3" borderId="30" xfId="0" applyNumberFormat="1" applyFont="1" applyFill="1" applyBorder="1" applyAlignment="1">
      <alignment horizontal="center" vertical="center" wrapText="1"/>
    </xf>
    <xf numFmtId="3" fontId="4" fillId="3" borderId="5" xfId="0" applyNumberFormat="1" applyFont="1" applyFill="1" applyBorder="1" applyAlignment="1">
      <alignment horizontal="center" vertical="center"/>
    </xf>
    <xf numFmtId="3" fontId="4" fillId="3" borderId="36" xfId="0" applyNumberFormat="1" applyFont="1" applyFill="1" applyBorder="1" applyAlignment="1">
      <alignment horizontal="center" vertical="center"/>
    </xf>
    <xf numFmtId="3" fontId="11" fillId="3" borderId="5" xfId="32" applyNumberFormat="1" applyFont="1" applyFill="1" applyBorder="1" applyAlignment="1" applyProtection="1">
      <alignment horizontal="center" vertical="center" wrapText="1"/>
    </xf>
    <xf numFmtId="3" fontId="5" fillId="3" borderId="5" xfId="0" applyNumberFormat="1" applyFont="1" applyFill="1" applyBorder="1"/>
    <xf numFmtId="3" fontId="5" fillId="3" borderId="34" xfId="0" applyNumberFormat="1" applyFont="1" applyFill="1" applyBorder="1"/>
    <xf numFmtId="0" fontId="0" fillId="3" borderId="5" xfId="0" applyFill="1" applyBorder="1"/>
    <xf numFmtId="0" fontId="0" fillId="3" borderId="34" xfId="0" applyFill="1" applyBorder="1"/>
    <xf numFmtId="0" fontId="5" fillId="3" borderId="26" xfId="0" applyFont="1" applyFill="1" applyBorder="1" applyAlignment="1">
      <alignment horizontal="center" vertical="center" wrapText="1"/>
    </xf>
    <xf numFmtId="10" fontId="4" fillId="3" borderId="5" xfId="0" applyNumberFormat="1" applyFont="1" applyFill="1" applyBorder="1" applyAlignment="1">
      <alignment horizontal="center" vertical="center"/>
    </xf>
    <xf numFmtId="10" fontId="4" fillId="3" borderId="34" xfId="0" applyNumberFormat="1" applyFont="1" applyFill="1" applyBorder="1" applyAlignment="1">
      <alignment horizontal="center" vertical="center"/>
    </xf>
    <xf numFmtId="10" fontId="4" fillId="3" borderId="36" xfId="0" applyNumberFormat="1" applyFont="1" applyFill="1" applyBorder="1" applyAlignment="1">
      <alignment horizontal="center" vertical="center"/>
    </xf>
    <xf numFmtId="10" fontId="4" fillId="3" borderId="37" xfId="0" applyNumberFormat="1" applyFont="1" applyFill="1" applyBorder="1" applyAlignment="1">
      <alignment horizontal="center" vertical="center"/>
    </xf>
    <xf numFmtId="3" fontId="4" fillId="3" borderId="39" xfId="0" applyNumberFormat="1" applyFont="1" applyFill="1" applyBorder="1" applyAlignment="1">
      <alignment horizontal="center" vertical="center"/>
    </xf>
    <xf numFmtId="10" fontId="4" fillId="3" borderId="39" xfId="0" applyNumberFormat="1" applyFont="1" applyFill="1" applyBorder="1" applyAlignment="1">
      <alignment horizontal="center" vertical="center"/>
    </xf>
    <xf numFmtId="10" fontId="4" fillId="3" borderId="40" xfId="0" applyNumberFormat="1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 wrapText="1"/>
    </xf>
    <xf numFmtId="4" fontId="5" fillId="6" borderId="1" xfId="0" applyNumberFormat="1" applyFont="1" applyFill="1" applyBorder="1" applyAlignment="1">
      <alignment horizontal="center" vertical="center" wrapText="1"/>
    </xf>
    <xf numFmtId="4" fontId="6" fillId="6" borderId="2" xfId="0" applyNumberFormat="1" applyFont="1" applyFill="1" applyBorder="1" applyAlignment="1">
      <alignment horizontal="center" vertical="center"/>
    </xf>
    <xf numFmtId="3" fontId="1" fillId="3" borderId="21" xfId="0" applyNumberFormat="1" applyFont="1" applyFill="1" applyBorder="1" applyAlignment="1">
      <alignment horizontal="center" vertical="center" wrapText="1"/>
    </xf>
    <xf numFmtId="3" fontId="1" fillId="3" borderId="22" xfId="0" applyNumberFormat="1" applyFont="1" applyFill="1" applyBorder="1" applyAlignment="1">
      <alignment horizontal="center" vertical="center" wrapText="1"/>
    </xf>
    <xf numFmtId="3" fontId="11" fillId="3" borderId="23" xfId="32" applyNumberFormat="1" applyFont="1" applyFill="1" applyBorder="1" applyAlignment="1" applyProtection="1">
      <alignment horizontal="center" vertical="center" wrapText="1"/>
    </xf>
    <xf numFmtId="3" fontId="1" fillId="3" borderId="51" xfId="0" applyNumberFormat="1" applyFont="1" applyFill="1" applyBorder="1" applyAlignment="1">
      <alignment horizontal="center" vertical="center"/>
    </xf>
    <xf numFmtId="10" fontId="1" fillId="3" borderId="21" xfId="0" applyNumberFormat="1" applyFont="1" applyFill="1" applyBorder="1" applyAlignment="1">
      <alignment horizontal="center" vertical="center" wrapText="1"/>
    </xf>
    <xf numFmtId="3" fontId="6" fillId="3" borderId="0" xfId="0" applyNumberFormat="1" applyFont="1" applyFill="1"/>
    <xf numFmtId="3" fontId="6" fillId="3" borderId="1" xfId="0" applyNumberFormat="1" applyFont="1" applyFill="1" applyBorder="1"/>
    <xf numFmtId="3" fontId="6" fillId="3" borderId="0" xfId="0" applyNumberFormat="1" applyFont="1" applyFill="1" applyAlignment="1">
      <alignment horizontal="left"/>
    </xf>
    <xf numFmtId="0" fontId="6" fillId="6" borderId="21" xfId="0" applyFont="1" applyFill="1" applyBorder="1" applyAlignment="1">
      <alignment horizontal="center" vertical="center"/>
    </xf>
    <xf numFmtId="3" fontId="1" fillId="6" borderId="1" xfId="0" applyNumberFormat="1" applyFont="1" applyFill="1" applyBorder="1" applyAlignment="1">
      <alignment horizontal="center" vertical="center" wrapText="1"/>
    </xf>
    <xf numFmtId="3" fontId="11" fillId="6" borderId="23" xfId="32" applyNumberFormat="1" applyFont="1" applyFill="1" applyBorder="1" applyAlignment="1" applyProtection="1">
      <alignment horizontal="center" vertical="center" wrapText="1"/>
    </xf>
    <xf numFmtId="168" fontId="4" fillId="3" borderId="0" xfId="0" applyNumberFormat="1" applyFont="1" applyFill="1" applyAlignment="1">
      <alignment horizontal="center" wrapText="1"/>
    </xf>
    <xf numFmtId="2" fontId="6" fillId="3" borderId="0" xfId="0" applyNumberFormat="1" applyFont="1" applyFill="1" applyAlignment="1">
      <alignment horizontal="center" wrapText="1"/>
    </xf>
    <xf numFmtId="0" fontId="9" fillId="6" borderId="1" xfId="0" applyFont="1" applyFill="1" applyBorder="1" applyAlignment="1">
      <alignment horizontal="center"/>
    </xf>
    <xf numFmtId="0" fontId="9" fillId="6" borderId="2" xfId="0" applyFont="1" applyFill="1" applyBorder="1" applyAlignment="1">
      <alignment horizontal="center"/>
    </xf>
    <xf numFmtId="10" fontId="7" fillId="6" borderId="4" xfId="0" applyNumberFormat="1" applyFont="1" applyFill="1" applyBorder="1" applyAlignment="1">
      <alignment horizontal="center"/>
    </xf>
    <xf numFmtId="0" fontId="9" fillId="6" borderId="3" xfId="0" applyFont="1" applyFill="1" applyBorder="1" applyAlignment="1">
      <alignment horizontal="center"/>
    </xf>
    <xf numFmtId="3" fontId="9" fillId="6" borderId="4" xfId="0" applyNumberFormat="1" applyFont="1" applyFill="1" applyBorder="1" applyAlignment="1">
      <alignment horizontal="center"/>
    </xf>
    <xf numFmtId="10" fontId="9" fillId="6" borderId="4" xfId="0" applyNumberFormat="1" applyFont="1" applyFill="1" applyBorder="1" applyAlignment="1">
      <alignment horizontal="center"/>
    </xf>
    <xf numFmtId="1" fontId="9" fillId="6" borderId="4" xfId="0" applyNumberFormat="1" applyFont="1" applyFill="1" applyBorder="1" applyAlignment="1">
      <alignment horizontal="center"/>
    </xf>
    <xf numFmtId="10" fontId="4" fillId="3" borderId="39" xfId="3" applyNumberFormat="1" applyFont="1" applyFill="1" applyBorder="1" applyAlignment="1">
      <alignment horizontal="center" vertical="center"/>
    </xf>
    <xf numFmtId="10" fontId="5" fillId="3" borderId="6" xfId="0" applyNumberFormat="1" applyFont="1" applyFill="1" applyBorder="1" applyAlignment="1">
      <alignment horizontal="center" vertical="center" wrapText="1"/>
    </xf>
    <xf numFmtId="10" fontId="5" fillId="3" borderId="1" xfId="0" applyNumberFormat="1" applyFont="1" applyFill="1" applyBorder="1" applyAlignment="1">
      <alignment horizontal="center" vertical="center" wrapText="1"/>
    </xf>
    <xf numFmtId="0" fontId="1" fillId="3" borderId="20" xfId="0" applyFont="1" applyFill="1" applyBorder="1" applyAlignment="1">
      <alignment horizontal="center" vertical="center" wrapText="1"/>
    </xf>
    <xf numFmtId="4" fontId="1" fillId="3" borderId="38" xfId="0" applyNumberFormat="1" applyFont="1" applyFill="1" applyBorder="1" applyAlignment="1">
      <alignment horizontal="center" vertical="center" wrapText="1"/>
    </xf>
    <xf numFmtId="4" fontId="4" fillId="3" borderId="39" xfId="0" applyNumberFormat="1" applyFont="1" applyFill="1" applyBorder="1" applyAlignment="1">
      <alignment horizontal="center" vertical="center"/>
    </xf>
    <xf numFmtId="4" fontId="11" fillId="3" borderId="39" xfId="32" applyNumberFormat="1" applyFont="1" applyFill="1" applyBorder="1" applyAlignment="1" applyProtection="1">
      <alignment horizontal="center" vertical="center" wrapText="1"/>
    </xf>
    <xf numFmtId="4" fontId="1" fillId="3" borderId="40" xfId="0" applyNumberFormat="1" applyFont="1" applyFill="1" applyBorder="1" applyAlignment="1">
      <alignment horizontal="center" vertical="center" wrapText="1"/>
    </xf>
    <xf numFmtId="4" fontId="1" fillId="3" borderId="33" xfId="0" applyNumberFormat="1" applyFont="1" applyFill="1" applyBorder="1" applyAlignment="1">
      <alignment horizontal="center" vertical="center" wrapText="1"/>
    </xf>
    <xf numFmtId="4" fontId="4" fillId="3" borderId="5" xfId="0" applyNumberFormat="1" applyFont="1" applyFill="1" applyBorder="1" applyAlignment="1">
      <alignment horizontal="center" vertical="center"/>
    </xf>
    <xf numFmtId="4" fontId="11" fillId="3" borderId="5" xfId="32" applyNumberFormat="1" applyFont="1" applyFill="1" applyBorder="1" applyAlignment="1" applyProtection="1">
      <alignment horizontal="center" vertical="center" wrapText="1"/>
    </xf>
    <xf numFmtId="4" fontId="1" fillId="3" borderId="34" xfId="0" applyNumberFormat="1" applyFont="1" applyFill="1" applyBorder="1" applyAlignment="1">
      <alignment horizontal="center" vertical="center" wrapText="1"/>
    </xf>
    <xf numFmtId="3" fontId="4" fillId="3" borderId="0" xfId="0" applyNumberFormat="1" applyFont="1" applyFill="1" applyAlignment="1">
      <alignment horizontal="center" vertical="center"/>
    </xf>
    <xf numFmtId="10" fontId="4" fillId="3" borderId="0" xfId="0" applyNumberFormat="1" applyFont="1" applyFill="1" applyAlignment="1">
      <alignment horizontal="center" vertical="center"/>
    </xf>
    <xf numFmtId="10" fontId="4" fillId="3" borderId="5" xfId="3" applyNumberFormat="1" applyFont="1" applyFill="1" applyBorder="1" applyAlignment="1">
      <alignment horizontal="center" vertical="center"/>
    </xf>
    <xf numFmtId="3" fontId="4" fillId="3" borderId="5" xfId="3" applyNumberFormat="1" applyFont="1" applyFill="1" applyBorder="1" applyAlignment="1">
      <alignment horizontal="center" vertical="center"/>
    </xf>
    <xf numFmtId="3" fontId="6" fillId="3" borderId="22" xfId="0" applyNumberFormat="1" applyFont="1" applyFill="1" applyBorder="1" applyAlignment="1">
      <alignment horizontal="center" vertical="center"/>
    </xf>
    <xf numFmtId="3" fontId="4" fillId="3" borderId="31" xfId="3" applyNumberFormat="1" applyFont="1" applyFill="1" applyBorder="1" applyAlignment="1">
      <alignment horizontal="center" vertical="center"/>
    </xf>
    <xf numFmtId="3" fontId="4" fillId="3" borderId="31" xfId="0" applyNumberFormat="1" applyFont="1" applyFill="1" applyBorder="1" applyAlignment="1">
      <alignment horizontal="center" vertical="center"/>
    </xf>
    <xf numFmtId="3" fontId="4" fillId="3" borderId="32" xfId="3" applyNumberFormat="1" applyFont="1" applyFill="1" applyBorder="1" applyAlignment="1">
      <alignment horizontal="center" vertical="center"/>
    </xf>
    <xf numFmtId="3" fontId="4" fillId="3" borderId="34" xfId="3" applyNumberFormat="1" applyFont="1" applyFill="1" applyBorder="1" applyAlignment="1">
      <alignment horizontal="center" vertical="center"/>
    </xf>
    <xf numFmtId="3" fontId="4" fillId="3" borderId="36" xfId="3" applyNumberFormat="1" applyFont="1" applyFill="1" applyBorder="1" applyAlignment="1">
      <alignment horizontal="center" vertical="center"/>
    </xf>
    <xf numFmtId="3" fontId="4" fillId="3" borderId="37" xfId="3" applyNumberFormat="1" applyFont="1" applyFill="1" applyBorder="1" applyAlignment="1">
      <alignment horizontal="center" vertical="center"/>
    </xf>
    <xf numFmtId="0" fontId="1" fillId="3" borderId="52" xfId="0" applyFont="1" applyFill="1" applyBorder="1" applyAlignment="1">
      <alignment horizontal="center" vertical="center" wrapText="1"/>
    </xf>
    <xf numFmtId="0" fontId="4" fillId="3" borderId="46" xfId="0" applyFont="1" applyFill="1" applyBorder="1" applyAlignment="1">
      <alignment horizontal="center" vertical="center"/>
    </xf>
    <xf numFmtId="3" fontId="4" fillId="3" borderId="53" xfId="0" applyNumberFormat="1" applyFont="1" applyFill="1" applyBorder="1" applyAlignment="1">
      <alignment horizontal="center" vertical="center"/>
    </xf>
    <xf numFmtId="10" fontId="4" fillId="3" borderId="53" xfId="3" applyNumberFormat="1" applyFont="1" applyFill="1" applyBorder="1" applyAlignment="1">
      <alignment horizontal="center" vertical="center"/>
    </xf>
    <xf numFmtId="0" fontId="3" fillId="3" borderId="0" xfId="0" applyFont="1" applyFill="1" applyAlignment="1">
      <alignment vertical="center"/>
    </xf>
    <xf numFmtId="3" fontId="5" fillId="3" borderId="54" xfId="0" applyNumberFormat="1" applyFont="1" applyFill="1" applyBorder="1" applyAlignment="1">
      <alignment horizontal="center" vertical="center" wrapText="1"/>
    </xf>
    <xf numFmtId="3" fontId="6" fillId="6" borderId="35" xfId="0" applyNumberFormat="1" applyFont="1" applyFill="1" applyBorder="1" applyAlignment="1">
      <alignment horizontal="center" vertical="center"/>
    </xf>
    <xf numFmtId="10" fontId="6" fillId="6" borderId="36" xfId="3" applyNumberFormat="1" applyFont="1" applyFill="1" applyBorder="1" applyAlignment="1">
      <alignment horizontal="center" vertical="center"/>
    </xf>
    <xf numFmtId="3" fontId="6" fillId="6" borderId="36" xfId="0" applyNumberFormat="1" applyFont="1" applyFill="1" applyBorder="1" applyAlignment="1">
      <alignment horizontal="center" vertical="center"/>
    </xf>
    <xf numFmtId="10" fontId="6" fillId="6" borderId="37" xfId="3" applyNumberFormat="1" applyFont="1" applyFill="1" applyBorder="1" applyAlignment="1">
      <alignment horizontal="center" vertical="center"/>
    </xf>
    <xf numFmtId="3" fontId="6" fillId="9" borderId="35" xfId="0" applyNumberFormat="1" applyFont="1" applyFill="1" applyBorder="1" applyAlignment="1">
      <alignment horizontal="center" vertical="center"/>
    </xf>
    <xf numFmtId="3" fontId="6" fillId="9" borderId="36" xfId="0" applyNumberFormat="1" applyFont="1" applyFill="1" applyBorder="1" applyAlignment="1">
      <alignment horizontal="center" vertical="center"/>
    </xf>
    <xf numFmtId="10" fontId="6" fillId="9" borderId="37" xfId="3" applyNumberFormat="1" applyFont="1" applyFill="1" applyBorder="1" applyAlignment="1">
      <alignment horizontal="center" vertical="center"/>
    </xf>
    <xf numFmtId="3" fontId="1" fillId="6" borderId="6" xfId="0" applyNumberFormat="1" applyFont="1" applyFill="1" applyBorder="1" applyAlignment="1">
      <alignment horizontal="center" vertical="center" wrapText="1"/>
    </xf>
    <xf numFmtId="3" fontId="5" fillId="3" borderId="1" xfId="0" applyNumberFormat="1" applyFont="1" applyFill="1" applyBorder="1" applyAlignment="1">
      <alignment horizontal="center" vertical="center" wrapText="1"/>
    </xf>
    <xf numFmtId="3" fontId="1" fillId="3" borderId="1" xfId="0" applyNumberFormat="1" applyFont="1" applyFill="1" applyBorder="1" applyAlignment="1">
      <alignment horizontal="center" vertical="center" wrapText="1"/>
    </xf>
    <xf numFmtId="0" fontId="6" fillId="6" borderId="6" xfId="0" applyFont="1" applyFill="1" applyBorder="1" applyAlignment="1">
      <alignment horizontal="center" vertical="center"/>
    </xf>
    <xf numFmtId="3" fontId="6" fillId="3" borderId="21" xfId="0" applyNumberFormat="1" applyFont="1" applyFill="1" applyBorder="1"/>
    <xf numFmtId="3" fontId="6" fillId="3" borderId="6" xfId="0" applyNumberFormat="1" applyFont="1" applyFill="1" applyBorder="1"/>
    <xf numFmtId="3" fontId="6" fillId="3" borderId="21" xfId="0" applyNumberFormat="1" applyFont="1" applyFill="1" applyBorder="1" applyAlignment="1">
      <alignment horizontal="center" vertical="center"/>
    </xf>
    <xf numFmtId="3" fontId="6" fillId="3" borderId="1" xfId="0" applyNumberFormat="1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 wrapText="1"/>
    </xf>
    <xf numFmtId="0" fontId="3" fillId="3" borderId="0" xfId="0" applyFont="1" applyFill="1" applyAlignment="1">
      <alignment horizontal="center" vertical="center"/>
    </xf>
    <xf numFmtId="0" fontId="4" fillId="3" borderId="19" xfId="0" applyFont="1" applyFill="1" applyBorder="1" applyAlignment="1">
      <alignment horizontal="center" vertical="center"/>
    </xf>
    <xf numFmtId="0" fontId="6" fillId="3" borderId="0" xfId="0" applyFont="1" applyFill="1"/>
    <xf numFmtId="10" fontId="6" fillId="3" borderId="33" xfId="3" applyNumberFormat="1" applyFont="1" applyFill="1" applyBorder="1"/>
    <xf numFmtId="10" fontId="4" fillId="3" borderId="59" xfId="3" applyNumberFormat="1" applyFont="1" applyFill="1" applyBorder="1"/>
    <xf numFmtId="10" fontId="4" fillId="0" borderId="30" xfId="3" applyNumberFormat="1" applyFont="1" applyBorder="1"/>
    <xf numFmtId="10" fontId="4" fillId="3" borderId="33" xfId="3" applyNumberFormat="1" applyFont="1" applyFill="1" applyBorder="1"/>
    <xf numFmtId="10" fontId="4" fillId="3" borderId="35" xfId="3" applyNumberFormat="1" applyFont="1" applyFill="1" applyBorder="1"/>
    <xf numFmtId="0" fontId="9" fillId="3" borderId="5" xfId="0" applyFont="1" applyFill="1" applyBorder="1" applyAlignment="1">
      <alignment horizontal="center"/>
    </xf>
    <xf numFmtId="10" fontId="7" fillId="3" borderId="5" xfId="0" applyNumberFormat="1" applyFont="1" applyFill="1" applyBorder="1" applyAlignment="1">
      <alignment horizontal="center"/>
    </xf>
    <xf numFmtId="3" fontId="7" fillId="3" borderId="5" xfId="0" applyNumberFormat="1" applyFont="1" applyFill="1" applyBorder="1" applyAlignment="1">
      <alignment horizontal="center"/>
    </xf>
    <xf numFmtId="0" fontId="9" fillId="3" borderId="33" xfId="0" applyFont="1" applyFill="1" applyBorder="1" applyAlignment="1">
      <alignment horizontal="center"/>
    </xf>
    <xf numFmtId="0" fontId="9" fillId="3" borderId="35" xfId="0" applyFont="1" applyFill="1" applyBorder="1" applyAlignment="1">
      <alignment horizontal="center"/>
    </xf>
    <xf numFmtId="0" fontId="9" fillId="3" borderId="36" xfId="0" applyFont="1" applyFill="1" applyBorder="1" applyAlignment="1">
      <alignment horizontal="center"/>
    </xf>
    <xf numFmtId="10" fontId="7" fillId="3" borderId="36" xfId="0" applyNumberFormat="1" applyFont="1" applyFill="1" applyBorder="1" applyAlignment="1">
      <alignment horizontal="center"/>
    </xf>
    <xf numFmtId="3" fontId="7" fillId="3" borderId="36" xfId="0" applyNumberFormat="1" applyFont="1" applyFill="1" applyBorder="1" applyAlignment="1">
      <alignment horizontal="center"/>
    </xf>
    <xf numFmtId="10" fontId="7" fillId="3" borderId="2" xfId="0" applyNumberFormat="1" applyFont="1" applyFill="1" applyBorder="1" applyAlignment="1">
      <alignment horizontal="center"/>
    </xf>
    <xf numFmtId="10" fontId="7" fillId="3" borderId="47" xfId="0" applyNumberFormat="1" applyFont="1" applyFill="1" applyBorder="1" applyAlignment="1">
      <alignment horizontal="center"/>
    </xf>
    <xf numFmtId="10" fontId="7" fillId="3" borderId="59" xfId="0" applyNumberFormat="1" applyFont="1" applyFill="1" applyBorder="1" applyAlignment="1">
      <alignment horizontal="center"/>
    </xf>
    <xf numFmtId="0" fontId="4" fillId="3" borderId="13" xfId="0" applyFont="1" applyFill="1" applyBorder="1" applyAlignment="1">
      <alignment horizontal="center" wrapText="1"/>
    </xf>
    <xf numFmtId="0" fontId="9" fillId="3" borderId="38" xfId="0" applyFont="1" applyFill="1" applyBorder="1" applyAlignment="1">
      <alignment horizontal="center"/>
    </xf>
    <xf numFmtId="0" fontId="9" fillId="3" borderId="39" xfId="0" applyFont="1" applyFill="1" applyBorder="1" applyAlignment="1">
      <alignment horizontal="center" vertical="center"/>
    </xf>
    <xf numFmtId="10" fontId="7" fillId="3" borderId="39" xfId="0" applyNumberFormat="1" applyFont="1" applyFill="1" applyBorder="1" applyAlignment="1">
      <alignment horizontal="center"/>
    </xf>
    <xf numFmtId="10" fontId="7" fillId="3" borderId="60" xfId="0" applyNumberFormat="1" applyFont="1" applyFill="1" applyBorder="1" applyAlignment="1">
      <alignment horizontal="center"/>
    </xf>
    <xf numFmtId="0" fontId="9" fillId="3" borderId="14" xfId="0" applyFont="1" applyFill="1" applyBorder="1" applyAlignment="1">
      <alignment horizontal="center" vertical="center" wrapText="1"/>
    </xf>
    <xf numFmtId="0" fontId="9" fillId="3" borderId="36" xfId="0" applyFont="1" applyFill="1" applyBorder="1" applyAlignment="1">
      <alignment horizontal="center" vertical="center"/>
    </xf>
    <xf numFmtId="0" fontId="9" fillId="3" borderId="59" xfId="0" applyFont="1" applyFill="1" applyBorder="1" applyAlignment="1">
      <alignment horizontal="center" vertical="center"/>
    </xf>
    <xf numFmtId="0" fontId="9" fillId="3" borderId="2" xfId="0" applyFont="1" applyFill="1" applyBorder="1" applyAlignment="1">
      <alignment horizontal="center" vertical="center" wrapText="1"/>
    </xf>
    <xf numFmtId="0" fontId="1" fillId="3" borderId="14" xfId="0" applyFont="1" applyFill="1" applyBorder="1" applyAlignment="1">
      <alignment horizontal="center" vertical="center" wrapText="1"/>
    </xf>
    <xf numFmtId="3" fontId="1" fillId="3" borderId="61" xfId="0" applyNumberFormat="1" applyFont="1" applyFill="1" applyBorder="1" applyAlignment="1">
      <alignment horizontal="center" vertical="center" wrapText="1"/>
    </xf>
    <xf numFmtId="4" fontId="1" fillId="6" borderId="1" xfId="0" applyNumberFormat="1" applyFont="1" applyFill="1" applyBorder="1" applyAlignment="1">
      <alignment horizontal="center" vertical="center" wrapText="1"/>
    </xf>
    <xf numFmtId="3" fontId="5" fillId="6" borderId="1" xfId="0" applyNumberFormat="1" applyFont="1" applyFill="1" applyBorder="1" applyAlignment="1">
      <alignment horizontal="center" vertical="center" wrapText="1"/>
    </xf>
    <xf numFmtId="164" fontId="5" fillId="3" borderId="21" xfId="3" applyNumberFormat="1" applyFont="1" applyFill="1" applyBorder="1" applyAlignment="1">
      <alignment horizontal="center" vertical="center" wrapText="1"/>
    </xf>
    <xf numFmtId="10" fontId="5" fillId="3" borderId="21" xfId="3" applyNumberFormat="1" applyFont="1" applyFill="1" applyBorder="1" applyAlignment="1">
      <alignment horizontal="center" vertical="center" wrapText="1"/>
    </xf>
    <xf numFmtId="10" fontId="1" fillId="3" borderId="3" xfId="0" applyNumberFormat="1" applyFont="1" applyFill="1" applyBorder="1" applyAlignment="1">
      <alignment vertical="center" wrapText="1"/>
    </xf>
    <xf numFmtId="10" fontId="4" fillId="3" borderId="36" xfId="3" applyNumberFormat="1" applyFont="1" applyFill="1" applyBorder="1" applyAlignment="1">
      <alignment horizontal="center" vertical="center"/>
    </xf>
    <xf numFmtId="0" fontId="5" fillId="6" borderId="6" xfId="0" applyFont="1" applyFill="1" applyBorder="1" applyAlignment="1">
      <alignment horizontal="center" vertical="center" wrapText="1"/>
    </xf>
    <xf numFmtId="0" fontId="5" fillId="6" borderId="16" xfId="0" applyFont="1" applyFill="1" applyBorder="1" applyAlignment="1">
      <alignment horizontal="center" vertical="center" wrapText="1"/>
    </xf>
    <xf numFmtId="0" fontId="9" fillId="3" borderId="36" xfId="0" applyFont="1" applyFill="1" applyBorder="1" applyAlignment="1">
      <alignment horizontal="center" vertical="distributed"/>
    </xf>
    <xf numFmtId="0" fontId="6" fillId="0" borderId="40" xfId="0" applyFont="1" applyBorder="1" applyAlignment="1">
      <alignment horizontal="distributed" vertical="distributed"/>
    </xf>
    <xf numFmtId="3" fontId="0" fillId="0" borderId="0" xfId="0" applyNumberFormat="1"/>
    <xf numFmtId="0" fontId="0" fillId="6" borderId="0" xfId="0" applyFill="1"/>
    <xf numFmtId="0" fontId="5" fillId="6" borderId="14" xfId="0" applyFont="1" applyFill="1" applyBorder="1" applyAlignment="1">
      <alignment horizontal="center" vertical="center" wrapText="1"/>
    </xf>
    <xf numFmtId="3" fontId="6" fillId="6" borderId="22" xfId="0" applyNumberFormat="1" applyFont="1" applyFill="1" applyBorder="1" applyAlignment="1">
      <alignment horizontal="center" vertical="center"/>
    </xf>
    <xf numFmtId="0" fontId="3" fillId="6" borderId="0" xfId="0" applyFont="1" applyFill="1" applyAlignment="1">
      <alignment vertical="center"/>
    </xf>
    <xf numFmtId="3" fontId="5" fillId="6" borderId="54" xfId="0" applyNumberFormat="1" applyFont="1" applyFill="1" applyBorder="1" applyAlignment="1">
      <alignment horizontal="center" vertical="center" wrapText="1"/>
    </xf>
    <xf numFmtId="0" fontId="6" fillId="6" borderId="0" xfId="0" applyFont="1" applyFill="1" applyAlignment="1">
      <alignment horizontal="center" vertical="center"/>
    </xf>
    <xf numFmtId="3" fontId="6" fillId="6" borderId="55" xfId="0" applyNumberFormat="1" applyFont="1" applyFill="1" applyBorder="1" applyAlignment="1">
      <alignment horizontal="center" vertical="center"/>
    </xf>
    <xf numFmtId="3" fontId="5" fillId="6" borderId="30" xfId="0" applyNumberFormat="1" applyFont="1" applyFill="1" applyBorder="1" applyAlignment="1">
      <alignment horizontal="center" vertical="center" wrapText="1"/>
    </xf>
    <xf numFmtId="3" fontId="1" fillId="6" borderId="21" xfId="0" applyNumberFormat="1" applyFont="1" applyFill="1" applyBorder="1" applyAlignment="1">
      <alignment horizontal="center" vertical="center" wrapText="1"/>
    </xf>
    <xf numFmtId="3" fontId="5" fillId="6" borderId="21" xfId="0" applyNumberFormat="1" applyFont="1" applyFill="1" applyBorder="1" applyAlignment="1">
      <alignment horizontal="center" vertical="center" wrapText="1"/>
    </xf>
    <xf numFmtId="10" fontId="5" fillId="6" borderId="21" xfId="3" applyNumberFormat="1" applyFont="1" applyFill="1" applyBorder="1" applyAlignment="1">
      <alignment horizontal="center" vertical="center" wrapText="1"/>
    </xf>
    <xf numFmtId="3" fontId="1" fillId="6" borderId="0" xfId="0" applyNumberFormat="1" applyFont="1" applyFill="1" applyAlignment="1">
      <alignment horizontal="center" vertical="center" wrapText="1"/>
    </xf>
    <xf numFmtId="0" fontId="9" fillId="6" borderId="7" xfId="0" applyFont="1" applyFill="1" applyBorder="1" applyAlignment="1">
      <alignment horizontal="center"/>
    </xf>
    <xf numFmtId="9" fontId="3" fillId="6" borderId="0" xfId="3" applyFont="1" applyFill="1"/>
    <xf numFmtId="10" fontId="3" fillId="6" borderId="0" xfId="3" applyNumberFormat="1" applyFont="1" applyFill="1"/>
    <xf numFmtId="10" fontId="0" fillId="3" borderId="0" xfId="0" applyNumberFormat="1" applyFill="1"/>
    <xf numFmtId="3" fontId="6" fillId="0" borderId="40" xfId="0" applyNumberFormat="1" applyFont="1" applyBorder="1" applyAlignment="1">
      <alignment horizontal="distributed" vertical="distributed"/>
    </xf>
    <xf numFmtId="3" fontId="9" fillId="3" borderId="36" xfId="0" applyNumberFormat="1" applyFont="1" applyFill="1" applyBorder="1" applyAlignment="1">
      <alignment horizontal="center" vertical="distributed"/>
    </xf>
    <xf numFmtId="3" fontId="3" fillId="6" borderId="0" xfId="3" applyNumberFormat="1" applyFont="1" applyFill="1"/>
    <xf numFmtId="0" fontId="5" fillId="3" borderId="9" xfId="0" applyFont="1" applyFill="1" applyBorder="1" applyAlignment="1">
      <alignment horizontal="center" wrapText="1"/>
    </xf>
    <xf numFmtId="3" fontId="5" fillId="3" borderId="55" xfId="0" applyNumberFormat="1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wrapText="1"/>
    </xf>
    <xf numFmtId="0" fontId="9" fillId="6" borderId="8" xfId="0" applyFont="1" applyFill="1" applyBorder="1" applyAlignment="1">
      <alignment horizontal="center"/>
    </xf>
    <xf numFmtId="0" fontId="9" fillId="6" borderId="25" xfId="0" applyFont="1" applyFill="1" applyBorder="1" applyAlignment="1">
      <alignment horizontal="center"/>
    </xf>
    <xf numFmtId="0" fontId="9" fillId="6" borderId="28" xfId="0" applyFont="1" applyFill="1" applyBorder="1" applyAlignment="1">
      <alignment horizontal="center"/>
    </xf>
    <xf numFmtId="0" fontId="9" fillId="6" borderId="2" xfId="0" applyFont="1" applyFill="1" applyBorder="1" applyAlignment="1">
      <alignment horizontal="center" wrapText="1"/>
    </xf>
    <xf numFmtId="2" fontId="9" fillId="6" borderId="4" xfId="0" applyNumberFormat="1" applyFont="1" applyFill="1" applyBorder="1" applyAlignment="1">
      <alignment horizontal="center"/>
    </xf>
    <xf numFmtId="2" fontId="6" fillId="6" borderId="4" xfId="0" applyNumberFormat="1" applyFont="1" applyFill="1" applyBorder="1" applyAlignment="1">
      <alignment horizontal="center" wrapText="1"/>
    </xf>
    <xf numFmtId="0" fontId="9" fillId="6" borderId="4" xfId="0" applyFont="1" applyFill="1" applyBorder="1" applyAlignment="1">
      <alignment horizontal="center"/>
    </xf>
    <xf numFmtId="0" fontId="9" fillId="6" borderId="1" xfId="0" applyFont="1" applyFill="1" applyBorder="1" applyAlignment="1">
      <alignment horizontal="center" vertical="distributed"/>
    </xf>
    <xf numFmtId="2" fontId="9" fillId="6" borderId="4" xfId="0" applyNumberFormat="1" applyFont="1" applyFill="1" applyBorder="1" applyAlignment="1">
      <alignment horizontal="center" wrapText="1"/>
    </xf>
    <xf numFmtId="0" fontId="5" fillId="6" borderId="9" xfId="0" applyFont="1" applyFill="1" applyBorder="1" applyAlignment="1">
      <alignment horizontal="center" vertical="center" wrapText="1"/>
    </xf>
    <xf numFmtId="0" fontId="5" fillId="6" borderId="27" xfId="0" applyFont="1" applyFill="1" applyBorder="1" applyAlignment="1">
      <alignment horizontal="center" vertical="center" wrapText="1"/>
    </xf>
    <xf numFmtId="0" fontId="6" fillId="6" borderId="9" xfId="0" applyFont="1" applyFill="1" applyBorder="1" applyAlignment="1">
      <alignment horizontal="center" vertical="center"/>
    </xf>
    <xf numFmtId="0" fontId="5" fillId="6" borderId="21" xfId="0" applyFont="1" applyFill="1" applyBorder="1" applyAlignment="1">
      <alignment horizontal="center" vertical="center" wrapText="1"/>
    </xf>
    <xf numFmtId="166" fontId="5" fillId="6" borderId="22" xfId="0" applyNumberFormat="1" applyFont="1" applyFill="1" applyBorder="1" applyAlignment="1">
      <alignment horizontal="center" vertical="center" wrapText="1"/>
    </xf>
    <xf numFmtId="166" fontId="8" fillId="6" borderId="23" xfId="32" applyNumberFormat="1" applyFont="1" applyFill="1" applyBorder="1" applyAlignment="1" applyProtection="1">
      <alignment horizontal="center" vertical="center" wrapText="1"/>
    </xf>
    <xf numFmtId="166" fontId="5" fillId="6" borderId="51" xfId="0" applyNumberFormat="1" applyFont="1" applyFill="1" applyBorder="1" applyAlignment="1">
      <alignment horizontal="center" vertical="center"/>
    </xf>
    <xf numFmtId="166" fontId="5" fillId="6" borderId="22" xfId="0" applyNumberFormat="1" applyFont="1" applyFill="1" applyBorder="1" applyAlignment="1">
      <alignment horizontal="center" vertical="center"/>
    </xf>
    <xf numFmtId="0" fontId="5" fillId="6" borderId="30" xfId="0" applyFont="1" applyFill="1" applyBorder="1" applyAlignment="1">
      <alignment horizontal="center" vertical="center" wrapText="1"/>
    </xf>
    <xf numFmtId="166" fontId="5" fillId="6" borderId="31" xfId="0" applyNumberFormat="1" applyFont="1" applyFill="1" applyBorder="1" applyAlignment="1">
      <alignment horizontal="center" vertical="center" wrapText="1"/>
    </xf>
    <xf numFmtId="166" fontId="8" fillId="6" borderId="32" xfId="32" applyNumberFormat="1" applyFont="1" applyFill="1" applyBorder="1" applyAlignment="1" applyProtection="1">
      <alignment horizontal="center" vertical="center" wrapText="1"/>
    </xf>
    <xf numFmtId="166" fontId="5" fillId="6" borderId="30" xfId="0" applyNumberFormat="1" applyFont="1" applyFill="1" applyBorder="1" applyAlignment="1">
      <alignment horizontal="center" vertical="center" wrapText="1"/>
    </xf>
    <xf numFmtId="166" fontId="5" fillId="6" borderId="41" xfId="0" applyNumberFormat="1" applyFont="1" applyFill="1" applyBorder="1" applyAlignment="1">
      <alignment horizontal="center" vertical="center"/>
    </xf>
    <xf numFmtId="166" fontId="5" fillId="6" borderId="31" xfId="0" applyNumberFormat="1" applyFont="1" applyFill="1" applyBorder="1" applyAlignment="1">
      <alignment horizontal="center" vertical="center"/>
    </xf>
    <xf numFmtId="0" fontId="5" fillId="6" borderId="38" xfId="0" applyFont="1" applyFill="1" applyBorder="1" applyAlignment="1">
      <alignment horizontal="center" vertical="center" wrapText="1"/>
    </xf>
    <xf numFmtId="166" fontId="5" fillId="6" borderId="39" xfId="0" applyNumberFormat="1" applyFont="1" applyFill="1" applyBorder="1" applyAlignment="1">
      <alignment horizontal="center" vertical="center" wrapText="1"/>
    </xf>
    <xf numFmtId="166" fontId="8" fillId="6" borderId="40" xfId="32" applyNumberFormat="1" applyFont="1" applyFill="1" applyBorder="1" applyAlignment="1" applyProtection="1">
      <alignment horizontal="center" vertical="center" wrapText="1"/>
    </xf>
    <xf numFmtId="166" fontId="5" fillId="6" borderId="43" xfId="0" applyNumberFormat="1" applyFont="1" applyFill="1" applyBorder="1" applyAlignment="1">
      <alignment horizontal="center" vertical="center"/>
    </xf>
    <xf numFmtId="166" fontId="5" fillId="6" borderId="39" xfId="0" applyNumberFormat="1" applyFont="1" applyFill="1" applyBorder="1" applyAlignment="1">
      <alignment horizontal="center" vertical="center"/>
    </xf>
    <xf numFmtId="0" fontId="5" fillId="6" borderId="22" xfId="0" applyFont="1" applyFill="1" applyBorder="1" applyAlignment="1">
      <alignment horizontal="center" vertical="center" wrapText="1"/>
    </xf>
    <xf numFmtId="0" fontId="5" fillId="6" borderId="17" xfId="0" applyFont="1" applyFill="1" applyBorder="1" applyAlignment="1">
      <alignment horizontal="center" vertical="center" wrapText="1"/>
    </xf>
    <xf numFmtId="0" fontId="5" fillId="6" borderId="20" xfId="0" applyFont="1" applyFill="1" applyBorder="1" applyAlignment="1">
      <alignment horizontal="center" vertical="center" wrapText="1"/>
    </xf>
    <xf numFmtId="10" fontId="4" fillId="3" borderId="5" xfId="3" applyNumberFormat="1" applyFont="1" applyFill="1" applyBorder="1"/>
    <xf numFmtId="166" fontId="4" fillId="3" borderId="5" xfId="3" applyNumberFormat="1" applyFont="1" applyFill="1" applyBorder="1"/>
    <xf numFmtId="3" fontId="4" fillId="3" borderId="57" xfId="0" applyNumberFormat="1" applyFont="1" applyFill="1" applyBorder="1"/>
    <xf numFmtId="10" fontId="4" fillId="3" borderId="31" xfId="3" applyNumberFormat="1" applyFont="1" applyFill="1" applyBorder="1"/>
    <xf numFmtId="0" fontId="0" fillId="0" borderId="31" xfId="0" applyBorder="1"/>
    <xf numFmtId="10" fontId="4" fillId="3" borderId="36" xfId="3" applyNumberFormat="1" applyFont="1" applyFill="1" applyBorder="1"/>
    <xf numFmtId="166" fontId="4" fillId="3" borderId="36" xfId="3" applyNumberFormat="1" applyFont="1" applyFill="1" applyBorder="1"/>
    <xf numFmtId="1" fontId="6" fillId="3" borderId="42" xfId="0" applyNumberFormat="1" applyFont="1" applyFill="1" applyBorder="1" applyAlignment="1">
      <alignment horizontal="center" vertical="center"/>
    </xf>
    <xf numFmtId="1" fontId="6" fillId="3" borderId="36" xfId="0" applyNumberFormat="1" applyFont="1" applyFill="1" applyBorder="1" applyAlignment="1">
      <alignment horizontal="center" vertical="center"/>
    </xf>
    <xf numFmtId="0" fontId="6" fillId="3" borderId="20" xfId="0" applyFont="1" applyFill="1" applyBorder="1" applyAlignment="1">
      <alignment vertical="center"/>
    </xf>
    <xf numFmtId="0" fontId="6" fillId="3" borderId="18" xfId="0" applyFont="1" applyFill="1" applyBorder="1" applyAlignment="1">
      <alignment vertical="center"/>
    </xf>
    <xf numFmtId="0" fontId="4" fillId="3" borderId="18" xfId="0" applyFont="1" applyFill="1" applyBorder="1"/>
    <xf numFmtId="0" fontId="6" fillId="3" borderId="19" xfId="0" applyFont="1" applyFill="1" applyBorder="1" applyAlignment="1">
      <alignment vertical="center"/>
    </xf>
    <xf numFmtId="3" fontId="4" fillId="3" borderId="63" xfId="0" applyNumberFormat="1" applyFont="1" applyFill="1" applyBorder="1"/>
    <xf numFmtId="0" fontId="6" fillId="3" borderId="9" xfId="0" applyFont="1" applyFill="1" applyBorder="1" applyAlignment="1">
      <alignment vertical="center"/>
    </xf>
    <xf numFmtId="10" fontId="6" fillId="3" borderId="53" xfId="3" applyNumberFormat="1" applyFont="1" applyFill="1" applyBorder="1"/>
    <xf numFmtId="3" fontId="6" fillId="3" borderId="53" xfId="0" applyNumberFormat="1" applyFont="1" applyFill="1" applyBorder="1"/>
    <xf numFmtId="0" fontId="6" fillId="3" borderId="17" xfId="0" applyFont="1" applyFill="1" applyBorder="1" applyAlignment="1">
      <alignment vertical="center"/>
    </xf>
    <xf numFmtId="0" fontId="6" fillId="3" borderId="28" xfId="0" applyFont="1" applyFill="1" applyBorder="1" applyAlignment="1">
      <alignment vertical="center"/>
    </xf>
    <xf numFmtId="0" fontId="5" fillId="6" borderId="8" xfId="0" applyFont="1" applyFill="1" applyBorder="1" applyAlignment="1">
      <alignment horizontal="center" vertical="center" wrapText="1"/>
    </xf>
    <xf numFmtId="0" fontId="5" fillId="6" borderId="1" xfId="0" applyFont="1" applyFill="1" applyBorder="1" applyAlignment="1">
      <alignment horizontal="center" wrapText="1"/>
    </xf>
    <xf numFmtId="0" fontId="5" fillId="6" borderId="9" xfId="0" applyFont="1" applyFill="1" applyBorder="1" applyAlignment="1">
      <alignment horizontal="center" wrapText="1"/>
    </xf>
    <xf numFmtId="4" fontId="5" fillId="6" borderId="55" xfId="0" applyNumberFormat="1" applyFont="1" applyFill="1" applyBorder="1" applyAlignment="1">
      <alignment horizontal="center" vertical="center"/>
    </xf>
    <xf numFmtId="4" fontId="5" fillId="6" borderId="9" xfId="0" applyNumberFormat="1" applyFont="1" applyFill="1" applyBorder="1" applyAlignment="1">
      <alignment horizontal="center" vertical="center"/>
    </xf>
    <xf numFmtId="0" fontId="5" fillId="6" borderId="16" xfId="0" applyFont="1" applyFill="1" applyBorder="1" applyAlignment="1">
      <alignment horizontal="center" wrapText="1"/>
    </xf>
    <xf numFmtId="0" fontId="5" fillId="6" borderId="12" xfId="0" applyFont="1" applyFill="1" applyBorder="1" applyAlignment="1">
      <alignment horizontal="left" wrapText="1"/>
    </xf>
    <xf numFmtId="0" fontId="5" fillId="6" borderId="64" xfId="0" applyFont="1" applyFill="1" applyBorder="1" applyAlignment="1">
      <alignment horizontal="center" vertical="center"/>
    </xf>
    <xf numFmtId="0" fontId="5" fillId="6" borderId="65" xfId="0" applyFont="1" applyFill="1" applyBorder="1" applyAlignment="1">
      <alignment horizontal="center" vertical="center"/>
    </xf>
    <xf numFmtId="0" fontId="5" fillId="6" borderId="61" xfId="0" applyFont="1" applyFill="1" applyBorder="1" applyAlignment="1">
      <alignment horizontal="center" vertical="center"/>
    </xf>
    <xf numFmtId="0" fontId="6" fillId="6" borderId="61" xfId="0" applyFont="1" applyFill="1" applyBorder="1" applyAlignment="1">
      <alignment horizontal="center" vertical="center"/>
    </xf>
    <xf numFmtId="0" fontId="6" fillId="6" borderId="64" xfId="0" applyFont="1" applyFill="1" applyBorder="1" applyAlignment="1">
      <alignment horizontal="center" vertical="center"/>
    </xf>
    <xf numFmtId="0" fontId="6" fillId="6" borderId="65" xfId="0" applyFont="1" applyFill="1" applyBorder="1" applyAlignment="1">
      <alignment horizontal="center" vertical="center"/>
    </xf>
    <xf numFmtId="0" fontId="4" fillId="0" borderId="0" xfId="0" applyFont="1"/>
    <xf numFmtId="3" fontId="4" fillId="0" borderId="5" xfId="0" applyNumberFormat="1" applyFont="1" applyBorder="1" applyAlignment="1">
      <alignment horizontal="center" vertical="center"/>
    </xf>
    <xf numFmtId="3" fontId="4" fillId="0" borderId="39" xfId="0" applyNumberFormat="1" applyFont="1" applyBorder="1" applyAlignment="1">
      <alignment horizontal="center" vertical="center"/>
    </xf>
    <xf numFmtId="3" fontId="4" fillId="0" borderId="57" xfId="0" applyNumberFormat="1" applyFont="1" applyBorder="1" applyAlignment="1">
      <alignment horizontal="center" vertical="center"/>
    </xf>
    <xf numFmtId="3" fontId="6" fillId="0" borderId="22" xfId="0" applyNumberFormat="1" applyFont="1" applyBorder="1" applyAlignment="1">
      <alignment horizontal="center" vertical="center"/>
    </xf>
    <xf numFmtId="10" fontId="6" fillId="0" borderId="23" xfId="3" applyNumberFormat="1" applyFont="1" applyBorder="1" applyAlignment="1">
      <alignment horizontal="center" vertical="center"/>
    </xf>
    <xf numFmtId="0" fontId="4" fillId="0" borderId="34" xfId="0" applyFont="1" applyBorder="1"/>
    <xf numFmtId="3" fontId="0" fillId="0" borderId="5" xfId="0" applyNumberFormat="1" applyBorder="1"/>
    <xf numFmtId="3" fontId="0" fillId="0" borderId="34" xfId="0" applyNumberFormat="1" applyBorder="1"/>
    <xf numFmtId="3" fontId="0" fillId="0" borderId="36" xfId="0" applyNumberFormat="1" applyBorder="1"/>
    <xf numFmtId="3" fontId="0" fillId="0" borderId="37" xfId="0" applyNumberFormat="1" applyBorder="1"/>
    <xf numFmtId="3" fontId="3" fillId="0" borderId="64" xfId="0" applyNumberFormat="1" applyFont="1" applyBorder="1"/>
    <xf numFmtId="3" fontId="3" fillId="0" borderId="65" xfId="0" applyNumberFormat="1" applyFont="1" applyBorder="1"/>
    <xf numFmtId="3" fontId="3" fillId="0" borderId="68" xfId="0" applyNumberFormat="1" applyFont="1" applyBorder="1"/>
    <xf numFmtId="0" fontId="13" fillId="0" borderId="3" xfId="0" applyFont="1" applyBorder="1"/>
    <xf numFmtId="0" fontId="12" fillId="0" borderId="12" xfId="0" applyFont="1" applyBorder="1"/>
    <xf numFmtId="0" fontId="12" fillId="0" borderId="13" xfId="0" applyFont="1" applyBorder="1"/>
    <xf numFmtId="0" fontId="12" fillId="0" borderId="24" xfId="0" applyFont="1" applyBorder="1"/>
    <xf numFmtId="3" fontId="0" fillId="0" borderId="57" xfId="0" applyNumberFormat="1" applyBorder="1"/>
    <xf numFmtId="3" fontId="0" fillId="0" borderId="58" xfId="0" applyNumberFormat="1" applyBorder="1"/>
    <xf numFmtId="0" fontId="12" fillId="0" borderId="14" xfId="0" applyFont="1" applyBorder="1"/>
    <xf numFmtId="3" fontId="0" fillId="0" borderId="39" xfId="0" applyNumberFormat="1" applyBorder="1"/>
    <xf numFmtId="3" fontId="0" fillId="0" borderId="40" xfId="0" applyNumberFormat="1" applyBorder="1"/>
    <xf numFmtId="0" fontId="13" fillId="0" borderId="1" xfId="0" applyFont="1" applyBorder="1"/>
    <xf numFmtId="3" fontId="3" fillId="0" borderId="51" xfId="0" applyNumberFormat="1" applyFont="1" applyBorder="1"/>
    <xf numFmtId="3" fontId="3" fillId="0" borderId="22" xfId="0" applyNumberFormat="1" applyFont="1" applyBorder="1"/>
    <xf numFmtId="3" fontId="3" fillId="0" borderId="23" xfId="0" applyNumberFormat="1" applyFont="1" applyBorder="1"/>
    <xf numFmtId="0" fontId="15" fillId="0" borderId="0" xfId="0" applyFont="1"/>
    <xf numFmtId="4" fontId="5" fillId="3" borderId="5" xfId="0" applyNumberFormat="1" applyFont="1" applyFill="1" applyBorder="1"/>
    <xf numFmtId="4" fontId="5" fillId="3" borderId="34" xfId="0" applyNumberFormat="1" applyFont="1" applyFill="1" applyBorder="1"/>
    <xf numFmtId="4" fontId="1" fillId="3" borderId="5" xfId="0" applyNumberFormat="1" applyFont="1" applyFill="1" applyBorder="1"/>
    <xf numFmtId="0" fontId="14" fillId="3" borderId="0" xfId="0" applyFont="1" applyFill="1"/>
    <xf numFmtId="3" fontId="1" fillId="3" borderId="0" xfId="0" applyNumberFormat="1" applyFont="1" applyFill="1"/>
    <xf numFmtId="0" fontId="15" fillId="3" borderId="0" xfId="0" applyFont="1" applyFill="1"/>
    <xf numFmtId="165" fontId="1" fillId="3" borderId="5" xfId="0" applyNumberFormat="1" applyFont="1" applyFill="1" applyBorder="1"/>
    <xf numFmtId="165" fontId="1" fillId="3" borderId="34" xfId="0" applyNumberFormat="1" applyFont="1" applyFill="1" applyBorder="1"/>
    <xf numFmtId="165" fontId="5" fillId="3" borderId="5" xfId="0" applyNumberFormat="1" applyFont="1" applyFill="1" applyBorder="1"/>
    <xf numFmtId="0" fontId="4" fillId="0" borderId="0" xfId="0" applyFont="1" applyAlignment="1">
      <alignment horizontal="center" vertical="center"/>
    </xf>
    <xf numFmtId="1" fontId="0" fillId="3" borderId="0" xfId="3" applyNumberFormat="1" applyFont="1" applyFill="1"/>
    <xf numFmtId="0" fontId="18" fillId="3" borderId="0" xfId="0" applyFont="1" applyFill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3" borderId="0" xfId="0" applyFont="1" applyFill="1"/>
    <xf numFmtId="3" fontId="0" fillId="3" borderId="0" xfId="0" applyNumberFormat="1" applyFill="1" applyAlignment="1">
      <alignment horizontal="center" vertical="center"/>
    </xf>
    <xf numFmtId="164" fontId="0" fillId="3" borderId="0" xfId="0" applyNumberFormat="1" applyFill="1"/>
    <xf numFmtId="167" fontId="5" fillId="3" borderId="0" xfId="0" applyNumberFormat="1" applyFont="1" applyFill="1"/>
    <xf numFmtId="0" fontId="3" fillId="0" borderId="16" xfId="0" applyFont="1" applyBorder="1" applyAlignment="1">
      <alignment horizontal="center" vertical="center"/>
    </xf>
    <xf numFmtId="3" fontId="0" fillId="0" borderId="38" xfId="0" applyNumberForma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/>
    <xf numFmtId="3" fontId="7" fillId="0" borderId="40" xfId="0" applyNumberFormat="1" applyFont="1" applyBorder="1" applyAlignment="1">
      <alignment horizontal="center" wrapText="1"/>
    </xf>
    <xf numFmtId="1" fontId="6" fillId="3" borderId="22" xfId="0" applyNumberFormat="1" applyFont="1" applyFill="1" applyBorder="1" applyAlignment="1">
      <alignment horizontal="center" vertical="center"/>
    </xf>
    <xf numFmtId="1" fontId="6" fillId="3" borderId="21" xfId="0" applyNumberFormat="1" applyFont="1" applyFill="1" applyBorder="1" applyAlignment="1">
      <alignment horizontal="center" vertical="center"/>
    </xf>
    <xf numFmtId="1" fontId="6" fillId="3" borderId="23" xfId="0" applyNumberFormat="1" applyFont="1" applyFill="1" applyBorder="1" applyAlignment="1">
      <alignment horizontal="center" vertical="center"/>
    </xf>
    <xf numFmtId="3" fontId="7" fillId="0" borderId="39" xfId="0" applyNumberFormat="1" applyFont="1" applyBorder="1" applyAlignment="1">
      <alignment horizontal="center" wrapText="1"/>
    </xf>
    <xf numFmtId="3" fontId="9" fillId="3" borderId="57" xfId="0" applyNumberFormat="1" applyFont="1" applyFill="1" applyBorder="1" applyAlignment="1">
      <alignment horizontal="center" vertical="distributed"/>
    </xf>
    <xf numFmtId="3" fontId="3" fillId="6" borderId="5" xfId="3" applyNumberFormat="1" applyFont="1" applyFill="1" applyBorder="1"/>
    <xf numFmtId="3" fontId="3" fillId="3" borderId="5" xfId="3" applyNumberFormat="1" applyFont="1" applyFill="1" applyBorder="1"/>
    <xf numFmtId="3" fontId="3" fillId="6" borderId="30" xfId="3" applyNumberFormat="1" applyFont="1" applyFill="1" applyBorder="1"/>
    <xf numFmtId="3" fontId="3" fillId="6" borderId="31" xfId="3" applyNumberFormat="1" applyFont="1" applyFill="1" applyBorder="1"/>
    <xf numFmtId="3" fontId="3" fillId="6" borderId="32" xfId="3" applyNumberFormat="1" applyFont="1" applyFill="1" applyBorder="1"/>
    <xf numFmtId="3" fontId="3" fillId="6" borderId="33" xfId="3" applyNumberFormat="1" applyFont="1" applyFill="1" applyBorder="1"/>
    <xf numFmtId="3" fontId="3" fillId="6" borderId="34" xfId="3" applyNumberFormat="1" applyFont="1" applyFill="1" applyBorder="1"/>
    <xf numFmtId="3" fontId="3" fillId="3" borderId="33" xfId="3" applyNumberFormat="1" applyFont="1" applyFill="1" applyBorder="1"/>
    <xf numFmtId="3" fontId="3" fillId="3" borderId="34" xfId="3" applyNumberFormat="1" applyFont="1" applyFill="1" applyBorder="1"/>
    <xf numFmtId="3" fontId="3" fillId="3" borderId="35" xfId="3" applyNumberFormat="1" applyFont="1" applyFill="1" applyBorder="1"/>
    <xf numFmtId="3" fontId="3" fillId="3" borderId="36" xfId="3" applyNumberFormat="1" applyFont="1" applyFill="1" applyBorder="1"/>
    <xf numFmtId="3" fontId="3" fillId="3" borderId="37" xfId="3" applyNumberFormat="1" applyFont="1" applyFill="1" applyBorder="1"/>
    <xf numFmtId="3" fontId="3" fillId="6" borderId="47" xfId="3" applyNumberFormat="1" applyFont="1" applyFill="1" applyBorder="1"/>
    <xf numFmtId="3" fontId="3" fillId="3" borderId="47" xfId="3" applyNumberFormat="1" applyFont="1" applyFill="1" applyBorder="1"/>
    <xf numFmtId="10" fontId="5" fillId="6" borderId="6" xfId="0" applyNumberFormat="1" applyFont="1" applyFill="1" applyBorder="1" applyAlignment="1">
      <alignment horizontal="center" vertical="center" wrapText="1"/>
    </xf>
    <xf numFmtId="10" fontId="5" fillId="6" borderId="1" xfId="0" applyNumberFormat="1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/>
    </xf>
    <xf numFmtId="0" fontId="5" fillId="3" borderId="55" xfId="0" applyFont="1" applyFill="1" applyBorder="1" applyAlignment="1">
      <alignment horizontal="center" vertical="center"/>
    </xf>
    <xf numFmtId="0" fontId="5" fillId="3" borderId="53" xfId="0" applyFont="1" applyFill="1" applyBorder="1" applyAlignment="1">
      <alignment horizontal="center" vertical="center"/>
    </xf>
    <xf numFmtId="0" fontId="5" fillId="3" borderId="62" xfId="0" applyFont="1" applyFill="1" applyBorder="1" applyAlignment="1">
      <alignment horizontal="center" vertical="center"/>
    </xf>
    <xf numFmtId="3" fontId="5" fillId="3" borderId="5" xfId="0" applyNumberFormat="1" applyFont="1" applyFill="1" applyBorder="1" applyAlignment="1">
      <alignment horizontal="center" vertical="center"/>
    </xf>
    <xf numFmtId="3" fontId="5" fillId="3" borderId="33" xfId="0" applyNumberFormat="1" applyFont="1" applyFill="1" applyBorder="1" applyAlignment="1">
      <alignment horizontal="center" vertical="center"/>
    </xf>
    <xf numFmtId="3" fontId="5" fillId="3" borderId="34" xfId="0" applyNumberFormat="1" applyFont="1" applyFill="1" applyBorder="1" applyAlignment="1">
      <alignment horizontal="center" vertical="center"/>
    </xf>
    <xf numFmtId="3" fontId="5" fillId="3" borderId="35" xfId="0" applyNumberFormat="1" applyFont="1" applyFill="1" applyBorder="1" applyAlignment="1">
      <alignment horizontal="center" vertical="center"/>
    </xf>
    <xf numFmtId="3" fontId="5" fillId="3" borderId="36" xfId="0" applyNumberFormat="1" applyFont="1" applyFill="1" applyBorder="1" applyAlignment="1">
      <alignment horizontal="center" vertical="center"/>
    </xf>
    <xf numFmtId="3" fontId="5" fillId="3" borderId="37" xfId="0" applyNumberFormat="1" applyFont="1" applyFill="1" applyBorder="1" applyAlignment="1">
      <alignment horizontal="center" vertical="center"/>
    </xf>
    <xf numFmtId="3" fontId="5" fillId="3" borderId="33" xfId="0" applyNumberFormat="1" applyFont="1" applyFill="1" applyBorder="1" applyAlignment="1">
      <alignment horizontal="center" vertical="center" wrapText="1"/>
    </xf>
    <xf numFmtId="3" fontId="5" fillId="3" borderId="5" xfId="0" applyNumberFormat="1" applyFont="1" applyFill="1" applyBorder="1" applyAlignment="1">
      <alignment horizontal="center" vertical="center" wrapText="1"/>
    </xf>
    <xf numFmtId="3" fontId="5" fillId="3" borderId="34" xfId="0" applyNumberFormat="1" applyFont="1" applyFill="1" applyBorder="1" applyAlignment="1">
      <alignment horizontal="center" vertical="center" wrapText="1"/>
    </xf>
    <xf numFmtId="3" fontId="5" fillId="3" borderId="33" xfId="0" applyNumberFormat="1" applyFont="1" applyFill="1" applyBorder="1" applyAlignment="1">
      <alignment horizontal="center"/>
    </xf>
    <xf numFmtId="3" fontId="5" fillId="3" borderId="33" xfId="0" applyNumberFormat="1" applyFont="1" applyFill="1" applyBorder="1"/>
    <xf numFmtId="0" fontId="9" fillId="6" borderId="10" xfId="0" applyFont="1" applyFill="1" applyBorder="1" applyAlignment="1">
      <alignment horizontal="center"/>
    </xf>
    <xf numFmtId="10" fontId="9" fillId="6" borderId="72" xfId="0" applyNumberFormat="1" applyFont="1" applyFill="1" applyBorder="1" applyAlignment="1">
      <alignment horizontal="center"/>
    </xf>
    <xf numFmtId="3" fontId="9" fillId="6" borderId="61" xfId="0" applyNumberFormat="1" applyFont="1" applyFill="1" applyBorder="1" applyAlignment="1">
      <alignment horizontal="center"/>
    </xf>
    <xf numFmtId="10" fontId="4" fillId="6" borderId="64" xfId="3" applyNumberFormat="1" applyFont="1" applyFill="1" applyBorder="1"/>
    <xf numFmtId="3" fontId="9" fillId="6" borderId="64" xfId="0" applyNumberFormat="1" applyFont="1" applyFill="1" applyBorder="1" applyAlignment="1">
      <alignment horizontal="center"/>
    </xf>
    <xf numFmtId="10" fontId="9" fillId="6" borderId="64" xfId="0" applyNumberFormat="1" applyFont="1" applyFill="1" applyBorder="1" applyAlignment="1">
      <alignment horizontal="center"/>
    </xf>
    <xf numFmtId="2" fontId="9" fillId="6" borderId="3" xfId="0" applyNumberFormat="1" applyFont="1" applyFill="1" applyBorder="1" applyAlignment="1">
      <alignment horizontal="center" wrapText="1"/>
    </xf>
    <xf numFmtId="3" fontId="7" fillId="3" borderId="30" xfId="0" applyNumberFormat="1" applyFont="1" applyFill="1" applyBorder="1" applyAlignment="1">
      <alignment horizontal="center"/>
    </xf>
    <xf numFmtId="3" fontId="7" fillId="3" borderId="33" xfId="0" applyNumberFormat="1" applyFont="1" applyFill="1" applyBorder="1" applyAlignment="1">
      <alignment horizontal="center"/>
    </xf>
    <xf numFmtId="0" fontId="7" fillId="3" borderId="33" xfId="0" applyFont="1" applyFill="1" applyBorder="1" applyAlignment="1">
      <alignment horizontal="center"/>
    </xf>
    <xf numFmtId="3" fontId="7" fillId="3" borderId="35" xfId="0" applyNumberFormat="1" applyFont="1" applyFill="1" applyBorder="1" applyAlignment="1">
      <alignment horizontal="center"/>
    </xf>
    <xf numFmtId="3" fontId="9" fillId="3" borderId="4" xfId="0" applyNumberFormat="1" applyFont="1" applyFill="1" applyBorder="1" applyAlignment="1">
      <alignment horizontal="center"/>
    </xf>
    <xf numFmtId="0" fontId="7" fillId="2" borderId="28" xfId="0" applyFont="1" applyFill="1" applyBorder="1" applyAlignment="1">
      <alignment horizontal="center"/>
    </xf>
    <xf numFmtId="168" fontId="4" fillId="3" borderId="67" xfId="0" applyNumberFormat="1" applyFont="1" applyFill="1" applyBorder="1" applyAlignment="1">
      <alignment horizontal="center" wrapText="1"/>
    </xf>
    <xf numFmtId="168" fontId="4" fillId="3" borderId="73" xfId="0" applyNumberFormat="1" applyFont="1" applyFill="1" applyBorder="1" applyAlignment="1">
      <alignment horizontal="center" wrapText="1"/>
    </xf>
    <xf numFmtId="3" fontId="9" fillId="3" borderId="3" xfId="0" applyNumberFormat="1" applyFont="1" applyFill="1" applyBorder="1" applyAlignment="1">
      <alignment horizontal="center"/>
    </xf>
    <xf numFmtId="10" fontId="4" fillId="3" borderId="65" xfId="3" applyNumberFormat="1" applyFont="1" applyFill="1" applyBorder="1"/>
    <xf numFmtId="168" fontId="4" fillId="3" borderId="13" xfId="0" applyNumberFormat="1" applyFont="1" applyFill="1" applyBorder="1" applyAlignment="1">
      <alignment horizontal="center" wrapText="1"/>
    </xf>
    <xf numFmtId="3" fontId="9" fillId="6" borderId="3" xfId="0" applyNumberFormat="1" applyFont="1" applyFill="1" applyBorder="1" applyAlignment="1">
      <alignment horizontal="center"/>
    </xf>
    <xf numFmtId="10" fontId="4" fillId="6" borderId="65" xfId="3" applyNumberFormat="1" applyFont="1" applyFill="1" applyBorder="1"/>
    <xf numFmtId="0" fontId="4" fillId="3" borderId="39" xfId="0" applyFont="1" applyFill="1" applyBorder="1"/>
    <xf numFmtId="10" fontId="4" fillId="3" borderId="60" xfId="3" applyNumberFormat="1" applyFont="1" applyFill="1" applyBorder="1"/>
    <xf numFmtId="1" fontId="7" fillId="3" borderId="38" xfId="0" applyNumberFormat="1" applyFont="1" applyFill="1" applyBorder="1" applyAlignment="1">
      <alignment horizontal="center"/>
    </xf>
    <xf numFmtId="10" fontId="4" fillId="3" borderId="40" xfId="3" applyNumberFormat="1" applyFont="1" applyFill="1" applyBorder="1"/>
    <xf numFmtId="0" fontId="5" fillId="6" borderId="23" xfId="0" applyFont="1" applyFill="1" applyBorder="1" applyAlignment="1">
      <alignment horizontal="center" vertical="center" wrapText="1"/>
    </xf>
    <xf numFmtId="2" fontId="1" fillId="3" borderId="14" xfId="0" applyNumberFormat="1" applyFont="1" applyFill="1" applyBorder="1" applyAlignment="1">
      <alignment horizontal="center" vertical="center" wrapText="1"/>
    </xf>
    <xf numFmtId="4" fontId="1" fillId="3" borderId="14" xfId="0" applyNumberFormat="1" applyFont="1" applyFill="1" applyBorder="1" applyAlignment="1">
      <alignment horizontal="center" vertical="center" wrapText="1"/>
    </xf>
    <xf numFmtId="4" fontId="1" fillId="3" borderId="12" xfId="0" applyNumberFormat="1" applyFont="1" applyFill="1" applyBorder="1" applyAlignment="1">
      <alignment horizontal="center" vertical="center" wrapText="1"/>
    </xf>
    <xf numFmtId="4" fontId="1" fillId="3" borderId="61" xfId="0" applyNumberFormat="1" applyFont="1" applyFill="1" applyBorder="1" applyAlignment="1">
      <alignment horizontal="center" vertical="center" wrapText="1"/>
    </xf>
    <xf numFmtId="4" fontId="1" fillId="3" borderId="3" xfId="0" applyNumberFormat="1" applyFont="1" applyFill="1" applyBorder="1" applyAlignment="1">
      <alignment horizontal="center" vertical="center" wrapText="1"/>
    </xf>
    <xf numFmtId="0" fontId="3" fillId="0" borderId="33" xfId="0" applyFont="1" applyBorder="1" applyAlignment="1">
      <alignment horizontal="center" vertical="center"/>
    </xf>
    <xf numFmtId="0" fontId="0" fillId="0" borderId="10" xfId="0" applyBorder="1"/>
    <xf numFmtId="0" fontId="0" fillId="0" borderId="29" xfId="0" applyBorder="1"/>
    <xf numFmtId="0" fontId="0" fillId="0" borderId="39" xfId="0" applyBorder="1"/>
    <xf numFmtId="165" fontId="6" fillId="3" borderId="21" xfId="0" applyNumberFormat="1" applyFont="1" applyFill="1" applyBorder="1"/>
    <xf numFmtId="165" fontId="6" fillId="3" borderId="23" xfId="0" applyNumberFormat="1" applyFont="1" applyFill="1" applyBorder="1"/>
    <xf numFmtId="3" fontId="6" fillId="3" borderId="22" xfId="0" applyNumberFormat="1" applyFont="1" applyFill="1" applyBorder="1"/>
    <xf numFmtId="3" fontId="4" fillId="3" borderId="33" xfId="0" applyNumberFormat="1" applyFont="1" applyFill="1" applyBorder="1" applyAlignment="1">
      <alignment horizontal="left"/>
    </xf>
    <xf numFmtId="0" fontId="4" fillId="0" borderId="33" xfId="0" applyFont="1" applyBorder="1"/>
    <xf numFmtId="3" fontId="4" fillId="3" borderId="46" xfId="0" applyNumberFormat="1" applyFont="1" applyFill="1" applyBorder="1" applyAlignment="1">
      <alignment horizontal="left"/>
    </xf>
    <xf numFmtId="3" fontId="4" fillId="0" borderId="5" xfId="0" applyNumberFormat="1" applyFont="1" applyBorder="1"/>
    <xf numFmtId="3" fontId="4" fillId="0" borderId="39" xfId="0" applyNumberFormat="1" applyFont="1" applyBorder="1"/>
    <xf numFmtId="3" fontId="4" fillId="3" borderId="35" xfId="0" applyNumberFormat="1" applyFont="1" applyFill="1" applyBorder="1" applyAlignment="1">
      <alignment horizontal="left"/>
    </xf>
    <xf numFmtId="3" fontId="4" fillId="0" borderId="36" xfId="0" applyNumberFormat="1" applyFont="1" applyBorder="1"/>
    <xf numFmtId="3" fontId="6" fillId="0" borderId="22" xfId="0" applyNumberFormat="1" applyFont="1" applyBorder="1"/>
    <xf numFmtId="10" fontId="6" fillId="0" borderId="23" xfId="3" applyNumberFormat="1" applyFont="1" applyBorder="1"/>
    <xf numFmtId="3" fontId="4" fillId="3" borderId="38" xfId="0" applyNumberFormat="1" applyFont="1" applyFill="1" applyBorder="1" applyAlignment="1">
      <alignment horizontal="left"/>
    </xf>
    <xf numFmtId="3" fontId="6" fillId="3" borderId="21" xfId="0" applyNumberFormat="1" applyFont="1" applyFill="1" applyBorder="1" applyAlignment="1">
      <alignment horizontal="left"/>
    </xf>
    <xf numFmtId="9" fontId="6" fillId="0" borderId="23" xfId="3" applyFont="1" applyBorder="1"/>
    <xf numFmtId="3" fontId="4" fillId="0" borderId="57" xfId="0" applyNumberFormat="1" applyFont="1" applyBorder="1"/>
    <xf numFmtId="10" fontId="4" fillId="3" borderId="58" xfId="3" applyNumberFormat="1" applyFont="1" applyFill="1" applyBorder="1"/>
    <xf numFmtId="3" fontId="6" fillId="3" borderId="54" xfId="0" applyNumberFormat="1" applyFont="1" applyFill="1" applyBorder="1" applyAlignment="1">
      <alignment horizontal="left"/>
    </xf>
    <xf numFmtId="3" fontId="6" fillId="0" borderId="56" xfId="0" applyNumberFormat="1" applyFont="1" applyBorder="1"/>
    <xf numFmtId="9" fontId="6" fillId="0" borderId="50" xfId="3" applyFont="1" applyBorder="1"/>
    <xf numFmtId="3" fontId="4" fillId="3" borderId="30" xfId="0" applyNumberFormat="1" applyFont="1" applyFill="1" applyBorder="1" applyAlignment="1">
      <alignment horizontal="left"/>
    </xf>
    <xf numFmtId="3" fontId="4" fillId="0" borderId="31" xfId="0" applyNumberFormat="1" applyFont="1" applyBorder="1"/>
    <xf numFmtId="0" fontId="6" fillId="0" borderId="64" xfId="0" applyFont="1" applyBorder="1" applyAlignment="1">
      <alignment horizontal="center"/>
    </xf>
    <xf numFmtId="0" fontId="6" fillId="0" borderId="65" xfId="0" applyFont="1" applyBorder="1" applyAlignment="1">
      <alignment horizontal="center"/>
    </xf>
    <xf numFmtId="166" fontId="4" fillId="3" borderId="30" xfId="0" applyNumberFormat="1" applyFont="1" applyFill="1" applyBorder="1" applyAlignment="1">
      <alignment horizontal="center" vertical="center"/>
    </xf>
    <xf numFmtId="166" fontId="4" fillId="3" borderId="31" xfId="0" applyNumberFormat="1" applyFont="1" applyFill="1" applyBorder="1" applyAlignment="1">
      <alignment horizontal="center" vertical="center"/>
    </xf>
    <xf numFmtId="166" fontId="4" fillId="3" borderId="32" xfId="0" applyNumberFormat="1" applyFont="1" applyFill="1" applyBorder="1" applyAlignment="1">
      <alignment horizontal="center" vertical="center"/>
    </xf>
    <xf numFmtId="166" fontId="4" fillId="3" borderId="33" xfId="0" applyNumberFormat="1" applyFont="1" applyFill="1" applyBorder="1" applyAlignment="1">
      <alignment horizontal="center" vertical="center"/>
    </xf>
    <xf numFmtId="166" fontId="4" fillId="3" borderId="34" xfId="0" applyNumberFormat="1" applyFont="1" applyFill="1" applyBorder="1" applyAlignment="1">
      <alignment horizontal="center" vertical="center"/>
    </xf>
    <xf numFmtId="166" fontId="4" fillId="3" borderId="35" xfId="0" applyNumberFormat="1" applyFont="1" applyFill="1" applyBorder="1" applyAlignment="1">
      <alignment horizontal="center" vertical="center"/>
    </xf>
    <xf numFmtId="166" fontId="4" fillId="3" borderId="37" xfId="0" applyNumberFormat="1" applyFont="1" applyFill="1" applyBorder="1" applyAlignment="1">
      <alignment horizontal="center" vertical="center"/>
    </xf>
    <xf numFmtId="166" fontId="4" fillId="3" borderId="0" xfId="0" applyNumberFormat="1" applyFont="1" applyFill="1" applyAlignment="1">
      <alignment horizontal="center" vertical="center"/>
    </xf>
    <xf numFmtId="10" fontId="4" fillId="3" borderId="40" xfId="3" applyNumberFormat="1" applyFont="1" applyFill="1" applyBorder="1" applyAlignment="1">
      <alignment horizontal="center" vertical="center"/>
    </xf>
    <xf numFmtId="10" fontId="4" fillId="3" borderId="34" xfId="3" applyNumberFormat="1" applyFont="1" applyFill="1" applyBorder="1" applyAlignment="1">
      <alignment horizontal="center" vertical="center"/>
    </xf>
    <xf numFmtId="10" fontId="4" fillId="3" borderId="58" xfId="3" applyNumberFormat="1" applyFont="1" applyFill="1" applyBorder="1" applyAlignment="1">
      <alignment horizontal="center" vertical="center"/>
    </xf>
    <xf numFmtId="0" fontId="6" fillId="0" borderId="64" xfId="0" applyFont="1" applyBorder="1" applyAlignment="1">
      <alignment horizontal="center" vertical="center"/>
    </xf>
    <xf numFmtId="3" fontId="6" fillId="0" borderId="56" xfId="0" applyNumberFormat="1" applyFont="1" applyBorder="1" applyAlignment="1">
      <alignment horizontal="center" vertical="center"/>
    </xf>
    <xf numFmtId="3" fontId="4" fillId="0" borderId="31" xfId="0" applyNumberFormat="1" applyFont="1" applyBorder="1" applyAlignment="1">
      <alignment horizontal="center" vertical="center"/>
    </xf>
    <xf numFmtId="3" fontId="4" fillId="0" borderId="36" xfId="0" applyNumberFormat="1" applyFont="1" applyBorder="1" applyAlignment="1">
      <alignment horizontal="center" vertical="center"/>
    </xf>
    <xf numFmtId="0" fontId="4" fillId="0" borderId="34" xfId="0" applyFont="1" applyBorder="1" applyAlignment="1">
      <alignment horizontal="center" vertical="center"/>
    </xf>
    <xf numFmtId="0" fontId="6" fillId="0" borderId="65" xfId="0" applyFont="1" applyBorder="1" applyAlignment="1">
      <alignment horizontal="center" vertical="center"/>
    </xf>
    <xf numFmtId="9" fontId="6" fillId="0" borderId="23" xfId="3" applyFont="1" applyBorder="1" applyAlignment="1">
      <alignment horizontal="center" vertical="center"/>
    </xf>
    <xf numFmtId="9" fontId="6" fillId="0" borderId="50" xfId="3" applyFont="1" applyBorder="1" applyAlignment="1">
      <alignment horizontal="center" vertical="center"/>
    </xf>
    <xf numFmtId="10" fontId="4" fillId="3" borderId="32" xfId="3" applyNumberFormat="1" applyFont="1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3" fontId="4" fillId="3" borderId="74" xfId="0" applyNumberFormat="1" applyFont="1" applyFill="1" applyBorder="1" applyAlignment="1">
      <alignment horizontal="left"/>
    </xf>
    <xf numFmtId="3" fontId="4" fillId="3" borderId="74" xfId="0" applyNumberFormat="1" applyFont="1" applyFill="1" applyBorder="1"/>
    <xf numFmtId="0" fontId="4" fillId="3" borderId="74" xfId="0" applyFont="1" applyFill="1" applyBorder="1"/>
    <xf numFmtId="166" fontId="4" fillId="3" borderId="74" xfId="0" applyNumberFormat="1" applyFont="1" applyFill="1" applyBorder="1"/>
    <xf numFmtId="166" fontId="7" fillId="0" borderId="5" xfId="0" applyNumberFormat="1" applyFont="1" applyBorder="1" applyAlignment="1">
      <alignment horizontal="right" vertical="center" wrapText="1"/>
    </xf>
    <xf numFmtId="0" fontId="0" fillId="0" borderId="5" xfId="0" applyBorder="1"/>
    <xf numFmtId="166" fontId="7" fillId="0" borderId="31" xfId="0" applyNumberFormat="1" applyFont="1" applyBorder="1" applyAlignment="1">
      <alignment horizontal="center" wrapText="1"/>
    </xf>
    <xf numFmtId="166" fontId="7" fillId="0" borderId="36" xfId="0" applyNumberFormat="1" applyFont="1" applyBorder="1" applyAlignment="1">
      <alignment horizontal="right" vertical="center" wrapText="1"/>
    </xf>
    <xf numFmtId="0" fontId="0" fillId="0" borderId="36" xfId="0" applyBorder="1"/>
    <xf numFmtId="166" fontId="7" fillId="0" borderId="0" xfId="0" applyNumberFormat="1" applyFont="1" applyAlignment="1">
      <alignment horizontal="right" vertical="center" wrapText="1"/>
    </xf>
    <xf numFmtId="166" fontId="7" fillId="0" borderId="0" xfId="0" applyNumberFormat="1" applyFont="1" applyAlignment="1">
      <alignment horizontal="center" wrapText="1"/>
    </xf>
    <xf numFmtId="166" fontId="4" fillId="3" borderId="0" xfId="0" applyNumberFormat="1" applyFont="1" applyFill="1"/>
    <xf numFmtId="165" fontId="4" fillId="3" borderId="21" xfId="0" applyNumberFormat="1" applyFont="1" applyFill="1" applyBorder="1"/>
    <xf numFmtId="166" fontId="7" fillId="0" borderId="22" xfId="0" applyNumberFormat="1" applyFont="1" applyBorder="1" applyAlignment="1">
      <alignment horizontal="right" vertical="center" wrapText="1"/>
    </xf>
    <xf numFmtId="0" fontId="0" fillId="0" borderId="41" xfId="0" applyBorder="1"/>
    <xf numFmtId="0" fontId="0" fillId="0" borderId="44" xfId="0" applyBorder="1"/>
    <xf numFmtId="0" fontId="0" fillId="0" borderId="42" xfId="0" applyBorder="1"/>
    <xf numFmtId="3" fontId="4" fillId="3" borderId="52" xfId="0" applyNumberFormat="1" applyFont="1" applyFill="1" applyBorder="1"/>
    <xf numFmtId="0" fontId="0" fillId="0" borderId="75" xfId="0" applyBorder="1"/>
    <xf numFmtId="3" fontId="4" fillId="3" borderId="26" xfId="0" applyNumberFormat="1" applyFont="1" applyFill="1" applyBorder="1"/>
    <xf numFmtId="166" fontId="4" fillId="3" borderId="27" xfId="0" applyNumberFormat="1" applyFont="1" applyFill="1" applyBorder="1"/>
    <xf numFmtId="3" fontId="6" fillId="3" borderId="26" xfId="0" applyNumberFormat="1" applyFont="1" applyFill="1" applyBorder="1" applyAlignment="1">
      <alignment horizontal="left"/>
    </xf>
    <xf numFmtId="3" fontId="4" fillId="3" borderId="21" xfId="0" applyNumberFormat="1" applyFont="1" applyFill="1" applyBorder="1"/>
    <xf numFmtId="3" fontId="4" fillId="3" borderId="22" xfId="0" applyNumberFormat="1" applyFont="1" applyFill="1" applyBorder="1"/>
    <xf numFmtId="3" fontId="4" fillId="3" borderId="23" xfId="0" applyNumberFormat="1" applyFont="1" applyFill="1" applyBorder="1"/>
    <xf numFmtId="1" fontId="6" fillId="3" borderId="35" xfId="0" applyNumberFormat="1" applyFont="1" applyFill="1" applyBorder="1" applyAlignment="1">
      <alignment horizontal="center" vertical="center"/>
    </xf>
    <xf numFmtId="9" fontId="4" fillId="3" borderId="39" xfId="3" applyFont="1" applyFill="1" applyBorder="1" applyAlignment="1">
      <alignment horizontal="center" vertical="center"/>
    </xf>
    <xf numFmtId="9" fontId="4" fillId="3" borderId="53" xfId="3" applyFont="1" applyFill="1" applyBorder="1" applyAlignment="1">
      <alignment horizontal="center" vertical="center"/>
    </xf>
    <xf numFmtId="9" fontId="4" fillId="3" borderId="40" xfId="3" applyFont="1" applyFill="1" applyBorder="1" applyAlignment="1">
      <alignment horizontal="center" vertical="center"/>
    </xf>
    <xf numFmtId="9" fontId="4" fillId="3" borderId="62" xfId="3" applyFont="1" applyFill="1" applyBorder="1" applyAlignment="1">
      <alignment horizontal="center" vertical="center"/>
    </xf>
    <xf numFmtId="9" fontId="4" fillId="3" borderId="36" xfId="3" applyFont="1" applyFill="1" applyBorder="1" applyAlignment="1">
      <alignment horizontal="center" vertical="center"/>
    </xf>
    <xf numFmtId="9" fontId="4" fillId="3" borderId="37" xfId="3" applyFont="1" applyFill="1" applyBorder="1" applyAlignment="1">
      <alignment horizontal="center" vertical="center"/>
    </xf>
    <xf numFmtId="0" fontId="5" fillId="8" borderId="8" xfId="0" applyFont="1" applyFill="1" applyBorder="1" applyAlignment="1">
      <alignment vertical="center" wrapText="1"/>
    </xf>
    <xf numFmtId="0" fontId="5" fillId="8" borderId="9" xfId="0" applyFont="1" applyFill="1" applyBorder="1" applyAlignment="1">
      <alignment vertical="center" wrapText="1"/>
    </xf>
    <xf numFmtId="0" fontId="5" fillId="8" borderId="3" xfId="0" applyFont="1" applyFill="1" applyBorder="1" applyAlignment="1">
      <alignment vertical="center" wrapText="1"/>
    </xf>
    <xf numFmtId="10" fontId="5" fillId="3" borderId="21" xfId="0" applyNumberFormat="1" applyFont="1" applyFill="1" applyBorder="1" applyAlignment="1">
      <alignment horizontal="center" vertical="center" wrapText="1"/>
    </xf>
    <xf numFmtId="4" fontId="3" fillId="6" borderId="0" xfId="3" applyNumberFormat="1" applyFont="1" applyFill="1"/>
    <xf numFmtId="0" fontId="20" fillId="3" borderId="0" xfId="0" applyFont="1" applyFill="1"/>
    <xf numFmtId="4" fontId="5" fillId="3" borderId="55" xfId="0" applyNumberFormat="1" applyFont="1" applyFill="1" applyBorder="1" applyAlignment="1">
      <alignment horizontal="center" vertical="center"/>
    </xf>
    <xf numFmtId="4" fontId="5" fillId="3" borderId="9" xfId="0" applyNumberFormat="1" applyFont="1" applyFill="1" applyBorder="1" applyAlignment="1">
      <alignment horizontal="center" vertical="center"/>
    </xf>
    <xf numFmtId="4" fontId="5" fillId="3" borderId="61" xfId="0" applyNumberFormat="1" applyFont="1" applyFill="1" applyBorder="1" applyAlignment="1">
      <alignment horizontal="center" vertical="center"/>
    </xf>
    <xf numFmtId="4" fontId="5" fillId="3" borderId="3" xfId="0" applyNumberFormat="1" applyFont="1" applyFill="1" applyBorder="1" applyAlignment="1">
      <alignment horizontal="center" vertical="center"/>
    </xf>
    <xf numFmtId="0" fontId="5" fillId="6" borderId="21" xfId="0" applyFont="1" applyFill="1" applyBorder="1" applyAlignment="1">
      <alignment horizontal="center" vertical="center"/>
    </xf>
    <xf numFmtId="0" fontId="5" fillId="6" borderId="22" xfId="0" applyFont="1" applyFill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3" fillId="0" borderId="68" xfId="0" applyFont="1" applyBorder="1"/>
    <xf numFmtId="0" fontId="3" fillId="0" borderId="64" xfId="0" applyFont="1" applyBorder="1"/>
    <xf numFmtId="0" fontId="3" fillId="0" borderId="65" xfId="0" applyFont="1" applyBorder="1"/>
    <xf numFmtId="0" fontId="5" fillId="3" borderId="18" xfId="0" applyFont="1" applyFill="1" applyBorder="1" applyAlignment="1">
      <alignment horizontal="center"/>
    </xf>
    <xf numFmtId="0" fontId="5" fillId="3" borderId="18" xfId="0" applyFont="1" applyFill="1" applyBorder="1" applyAlignment="1">
      <alignment horizontal="left" vertical="center"/>
    </xf>
    <xf numFmtId="0" fontId="1" fillId="3" borderId="18" xfId="0" applyFont="1" applyFill="1" applyBorder="1"/>
    <xf numFmtId="4" fontId="5" fillId="3" borderId="33" xfId="0" applyNumberFormat="1" applyFont="1" applyFill="1" applyBorder="1"/>
    <xf numFmtId="165" fontId="1" fillId="3" borderId="33" xfId="0" applyNumberFormat="1" applyFont="1" applyFill="1" applyBorder="1"/>
    <xf numFmtId="165" fontId="5" fillId="3" borderId="33" xfId="0" applyNumberFormat="1" applyFont="1" applyFill="1" applyBorder="1"/>
    <xf numFmtId="165" fontId="1" fillId="3" borderId="35" xfId="0" applyNumberFormat="1" applyFont="1" applyFill="1" applyBorder="1"/>
    <xf numFmtId="165" fontId="1" fillId="3" borderId="36" xfId="0" applyNumberFormat="1" applyFont="1" applyFill="1" applyBorder="1"/>
    <xf numFmtId="165" fontId="1" fillId="3" borderId="37" xfId="0" applyNumberFormat="1" applyFont="1" applyFill="1" applyBorder="1"/>
    <xf numFmtId="4" fontId="5" fillId="3" borderId="38" xfId="0" applyNumberFormat="1" applyFont="1" applyFill="1" applyBorder="1"/>
    <xf numFmtId="4" fontId="5" fillId="3" borderId="39" xfId="0" applyNumberFormat="1" applyFont="1" applyFill="1" applyBorder="1"/>
    <xf numFmtId="4" fontId="5" fillId="3" borderId="40" xfId="0" applyNumberFormat="1" applyFont="1" applyFill="1" applyBorder="1"/>
    <xf numFmtId="0" fontId="5" fillId="3" borderId="21" xfId="0" applyFont="1" applyFill="1" applyBorder="1" applyAlignment="1">
      <alignment horizontal="center"/>
    </xf>
    <xf numFmtId="0" fontId="5" fillId="3" borderId="22" xfId="0" applyFont="1" applyFill="1" applyBorder="1" applyAlignment="1">
      <alignment horizontal="center"/>
    </xf>
    <xf numFmtId="0" fontId="5" fillId="3" borderId="23" xfId="0" applyFont="1" applyFill="1" applyBorder="1" applyAlignment="1">
      <alignment horizontal="center"/>
    </xf>
    <xf numFmtId="4" fontId="1" fillId="3" borderId="33" xfId="0" applyNumberFormat="1" applyFont="1" applyFill="1" applyBorder="1"/>
    <xf numFmtId="4" fontId="1" fillId="3" borderId="35" xfId="0" applyNumberFormat="1" applyFont="1" applyFill="1" applyBorder="1"/>
    <xf numFmtId="4" fontId="1" fillId="3" borderId="36" xfId="0" applyNumberFormat="1" applyFont="1" applyFill="1" applyBorder="1"/>
    <xf numFmtId="4" fontId="1" fillId="3" borderId="40" xfId="0" applyNumberFormat="1" applyFont="1" applyFill="1" applyBorder="1"/>
    <xf numFmtId="0" fontId="6" fillId="0" borderId="28" xfId="0" applyFont="1" applyBorder="1"/>
    <xf numFmtId="0" fontId="6" fillId="0" borderId="6" xfId="0" applyFont="1" applyBorder="1"/>
    <xf numFmtId="0" fontId="4" fillId="0" borderId="20" xfId="0" applyFont="1" applyBorder="1"/>
    <xf numFmtId="0" fontId="4" fillId="0" borderId="18" xfId="0" applyFont="1" applyBorder="1"/>
    <xf numFmtId="0" fontId="4" fillId="0" borderId="52" xfId="0" applyFont="1" applyBorder="1"/>
    <xf numFmtId="0" fontId="4" fillId="0" borderId="19" xfId="0" applyFont="1" applyBorder="1"/>
    <xf numFmtId="0" fontId="6" fillId="0" borderId="5" xfId="0" applyFont="1" applyBorder="1" applyAlignment="1">
      <alignment horizontal="center" vertical="center"/>
    </xf>
    <xf numFmtId="4" fontId="6" fillId="0" borderId="5" xfId="0" applyNumberFormat="1" applyFont="1" applyBorder="1" applyAlignment="1">
      <alignment horizontal="center" vertical="center"/>
    </xf>
    <xf numFmtId="4" fontId="4" fillId="0" borderId="5" xfId="0" applyNumberFormat="1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0" fontId="6" fillId="0" borderId="34" xfId="0" applyFont="1" applyBorder="1" applyAlignment="1">
      <alignment horizontal="center" vertical="center"/>
    </xf>
    <xf numFmtId="4" fontId="6" fillId="0" borderId="33" xfId="0" applyNumberFormat="1" applyFont="1" applyBorder="1" applyAlignment="1">
      <alignment horizontal="center" vertical="center"/>
    </xf>
    <xf numFmtId="4" fontId="6" fillId="0" borderId="34" xfId="0" applyNumberFormat="1" applyFont="1" applyBorder="1" applyAlignment="1">
      <alignment horizontal="center" vertical="center"/>
    </xf>
    <xf numFmtId="4" fontId="4" fillId="0" borderId="33" xfId="0" applyNumberFormat="1" applyFont="1" applyBorder="1" applyAlignment="1">
      <alignment horizontal="center" vertical="center"/>
    </xf>
    <xf numFmtId="4" fontId="4" fillId="0" borderId="35" xfId="0" applyNumberFormat="1" applyFont="1" applyBorder="1" applyAlignment="1">
      <alignment horizontal="center" vertical="center"/>
    </xf>
    <xf numFmtId="4" fontId="4" fillId="0" borderId="36" xfId="0" applyNumberFormat="1" applyFont="1" applyBorder="1" applyAlignment="1">
      <alignment horizontal="center" vertical="center"/>
    </xf>
    <xf numFmtId="4" fontId="4" fillId="0" borderId="34" xfId="0" applyNumberFormat="1" applyFont="1" applyBorder="1" applyAlignment="1">
      <alignment horizontal="center" vertical="center"/>
    </xf>
    <xf numFmtId="4" fontId="4" fillId="0" borderId="37" xfId="0" applyNumberFormat="1" applyFont="1" applyBorder="1" applyAlignment="1">
      <alignment horizontal="center" vertical="center"/>
    </xf>
    <xf numFmtId="0" fontId="6" fillId="0" borderId="46" xfId="0" applyFont="1" applyBorder="1" applyAlignment="1">
      <alignment horizontal="center" vertical="center"/>
    </xf>
    <xf numFmtId="0" fontId="6" fillId="0" borderId="57" xfId="0" applyFont="1" applyBorder="1" applyAlignment="1">
      <alignment horizontal="center" vertical="center"/>
    </xf>
    <xf numFmtId="0" fontId="6" fillId="0" borderId="58" xfId="0" applyFont="1" applyBorder="1" applyAlignment="1">
      <alignment horizontal="center" vertical="center"/>
    </xf>
    <xf numFmtId="4" fontId="6" fillId="0" borderId="21" xfId="0" applyNumberFormat="1" applyFont="1" applyBorder="1" applyAlignment="1">
      <alignment horizontal="center" vertical="center"/>
    </xf>
    <xf numFmtId="4" fontId="6" fillId="0" borderId="22" xfId="0" applyNumberFormat="1" applyFont="1" applyBorder="1" applyAlignment="1">
      <alignment horizontal="center" vertical="center"/>
    </xf>
    <xf numFmtId="4" fontId="6" fillId="0" borderId="23" xfId="0" applyNumberFormat="1" applyFont="1" applyBorder="1" applyAlignment="1">
      <alignment horizontal="center" vertical="center"/>
    </xf>
    <xf numFmtId="4" fontId="4" fillId="0" borderId="38" xfId="0" applyNumberFormat="1" applyFont="1" applyBorder="1" applyAlignment="1">
      <alignment horizontal="center" vertical="center"/>
    </xf>
    <xf numFmtId="4" fontId="4" fillId="0" borderId="39" xfId="0" applyNumberFormat="1" applyFont="1" applyBorder="1" applyAlignment="1">
      <alignment horizontal="center" vertical="center"/>
    </xf>
    <xf numFmtId="4" fontId="4" fillId="0" borderId="40" xfId="0" applyNumberFormat="1" applyFont="1" applyBorder="1" applyAlignment="1">
      <alignment horizontal="center" vertical="center"/>
    </xf>
    <xf numFmtId="4" fontId="4" fillId="0" borderId="46" xfId="0" applyNumberFormat="1" applyFont="1" applyBorder="1" applyAlignment="1">
      <alignment horizontal="center" vertical="center"/>
    </xf>
    <xf numFmtId="4" fontId="4" fillId="0" borderId="57" xfId="0" applyNumberFormat="1" applyFont="1" applyBorder="1" applyAlignment="1">
      <alignment horizontal="center" vertical="center"/>
    </xf>
    <xf numFmtId="4" fontId="4" fillId="0" borderId="58" xfId="0" applyNumberFormat="1" applyFont="1" applyBorder="1" applyAlignment="1">
      <alignment horizontal="center" vertical="center"/>
    </xf>
    <xf numFmtId="4" fontId="5" fillId="3" borderId="26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6" fillId="12" borderId="30" xfId="0" applyFont="1" applyFill="1" applyBorder="1" applyAlignment="1">
      <alignment horizontal="center" vertical="center"/>
    </xf>
    <xf numFmtId="0" fontId="6" fillId="12" borderId="31" xfId="0" applyFont="1" applyFill="1" applyBorder="1" applyAlignment="1">
      <alignment horizontal="center" vertical="center"/>
    </xf>
    <xf numFmtId="0" fontId="6" fillId="12" borderId="32" xfId="0" applyFont="1" applyFill="1" applyBorder="1" applyAlignment="1">
      <alignment horizontal="center" vertical="center"/>
    </xf>
    <xf numFmtId="0" fontId="6" fillId="12" borderId="35" xfId="0" applyFont="1" applyFill="1" applyBorder="1" applyAlignment="1">
      <alignment horizontal="center" vertical="center"/>
    </xf>
    <xf numFmtId="0" fontId="6" fillId="12" borderId="36" xfId="0" applyFont="1" applyFill="1" applyBorder="1" applyAlignment="1">
      <alignment horizontal="center" vertical="center"/>
    </xf>
    <xf numFmtId="0" fontId="6" fillId="12" borderId="37" xfId="0" applyFont="1" applyFill="1" applyBorder="1" applyAlignment="1">
      <alignment horizontal="center" vertical="center"/>
    </xf>
    <xf numFmtId="3" fontId="5" fillId="3" borderId="26" xfId="0" applyNumberFormat="1" applyFont="1" applyFill="1" applyBorder="1" applyAlignment="1">
      <alignment horizontal="center" vertical="center"/>
    </xf>
    <xf numFmtId="4" fontId="4" fillId="3" borderId="0" xfId="0" applyNumberFormat="1" applyFont="1" applyFill="1"/>
    <xf numFmtId="0" fontId="6" fillId="12" borderId="54" xfId="0" applyFont="1" applyFill="1" applyBorder="1" applyAlignment="1">
      <alignment horizontal="center" vertical="center"/>
    </xf>
    <xf numFmtId="0" fontId="6" fillId="12" borderId="56" xfId="0" applyFont="1" applyFill="1" applyBorder="1" applyAlignment="1">
      <alignment horizontal="center" vertical="center"/>
    </xf>
    <xf numFmtId="0" fontId="6" fillId="12" borderId="50" xfId="0" applyFont="1" applyFill="1" applyBorder="1" applyAlignment="1">
      <alignment horizontal="center" vertical="center"/>
    </xf>
    <xf numFmtId="0" fontId="5" fillId="3" borderId="34" xfId="0" applyFont="1" applyFill="1" applyBorder="1" applyAlignment="1">
      <alignment horizontal="left" wrapText="1"/>
    </xf>
    <xf numFmtId="0" fontId="5" fillId="3" borderId="37" xfId="0" applyFont="1" applyFill="1" applyBorder="1" applyAlignment="1">
      <alignment horizontal="left" wrapText="1"/>
    </xf>
    <xf numFmtId="4" fontId="4" fillId="3" borderId="33" xfId="0" applyNumberFormat="1" applyFont="1" applyFill="1" applyBorder="1" applyAlignment="1">
      <alignment horizontal="center"/>
    </xf>
    <xf numFmtId="4" fontId="4" fillId="3" borderId="5" xfId="0" applyNumberFormat="1" applyFont="1" applyFill="1" applyBorder="1" applyAlignment="1">
      <alignment horizontal="center"/>
    </xf>
    <xf numFmtId="4" fontId="4" fillId="3" borderId="35" xfId="0" applyNumberFormat="1" applyFont="1" applyFill="1" applyBorder="1" applyAlignment="1">
      <alignment horizontal="center"/>
    </xf>
    <xf numFmtId="4" fontId="4" fillId="3" borderId="36" xfId="0" applyNumberFormat="1" applyFont="1" applyFill="1" applyBorder="1" applyAlignment="1">
      <alignment horizontal="center"/>
    </xf>
    <xf numFmtId="2" fontId="4" fillId="3" borderId="0" xfId="0" applyNumberFormat="1" applyFont="1" applyFill="1" applyAlignment="1">
      <alignment horizontal="center"/>
    </xf>
    <xf numFmtId="0" fontId="6" fillId="6" borderId="50" xfId="0" applyFont="1" applyFill="1" applyBorder="1" applyAlignment="1">
      <alignment horizontal="center" vertical="center"/>
    </xf>
    <xf numFmtId="0" fontId="6" fillId="6" borderId="54" xfId="0" applyFont="1" applyFill="1" applyBorder="1" applyAlignment="1">
      <alignment horizontal="center" vertical="center"/>
    </xf>
    <xf numFmtId="0" fontId="6" fillId="6" borderId="56" xfId="0" applyFont="1" applyFill="1" applyBorder="1" applyAlignment="1">
      <alignment horizontal="center" vertical="center"/>
    </xf>
    <xf numFmtId="4" fontId="4" fillId="6" borderId="33" xfId="0" applyNumberFormat="1" applyFont="1" applyFill="1" applyBorder="1" applyAlignment="1">
      <alignment horizontal="center"/>
    </xf>
    <xf numFmtId="0" fontId="5" fillId="6" borderId="34" xfId="0" applyFont="1" applyFill="1" applyBorder="1" applyAlignment="1">
      <alignment horizontal="left" wrapText="1"/>
    </xf>
    <xf numFmtId="4" fontId="4" fillId="6" borderId="35" xfId="0" applyNumberFormat="1" applyFont="1" applyFill="1" applyBorder="1" applyAlignment="1">
      <alignment horizontal="center"/>
    </xf>
    <xf numFmtId="0" fontId="5" fillId="6" borderId="37" xfId="0" applyFont="1" applyFill="1" applyBorder="1" applyAlignment="1">
      <alignment horizontal="left" wrapText="1"/>
    </xf>
    <xf numFmtId="4" fontId="4" fillId="6" borderId="0" xfId="0" applyNumberFormat="1" applyFont="1" applyFill="1"/>
    <xf numFmtId="0" fontId="4" fillId="6" borderId="0" xfId="0" applyFont="1" applyFill="1"/>
    <xf numFmtId="4" fontId="4" fillId="6" borderId="5" xfId="0" applyNumberFormat="1" applyFont="1" applyFill="1" applyBorder="1" applyAlignment="1">
      <alignment horizontal="center"/>
    </xf>
    <xf numFmtId="4" fontId="4" fillId="6" borderId="36" xfId="0" applyNumberFormat="1" applyFont="1" applyFill="1" applyBorder="1" applyAlignment="1">
      <alignment horizontal="center"/>
    </xf>
    <xf numFmtId="2" fontId="4" fillId="6" borderId="0" xfId="0" applyNumberFormat="1" applyFont="1" applyFill="1" applyAlignment="1">
      <alignment horizontal="center"/>
    </xf>
    <xf numFmtId="0" fontId="6" fillId="6" borderId="77" xfId="0" applyFont="1" applyFill="1" applyBorder="1" applyAlignment="1">
      <alignment horizontal="center" vertical="center"/>
    </xf>
    <xf numFmtId="4" fontId="4" fillId="6" borderId="44" xfId="0" applyNumberFormat="1" applyFont="1" applyFill="1" applyBorder="1" applyAlignment="1">
      <alignment horizontal="center"/>
    </xf>
    <xf numFmtId="4" fontId="4" fillId="6" borderId="42" xfId="0" applyNumberFormat="1" applyFont="1" applyFill="1" applyBorder="1" applyAlignment="1">
      <alignment horizontal="center"/>
    </xf>
    <xf numFmtId="0" fontId="3" fillId="9" borderId="5" xfId="0" applyFont="1" applyFill="1" applyBorder="1"/>
    <xf numFmtId="0" fontId="3" fillId="9" borderId="39" xfId="0" applyFont="1" applyFill="1" applyBorder="1"/>
    <xf numFmtId="0" fontId="3" fillId="9" borderId="12" xfId="0" applyFont="1" applyFill="1" applyBorder="1" applyAlignment="1">
      <alignment horizontal="center"/>
    </xf>
    <xf numFmtId="0" fontId="3" fillId="9" borderId="13" xfId="0" applyFont="1" applyFill="1" applyBorder="1" applyAlignment="1">
      <alignment horizontal="center"/>
    </xf>
    <xf numFmtId="0" fontId="3" fillId="9" borderId="14" xfId="0" applyFont="1" applyFill="1" applyBorder="1" applyAlignment="1">
      <alignment horizontal="center"/>
    </xf>
    <xf numFmtId="4" fontId="4" fillId="11" borderId="33" xfId="0" applyNumberFormat="1" applyFont="1" applyFill="1" applyBorder="1" applyAlignment="1">
      <alignment horizontal="center"/>
    </xf>
    <xf numFmtId="4" fontId="4" fillId="11" borderId="5" xfId="0" applyNumberFormat="1" applyFont="1" applyFill="1" applyBorder="1" applyAlignment="1">
      <alignment horizontal="center"/>
    </xf>
    <xf numFmtId="0" fontId="0" fillId="11" borderId="0" xfId="0" applyFill="1"/>
    <xf numFmtId="0" fontId="6" fillId="12" borderId="5" xfId="0" applyFont="1" applyFill="1" applyBorder="1" applyAlignment="1">
      <alignment horizontal="center" vertical="center"/>
    </xf>
    <xf numFmtId="0" fontId="6" fillId="12" borderId="17" xfId="0" applyFont="1" applyFill="1" applyBorder="1" applyAlignment="1">
      <alignment horizontal="center" vertical="center"/>
    </xf>
    <xf numFmtId="0" fontId="5" fillId="3" borderId="18" xfId="0" applyFont="1" applyFill="1" applyBorder="1" applyAlignment="1">
      <alignment horizontal="left" wrapText="1"/>
    </xf>
    <xf numFmtId="0" fontId="5" fillId="11" borderId="18" xfId="0" applyFont="1" applyFill="1" applyBorder="1" applyAlignment="1">
      <alignment horizontal="left" wrapText="1"/>
    </xf>
    <xf numFmtId="0" fontId="5" fillId="3" borderId="19" xfId="0" applyFont="1" applyFill="1" applyBorder="1" applyAlignment="1">
      <alignment horizontal="left" wrapText="1"/>
    </xf>
    <xf numFmtId="4" fontId="4" fillId="3" borderId="34" xfId="0" applyNumberFormat="1" applyFont="1" applyFill="1" applyBorder="1" applyAlignment="1">
      <alignment horizontal="center"/>
    </xf>
    <xf numFmtId="4" fontId="4" fillId="11" borderId="34" xfId="0" applyNumberFormat="1" applyFont="1" applyFill="1" applyBorder="1" applyAlignment="1">
      <alignment horizontal="center"/>
    </xf>
    <xf numFmtId="0" fontId="5" fillId="3" borderId="33" xfId="0" applyFont="1" applyFill="1" applyBorder="1" applyAlignment="1">
      <alignment horizontal="left" wrapText="1"/>
    </xf>
    <xf numFmtId="0" fontId="5" fillId="11" borderId="33" xfId="0" applyFont="1" applyFill="1" applyBorder="1" applyAlignment="1">
      <alignment horizontal="left" wrapText="1"/>
    </xf>
    <xf numFmtId="0" fontId="5" fillId="3" borderId="35" xfId="0" applyFont="1" applyFill="1" applyBorder="1" applyAlignment="1">
      <alignment horizontal="left" wrapText="1"/>
    </xf>
    <xf numFmtId="0" fontId="6" fillId="12" borderId="33" xfId="0" applyFont="1" applyFill="1" applyBorder="1" applyAlignment="1">
      <alignment horizontal="center" vertical="center"/>
    </xf>
    <xf numFmtId="0" fontId="6" fillId="12" borderId="34" xfId="0" applyFont="1" applyFill="1" applyBorder="1" applyAlignment="1">
      <alignment horizontal="center" vertical="center"/>
    </xf>
    <xf numFmtId="4" fontId="23" fillId="3" borderId="33" xfId="0" applyNumberFormat="1" applyFont="1" applyFill="1" applyBorder="1" applyAlignment="1">
      <alignment horizontal="center" vertical="center"/>
    </xf>
    <xf numFmtId="4" fontId="23" fillId="11" borderId="33" xfId="0" applyNumberFormat="1" applyFont="1" applyFill="1" applyBorder="1" applyAlignment="1">
      <alignment horizontal="center" vertical="center"/>
    </xf>
    <xf numFmtId="3" fontId="4" fillId="3" borderId="5" xfId="0" applyNumberFormat="1" applyFont="1" applyFill="1" applyBorder="1" applyAlignment="1">
      <alignment horizontal="center"/>
    </xf>
    <xf numFmtId="3" fontId="4" fillId="11" borderId="5" xfId="0" applyNumberFormat="1" applyFont="1" applyFill="1" applyBorder="1" applyAlignment="1">
      <alignment horizontal="center"/>
    </xf>
    <xf numFmtId="169" fontId="23" fillId="3" borderId="33" xfId="0" applyNumberFormat="1" applyFont="1" applyFill="1" applyBorder="1" applyAlignment="1">
      <alignment horizontal="center" vertical="center"/>
    </xf>
    <xf numFmtId="3" fontId="23" fillId="3" borderId="33" xfId="0" applyNumberFormat="1" applyFont="1" applyFill="1" applyBorder="1" applyAlignment="1">
      <alignment horizontal="center" vertical="center"/>
    </xf>
    <xf numFmtId="3" fontId="23" fillId="11" borderId="33" xfId="0" applyNumberFormat="1" applyFont="1" applyFill="1" applyBorder="1" applyAlignment="1">
      <alignment horizontal="center" vertical="center"/>
    </xf>
    <xf numFmtId="4" fontId="23" fillId="3" borderId="12" xfId="0" applyNumberFormat="1" applyFont="1" applyFill="1" applyBorder="1" applyAlignment="1">
      <alignment horizontal="center" vertical="center"/>
    </xf>
    <xf numFmtId="4" fontId="23" fillId="11" borderId="12" xfId="0" applyNumberFormat="1" applyFont="1" applyFill="1" applyBorder="1" applyAlignment="1">
      <alignment horizontal="center" vertical="center"/>
    </xf>
    <xf numFmtId="4" fontId="23" fillId="3" borderId="35" xfId="0" applyNumberFormat="1" applyFont="1" applyFill="1" applyBorder="1" applyAlignment="1">
      <alignment horizontal="center" vertical="center"/>
    </xf>
    <xf numFmtId="4" fontId="23" fillId="3" borderId="13" xfId="0" applyNumberFormat="1" applyFont="1" applyFill="1" applyBorder="1" applyAlignment="1">
      <alignment horizontal="center" vertical="center"/>
    </xf>
    <xf numFmtId="3" fontId="6" fillId="0" borderId="60" xfId="0" applyNumberFormat="1" applyFont="1" applyBorder="1" applyAlignment="1">
      <alignment horizontal="distributed" vertical="distributed"/>
    </xf>
    <xf numFmtId="3" fontId="24" fillId="0" borderId="1" xfId="0" applyNumberFormat="1" applyFont="1" applyBorder="1"/>
    <xf numFmtId="3" fontId="0" fillId="11" borderId="0" xfId="0" applyNumberFormat="1" applyFill="1"/>
    <xf numFmtId="0" fontId="5" fillId="6" borderId="28" xfId="0" applyFont="1" applyFill="1" applyBorder="1" applyAlignment="1">
      <alignment horizontal="center" vertical="center" wrapText="1"/>
    </xf>
    <xf numFmtId="3" fontId="3" fillId="3" borderId="73" xfId="3" applyNumberFormat="1" applyFont="1" applyFill="1" applyBorder="1"/>
    <xf numFmtId="3" fontId="3" fillId="6" borderId="57" xfId="3" applyNumberFormat="1" applyFont="1" applyFill="1" applyBorder="1"/>
    <xf numFmtId="3" fontId="3" fillId="3" borderId="39" xfId="3" applyNumberFormat="1" applyFont="1" applyFill="1" applyBorder="1"/>
    <xf numFmtId="3" fontId="3" fillId="3" borderId="1" xfId="3" applyNumberFormat="1" applyFont="1" applyFill="1" applyBorder="1"/>
    <xf numFmtId="3" fontId="6" fillId="6" borderId="23" xfId="0" applyNumberFormat="1" applyFont="1" applyFill="1" applyBorder="1" applyAlignment="1">
      <alignment horizontal="center" vertical="center"/>
    </xf>
    <xf numFmtId="3" fontId="6" fillId="6" borderId="65" xfId="0" applyNumberFormat="1" applyFont="1" applyFill="1" applyBorder="1" applyAlignment="1">
      <alignment horizontal="center" vertical="center"/>
    </xf>
    <xf numFmtId="3" fontId="6" fillId="3" borderId="40" xfId="0" applyNumberFormat="1" applyFont="1" applyFill="1" applyBorder="1" applyAlignment="1">
      <alignment horizontal="center" vertical="center"/>
    </xf>
    <xf numFmtId="3" fontId="6" fillId="3" borderId="34" xfId="0" applyNumberFormat="1" applyFont="1" applyFill="1" applyBorder="1" applyAlignment="1">
      <alignment horizontal="center" vertical="center"/>
    </xf>
    <xf numFmtId="3" fontId="6" fillId="3" borderId="58" xfId="0" applyNumberFormat="1" applyFont="1" applyFill="1" applyBorder="1" applyAlignment="1">
      <alignment horizontal="center" vertical="center"/>
    </xf>
    <xf numFmtId="3" fontId="6" fillId="3" borderId="37" xfId="0" applyNumberFormat="1" applyFont="1" applyFill="1" applyBorder="1" applyAlignment="1">
      <alignment horizontal="center" vertical="center"/>
    </xf>
    <xf numFmtId="3" fontId="6" fillId="3" borderId="53" xfId="0" applyNumberFormat="1" applyFont="1" applyFill="1" applyBorder="1" applyAlignment="1">
      <alignment horizontal="center" vertical="center"/>
    </xf>
    <xf numFmtId="0" fontId="5" fillId="3" borderId="20" xfId="0" applyFont="1" applyFill="1" applyBorder="1" applyAlignment="1">
      <alignment horizontal="left" wrapText="1"/>
    </xf>
    <xf numFmtId="0" fontId="5" fillId="3" borderId="17" xfId="0" applyFont="1" applyFill="1" applyBorder="1" applyAlignment="1">
      <alignment horizontal="left" wrapText="1"/>
    </xf>
    <xf numFmtId="0" fontId="5" fillId="6" borderId="0" xfId="0" applyFont="1" applyFill="1" applyAlignment="1">
      <alignment horizontal="left" wrapText="1"/>
    </xf>
    <xf numFmtId="3" fontId="5" fillId="3" borderId="38" xfId="0" applyNumberFormat="1" applyFont="1" applyFill="1" applyBorder="1" applyAlignment="1">
      <alignment horizontal="center" vertical="center"/>
    </xf>
    <xf numFmtId="3" fontId="5" fillId="3" borderId="39" xfId="0" applyNumberFormat="1" applyFont="1" applyFill="1" applyBorder="1" applyAlignment="1">
      <alignment horizontal="center" vertical="center"/>
    </xf>
    <xf numFmtId="3" fontId="5" fillId="3" borderId="40" xfId="0" applyNumberFormat="1" applyFont="1" applyFill="1" applyBorder="1" applyAlignment="1">
      <alignment horizontal="center" vertical="center"/>
    </xf>
    <xf numFmtId="0" fontId="5" fillId="6" borderId="6" xfId="0" applyFont="1" applyFill="1" applyBorder="1" applyAlignment="1">
      <alignment horizontal="center" wrapText="1"/>
    </xf>
    <xf numFmtId="3" fontId="5" fillId="6" borderId="21" xfId="0" applyNumberFormat="1" applyFont="1" applyFill="1" applyBorder="1" applyAlignment="1">
      <alignment horizontal="center" vertical="center"/>
    </xf>
    <xf numFmtId="3" fontId="5" fillId="6" borderId="22" xfId="0" applyNumberFormat="1" applyFont="1" applyFill="1" applyBorder="1" applyAlignment="1">
      <alignment horizontal="center" vertical="center"/>
    </xf>
    <xf numFmtId="3" fontId="5" fillId="6" borderId="23" xfId="0" applyNumberFormat="1" applyFont="1" applyFill="1" applyBorder="1" applyAlignment="1">
      <alignment horizontal="center" vertical="center"/>
    </xf>
    <xf numFmtId="0" fontId="5" fillId="3" borderId="52" xfId="0" applyFont="1" applyFill="1" applyBorder="1" applyAlignment="1">
      <alignment horizontal="left" wrapText="1"/>
    </xf>
    <xf numFmtId="3" fontId="5" fillId="3" borderId="46" xfId="0" applyNumberFormat="1" applyFont="1" applyFill="1" applyBorder="1" applyAlignment="1">
      <alignment horizontal="center" vertical="center"/>
    </xf>
    <xf numFmtId="3" fontId="5" fillId="3" borderId="57" xfId="0" applyNumberFormat="1" applyFont="1" applyFill="1" applyBorder="1" applyAlignment="1">
      <alignment horizontal="center" vertical="center"/>
    </xf>
    <xf numFmtId="3" fontId="5" fillId="3" borderId="58" xfId="0" applyNumberFormat="1" applyFont="1" applyFill="1" applyBorder="1" applyAlignment="1">
      <alignment horizontal="center" vertical="center"/>
    </xf>
    <xf numFmtId="0" fontId="5" fillId="6" borderId="6" xfId="0" applyFont="1" applyFill="1" applyBorder="1" applyAlignment="1">
      <alignment horizontal="left" wrapText="1"/>
    </xf>
    <xf numFmtId="3" fontId="4" fillId="3" borderId="0" xfId="0" applyNumberFormat="1" applyFont="1" applyFill="1" applyAlignment="1">
      <alignment horizontal="center"/>
    </xf>
    <xf numFmtId="0" fontId="4" fillId="13" borderId="74" xfId="0" applyFont="1" applyFill="1" applyBorder="1"/>
    <xf numFmtId="166" fontId="4" fillId="13" borderId="74" xfId="0" applyNumberFormat="1" applyFont="1" applyFill="1" applyBorder="1"/>
    <xf numFmtId="0" fontId="0" fillId="13" borderId="75" xfId="0" applyFill="1" applyBorder="1"/>
    <xf numFmtId="166" fontId="4" fillId="13" borderId="31" xfId="0" applyNumberFormat="1" applyFont="1" applyFill="1" applyBorder="1"/>
    <xf numFmtId="0" fontId="4" fillId="13" borderId="0" xfId="0" applyFont="1" applyFill="1"/>
    <xf numFmtId="0" fontId="0" fillId="13" borderId="0" xfId="0" applyFill="1"/>
    <xf numFmtId="1" fontId="0" fillId="3" borderId="0" xfId="0" applyNumberFormat="1" applyFill="1"/>
    <xf numFmtId="0" fontId="3" fillId="3" borderId="0" xfId="0" applyFont="1" applyFill="1" applyAlignment="1">
      <alignment horizontal="right"/>
    </xf>
    <xf numFmtId="10" fontId="3" fillId="3" borderId="0" xfId="3" applyNumberFormat="1" applyFont="1" applyFill="1"/>
    <xf numFmtId="3" fontId="8" fillId="6" borderId="23" xfId="32" applyNumberFormat="1" applyFont="1" applyFill="1" applyBorder="1" applyAlignment="1" applyProtection="1">
      <alignment horizontal="center" vertical="center" wrapText="1"/>
    </xf>
    <xf numFmtId="0" fontId="5" fillId="3" borderId="0" xfId="0" applyFont="1" applyFill="1" applyAlignment="1">
      <alignment horizontal="center" vertical="center" wrapText="1"/>
    </xf>
    <xf numFmtId="166" fontId="0" fillId="3" borderId="0" xfId="0" applyNumberFormat="1" applyFill="1"/>
    <xf numFmtId="3" fontId="4" fillId="11" borderId="0" xfId="0" applyNumberFormat="1" applyFont="1" applyFill="1" applyAlignment="1">
      <alignment horizontal="center"/>
    </xf>
    <xf numFmtId="3" fontId="4" fillId="3" borderId="17" xfId="0" applyNumberFormat="1" applyFont="1" applyFill="1" applyBorder="1" applyAlignment="1">
      <alignment horizontal="center"/>
    </xf>
    <xf numFmtId="3" fontId="4" fillId="3" borderId="16" xfId="0" applyNumberFormat="1" applyFont="1" applyFill="1" applyBorder="1" applyAlignment="1">
      <alignment horizontal="center"/>
    </xf>
    <xf numFmtId="3" fontId="4" fillId="3" borderId="67" xfId="0" applyNumberFormat="1" applyFont="1" applyFill="1" applyBorder="1" applyAlignment="1">
      <alignment horizontal="center"/>
    </xf>
    <xf numFmtId="4" fontId="5" fillId="3" borderId="54" xfId="0" applyNumberFormat="1" applyFont="1" applyFill="1" applyBorder="1" applyAlignment="1">
      <alignment horizontal="center" vertical="center"/>
    </xf>
    <xf numFmtId="4" fontId="5" fillId="3" borderId="8" xfId="0" applyNumberFormat="1" applyFont="1" applyFill="1" applyBorder="1" applyAlignment="1">
      <alignment horizontal="center" vertical="center"/>
    </xf>
    <xf numFmtId="0" fontId="5" fillId="3" borderId="12" xfId="0" applyFont="1" applyFill="1" applyBorder="1" applyAlignment="1">
      <alignment horizontal="center" vertical="center" wrapText="1"/>
    </xf>
    <xf numFmtId="0" fontId="5" fillId="3" borderId="13" xfId="0" applyFont="1" applyFill="1" applyBorder="1" applyAlignment="1">
      <alignment horizontal="center" vertical="center" wrapText="1"/>
    </xf>
    <xf numFmtId="0" fontId="4" fillId="5" borderId="0" xfId="0" applyFont="1" applyFill="1"/>
    <xf numFmtId="0" fontId="25" fillId="0" borderId="0" xfId="0" applyFont="1"/>
    <xf numFmtId="3" fontId="4" fillId="3" borderId="33" xfId="0" applyNumberFormat="1" applyFont="1" applyFill="1" applyBorder="1" applyAlignment="1">
      <alignment horizontal="center"/>
    </xf>
    <xf numFmtId="3" fontId="4" fillId="11" borderId="33" xfId="0" applyNumberFormat="1" applyFont="1" applyFill="1" applyBorder="1" applyAlignment="1">
      <alignment horizontal="center"/>
    </xf>
    <xf numFmtId="169" fontId="23" fillId="11" borderId="33" xfId="0" applyNumberFormat="1" applyFont="1" applyFill="1" applyBorder="1" applyAlignment="1">
      <alignment horizontal="center" vertical="center"/>
    </xf>
    <xf numFmtId="0" fontId="5" fillId="14" borderId="65" xfId="0" applyFont="1" applyFill="1" applyBorder="1" applyAlignment="1">
      <alignment horizontal="center" vertical="center"/>
    </xf>
    <xf numFmtId="0" fontId="1" fillId="14" borderId="15" xfId="0" applyFont="1" applyFill="1" applyBorder="1" applyAlignment="1">
      <alignment horizontal="center" vertical="center"/>
    </xf>
    <xf numFmtId="0" fontId="1" fillId="14" borderId="70" xfId="0" applyFont="1" applyFill="1" applyBorder="1" applyAlignment="1">
      <alignment horizontal="center" vertical="center"/>
    </xf>
    <xf numFmtId="0" fontId="1" fillId="14" borderId="69" xfId="0" applyFont="1" applyFill="1" applyBorder="1" applyAlignment="1">
      <alignment horizontal="center" vertical="center"/>
    </xf>
    <xf numFmtId="0" fontId="1" fillId="14" borderId="66" xfId="0" applyFont="1" applyFill="1" applyBorder="1" applyAlignment="1">
      <alignment horizontal="center" vertical="center"/>
    </xf>
    <xf numFmtId="0" fontId="1" fillId="14" borderId="0" xfId="0" applyFont="1" applyFill="1" applyAlignment="1">
      <alignment horizontal="center" vertical="center"/>
    </xf>
    <xf numFmtId="0" fontId="4" fillId="14" borderId="0" xfId="0" applyFont="1" applyFill="1"/>
    <xf numFmtId="0" fontId="4" fillId="14" borderId="15" xfId="0" applyFont="1" applyFill="1" applyBorder="1" applyAlignment="1">
      <alignment horizontal="center" vertical="center"/>
    </xf>
    <xf numFmtId="0" fontId="4" fillId="14" borderId="70" xfId="0" applyFont="1" applyFill="1" applyBorder="1" applyAlignment="1">
      <alignment horizontal="center" vertical="center"/>
    </xf>
    <xf numFmtId="0" fontId="4" fillId="14" borderId="66" xfId="0" applyFont="1" applyFill="1" applyBorder="1" applyAlignment="1">
      <alignment horizontal="center" vertical="center"/>
    </xf>
    <xf numFmtId="0" fontId="4" fillId="14" borderId="69" xfId="0" applyFont="1" applyFill="1" applyBorder="1" applyAlignment="1">
      <alignment horizontal="center" vertical="center"/>
    </xf>
    <xf numFmtId="0" fontId="4" fillId="14" borderId="0" xfId="0" applyFont="1" applyFill="1" applyAlignment="1">
      <alignment horizontal="center" vertical="center"/>
    </xf>
    <xf numFmtId="2" fontId="0" fillId="3" borderId="0" xfId="0" applyNumberFormat="1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2" fontId="0" fillId="3" borderId="0" xfId="0" applyNumberFormat="1" applyFill="1" applyAlignment="1">
      <alignment horizontal="center"/>
    </xf>
    <xf numFmtId="0" fontId="0" fillId="3" borderId="0" xfId="0" applyFill="1" applyAlignment="1">
      <alignment horizontal="center"/>
    </xf>
    <xf numFmtId="0" fontId="0" fillId="16" borderId="0" xfId="0" applyFill="1" applyAlignment="1">
      <alignment horizontal="center"/>
    </xf>
    <xf numFmtId="0" fontId="0" fillId="17" borderId="0" xfId="0" applyFill="1" applyAlignment="1">
      <alignment horizontal="center"/>
    </xf>
    <xf numFmtId="0" fontId="0" fillId="18" borderId="0" xfId="0" applyFill="1" applyAlignment="1">
      <alignment horizontal="center"/>
    </xf>
    <xf numFmtId="2" fontId="0" fillId="18" borderId="0" xfId="0" applyNumberFormat="1" applyFill="1" applyAlignment="1">
      <alignment horizontal="center"/>
    </xf>
    <xf numFmtId="0" fontId="0" fillId="18" borderId="0" xfId="0" applyFill="1"/>
    <xf numFmtId="0" fontId="0" fillId="15" borderId="0" xfId="0" applyFill="1" applyAlignment="1">
      <alignment horizontal="center"/>
    </xf>
    <xf numFmtId="2" fontId="0" fillId="15" borderId="0" xfId="0" applyNumberFormat="1" applyFill="1"/>
    <xf numFmtId="2" fontId="0" fillId="17" borderId="0" xfId="0" applyNumberFormat="1" applyFill="1"/>
    <xf numFmtId="0" fontId="0" fillId="11" borderId="0" xfId="0" applyFill="1" applyAlignment="1">
      <alignment horizontal="center"/>
    </xf>
    <xf numFmtId="1" fontId="4" fillId="3" borderId="0" xfId="0" applyNumberFormat="1" applyFont="1" applyFill="1" applyAlignment="1">
      <alignment horizontal="center"/>
    </xf>
    <xf numFmtId="1" fontId="6" fillId="3" borderId="30" xfId="0" applyNumberFormat="1" applyFont="1" applyFill="1" applyBorder="1" applyAlignment="1">
      <alignment horizontal="center"/>
    </xf>
    <xf numFmtId="1" fontId="4" fillId="3" borderId="33" xfId="0" applyNumberFormat="1" applyFont="1" applyFill="1" applyBorder="1" applyAlignment="1">
      <alignment horizontal="center"/>
    </xf>
    <xf numFmtId="1" fontId="4" fillId="3" borderId="35" xfId="0" applyNumberFormat="1" applyFont="1" applyFill="1" applyBorder="1" applyAlignment="1">
      <alignment horizontal="center"/>
    </xf>
    <xf numFmtId="3" fontId="6" fillId="3" borderId="30" xfId="0" applyNumberFormat="1" applyFont="1" applyFill="1" applyBorder="1" applyAlignment="1">
      <alignment horizontal="center"/>
    </xf>
    <xf numFmtId="0" fontId="6" fillId="3" borderId="32" xfId="0" applyFont="1" applyFill="1" applyBorder="1" applyAlignment="1">
      <alignment horizontal="center"/>
    </xf>
    <xf numFmtId="0" fontId="4" fillId="3" borderId="34" xfId="0" applyFont="1" applyFill="1" applyBorder="1" applyAlignment="1">
      <alignment horizontal="center"/>
    </xf>
    <xf numFmtId="3" fontId="4" fillId="3" borderId="35" xfId="0" applyNumberFormat="1" applyFont="1" applyFill="1" applyBorder="1" applyAlignment="1">
      <alignment horizontal="center"/>
    </xf>
    <xf numFmtId="0" fontId="4" fillId="3" borderId="0" xfId="0" applyFont="1" applyFill="1" applyAlignment="1">
      <alignment horizontal="center"/>
    </xf>
    <xf numFmtId="2" fontId="4" fillId="3" borderId="34" xfId="0" applyNumberFormat="1" applyFont="1" applyFill="1" applyBorder="1" applyAlignment="1">
      <alignment horizontal="center"/>
    </xf>
    <xf numFmtId="2" fontId="4" fillId="3" borderId="37" xfId="0" applyNumberFormat="1" applyFont="1" applyFill="1" applyBorder="1" applyAlignment="1">
      <alignment horizontal="center"/>
    </xf>
    <xf numFmtId="1" fontId="4" fillId="3" borderId="34" xfId="0" applyNumberFormat="1" applyFont="1" applyFill="1" applyBorder="1" applyAlignment="1">
      <alignment horizontal="center"/>
    </xf>
    <xf numFmtId="1" fontId="4" fillId="3" borderId="37" xfId="0" applyNumberFormat="1" applyFont="1" applyFill="1" applyBorder="1" applyAlignment="1">
      <alignment horizontal="center"/>
    </xf>
    <xf numFmtId="0" fontId="3" fillId="0" borderId="34" xfId="0" applyFont="1" applyBorder="1" applyAlignment="1">
      <alignment horizontal="center" vertical="center"/>
    </xf>
    <xf numFmtId="3" fontId="0" fillId="0" borderId="37" xfId="0" applyNumberFormat="1" applyBorder="1" applyAlignment="1">
      <alignment horizontal="center" vertical="center"/>
    </xf>
    <xf numFmtId="165" fontId="0" fillId="0" borderId="30" xfId="0" applyNumberFormat="1" applyBorder="1" applyAlignment="1">
      <alignment horizontal="center"/>
    </xf>
    <xf numFmtId="165" fontId="0" fillId="0" borderId="17" xfId="0" applyNumberFormat="1" applyBorder="1" applyAlignment="1">
      <alignment horizontal="center"/>
    </xf>
    <xf numFmtId="165" fontId="0" fillId="3" borderId="0" xfId="0" applyNumberFormat="1" applyFill="1" applyAlignment="1">
      <alignment horizontal="center"/>
    </xf>
    <xf numFmtId="3" fontId="3" fillId="3" borderId="0" xfId="0" applyNumberFormat="1" applyFont="1" applyFill="1" applyAlignment="1">
      <alignment horizontal="center"/>
    </xf>
    <xf numFmtId="3" fontId="5" fillId="3" borderId="21" xfId="0" applyNumberFormat="1" applyFont="1" applyFill="1" applyBorder="1" applyAlignment="1">
      <alignment horizontal="center" vertical="center"/>
    </xf>
    <xf numFmtId="3" fontId="5" fillId="3" borderId="1" xfId="0" applyNumberFormat="1" applyFont="1" applyFill="1" applyBorder="1" applyAlignment="1">
      <alignment horizontal="center" vertical="center"/>
    </xf>
    <xf numFmtId="3" fontId="5" fillId="3" borderId="54" xfId="0" applyNumberFormat="1" applyFont="1" applyFill="1" applyBorder="1" applyAlignment="1">
      <alignment horizontal="center" vertical="center"/>
    </xf>
    <xf numFmtId="3" fontId="5" fillId="3" borderId="22" xfId="0" applyNumberFormat="1" applyFont="1" applyFill="1" applyBorder="1" applyAlignment="1">
      <alignment horizontal="center" vertical="center"/>
    </xf>
    <xf numFmtId="3" fontId="5" fillId="3" borderId="23" xfId="0" applyNumberFormat="1" applyFont="1" applyFill="1" applyBorder="1" applyAlignment="1">
      <alignment horizontal="center" vertical="center"/>
    </xf>
    <xf numFmtId="3" fontId="5" fillId="3" borderId="8" xfId="0" applyNumberFormat="1" applyFont="1" applyFill="1" applyBorder="1" applyAlignment="1">
      <alignment horizontal="center" vertical="center"/>
    </xf>
    <xf numFmtId="0" fontId="9" fillId="6" borderId="6" xfId="0" applyFont="1" applyFill="1" applyBorder="1" applyAlignment="1">
      <alignment horizontal="center"/>
    </xf>
    <xf numFmtId="0" fontId="9" fillId="6" borderId="2" xfId="0" applyFont="1" applyFill="1" applyBorder="1"/>
    <xf numFmtId="170" fontId="6" fillId="0" borderId="33" xfId="0" applyNumberFormat="1" applyFont="1" applyBorder="1" applyAlignment="1">
      <alignment horizontal="center" vertical="center"/>
    </xf>
    <xf numFmtId="3" fontId="4" fillId="0" borderId="0" xfId="0" applyNumberFormat="1" applyFont="1"/>
    <xf numFmtId="3" fontId="6" fillId="0" borderId="51" xfId="0" applyNumberFormat="1" applyFont="1" applyBorder="1"/>
    <xf numFmtId="166" fontId="5" fillId="6" borderId="21" xfId="0" applyNumberFormat="1" applyFont="1" applyFill="1" applyBorder="1" applyAlignment="1">
      <alignment horizontal="center" vertical="center" wrapText="1"/>
    </xf>
    <xf numFmtId="166" fontId="5" fillId="6" borderId="38" xfId="0" applyNumberFormat="1" applyFont="1" applyFill="1" applyBorder="1" applyAlignment="1">
      <alignment horizontal="center" vertical="center" wrapText="1"/>
    </xf>
    <xf numFmtId="3" fontId="0" fillId="0" borderId="34" xfId="0" applyNumberFormat="1" applyBorder="1" applyAlignment="1">
      <alignment horizontal="center" vertical="center"/>
    </xf>
    <xf numFmtId="0" fontId="28" fillId="0" borderId="0" xfId="0" applyFont="1" applyAlignment="1">
      <alignment horizontal="center"/>
    </xf>
    <xf numFmtId="3" fontId="7" fillId="4" borderId="30" xfId="0" applyNumberFormat="1" applyFont="1" applyFill="1" applyBorder="1" applyAlignment="1">
      <alignment horizontal="center"/>
    </xf>
    <xf numFmtId="1" fontId="7" fillId="5" borderId="4" xfId="0" applyNumberFormat="1" applyFont="1" applyFill="1" applyBorder="1" applyAlignment="1">
      <alignment horizontal="center"/>
    </xf>
    <xf numFmtId="0" fontId="3" fillId="0" borderId="18" xfId="0" applyFont="1" applyBorder="1" applyAlignment="1">
      <alignment horizontal="center" vertical="center"/>
    </xf>
    <xf numFmtId="3" fontId="7" fillId="0" borderId="38" xfId="0" applyNumberFormat="1" applyFont="1" applyBorder="1" applyAlignment="1">
      <alignment horizontal="center" wrapText="1"/>
    </xf>
    <xf numFmtId="3" fontId="7" fillId="0" borderId="61" xfId="0" applyNumberFormat="1" applyFont="1" applyBorder="1" applyAlignment="1">
      <alignment horizontal="center" wrapText="1"/>
    </xf>
    <xf numFmtId="3" fontId="7" fillId="0" borderId="64" xfId="0" applyNumberFormat="1" applyFont="1" applyBorder="1" applyAlignment="1">
      <alignment horizontal="center" wrapText="1"/>
    </xf>
    <xf numFmtId="3" fontId="7" fillId="0" borderId="65" xfId="0" applyNumberFormat="1" applyFont="1" applyBorder="1" applyAlignment="1">
      <alignment horizontal="center" wrapText="1"/>
    </xf>
    <xf numFmtId="3" fontId="6" fillId="3" borderId="70" xfId="0" applyNumberFormat="1" applyFont="1" applyFill="1" applyBorder="1" applyAlignment="1">
      <alignment horizontal="center" vertical="center"/>
    </xf>
    <xf numFmtId="3" fontId="16" fillId="11" borderId="5" xfId="0" applyNumberFormat="1" applyFont="1" applyFill="1" applyBorder="1" applyAlignment="1">
      <alignment horizontal="right"/>
    </xf>
    <xf numFmtId="3" fontId="29" fillId="11" borderId="5" xfId="0" applyNumberFormat="1" applyFont="1" applyFill="1" applyBorder="1" applyAlignment="1">
      <alignment horizontal="right"/>
    </xf>
    <xf numFmtId="3" fontId="16" fillId="3" borderId="0" xfId="0" applyNumberFormat="1" applyFont="1" applyFill="1" applyAlignment="1">
      <alignment horizontal="right"/>
    </xf>
    <xf numFmtId="3" fontId="16" fillId="11" borderId="33" xfId="0" applyNumberFormat="1" applyFont="1" applyFill="1" applyBorder="1" applyAlignment="1">
      <alignment horizontal="right"/>
    </xf>
    <xf numFmtId="3" fontId="16" fillId="11" borderId="35" xfId="0" applyNumberFormat="1" applyFont="1" applyFill="1" applyBorder="1" applyAlignment="1">
      <alignment horizontal="right"/>
    </xf>
    <xf numFmtId="3" fontId="16" fillId="11" borderId="36" xfId="0" applyNumberFormat="1" applyFont="1" applyFill="1" applyBorder="1" applyAlignment="1">
      <alignment horizontal="right"/>
    </xf>
    <xf numFmtId="3" fontId="29" fillId="11" borderId="36" xfId="0" applyNumberFormat="1" applyFont="1" applyFill="1" applyBorder="1" applyAlignment="1">
      <alignment horizontal="right"/>
    </xf>
    <xf numFmtId="3" fontId="16" fillId="11" borderId="30" xfId="0" applyNumberFormat="1" applyFont="1" applyFill="1" applyBorder="1" applyAlignment="1">
      <alignment horizontal="right"/>
    </xf>
    <xf numFmtId="3" fontId="29" fillId="11" borderId="31" xfId="0" applyNumberFormat="1" applyFont="1" applyFill="1" applyBorder="1" applyAlignment="1">
      <alignment horizontal="right"/>
    </xf>
    <xf numFmtId="3" fontId="29" fillId="11" borderId="30" xfId="0" applyNumberFormat="1" applyFont="1" applyFill="1" applyBorder="1" applyAlignment="1">
      <alignment horizontal="right"/>
    </xf>
    <xf numFmtId="3" fontId="29" fillId="11" borderId="33" xfId="0" applyNumberFormat="1" applyFont="1" applyFill="1" applyBorder="1" applyAlignment="1">
      <alignment horizontal="right"/>
    </xf>
    <xf numFmtId="1" fontId="6" fillId="3" borderId="54" xfId="0" applyNumberFormat="1" applyFont="1" applyFill="1" applyBorder="1" applyAlignment="1">
      <alignment horizontal="center" vertical="center"/>
    </xf>
    <xf numFmtId="1" fontId="6" fillId="3" borderId="56" xfId="0" applyNumberFormat="1" applyFont="1" applyFill="1" applyBorder="1" applyAlignment="1">
      <alignment horizontal="center" vertical="center"/>
    </xf>
    <xf numFmtId="3" fontId="6" fillId="0" borderId="21" xfId="0" applyNumberFormat="1" applyFont="1" applyBorder="1" applyAlignment="1">
      <alignment horizontal="center" vertical="center"/>
    </xf>
    <xf numFmtId="3" fontId="6" fillId="0" borderId="23" xfId="0" applyNumberFormat="1" applyFont="1" applyBorder="1" applyAlignment="1">
      <alignment horizontal="center" vertical="center"/>
    </xf>
    <xf numFmtId="3" fontId="16" fillId="11" borderId="5" xfId="0" applyNumberFormat="1" applyFont="1" applyFill="1" applyBorder="1" applyAlignment="1">
      <alignment horizontal="center"/>
    </xf>
    <xf numFmtId="3" fontId="29" fillId="11" borderId="5" xfId="0" applyNumberFormat="1" applyFont="1" applyFill="1" applyBorder="1" applyAlignment="1">
      <alignment horizontal="center"/>
    </xf>
    <xf numFmtId="0" fontId="3" fillId="0" borderId="17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3" fontId="0" fillId="0" borderId="44" xfId="0" applyNumberFormat="1" applyBorder="1" applyAlignment="1">
      <alignment horizontal="center" vertical="center"/>
    </xf>
    <xf numFmtId="3" fontId="0" fillId="3" borderId="61" xfId="0" applyNumberFormat="1" applyFill="1" applyBorder="1" applyAlignment="1">
      <alignment horizontal="center"/>
    </xf>
    <xf numFmtId="0" fontId="3" fillId="0" borderId="46" xfId="0" applyFont="1" applyBorder="1" applyAlignment="1">
      <alignment horizontal="center" vertical="center"/>
    </xf>
    <xf numFmtId="0" fontId="3" fillId="0" borderId="57" xfId="0" applyFont="1" applyBorder="1" applyAlignment="1">
      <alignment horizontal="center" vertical="center"/>
    </xf>
    <xf numFmtId="3" fontId="16" fillId="11" borderId="31" xfId="0" applyNumberFormat="1" applyFont="1" applyFill="1" applyBorder="1" applyAlignment="1">
      <alignment horizontal="center"/>
    </xf>
    <xf numFmtId="3" fontId="29" fillId="11" borderId="36" xfId="0" applyNumberFormat="1" applyFont="1" applyFill="1" applyBorder="1" applyAlignment="1">
      <alignment horizontal="center"/>
    </xf>
    <xf numFmtId="3" fontId="0" fillId="0" borderId="43" xfId="0" applyNumberFormat="1" applyBorder="1" applyAlignment="1">
      <alignment horizontal="center" vertical="center"/>
    </xf>
    <xf numFmtId="0" fontId="3" fillId="0" borderId="58" xfId="0" applyFont="1" applyBorder="1" applyAlignment="1">
      <alignment horizontal="center" vertical="center"/>
    </xf>
    <xf numFmtId="3" fontId="29" fillId="11" borderId="31" xfId="0" applyNumberFormat="1" applyFont="1" applyFill="1" applyBorder="1" applyAlignment="1">
      <alignment horizontal="center"/>
    </xf>
    <xf numFmtId="3" fontId="0" fillId="0" borderId="32" xfId="3" applyNumberFormat="1" applyFont="1" applyBorder="1" applyAlignment="1">
      <alignment horizontal="center" vertical="center"/>
    </xf>
    <xf numFmtId="0" fontId="3" fillId="3" borderId="77" xfId="0" applyFont="1" applyFill="1" applyBorder="1" applyAlignment="1">
      <alignment horizontal="center" vertical="center"/>
    </xf>
    <xf numFmtId="0" fontId="3" fillId="3" borderId="56" xfId="0" applyFont="1" applyFill="1" applyBorder="1" applyAlignment="1">
      <alignment horizontal="center" vertical="center"/>
    </xf>
    <xf numFmtId="0" fontId="3" fillId="3" borderId="54" xfId="0" applyFont="1" applyFill="1" applyBorder="1" applyAlignment="1">
      <alignment horizontal="center" vertical="center"/>
    </xf>
    <xf numFmtId="3" fontId="3" fillId="3" borderId="21" xfId="0" applyNumberFormat="1" applyFont="1" applyFill="1" applyBorder="1" applyAlignment="1">
      <alignment horizontal="center" vertical="center"/>
    </xf>
    <xf numFmtId="3" fontId="3" fillId="3" borderId="22" xfId="0" applyNumberFormat="1" applyFont="1" applyFill="1" applyBorder="1" applyAlignment="1">
      <alignment horizontal="center" vertical="center"/>
    </xf>
    <xf numFmtId="3" fontId="3" fillId="3" borderId="23" xfId="0" applyNumberFormat="1" applyFont="1" applyFill="1" applyBorder="1" applyAlignment="1">
      <alignment horizontal="center" vertical="center"/>
    </xf>
    <xf numFmtId="0" fontId="3" fillId="3" borderId="50" xfId="0" applyFont="1" applyFill="1" applyBorder="1" applyAlignment="1">
      <alignment horizontal="center" vertical="center"/>
    </xf>
    <xf numFmtId="3" fontId="3" fillId="3" borderId="28" xfId="0" applyNumberFormat="1" applyFont="1" applyFill="1" applyBorder="1" applyAlignment="1">
      <alignment horizontal="center"/>
    </xf>
    <xf numFmtId="3" fontId="16" fillId="11" borderId="41" xfId="0" applyNumberFormat="1" applyFont="1" applyFill="1" applyBorder="1" applyAlignment="1">
      <alignment horizontal="center"/>
    </xf>
    <xf numFmtId="3" fontId="16" fillId="11" borderId="44" xfId="0" applyNumberFormat="1" applyFont="1" applyFill="1" applyBorder="1" applyAlignment="1">
      <alignment horizontal="center"/>
    </xf>
    <xf numFmtId="3" fontId="29" fillId="11" borderId="44" xfId="0" applyNumberFormat="1" applyFont="1" applyFill="1" applyBorder="1" applyAlignment="1">
      <alignment horizontal="center"/>
    </xf>
    <xf numFmtId="3" fontId="16" fillId="11" borderId="42" xfId="0" applyNumberFormat="1" applyFont="1" applyFill="1" applyBorder="1" applyAlignment="1">
      <alignment horizontal="center"/>
    </xf>
    <xf numFmtId="9" fontId="3" fillId="0" borderId="67" xfId="3" applyFont="1" applyBorder="1" applyAlignment="1">
      <alignment horizontal="center" vertical="center"/>
    </xf>
    <xf numFmtId="9" fontId="3" fillId="0" borderId="73" xfId="3" applyFont="1" applyBorder="1" applyAlignment="1">
      <alignment horizontal="center" vertical="center"/>
    </xf>
    <xf numFmtId="9" fontId="3" fillId="0" borderId="78" xfId="3" applyFont="1" applyBorder="1" applyAlignment="1">
      <alignment horizontal="center" vertical="center"/>
    </xf>
    <xf numFmtId="9" fontId="3" fillId="3" borderId="28" xfId="3" applyFont="1" applyFill="1" applyBorder="1" applyAlignment="1">
      <alignment horizontal="center"/>
    </xf>
    <xf numFmtId="0" fontId="6" fillId="3" borderId="11" xfId="0" applyFont="1" applyFill="1" applyBorder="1" applyAlignment="1">
      <alignment horizontal="center"/>
    </xf>
    <xf numFmtId="0" fontId="7" fillId="0" borderId="12" xfId="0" applyFont="1" applyBorder="1" applyAlignment="1">
      <alignment horizontal="center" wrapText="1"/>
    </xf>
    <xf numFmtId="0" fontId="7" fillId="0" borderId="13" xfId="0" applyFont="1" applyBorder="1" applyAlignment="1">
      <alignment horizontal="center" wrapText="1"/>
    </xf>
    <xf numFmtId="0" fontId="4" fillId="3" borderId="16" xfId="0" applyFont="1" applyFill="1" applyBorder="1" applyAlignment="1">
      <alignment horizontal="center"/>
    </xf>
    <xf numFmtId="1" fontId="9" fillId="0" borderId="54" xfId="0" applyNumberFormat="1" applyFont="1" applyBorder="1" applyAlignment="1">
      <alignment horizontal="center" wrapText="1"/>
    </xf>
    <xf numFmtId="1" fontId="9" fillId="0" borderId="56" xfId="0" applyNumberFormat="1" applyFont="1" applyBorder="1" applyAlignment="1">
      <alignment horizontal="center" wrapText="1"/>
    </xf>
    <xf numFmtId="1" fontId="9" fillId="0" borderId="50" xfId="0" applyNumberFormat="1" applyFont="1" applyBorder="1" applyAlignment="1">
      <alignment horizontal="center" wrapText="1"/>
    </xf>
    <xf numFmtId="3" fontId="7" fillId="0" borderId="30" xfId="0" applyNumberFormat="1" applyFont="1" applyBorder="1" applyAlignment="1">
      <alignment horizontal="center" wrapText="1"/>
    </xf>
    <xf numFmtId="3" fontId="7" fillId="0" borderId="31" xfId="0" applyNumberFormat="1" applyFont="1" applyBorder="1" applyAlignment="1">
      <alignment horizontal="center" wrapText="1"/>
    </xf>
    <xf numFmtId="3" fontId="7" fillId="0" borderId="32" xfId="0" applyNumberFormat="1" applyFont="1" applyBorder="1" applyAlignment="1">
      <alignment horizontal="center" wrapText="1"/>
    </xf>
    <xf numFmtId="1" fontId="6" fillId="11" borderId="36" xfId="0" applyNumberFormat="1" applyFont="1" applyFill="1" applyBorder="1" applyAlignment="1">
      <alignment horizontal="center" vertical="center"/>
    </xf>
    <xf numFmtId="3" fontId="6" fillId="11" borderId="53" xfId="0" applyNumberFormat="1" applyFont="1" applyFill="1" applyBorder="1"/>
    <xf numFmtId="166" fontId="4" fillId="20" borderId="5" xfId="3" applyNumberFormat="1" applyFont="1" applyFill="1" applyBorder="1"/>
    <xf numFmtId="10" fontId="4" fillId="19" borderId="5" xfId="3" applyNumberFormat="1" applyFont="1" applyFill="1" applyBorder="1"/>
    <xf numFmtId="166" fontId="4" fillId="3" borderId="57" xfId="3" applyNumberFormat="1" applyFont="1" applyFill="1" applyBorder="1"/>
    <xf numFmtId="3" fontId="15" fillId="11" borderId="5" xfId="0" applyNumberFormat="1" applyFont="1" applyFill="1" applyBorder="1"/>
    <xf numFmtId="3" fontId="30" fillId="11" borderId="5" xfId="0" applyNumberFormat="1" applyFont="1" applyFill="1" applyBorder="1"/>
    <xf numFmtId="165" fontId="4" fillId="3" borderId="5" xfId="3" applyNumberFormat="1" applyFont="1" applyFill="1" applyBorder="1"/>
    <xf numFmtId="3" fontId="15" fillId="3" borderId="5" xfId="0" applyNumberFormat="1" applyFont="1" applyFill="1" applyBorder="1"/>
    <xf numFmtId="3" fontId="16" fillId="3" borderId="5" xfId="0" applyNumberFormat="1" applyFont="1" applyFill="1" applyBorder="1" applyAlignment="1">
      <alignment horizontal="right"/>
    </xf>
    <xf numFmtId="3" fontId="15" fillId="3" borderId="5" xfId="0" applyNumberFormat="1" applyFont="1" applyFill="1" applyBorder="1" applyAlignment="1">
      <alignment horizontal="right"/>
    </xf>
    <xf numFmtId="1" fontId="6" fillId="11" borderId="33" xfId="0" applyNumberFormat="1" applyFont="1" applyFill="1" applyBorder="1" applyAlignment="1">
      <alignment horizontal="center" vertical="center"/>
    </xf>
    <xf numFmtId="1" fontId="6" fillId="11" borderId="5" xfId="0" applyNumberFormat="1" applyFont="1" applyFill="1" applyBorder="1" applyAlignment="1">
      <alignment horizontal="center" vertical="center"/>
    </xf>
    <xf numFmtId="0" fontId="4" fillId="11" borderId="74" xfId="0" applyFont="1" applyFill="1" applyBorder="1"/>
    <xf numFmtId="166" fontId="7" fillId="11" borderId="31" xfId="0" applyNumberFormat="1" applyFont="1" applyFill="1" applyBorder="1" applyAlignment="1">
      <alignment horizontal="right" vertical="center" wrapText="1"/>
    </xf>
    <xf numFmtId="166" fontId="7" fillId="11" borderId="0" xfId="0" applyNumberFormat="1" applyFont="1" applyFill="1" applyAlignment="1">
      <alignment horizontal="right" vertical="center" wrapText="1"/>
    </xf>
    <xf numFmtId="0" fontId="4" fillId="11" borderId="0" xfId="0" applyFont="1" applyFill="1"/>
    <xf numFmtId="166" fontId="4" fillId="11" borderId="74" xfId="0" applyNumberFormat="1" applyFont="1" applyFill="1" applyBorder="1"/>
    <xf numFmtId="166" fontId="4" fillId="11" borderId="31" xfId="0" applyNumberFormat="1" applyFont="1" applyFill="1" applyBorder="1"/>
    <xf numFmtId="166" fontId="4" fillId="11" borderId="5" xfId="0" applyNumberFormat="1" applyFont="1" applyFill="1" applyBorder="1"/>
    <xf numFmtId="166" fontId="4" fillId="11" borderId="36" xfId="0" applyNumberFormat="1" applyFont="1" applyFill="1" applyBorder="1"/>
    <xf numFmtId="165" fontId="4" fillId="11" borderId="31" xfId="0" applyNumberFormat="1" applyFont="1" applyFill="1" applyBorder="1"/>
    <xf numFmtId="165" fontId="4" fillId="11" borderId="5" xfId="0" applyNumberFormat="1" applyFont="1" applyFill="1" applyBorder="1"/>
    <xf numFmtId="165" fontId="4" fillId="11" borderId="36" xfId="0" applyNumberFormat="1" applyFont="1" applyFill="1" applyBorder="1"/>
    <xf numFmtId="0" fontId="18" fillId="0" borderId="0" xfId="0" applyFont="1"/>
    <xf numFmtId="0" fontId="18" fillId="0" borderId="0" xfId="0" applyFont="1" applyAlignment="1">
      <alignment horizontal="left"/>
    </xf>
    <xf numFmtId="9" fontId="0" fillId="0" borderId="0" xfId="3" applyFont="1" applyAlignment="1">
      <alignment horizontal="center"/>
    </xf>
    <xf numFmtId="9" fontId="0" fillId="0" borderId="0" xfId="3" applyFont="1"/>
    <xf numFmtId="0" fontId="31" fillId="0" borderId="0" xfId="0" applyFont="1" applyAlignment="1">
      <alignment horizontal="left"/>
    </xf>
    <xf numFmtId="0" fontId="32" fillId="0" borderId="0" xfId="0" applyFont="1"/>
    <xf numFmtId="0" fontId="31" fillId="0" borderId="0" xfId="0" applyFont="1"/>
    <xf numFmtId="0" fontId="33" fillId="0" borderId="0" xfId="0" applyFont="1"/>
    <xf numFmtId="0" fontId="18" fillId="9" borderId="0" xfId="0" applyFont="1" applyFill="1"/>
    <xf numFmtId="0" fontId="0" fillId="9" borderId="0" xfId="0" applyFill="1"/>
    <xf numFmtId="0" fontId="18" fillId="20" borderId="0" xfId="0" applyFont="1" applyFill="1"/>
    <xf numFmtId="0" fontId="0" fillId="20" borderId="0" xfId="0" applyFill="1"/>
    <xf numFmtId="10" fontId="3" fillId="0" borderId="0" xfId="0" applyNumberFormat="1" applyFont="1"/>
    <xf numFmtId="0" fontId="18" fillId="9" borderId="0" xfId="0" applyFont="1" applyFill="1" applyAlignment="1">
      <alignment horizontal="left"/>
    </xf>
    <xf numFmtId="10" fontId="3" fillId="9" borderId="0" xfId="0" applyNumberFormat="1" applyFont="1" applyFill="1"/>
    <xf numFmtId="10" fontId="3" fillId="0" borderId="0" xfId="3" applyNumberFormat="1" applyFont="1"/>
    <xf numFmtId="0" fontId="18" fillId="0" borderId="57" xfId="0" applyFont="1" applyBorder="1" applyAlignment="1">
      <alignment horizontal="center" vertical="center" textRotation="90"/>
    </xf>
    <xf numFmtId="0" fontId="5" fillId="12" borderId="5" xfId="0" applyFont="1" applyFill="1" applyBorder="1" applyAlignment="1">
      <alignment horizontal="center" vertical="center" wrapText="1"/>
    </xf>
    <xf numFmtId="0" fontId="0" fillId="12" borderId="5" xfId="0" applyFill="1" applyBorder="1"/>
    <xf numFmtId="0" fontId="1" fillId="3" borderId="5" xfId="0" applyFont="1" applyFill="1" applyBorder="1" applyAlignment="1">
      <alignment horizontal="center" vertical="center" wrapText="1"/>
    </xf>
    <xf numFmtId="9" fontId="0" fillId="3" borderId="5" xfId="0" applyNumberFormat="1" applyFill="1" applyBorder="1"/>
    <xf numFmtId="0" fontId="34" fillId="3" borderId="5" xfId="0" applyFont="1" applyFill="1" applyBorder="1" applyAlignment="1">
      <alignment horizontal="center" vertical="center" wrapText="1"/>
    </xf>
    <xf numFmtId="9" fontId="35" fillId="3" borderId="5" xfId="0" applyNumberFormat="1" applyFont="1" applyFill="1" applyBorder="1"/>
    <xf numFmtId="0" fontId="35" fillId="3" borderId="5" xfId="0" applyFont="1" applyFill="1" applyBorder="1"/>
    <xf numFmtId="0" fontId="35" fillId="3" borderId="0" xfId="0" applyFont="1" applyFill="1"/>
    <xf numFmtId="0" fontId="5" fillId="6" borderId="5" xfId="0" applyFont="1" applyFill="1" applyBorder="1" applyAlignment="1">
      <alignment horizontal="center" vertical="center" wrapText="1"/>
    </xf>
    <xf numFmtId="3" fontId="0" fillId="3" borderId="5" xfId="0" applyNumberFormat="1" applyFill="1" applyBorder="1"/>
    <xf numFmtId="3" fontId="1" fillId="21" borderId="5" xfId="0" applyNumberFormat="1" applyFont="1" applyFill="1" applyBorder="1" applyAlignment="1">
      <alignment horizontal="center" vertical="center" wrapText="1"/>
    </xf>
    <xf numFmtId="3" fontId="1" fillId="3" borderId="6" xfId="0" applyNumberFormat="1" applyFont="1" applyFill="1" applyBorder="1" applyAlignment="1">
      <alignment horizontal="center" vertical="center" wrapText="1"/>
    </xf>
    <xf numFmtId="3" fontId="1" fillId="3" borderId="7" xfId="0" applyNumberFormat="1" applyFont="1" applyFill="1" applyBorder="1" applyAlignment="1">
      <alignment horizontal="center" vertical="center" wrapText="1"/>
    </xf>
    <xf numFmtId="3" fontId="1" fillId="3" borderId="51" xfId="0" applyNumberFormat="1" applyFont="1" applyFill="1" applyBorder="1" applyAlignment="1">
      <alignment horizontal="center" vertical="center" wrapText="1"/>
    </xf>
    <xf numFmtId="3" fontId="1" fillId="6" borderId="54" xfId="0" applyNumberFormat="1" applyFont="1" applyFill="1" applyBorder="1" applyAlignment="1">
      <alignment horizontal="center" vertical="center" wrapText="1"/>
    </xf>
    <xf numFmtId="3" fontId="11" fillId="3" borderId="48" xfId="32" applyNumberFormat="1" applyFont="1" applyFill="1" applyBorder="1" applyAlignment="1" applyProtection="1">
      <alignment horizontal="center" vertical="center" wrapText="1"/>
    </xf>
    <xf numFmtId="3" fontId="8" fillId="6" borderId="50" xfId="32" applyNumberFormat="1" applyFont="1" applyFill="1" applyBorder="1" applyAlignment="1" applyProtection="1">
      <alignment horizontal="center" vertical="center" wrapText="1"/>
    </xf>
    <xf numFmtId="3" fontId="11" fillId="21" borderId="5" xfId="32" applyNumberFormat="1" applyFont="1" applyFill="1" applyBorder="1" applyAlignment="1" applyProtection="1">
      <alignment horizontal="center" vertical="center" wrapText="1"/>
    </xf>
    <xf numFmtId="3" fontId="11" fillId="6" borderId="48" xfId="32" applyNumberFormat="1" applyFont="1" applyFill="1" applyBorder="1" applyAlignment="1" applyProtection="1">
      <alignment horizontal="center" vertical="center" wrapText="1"/>
    </xf>
    <xf numFmtId="3" fontId="4" fillId="3" borderId="45" xfId="3" applyNumberFormat="1" applyFont="1" applyFill="1" applyBorder="1" applyAlignment="1">
      <alignment horizontal="center" vertical="center"/>
    </xf>
    <xf numFmtId="3" fontId="5" fillId="5" borderId="21" xfId="0" applyNumberFormat="1" applyFont="1" applyFill="1" applyBorder="1" applyAlignment="1">
      <alignment horizontal="center" vertical="center" wrapText="1"/>
    </xf>
    <xf numFmtId="3" fontId="5" fillId="5" borderId="30" xfId="0" applyNumberFormat="1" applyFont="1" applyFill="1" applyBorder="1" applyAlignment="1">
      <alignment horizontal="center" vertical="center" wrapText="1"/>
    </xf>
    <xf numFmtId="3" fontId="1" fillId="5" borderId="37" xfId="0" applyNumberFormat="1" applyFont="1" applyFill="1" applyBorder="1" applyAlignment="1">
      <alignment horizontal="center" vertical="center" wrapText="1"/>
    </xf>
    <xf numFmtId="3" fontId="0" fillId="5" borderId="5" xfId="0" applyNumberFormat="1" applyFill="1" applyBorder="1" applyAlignment="1">
      <alignment horizontal="center" vertical="center"/>
    </xf>
    <xf numFmtId="3" fontId="0" fillId="5" borderId="36" xfId="0" applyNumberFormat="1" applyFill="1" applyBorder="1" applyAlignment="1">
      <alignment horizontal="center" vertical="center"/>
    </xf>
    <xf numFmtId="3" fontId="1" fillId="5" borderId="21" xfId="0" applyNumberFormat="1" applyFont="1" applyFill="1" applyBorder="1" applyAlignment="1">
      <alignment horizontal="center" vertical="center" wrapText="1"/>
    </xf>
    <xf numFmtId="3" fontId="1" fillId="5" borderId="22" xfId="0" applyNumberFormat="1" applyFont="1" applyFill="1" applyBorder="1" applyAlignment="1">
      <alignment horizontal="center" vertical="center" wrapText="1"/>
    </xf>
    <xf numFmtId="3" fontId="11" fillId="5" borderId="23" xfId="32" applyNumberFormat="1" applyFont="1" applyFill="1" applyBorder="1" applyAlignment="1" applyProtection="1">
      <alignment horizontal="center" vertical="center" wrapText="1"/>
    </xf>
    <xf numFmtId="3" fontId="1" fillId="5" borderId="31" xfId="0" applyNumberFormat="1" applyFont="1" applyFill="1" applyBorder="1" applyAlignment="1">
      <alignment horizontal="center" vertical="center" wrapText="1"/>
    </xf>
    <xf numFmtId="165" fontId="6" fillId="3" borderId="53" xfId="0" applyNumberFormat="1" applyFont="1" applyFill="1" applyBorder="1"/>
    <xf numFmtId="4" fontId="4" fillId="21" borderId="5" xfId="0" applyNumberFormat="1" applyFont="1" applyFill="1" applyBorder="1" applyAlignment="1">
      <alignment horizontal="center" vertical="center"/>
    </xf>
    <xf numFmtId="4" fontId="4" fillId="5" borderId="31" xfId="0" applyNumberFormat="1" applyFont="1" applyFill="1" applyBorder="1" applyAlignment="1">
      <alignment horizontal="center" vertical="center"/>
    </xf>
    <xf numFmtId="3" fontId="4" fillId="5" borderId="31" xfId="0" applyNumberFormat="1" applyFont="1" applyFill="1" applyBorder="1" applyAlignment="1">
      <alignment horizontal="center" vertical="center"/>
    </xf>
    <xf numFmtId="3" fontId="1" fillId="5" borderId="30" xfId="0" applyNumberFormat="1" applyFont="1" applyFill="1" applyBorder="1" applyAlignment="1">
      <alignment horizontal="center" vertical="center" wrapText="1"/>
    </xf>
    <xf numFmtId="171" fontId="4" fillId="3" borderId="17" xfId="0" applyNumberFormat="1" applyFont="1" applyFill="1" applyBorder="1" applyAlignment="1">
      <alignment horizontal="center"/>
    </xf>
    <xf numFmtId="171" fontId="0" fillId="11" borderId="0" xfId="0" applyNumberFormat="1" applyFill="1"/>
    <xf numFmtId="171" fontId="4" fillId="6" borderId="17" xfId="0" applyNumberFormat="1" applyFont="1" applyFill="1" applyBorder="1" applyAlignment="1">
      <alignment horizontal="center"/>
    </xf>
    <xf numFmtId="171" fontId="4" fillId="6" borderId="16" xfId="0" applyNumberFormat="1" applyFont="1" applyFill="1" applyBorder="1" applyAlignment="1">
      <alignment horizontal="center"/>
    </xf>
    <xf numFmtId="171" fontId="4" fillId="6" borderId="1" xfId="0" applyNumberFormat="1" applyFont="1" applyFill="1" applyBorder="1" applyAlignment="1">
      <alignment horizontal="center"/>
    </xf>
    <xf numFmtId="3" fontId="4" fillId="22" borderId="17" xfId="0" applyNumberFormat="1" applyFont="1" applyFill="1" applyBorder="1" applyAlignment="1">
      <alignment horizontal="center"/>
    </xf>
    <xf numFmtId="3" fontId="4" fillId="23" borderId="17" xfId="0" applyNumberFormat="1" applyFont="1" applyFill="1" applyBorder="1" applyAlignment="1">
      <alignment horizontal="center"/>
    </xf>
    <xf numFmtId="3" fontId="4" fillId="5" borderId="17" xfId="0" applyNumberFormat="1" applyFont="1" applyFill="1" applyBorder="1" applyAlignment="1">
      <alignment horizontal="center"/>
    </xf>
    <xf numFmtId="3" fontId="0" fillId="6" borderId="0" xfId="0" applyNumberFormat="1" applyFill="1"/>
    <xf numFmtId="3" fontId="4" fillId="24" borderId="31" xfId="0" applyNumberFormat="1" applyFont="1" applyFill="1" applyBorder="1"/>
    <xf numFmtId="3" fontId="4" fillId="24" borderId="5" xfId="0" applyNumberFormat="1" applyFont="1" applyFill="1" applyBorder="1"/>
    <xf numFmtId="3" fontId="4" fillId="24" borderId="36" xfId="0" applyNumberFormat="1" applyFont="1" applyFill="1" applyBorder="1"/>
    <xf numFmtId="3" fontId="3" fillId="24" borderId="23" xfId="0" applyNumberFormat="1" applyFont="1" applyFill="1" applyBorder="1" applyAlignment="1">
      <alignment horizontal="center" vertical="center"/>
    </xf>
    <xf numFmtId="3" fontId="4" fillId="24" borderId="32" xfId="0" applyNumberFormat="1" applyFont="1" applyFill="1" applyBorder="1"/>
    <xf numFmtId="3" fontId="4" fillId="24" borderId="34" xfId="0" applyNumberFormat="1" applyFont="1" applyFill="1" applyBorder="1"/>
    <xf numFmtId="3" fontId="4" fillId="24" borderId="37" xfId="0" applyNumberFormat="1" applyFont="1" applyFill="1" applyBorder="1"/>
    <xf numFmtId="3" fontId="4" fillId="3" borderId="17" xfId="0" applyNumberFormat="1" applyFont="1" applyFill="1" applyBorder="1"/>
    <xf numFmtId="3" fontId="4" fillId="3" borderId="41" xfId="0" applyNumberFormat="1" applyFont="1" applyFill="1" applyBorder="1"/>
    <xf numFmtId="3" fontId="6" fillId="3" borderId="8" xfId="0" applyNumberFormat="1" applyFont="1" applyFill="1" applyBorder="1"/>
    <xf numFmtId="3" fontId="4" fillId="3" borderId="20" xfId="0" applyNumberFormat="1" applyFont="1" applyFill="1" applyBorder="1"/>
    <xf numFmtId="3" fontId="4" fillId="3" borderId="11" xfId="0" applyNumberFormat="1" applyFont="1" applyFill="1" applyBorder="1"/>
    <xf numFmtId="3" fontId="4" fillId="3" borderId="80" xfId="0" applyNumberFormat="1" applyFont="1" applyFill="1" applyBorder="1"/>
    <xf numFmtId="3" fontId="4" fillId="3" borderId="6" xfId="0" applyNumberFormat="1" applyFont="1" applyFill="1" applyBorder="1"/>
    <xf numFmtId="3" fontId="6" fillId="3" borderId="2" xfId="0" applyNumberFormat="1" applyFont="1" applyFill="1" applyBorder="1"/>
    <xf numFmtId="3" fontId="6" fillId="3" borderId="7" xfId="0" applyNumberFormat="1" applyFont="1" applyFill="1" applyBorder="1"/>
    <xf numFmtId="3" fontId="6" fillId="3" borderId="51" xfId="0" applyNumberFormat="1" applyFont="1" applyFill="1" applyBorder="1"/>
    <xf numFmtId="3" fontId="4" fillId="3" borderId="51" xfId="0" applyNumberFormat="1" applyFont="1" applyFill="1" applyBorder="1"/>
    <xf numFmtId="3" fontId="6" fillId="3" borderId="54" xfId="0" applyNumberFormat="1" applyFont="1" applyFill="1" applyBorder="1" applyAlignment="1">
      <alignment horizontal="center" vertical="center"/>
    </xf>
    <xf numFmtId="3" fontId="6" fillId="3" borderId="79" xfId="0" applyNumberFormat="1" applyFont="1" applyFill="1" applyBorder="1"/>
    <xf numFmtId="3" fontId="38" fillId="0" borderId="79" xfId="0" applyNumberFormat="1" applyFont="1" applyBorder="1"/>
    <xf numFmtId="3" fontId="38" fillId="0" borderId="79" xfId="0" applyNumberFormat="1" applyFont="1" applyBorder="1" applyAlignment="1">
      <alignment wrapText="1"/>
    </xf>
    <xf numFmtId="3" fontId="4" fillId="3" borderId="47" xfId="0" applyNumberFormat="1" applyFont="1" applyFill="1" applyBorder="1"/>
    <xf numFmtId="3" fontId="4" fillId="3" borderId="44" xfId="0" applyNumberFormat="1" applyFont="1" applyFill="1" applyBorder="1"/>
    <xf numFmtId="3" fontId="4" fillId="3" borderId="42" xfId="0" applyNumberFormat="1" applyFont="1" applyFill="1" applyBorder="1"/>
    <xf numFmtId="3" fontId="6" fillId="3" borderId="80" xfId="0" applyNumberFormat="1" applyFont="1" applyFill="1" applyBorder="1"/>
    <xf numFmtId="3" fontId="6" fillId="3" borderId="81" xfId="0" applyNumberFormat="1" applyFont="1" applyFill="1" applyBorder="1"/>
    <xf numFmtId="3" fontId="6" fillId="3" borderId="82" xfId="0" applyNumberFormat="1" applyFont="1" applyFill="1" applyBorder="1"/>
    <xf numFmtId="3" fontId="4" fillId="3" borderId="46" xfId="0" applyNumberFormat="1" applyFont="1" applyFill="1" applyBorder="1"/>
    <xf numFmtId="3" fontId="38" fillId="0" borderId="83" xfId="0" applyNumberFormat="1" applyFont="1" applyBorder="1"/>
    <xf numFmtId="3" fontId="4" fillId="3" borderId="38" xfId="0" applyNumberFormat="1" applyFont="1" applyFill="1" applyBorder="1"/>
    <xf numFmtId="3" fontId="4" fillId="3" borderId="39" xfId="0" applyNumberFormat="1" applyFont="1" applyFill="1" applyBorder="1"/>
    <xf numFmtId="3" fontId="4" fillId="3" borderId="60" xfId="0" applyNumberFormat="1" applyFont="1" applyFill="1" applyBorder="1"/>
    <xf numFmtId="3" fontId="38" fillId="0" borderId="84" xfId="0" applyNumberFormat="1" applyFont="1" applyBorder="1"/>
    <xf numFmtId="3" fontId="4" fillId="3" borderId="43" xfId="0" applyNumberFormat="1" applyFont="1" applyFill="1" applyBorder="1"/>
    <xf numFmtId="3" fontId="4" fillId="3" borderId="85" xfId="0" applyNumberFormat="1" applyFont="1" applyFill="1" applyBorder="1"/>
    <xf numFmtId="0" fontId="4" fillId="3" borderId="44" xfId="0" applyFont="1" applyFill="1" applyBorder="1"/>
    <xf numFmtId="0" fontId="4" fillId="3" borderId="42" xfId="0" applyFont="1" applyFill="1" applyBorder="1"/>
    <xf numFmtId="3" fontId="7" fillId="0" borderId="0" xfId="0" applyNumberFormat="1" applyFont="1" applyAlignment="1">
      <alignment horizontal="center" wrapText="1"/>
    </xf>
    <xf numFmtId="3" fontId="7" fillId="0" borderId="60" xfId="0" applyNumberFormat="1" applyFont="1" applyBorder="1" applyAlignment="1">
      <alignment horizontal="center" wrapText="1"/>
    </xf>
    <xf numFmtId="3" fontId="7" fillId="0" borderId="62" xfId="0" applyNumberFormat="1" applyFont="1" applyBorder="1" applyAlignment="1">
      <alignment horizontal="center" wrapText="1"/>
    </xf>
    <xf numFmtId="3" fontId="7" fillId="0" borderId="86" xfId="0" applyNumberFormat="1" applyFont="1" applyBorder="1" applyAlignment="1">
      <alignment horizontal="center" wrapText="1"/>
    </xf>
    <xf numFmtId="3" fontId="6" fillId="3" borderId="23" xfId="0" applyNumberFormat="1" applyFont="1" applyFill="1" applyBorder="1" applyAlignment="1">
      <alignment horizontal="center" vertical="center"/>
    </xf>
    <xf numFmtId="3" fontId="6" fillId="2" borderId="23" xfId="0" applyNumberFormat="1" applyFont="1" applyFill="1" applyBorder="1" applyAlignment="1">
      <alignment horizontal="center" vertical="center"/>
    </xf>
    <xf numFmtId="3" fontId="6" fillId="0" borderId="53" xfId="0" applyNumberFormat="1" applyFont="1" applyBorder="1"/>
    <xf numFmtId="3" fontId="39" fillId="3" borderId="87" xfId="0" applyNumberFormat="1" applyFont="1" applyFill="1" applyBorder="1"/>
    <xf numFmtId="3" fontId="40" fillId="0" borderId="84" xfId="0" applyNumberFormat="1" applyFont="1" applyBorder="1"/>
    <xf numFmtId="3" fontId="40" fillId="0" borderId="79" xfId="0" applyNumberFormat="1" applyFont="1" applyBorder="1"/>
    <xf numFmtId="3" fontId="40" fillId="0" borderId="83" xfId="0" applyNumberFormat="1" applyFont="1" applyBorder="1"/>
    <xf numFmtId="3" fontId="40" fillId="0" borderId="87" xfId="0" applyNumberFormat="1" applyFont="1" applyBorder="1"/>
    <xf numFmtId="165" fontId="4" fillId="0" borderId="5" xfId="3" applyNumberFormat="1" applyFont="1" applyFill="1" applyBorder="1"/>
    <xf numFmtId="166" fontId="4" fillId="0" borderId="5" xfId="3" applyNumberFormat="1" applyFont="1" applyFill="1" applyBorder="1"/>
    <xf numFmtId="165" fontId="6" fillId="3" borderId="87" xfId="0" applyNumberFormat="1" applyFont="1" applyFill="1" applyBorder="1"/>
    <xf numFmtId="165" fontId="6" fillId="3" borderId="71" xfId="0" applyNumberFormat="1" applyFont="1" applyFill="1" applyBorder="1"/>
    <xf numFmtId="165" fontId="6" fillId="0" borderId="2" xfId="0" applyNumberFormat="1" applyFont="1" applyBorder="1"/>
    <xf numFmtId="1" fontId="6" fillId="3" borderId="57" xfId="0" applyNumberFormat="1" applyFont="1" applyFill="1" applyBorder="1" applyAlignment="1">
      <alignment horizontal="center" vertical="center"/>
    </xf>
    <xf numFmtId="3" fontId="41" fillId="3" borderId="79" xfId="0" applyNumberFormat="1" applyFont="1" applyFill="1" applyBorder="1"/>
    <xf numFmtId="3" fontId="5" fillId="3" borderId="47" xfId="0" applyNumberFormat="1" applyFont="1" applyFill="1" applyBorder="1"/>
    <xf numFmtId="3" fontId="8" fillId="3" borderId="47" xfId="31" applyNumberFormat="1" applyFont="1" applyFill="1" applyBorder="1" applyAlignment="1">
      <alignment horizontal="right" wrapText="1"/>
    </xf>
    <xf numFmtId="3" fontId="41" fillId="3" borderId="57" xfId="0" applyNumberFormat="1" applyFont="1" applyFill="1" applyBorder="1"/>
    <xf numFmtId="3" fontId="41" fillId="3" borderId="58" xfId="0" applyNumberFormat="1" applyFont="1" applyFill="1" applyBorder="1"/>
    <xf numFmtId="3" fontId="6" fillId="3" borderId="47" xfId="0" applyNumberFormat="1" applyFont="1" applyFill="1" applyBorder="1"/>
    <xf numFmtId="3" fontId="42" fillId="0" borderId="79" xfId="0" applyNumberFormat="1" applyFont="1" applyBorder="1"/>
    <xf numFmtId="3" fontId="41" fillId="0" borderId="79" xfId="0" applyNumberFormat="1" applyFont="1" applyBorder="1"/>
    <xf numFmtId="3" fontId="5" fillId="3" borderId="57" xfId="0" applyNumberFormat="1" applyFont="1" applyFill="1" applyBorder="1"/>
    <xf numFmtId="3" fontId="5" fillId="0" borderId="79" xfId="0" applyNumberFormat="1" applyFont="1" applyBorder="1"/>
    <xf numFmtId="3" fontId="5" fillId="3" borderId="58" xfId="0" applyNumberFormat="1" applyFont="1" applyFill="1" applyBorder="1"/>
    <xf numFmtId="3" fontId="0" fillId="0" borderId="79" xfId="0" applyNumberFormat="1" applyBorder="1"/>
    <xf numFmtId="3" fontId="42" fillId="0" borderId="79" xfId="31" applyNumberFormat="1" applyFont="1" applyFill="1" applyBorder="1"/>
    <xf numFmtId="3" fontId="41" fillId="0" borderId="79" xfId="31" applyNumberFormat="1" applyFont="1" applyBorder="1"/>
    <xf numFmtId="3" fontId="43" fillId="0" borderId="79" xfId="0" applyNumberFormat="1" applyFont="1" applyBorder="1"/>
    <xf numFmtId="0" fontId="43" fillId="0" borderId="79" xfId="0" applyFont="1" applyBorder="1"/>
    <xf numFmtId="166" fontId="40" fillId="0" borderId="79" xfId="0" applyNumberFormat="1" applyFont="1" applyBorder="1"/>
    <xf numFmtId="166" fontId="41" fillId="6" borderId="79" xfId="0" applyNumberFormat="1" applyFont="1" applyFill="1" applyBorder="1" applyAlignment="1">
      <alignment horizontal="center" vertical="center"/>
    </xf>
    <xf numFmtId="166" fontId="8" fillId="3" borderId="47" xfId="32" applyNumberFormat="1" applyFont="1" applyFill="1" applyBorder="1" applyAlignment="1" applyProtection="1">
      <alignment horizontal="center" vertical="center" wrapText="1"/>
    </xf>
    <xf numFmtId="166" fontId="8" fillId="3" borderId="59" xfId="32" applyNumberFormat="1" applyFont="1" applyFill="1" applyBorder="1" applyAlignment="1" applyProtection="1">
      <alignment horizontal="center" vertical="center" wrapText="1"/>
    </xf>
    <xf numFmtId="166" fontId="8" fillId="6" borderId="45" xfId="32" applyNumberFormat="1" applyFont="1" applyFill="1" applyBorder="1" applyAlignment="1" applyProtection="1">
      <alignment horizontal="center" vertical="center" wrapText="1"/>
    </xf>
    <xf numFmtId="166" fontId="8" fillId="6" borderId="60" xfId="32" applyNumberFormat="1" applyFont="1" applyFill="1" applyBorder="1" applyAlignment="1" applyProtection="1">
      <alignment horizontal="center" vertical="center" wrapText="1"/>
    </xf>
    <xf numFmtId="166" fontId="5" fillId="6" borderId="77" xfId="0" applyNumberFormat="1" applyFont="1" applyFill="1" applyBorder="1" applyAlignment="1">
      <alignment horizontal="center" vertical="center"/>
    </xf>
    <xf numFmtId="166" fontId="8" fillId="3" borderId="73" xfId="32" applyNumberFormat="1" applyFont="1" applyFill="1" applyBorder="1" applyAlignment="1" applyProtection="1">
      <alignment horizontal="center" vertical="center" wrapText="1"/>
    </xf>
    <xf numFmtId="166" fontId="8" fillId="3" borderId="78" xfId="32" applyNumberFormat="1" applyFont="1" applyFill="1" applyBorder="1" applyAlignment="1" applyProtection="1">
      <alignment horizontal="center" vertical="center" wrapText="1"/>
    </xf>
    <xf numFmtId="166" fontId="8" fillId="6" borderId="67" xfId="32" applyNumberFormat="1" applyFont="1" applyFill="1" applyBorder="1" applyAlignment="1" applyProtection="1">
      <alignment horizontal="center" vertical="center" wrapText="1"/>
    </xf>
    <xf numFmtId="166" fontId="8" fillId="6" borderId="88" xfId="32" applyNumberFormat="1" applyFont="1" applyFill="1" applyBorder="1" applyAlignment="1" applyProtection="1">
      <alignment horizontal="center" vertical="center" wrapText="1"/>
    </xf>
    <xf numFmtId="166" fontId="5" fillId="6" borderId="56" xfId="0" applyNumberFormat="1" applyFont="1" applyFill="1" applyBorder="1" applyAlignment="1">
      <alignment horizontal="center" vertical="center"/>
    </xf>
    <xf numFmtId="0" fontId="6" fillId="6" borderId="6" xfId="0" applyFont="1" applyFill="1" applyBorder="1" applyAlignment="1">
      <alignment horizontal="center" vertical="center"/>
    </xf>
    <xf numFmtId="0" fontId="6" fillId="6" borderId="7" xfId="0" applyFont="1" applyFill="1" applyBorder="1" applyAlignment="1">
      <alignment horizontal="center" vertical="center"/>
    </xf>
    <xf numFmtId="0" fontId="6" fillId="6" borderId="2" xfId="0" applyFont="1" applyFill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28" xfId="0" applyFont="1" applyBorder="1" applyAlignment="1">
      <alignment horizontal="center" vertical="center"/>
    </xf>
    <xf numFmtId="0" fontId="6" fillId="0" borderId="30" xfId="0" applyFont="1" applyBorder="1" applyAlignment="1">
      <alignment horizontal="center" vertical="center"/>
    </xf>
    <xf numFmtId="0" fontId="6" fillId="0" borderId="31" xfId="0" applyFont="1" applyBorder="1" applyAlignment="1">
      <alignment horizontal="center" vertical="center"/>
    </xf>
    <xf numFmtId="0" fontId="6" fillId="0" borderId="32" xfId="0" applyFont="1" applyBorder="1" applyAlignment="1">
      <alignment horizontal="center" vertical="center"/>
    </xf>
    <xf numFmtId="0" fontId="6" fillId="3" borderId="17" xfId="0" applyFont="1" applyFill="1" applyBorder="1" applyAlignment="1">
      <alignment horizontal="center" vertical="center"/>
    </xf>
    <xf numFmtId="0" fontId="6" fillId="3" borderId="66" xfId="0" applyFont="1" applyFill="1" applyBorder="1" applyAlignment="1">
      <alignment horizontal="center" vertical="center"/>
    </xf>
    <xf numFmtId="0" fontId="6" fillId="3" borderId="67" xfId="0" applyFont="1" applyFill="1" applyBorder="1" applyAlignment="1">
      <alignment horizontal="center" vertical="center"/>
    </xf>
    <xf numFmtId="0" fontId="6" fillId="3" borderId="6" xfId="0" applyFont="1" applyFill="1" applyBorder="1" applyAlignment="1">
      <alignment horizontal="center" vertical="center"/>
    </xf>
    <xf numFmtId="0" fontId="6" fillId="3" borderId="7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0" borderId="24" xfId="0" applyFont="1" applyBorder="1" applyAlignment="1">
      <alignment horizontal="center" vertical="distributed"/>
    </xf>
    <xf numFmtId="0" fontId="6" fillId="0" borderId="9" xfId="0" applyFont="1" applyBorder="1" applyAlignment="1">
      <alignment horizontal="center" vertical="distributed"/>
    </xf>
    <xf numFmtId="0" fontId="6" fillId="0" borderId="3" xfId="0" applyFont="1" applyBorder="1" applyAlignment="1">
      <alignment horizontal="center" vertical="distributed"/>
    </xf>
    <xf numFmtId="1" fontId="6" fillId="0" borderId="21" xfId="0" applyNumberFormat="1" applyFont="1" applyBorder="1" applyAlignment="1">
      <alignment horizontal="center"/>
    </xf>
    <xf numFmtId="1" fontId="6" fillId="0" borderId="22" xfId="0" applyNumberFormat="1" applyFont="1" applyBorder="1" applyAlignment="1">
      <alignment horizontal="center"/>
    </xf>
    <xf numFmtId="1" fontId="6" fillId="0" borderId="48" xfId="0" applyNumberFormat="1" applyFont="1" applyBorder="1" applyAlignment="1">
      <alignment horizontal="center"/>
    </xf>
    <xf numFmtId="0" fontId="24" fillId="0" borderId="8" xfId="0" applyFont="1" applyBorder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3" xfId="0" applyFont="1" applyBorder="1" applyAlignment="1">
      <alignment horizontal="center" vertical="center"/>
    </xf>
    <xf numFmtId="3" fontId="6" fillId="0" borderId="38" xfId="0" applyNumberFormat="1" applyFont="1" applyBorder="1" applyAlignment="1">
      <alignment horizontal="distributed" vertical="distributed"/>
    </xf>
    <xf numFmtId="3" fontId="6" fillId="0" borderId="39" xfId="0" applyNumberFormat="1" applyFont="1" applyBorder="1" applyAlignment="1">
      <alignment horizontal="distributed" vertical="distributed"/>
    </xf>
    <xf numFmtId="3" fontId="6" fillId="0" borderId="33" xfId="0" applyNumberFormat="1" applyFont="1" applyBorder="1" applyAlignment="1">
      <alignment horizontal="center" vertical="distributed"/>
    </xf>
    <xf numFmtId="3" fontId="6" fillId="0" borderId="35" xfId="0" applyNumberFormat="1" applyFont="1" applyBorder="1" applyAlignment="1">
      <alignment horizontal="center" vertical="distributed"/>
    </xf>
    <xf numFmtId="3" fontId="6" fillId="0" borderId="5" xfId="0" applyNumberFormat="1" applyFont="1" applyBorder="1" applyAlignment="1">
      <alignment horizontal="center" vertical="distributed"/>
    </xf>
    <xf numFmtId="3" fontId="6" fillId="0" borderId="36" xfId="0" applyNumberFormat="1" applyFont="1" applyBorder="1" applyAlignment="1">
      <alignment horizontal="center" vertical="distributed"/>
    </xf>
    <xf numFmtId="3" fontId="6" fillId="0" borderId="18" xfId="0" applyNumberFormat="1" applyFont="1" applyBorder="1" applyAlignment="1">
      <alignment horizontal="center" vertical="distributed"/>
    </xf>
    <xf numFmtId="3" fontId="6" fillId="0" borderId="19" xfId="0" applyNumberFormat="1" applyFont="1" applyBorder="1" applyAlignment="1">
      <alignment horizontal="center" vertical="distributed"/>
    </xf>
    <xf numFmtId="0" fontId="6" fillId="3" borderId="6" xfId="0" applyFont="1" applyFill="1" applyBorder="1" applyAlignment="1">
      <alignment horizontal="center"/>
    </xf>
    <xf numFmtId="0" fontId="6" fillId="3" borderId="7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3" fontId="6" fillId="0" borderId="43" xfId="0" applyNumberFormat="1" applyFont="1" applyBorder="1" applyAlignment="1">
      <alignment horizontal="center" vertical="distributed"/>
    </xf>
    <xf numFmtId="3" fontId="6" fillId="0" borderId="49" xfId="0" applyNumberFormat="1" applyFont="1" applyBorder="1" applyAlignment="1">
      <alignment horizontal="center" vertical="distributed"/>
    </xf>
    <xf numFmtId="3" fontId="6" fillId="0" borderId="14" xfId="0" applyNumberFormat="1" applyFont="1" applyBorder="1" applyAlignment="1">
      <alignment horizontal="center" vertical="distributed"/>
    </xf>
    <xf numFmtId="3" fontId="6" fillId="0" borderId="24" xfId="0" applyNumberFormat="1" applyFont="1" applyBorder="1" applyAlignment="1">
      <alignment horizontal="center" vertical="distributed"/>
    </xf>
    <xf numFmtId="3" fontId="6" fillId="0" borderId="20" xfId="0" applyNumberFormat="1" applyFont="1" applyBorder="1" applyAlignment="1">
      <alignment horizontal="center" vertical="distributed"/>
    </xf>
    <xf numFmtId="3" fontId="6" fillId="0" borderId="52" xfId="0" applyNumberFormat="1" applyFont="1" applyBorder="1" applyAlignment="1">
      <alignment horizontal="center" vertical="distributed"/>
    </xf>
    <xf numFmtId="3" fontId="6" fillId="0" borderId="16" xfId="0" applyNumberFormat="1" applyFont="1" applyBorder="1" applyAlignment="1">
      <alignment horizontal="center" vertical="distributed"/>
    </xf>
    <xf numFmtId="1" fontId="6" fillId="0" borderId="23" xfId="0" applyNumberFormat="1" applyFont="1" applyBorder="1" applyAlignment="1">
      <alignment horizontal="center"/>
    </xf>
    <xf numFmtId="3" fontId="6" fillId="6" borderId="16" xfId="0" applyNumberFormat="1" applyFont="1" applyFill="1" applyBorder="1" applyAlignment="1">
      <alignment horizontal="center" vertical="distributed"/>
    </xf>
    <xf numFmtId="3" fontId="6" fillId="6" borderId="24" xfId="0" applyNumberFormat="1" applyFont="1" applyFill="1" applyBorder="1" applyAlignment="1">
      <alignment horizontal="center" vertical="distributed"/>
    </xf>
    <xf numFmtId="3" fontId="6" fillId="6" borderId="43" xfId="0" applyNumberFormat="1" applyFont="1" applyFill="1" applyBorder="1" applyAlignment="1">
      <alignment horizontal="center" vertical="distributed"/>
    </xf>
    <xf numFmtId="3" fontId="6" fillId="6" borderId="49" xfId="0" applyNumberFormat="1" applyFont="1" applyFill="1" applyBorder="1" applyAlignment="1">
      <alignment horizontal="center" vertical="distributed"/>
    </xf>
    <xf numFmtId="3" fontId="6" fillId="6" borderId="14" xfId="0" applyNumberFormat="1" applyFont="1" applyFill="1" applyBorder="1" applyAlignment="1">
      <alignment horizontal="center" vertical="distributed"/>
    </xf>
    <xf numFmtId="3" fontId="6" fillId="6" borderId="20" xfId="0" applyNumberFormat="1" applyFont="1" applyFill="1" applyBorder="1" applyAlignment="1">
      <alignment horizontal="center" vertical="distributed"/>
    </xf>
    <xf numFmtId="3" fontId="6" fillId="6" borderId="52" xfId="0" applyNumberFormat="1" applyFont="1" applyFill="1" applyBorder="1" applyAlignment="1">
      <alignment horizontal="center" vertical="distributed"/>
    </xf>
    <xf numFmtId="3" fontId="6" fillId="0" borderId="46" xfId="0" applyNumberFormat="1" applyFont="1" applyBorder="1" applyAlignment="1">
      <alignment horizontal="center" vertical="distributed"/>
    </xf>
    <xf numFmtId="3" fontId="6" fillId="0" borderId="57" xfId="0" applyNumberFormat="1" applyFont="1" applyBorder="1" applyAlignment="1">
      <alignment horizontal="center" vertical="distributed"/>
    </xf>
    <xf numFmtId="0" fontId="6" fillId="0" borderId="25" xfId="0" applyFont="1" applyBorder="1" applyAlignment="1">
      <alignment horizontal="center" vertical="center"/>
    </xf>
    <xf numFmtId="0" fontId="6" fillId="0" borderId="26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distributed"/>
    </xf>
    <xf numFmtId="0" fontId="6" fillId="0" borderId="25" xfId="0" applyFont="1" applyBorder="1" applyAlignment="1">
      <alignment horizontal="center" vertical="distributed"/>
    </xf>
    <xf numFmtId="0" fontId="6" fillId="0" borderId="26" xfId="0" applyFont="1" applyBorder="1" applyAlignment="1">
      <alignment horizontal="center" vertical="distributed"/>
    </xf>
    <xf numFmtId="0" fontId="6" fillId="0" borderId="27" xfId="0" applyFont="1" applyBorder="1" applyAlignment="1">
      <alignment horizontal="center" vertical="distributed"/>
    </xf>
    <xf numFmtId="0" fontId="6" fillId="0" borderId="28" xfId="0" applyFont="1" applyBorder="1" applyAlignment="1">
      <alignment horizontal="center" vertical="distributed"/>
    </xf>
    <xf numFmtId="0" fontId="6" fillId="0" borderId="4" xfId="0" applyFont="1" applyBorder="1" applyAlignment="1">
      <alignment horizontal="center" vertical="distributed"/>
    </xf>
    <xf numFmtId="3" fontId="5" fillId="3" borderId="30" xfId="0" applyNumberFormat="1" applyFont="1" applyFill="1" applyBorder="1" applyAlignment="1">
      <alignment horizontal="center"/>
    </xf>
    <xf numFmtId="3" fontId="5" fillId="3" borderId="31" xfId="0" applyNumberFormat="1" applyFont="1" applyFill="1" applyBorder="1" applyAlignment="1">
      <alignment horizontal="center"/>
    </xf>
    <xf numFmtId="3" fontId="5" fillId="3" borderId="32" xfId="0" applyNumberFormat="1" applyFont="1" applyFill="1" applyBorder="1" applyAlignment="1">
      <alignment horizontal="center"/>
    </xf>
    <xf numFmtId="3" fontId="6" fillId="3" borderId="17" xfId="0" applyNumberFormat="1" applyFont="1" applyFill="1" applyBorder="1" applyAlignment="1">
      <alignment horizontal="center" vertical="center"/>
    </xf>
    <xf numFmtId="3" fontId="6" fillId="3" borderId="66" xfId="0" applyNumberFormat="1" applyFont="1" applyFill="1" applyBorder="1" applyAlignment="1">
      <alignment horizontal="center" vertical="center"/>
    </xf>
    <xf numFmtId="3" fontId="6" fillId="3" borderId="41" xfId="0" applyNumberFormat="1" applyFont="1" applyFill="1" applyBorder="1" applyAlignment="1">
      <alignment horizontal="center" vertical="center"/>
    </xf>
    <xf numFmtId="3" fontId="6" fillId="3" borderId="45" xfId="0" applyNumberFormat="1" applyFont="1" applyFill="1" applyBorder="1" applyAlignment="1">
      <alignment horizontal="center" vertical="center"/>
    </xf>
    <xf numFmtId="3" fontId="6" fillId="3" borderId="71" xfId="0" applyNumberFormat="1" applyFont="1" applyFill="1" applyBorder="1" applyAlignment="1">
      <alignment horizontal="center" vertical="center"/>
    </xf>
    <xf numFmtId="3" fontId="6" fillId="3" borderId="0" xfId="0" applyNumberFormat="1" applyFont="1" applyFill="1" applyAlignment="1">
      <alignment horizontal="center" vertical="center"/>
    </xf>
    <xf numFmtId="3" fontId="6" fillId="3" borderId="60" xfId="0" applyNumberFormat="1" applyFont="1" applyFill="1" applyBorder="1" applyAlignment="1">
      <alignment horizontal="center" vertical="center"/>
    </xf>
    <xf numFmtId="3" fontId="6" fillId="3" borderId="15" xfId="0" applyNumberFormat="1" applyFont="1" applyFill="1" applyBorder="1" applyAlignment="1">
      <alignment horizontal="center" vertical="center"/>
    </xf>
    <xf numFmtId="3" fontId="6" fillId="3" borderId="43" xfId="0" applyNumberFormat="1" applyFont="1" applyFill="1" applyBorder="1" applyAlignment="1">
      <alignment horizontal="center" vertical="center"/>
    </xf>
    <xf numFmtId="0" fontId="6" fillId="3" borderId="16" xfId="0" applyFont="1" applyFill="1" applyBorder="1" applyAlignment="1">
      <alignment horizontal="center" vertical="center"/>
    </xf>
    <xf numFmtId="0" fontId="6" fillId="3" borderId="13" xfId="0" applyFont="1" applyFill="1" applyBorder="1" applyAlignment="1">
      <alignment horizontal="center" vertical="center"/>
    </xf>
    <xf numFmtId="0" fontId="18" fillId="0" borderId="11" xfId="0" applyFont="1" applyBorder="1" applyAlignment="1">
      <alignment horizontal="center" vertical="center"/>
    </xf>
    <xf numFmtId="0" fontId="18" fillId="0" borderId="10" xfId="0" applyFont="1" applyBorder="1" applyAlignment="1">
      <alignment horizontal="center" vertical="center"/>
    </xf>
    <xf numFmtId="0" fontId="18" fillId="0" borderId="28" xfId="0" applyFont="1" applyBorder="1" applyAlignment="1">
      <alignment horizontal="center" vertical="center"/>
    </xf>
    <xf numFmtId="0" fontId="18" fillId="0" borderId="29" xfId="0" applyFont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28" xfId="0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3" fontId="3" fillId="0" borderId="6" xfId="0" applyNumberFormat="1" applyFont="1" applyBorder="1" applyAlignment="1">
      <alignment horizontal="center"/>
    </xf>
    <xf numFmtId="3" fontId="3" fillId="0" borderId="7" xfId="0" applyNumberFormat="1" applyFont="1" applyBorder="1" applyAlignment="1">
      <alignment horizontal="center"/>
    </xf>
    <xf numFmtId="3" fontId="3" fillId="0" borderId="2" xfId="0" applyNumberFormat="1" applyFont="1" applyBorder="1" applyAlignment="1">
      <alignment horizontal="center"/>
    </xf>
    <xf numFmtId="0" fontId="3" fillId="0" borderId="3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distributed" wrapText="1"/>
    </xf>
    <xf numFmtId="0" fontId="3" fillId="0" borderId="3" xfId="0" applyFont="1" applyBorder="1" applyAlignment="1">
      <alignment horizontal="center" vertical="distributed" wrapText="1"/>
    </xf>
    <xf numFmtId="3" fontId="6" fillId="3" borderId="47" xfId="0" applyNumberFormat="1" applyFont="1" applyFill="1" applyBorder="1" applyAlignment="1">
      <alignment horizontal="center" vertical="center"/>
    </xf>
    <xf numFmtId="3" fontId="6" fillId="3" borderId="70" xfId="0" applyNumberFormat="1" applyFont="1" applyFill="1" applyBorder="1" applyAlignment="1">
      <alignment horizontal="center" vertical="center"/>
    </xf>
    <xf numFmtId="3" fontId="6" fillId="3" borderId="44" xfId="0" applyNumberFormat="1" applyFont="1" applyFill="1" applyBorder="1" applyAlignment="1">
      <alignment horizontal="center" vertical="center"/>
    </xf>
    <xf numFmtId="3" fontId="6" fillId="3" borderId="6" xfId="0" applyNumberFormat="1" applyFont="1" applyFill="1" applyBorder="1" applyAlignment="1">
      <alignment horizontal="center" vertical="center"/>
    </xf>
    <xf numFmtId="3" fontId="6" fillId="3" borderId="7" xfId="0" applyNumberFormat="1" applyFont="1" applyFill="1" applyBorder="1" applyAlignment="1">
      <alignment horizontal="center" vertical="center"/>
    </xf>
    <xf numFmtId="3" fontId="6" fillId="3" borderId="2" xfId="0" applyNumberFormat="1" applyFont="1" applyFill="1" applyBorder="1" applyAlignment="1">
      <alignment horizontal="center" vertical="center"/>
    </xf>
    <xf numFmtId="3" fontId="6" fillId="3" borderId="11" xfId="0" applyNumberFormat="1" applyFont="1" applyFill="1" applyBorder="1" applyAlignment="1">
      <alignment horizontal="center" vertical="center"/>
    </xf>
    <xf numFmtId="3" fontId="6" fillId="3" borderId="26" xfId="0" applyNumberFormat="1" applyFont="1" applyFill="1" applyBorder="1" applyAlignment="1">
      <alignment horizontal="center" vertical="center"/>
    </xf>
    <xf numFmtId="3" fontId="6" fillId="3" borderId="61" xfId="0" applyNumberFormat="1" applyFont="1" applyFill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11" xfId="0" applyFont="1" applyBorder="1" applyAlignment="1">
      <alignment horizontal="distributed" vertical="center"/>
    </xf>
    <xf numFmtId="0" fontId="6" fillId="0" borderId="25" xfId="0" applyFont="1" applyBorder="1" applyAlignment="1">
      <alignment horizontal="distributed" vertical="center"/>
    </xf>
    <xf numFmtId="0" fontId="6" fillId="0" borderId="28" xfId="0" applyFont="1" applyBorder="1" applyAlignment="1">
      <alignment horizontal="distributed" vertical="center"/>
    </xf>
    <xf numFmtId="0" fontId="6" fillId="0" borderId="4" xfId="0" applyFont="1" applyBorder="1" applyAlignment="1">
      <alignment horizontal="distributed" vertical="center"/>
    </xf>
    <xf numFmtId="3" fontId="6" fillId="13" borderId="31" xfId="0" applyNumberFormat="1" applyFont="1" applyFill="1" applyBorder="1" applyAlignment="1">
      <alignment horizontal="center" vertical="center"/>
    </xf>
    <xf numFmtId="3" fontId="6" fillId="13" borderId="32" xfId="0" applyNumberFormat="1" applyFont="1" applyFill="1" applyBorder="1" applyAlignment="1">
      <alignment horizontal="center" vertical="center"/>
    </xf>
    <xf numFmtId="3" fontId="6" fillId="11" borderId="45" xfId="0" applyNumberFormat="1" applyFont="1" applyFill="1" applyBorder="1" applyAlignment="1">
      <alignment horizontal="center" vertical="center"/>
    </xf>
    <xf numFmtId="3" fontId="6" fillId="11" borderId="66" xfId="0" applyNumberFormat="1" applyFont="1" applyFill="1" applyBorder="1" applyAlignment="1">
      <alignment horizontal="center" vertical="center"/>
    </xf>
    <xf numFmtId="3" fontId="6" fillId="11" borderId="41" xfId="0" applyNumberFormat="1" applyFont="1" applyFill="1" applyBorder="1" applyAlignment="1">
      <alignment horizontal="center" vertical="center"/>
    </xf>
    <xf numFmtId="3" fontId="6" fillId="3" borderId="31" xfId="0" applyNumberFormat="1" applyFont="1" applyFill="1" applyBorder="1" applyAlignment="1">
      <alignment horizontal="center" vertical="center"/>
    </xf>
    <xf numFmtId="3" fontId="6" fillId="3" borderId="32" xfId="0" applyNumberFormat="1" applyFont="1" applyFill="1" applyBorder="1" applyAlignment="1">
      <alignment horizontal="center" vertical="center"/>
    </xf>
    <xf numFmtId="3" fontId="6" fillId="3" borderId="30" xfId="0" applyNumberFormat="1" applyFont="1" applyFill="1" applyBorder="1" applyAlignment="1">
      <alignment horizontal="center" vertical="center"/>
    </xf>
    <xf numFmtId="3" fontId="6" fillId="3" borderId="67" xfId="0" applyNumberFormat="1" applyFont="1" applyFill="1" applyBorder="1" applyAlignment="1">
      <alignment horizontal="center" vertical="center"/>
    </xf>
    <xf numFmtId="0" fontId="9" fillId="6" borderId="6" xfId="0" applyFont="1" applyFill="1" applyBorder="1" applyAlignment="1">
      <alignment horizontal="center"/>
    </xf>
    <xf numFmtId="0" fontId="9" fillId="6" borderId="7" xfId="0" applyFont="1" applyFill="1" applyBorder="1" applyAlignment="1">
      <alignment horizontal="center"/>
    </xf>
    <xf numFmtId="0" fontId="9" fillId="6" borderId="2" xfId="0" applyFont="1" applyFill="1" applyBorder="1" applyAlignment="1">
      <alignment horizontal="center"/>
    </xf>
    <xf numFmtId="0" fontId="9" fillId="6" borderId="10" xfId="0" applyFont="1" applyFill="1" applyBorder="1" applyAlignment="1">
      <alignment horizontal="center"/>
    </xf>
    <xf numFmtId="0" fontId="9" fillId="6" borderId="8" xfId="0" applyFont="1" applyFill="1" applyBorder="1" applyAlignment="1">
      <alignment horizontal="center" wrapText="1"/>
    </xf>
    <xf numFmtId="0" fontId="9" fillId="6" borderId="9" xfId="0" applyFont="1" applyFill="1" applyBorder="1" applyAlignment="1">
      <alignment horizontal="center" wrapText="1"/>
    </xf>
    <xf numFmtId="0" fontId="9" fillId="6" borderId="11" xfId="0" applyFont="1" applyFill="1" applyBorder="1" applyAlignment="1">
      <alignment horizontal="center"/>
    </xf>
    <xf numFmtId="0" fontId="9" fillId="6" borderId="28" xfId="0" applyFont="1" applyFill="1" applyBorder="1" applyAlignment="1">
      <alignment horizontal="center"/>
    </xf>
    <xf numFmtId="0" fontId="9" fillId="6" borderId="25" xfId="0" applyFont="1" applyFill="1" applyBorder="1" applyAlignment="1">
      <alignment horizontal="center" wrapText="1"/>
    </xf>
    <xf numFmtId="0" fontId="9" fillId="6" borderId="27" xfId="0" applyFont="1" applyFill="1" applyBorder="1" applyAlignment="1">
      <alignment horizontal="center" wrapText="1"/>
    </xf>
    <xf numFmtId="0" fontId="6" fillId="3" borderId="31" xfId="0" applyFont="1" applyFill="1" applyBorder="1" applyAlignment="1">
      <alignment horizontal="center"/>
    </xf>
    <xf numFmtId="0" fontId="6" fillId="3" borderId="45" xfId="0" applyFont="1" applyFill="1" applyBorder="1" applyAlignment="1">
      <alignment horizontal="center"/>
    </xf>
    <xf numFmtId="0" fontId="9" fillId="3" borderId="30" xfId="0" applyFont="1" applyFill="1" applyBorder="1" applyAlignment="1">
      <alignment horizontal="center" vertical="center"/>
    </xf>
    <xf numFmtId="0" fontId="9" fillId="3" borderId="35" xfId="0" applyFont="1" applyFill="1" applyBorder="1" applyAlignment="1">
      <alignment horizontal="center" vertical="center"/>
    </xf>
    <xf numFmtId="0" fontId="9" fillId="3" borderId="16" xfId="0" applyFont="1" applyFill="1" applyBorder="1" applyAlignment="1">
      <alignment horizontal="center" vertical="center" wrapText="1"/>
    </xf>
    <xf numFmtId="0" fontId="9" fillId="3" borderId="13" xfId="0" applyFont="1" applyFill="1" applyBorder="1" applyAlignment="1">
      <alignment horizontal="center" vertical="center" wrapText="1"/>
    </xf>
    <xf numFmtId="0" fontId="6" fillId="6" borderId="6" xfId="0" applyFont="1" applyFill="1" applyBorder="1" applyAlignment="1">
      <alignment horizontal="center"/>
    </xf>
    <xf numFmtId="0" fontId="6" fillId="6" borderId="7" xfId="0" applyFont="1" applyFill="1" applyBorder="1" applyAlignment="1">
      <alignment horizontal="center"/>
    </xf>
    <xf numFmtId="0" fontId="6" fillId="6" borderId="2" xfId="0" applyFont="1" applyFill="1" applyBorder="1" applyAlignment="1">
      <alignment horizontal="center"/>
    </xf>
    <xf numFmtId="0" fontId="9" fillId="6" borderId="3" xfId="0" applyFont="1" applyFill="1" applyBorder="1" applyAlignment="1">
      <alignment horizontal="center" wrapText="1"/>
    </xf>
    <xf numFmtId="0" fontId="9" fillId="6" borderId="8" xfId="0" applyFont="1" applyFill="1" applyBorder="1" applyAlignment="1">
      <alignment horizontal="center" vertical="center"/>
    </xf>
    <xf numFmtId="0" fontId="9" fillId="6" borderId="3" xfId="0" applyFont="1" applyFill="1" applyBorder="1" applyAlignment="1">
      <alignment horizontal="center" vertical="center"/>
    </xf>
    <xf numFmtId="0" fontId="5" fillId="6" borderId="16" xfId="0" applyFont="1" applyFill="1" applyBorder="1" applyAlignment="1">
      <alignment horizontal="center" vertical="center" wrapText="1"/>
    </xf>
    <xf numFmtId="0" fontId="5" fillId="6" borderId="12" xfId="0" applyFont="1" applyFill="1" applyBorder="1" applyAlignment="1">
      <alignment horizontal="center" vertical="center" wrapText="1"/>
    </xf>
    <xf numFmtId="0" fontId="5" fillId="6" borderId="24" xfId="0" applyFont="1" applyFill="1" applyBorder="1" applyAlignment="1">
      <alignment horizontal="center" vertical="center" wrapText="1"/>
    </xf>
    <xf numFmtId="0" fontId="6" fillId="6" borderId="10" xfId="0" applyFont="1" applyFill="1" applyBorder="1" applyAlignment="1">
      <alignment horizontal="center" vertical="center" wrapText="1"/>
    </xf>
    <xf numFmtId="0" fontId="6" fillId="6" borderId="25" xfId="0" applyFont="1" applyFill="1" applyBorder="1" applyAlignment="1">
      <alignment horizontal="center" vertical="center" wrapText="1"/>
    </xf>
    <xf numFmtId="0" fontId="6" fillId="6" borderId="29" xfId="0" applyFont="1" applyFill="1" applyBorder="1" applyAlignment="1">
      <alignment horizontal="center" vertical="center" wrapText="1"/>
    </xf>
    <xf numFmtId="0" fontId="6" fillId="6" borderId="4" xfId="0" applyFont="1" applyFill="1" applyBorder="1" applyAlignment="1">
      <alignment horizontal="center" vertical="center" wrapText="1"/>
    </xf>
    <xf numFmtId="0" fontId="6" fillId="6" borderId="11" xfId="0" applyFont="1" applyFill="1" applyBorder="1" applyAlignment="1">
      <alignment horizontal="center" vertical="center" wrapText="1"/>
    </xf>
    <xf numFmtId="0" fontId="6" fillId="6" borderId="28" xfId="0" applyFont="1" applyFill="1" applyBorder="1" applyAlignment="1">
      <alignment horizontal="center" vertical="center" wrapText="1"/>
    </xf>
    <xf numFmtId="0" fontId="4" fillId="3" borderId="10" xfId="0" applyFont="1" applyFill="1" applyBorder="1" applyAlignment="1">
      <alignment horizontal="center" vertical="center"/>
    </xf>
    <xf numFmtId="0" fontId="5" fillId="6" borderId="52" xfId="0" applyFont="1" applyFill="1" applyBorder="1" applyAlignment="1">
      <alignment horizontal="center" vertical="center" wrapText="1"/>
    </xf>
    <xf numFmtId="0" fontId="6" fillId="6" borderId="26" xfId="0" applyFont="1" applyFill="1" applyBorder="1" applyAlignment="1">
      <alignment horizontal="center" vertical="center" wrapText="1"/>
    </xf>
    <xf numFmtId="0" fontId="6" fillId="6" borderId="0" xfId="0" applyFont="1" applyFill="1" applyAlignment="1">
      <alignment horizontal="center" vertical="center" wrapText="1"/>
    </xf>
    <xf numFmtId="0" fontId="6" fillId="6" borderId="27" xfId="0" applyFont="1" applyFill="1" applyBorder="1" applyAlignment="1">
      <alignment horizontal="center" vertical="center" wrapText="1"/>
    </xf>
    <xf numFmtId="0" fontId="5" fillId="6" borderId="17" xfId="0" applyFont="1" applyFill="1" applyBorder="1" applyAlignment="1">
      <alignment horizontal="center" vertical="center" wrapText="1"/>
    </xf>
    <xf numFmtId="0" fontId="5" fillId="6" borderId="18" xfId="0" applyFont="1" applyFill="1" applyBorder="1" applyAlignment="1">
      <alignment horizontal="center" vertical="center" wrapText="1"/>
    </xf>
    <xf numFmtId="0" fontId="5" fillId="6" borderId="6" xfId="0" applyFont="1" applyFill="1" applyBorder="1" applyAlignment="1">
      <alignment horizontal="center" vertical="center" wrapText="1"/>
    </xf>
    <xf numFmtId="0" fontId="5" fillId="6" borderId="7" xfId="0" applyFont="1" applyFill="1" applyBorder="1" applyAlignment="1">
      <alignment horizontal="center" vertical="center" wrapText="1"/>
    </xf>
    <xf numFmtId="0" fontId="5" fillId="6" borderId="2" xfId="0" applyFont="1" applyFill="1" applyBorder="1" applyAlignment="1">
      <alignment horizontal="center" vertical="center" wrapText="1"/>
    </xf>
    <xf numFmtId="0" fontId="0" fillId="3" borderId="0" xfId="0" applyFill="1" applyAlignment="1">
      <alignment horizontal="center"/>
    </xf>
    <xf numFmtId="0" fontId="20" fillId="3" borderId="0" xfId="0" applyFont="1" applyFill="1" applyAlignment="1">
      <alignment horizontal="center"/>
    </xf>
    <xf numFmtId="1" fontId="6" fillId="0" borderId="6" xfId="0" applyNumberFormat="1" applyFont="1" applyBorder="1" applyAlignment="1">
      <alignment horizontal="center"/>
    </xf>
    <xf numFmtId="1" fontId="6" fillId="0" borderId="7" xfId="0" applyNumberFormat="1" applyFont="1" applyBorder="1" applyAlignment="1">
      <alignment horizontal="center"/>
    </xf>
    <xf numFmtId="1" fontId="6" fillId="0" borderId="2" xfId="0" applyNumberFormat="1" applyFont="1" applyBorder="1" applyAlignment="1">
      <alignment horizontal="center"/>
    </xf>
    <xf numFmtId="0" fontId="5" fillId="8" borderId="16" xfId="0" applyFont="1" applyFill="1" applyBorder="1" applyAlignment="1">
      <alignment horizontal="center" vertical="center" wrapText="1"/>
    </xf>
    <xf numFmtId="0" fontId="5" fillId="8" borderId="12" xfId="0" applyFont="1" applyFill="1" applyBorder="1" applyAlignment="1">
      <alignment horizontal="center" vertical="center" wrapText="1"/>
    </xf>
    <xf numFmtId="0" fontId="5" fillId="8" borderId="24" xfId="0" applyFont="1" applyFill="1" applyBorder="1" applyAlignment="1">
      <alignment horizontal="center" vertical="center" wrapText="1"/>
    </xf>
    <xf numFmtId="0" fontId="6" fillId="6" borderId="30" xfId="0" applyFont="1" applyFill="1" applyBorder="1" applyAlignment="1">
      <alignment horizontal="center" vertical="center"/>
    </xf>
    <xf numFmtId="0" fontId="6" fillId="6" borderId="31" xfId="0" applyFont="1" applyFill="1" applyBorder="1" applyAlignment="1">
      <alignment horizontal="center" vertical="center"/>
    </xf>
    <xf numFmtId="0" fontId="6" fillId="6" borderId="32" xfId="0" applyFont="1" applyFill="1" applyBorder="1" applyAlignment="1">
      <alignment horizontal="center" vertical="center"/>
    </xf>
    <xf numFmtId="0" fontId="6" fillId="3" borderId="11" xfId="0" applyFont="1" applyFill="1" applyBorder="1" applyAlignment="1">
      <alignment horizontal="center" vertical="center" wrapText="1"/>
    </xf>
    <xf numFmtId="0" fontId="6" fillId="3" borderId="25" xfId="0" applyFont="1" applyFill="1" applyBorder="1" applyAlignment="1">
      <alignment horizontal="center" vertical="center" wrapText="1"/>
    </xf>
    <xf numFmtId="0" fontId="5" fillId="3" borderId="8" xfId="0" applyFont="1" applyFill="1" applyBorder="1" applyAlignment="1">
      <alignment horizontal="center" vertical="center" wrapText="1"/>
    </xf>
    <xf numFmtId="0" fontId="5" fillId="3" borderId="3" xfId="0" applyFont="1" applyFill="1" applyBorder="1" applyAlignment="1">
      <alignment horizontal="center" vertical="center" wrapText="1"/>
    </xf>
    <xf numFmtId="0" fontId="6" fillId="6" borderId="48" xfId="0" applyFont="1" applyFill="1" applyBorder="1" applyAlignment="1">
      <alignment horizontal="center" vertical="center"/>
    </xf>
    <xf numFmtId="0" fontId="6" fillId="6" borderId="51" xfId="0" applyFont="1" applyFill="1" applyBorder="1" applyAlignment="1">
      <alignment horizontal="center" vertical="center"/>
    </xf>
    <xf numFmtId="0" fontId="6" fillId="9" borderId="30" xfId="0" applyFont="1" applyFill="1" applyBorder="1" applyAlignment="1">
      <alignment horizontal="center" vertical="center"/>
    </xf>
    <xf numFmtId="0" fontId="6" fillId="9" borderId="31" xfId="0" applyFont="1" applyFill="1" applyBorder="1" applyAlignment="1">
      <alignment horizontal="center" vertical="center"/>
    </xf>
    <xf numFmtId="0" fontId="6" fillId="9" borderId="32" xfId="0" applyFont="1" applyFill="1" applyBorder="1" applyAlignment="1">
      <alignment horizontal="center" vertical="center"/>
    </xf>
    <xf numFmtId="0" fontId="6" fillId="9" borderId="6" xfId="0" applyFont="1" applyFill="1" applyBorder="1" applyAlignment="1">
      <alignment horizontal="center" vertical="center"/>
    </xf>
    <xf numFmtId="0" fontId="6" fillId="9" borderId="7" xfId="0" applyFont="1" applyFill="1" applyBorder="1" applyAlignment="1">
      <alignment horizontal="center" vertical="center"/>
    </xf>
    <xf numFmtId="0" fontId="6" fillId="9" borderId="2" xfId="0" applyFont="1" applyFill="1" applyBorder="1" applyAlignment="1">
      <alignment horizontal="center" vertical="center"/>
    </xf>
    <xf numFmtId="0" fontId="6" fillId="3" borderId="6" xfId="0" applyFont="1" applyFill="1" applyBorder="1" applyAlignment="1">
      <alignment horizontal="center" vertical="center" wrapText="1"/>
    </xf>
    <xf numFmtId="0" fontId="6" fillId="3" borderId="2" xfId="0" applyFont="1" applyFill="1" applyBorder="1" applyAlignment="1">
      <alignment horizontal="center" vertical="center" wrapText="1"/>
    </xf>
    <xf numFmtId="0" fontId="6" fillId="3" borderId="10" xfId="0" applyFont="1" applyFill="1" applyBorder="1" applyAlignment="1">
      <alignment horizontal="center" vertical="center" wrapText="1"/>
    </xf>
    <xf numFmtId="0" fontId="6" fillId="3" borderId="28" xfId="0" applyFont="1" applyFill="1" applyBorder="1" applyAlignment="1">
      <alignment horizontal="center" vertical="center" wrapText="1"/>
    </xf>
    <xf numFmtId="0" fontId="6" fillId="3" borderId="29" xfId="0" applyFont="1" applyFill="1" applyBorder="1" applyAlignment="1">
      <alignment horizontal="center" vertical="center" wrapText="1"/>
    </xf>
    <xf numFmtId="0" fontId="6" fillId="3" borderId="4" xfId="0" applyFont="1" applyFill="1" applyBorder="1" applyAlignment="1">
      <alignment horizontal="center" vertical="center" wrapText="1"/>
    </xf>
    <xf numFmtId="0" fontId="3" fillId="3" borderId="0" xfId="0" applyFont="1" applyFill="1" applyAlignment="1">
      <alignment horizontal="center" vertical="center"/>
    </xf>
    <xf numFmtId="0" fontId="5" fillId="10" borderId="16" xfId="0" applyFont="1" applyFill="1" applyBorder="1" applyAlignment="1">
      <alignment horizontal="center" vertical="center" wrapText="1"/>
    </xf>
    <xf numFmtId="0" fontId="5" fillId="10" borderId="12" xfId="0" applyFont="1" applyFill="1" applyBorder="1" applyAlignment="1">
      <alignment horizontal="center" vertical="center" wrapText="1"/>
    </xf>
    <xf numFmtId="0" fontId="5" fillId="10" borderId="24" xfId="0" applyFont="1" applyFill="1" applyBorder="1" applyAlignment="1">
      <alignment horizontal="center" vertical="center" wrapText="1"/>
    </xf>
    <xf numFmtId="0" fontId="5" fillId="3" borderId="11" xfId="0" applyFont="1" applyFill="1" applyBorder="1" applyAlignment="1">
      <alignment horizontal="center" vertical="center" wrapText="1"/>
    </xf>
    <xf numFmtId="0" fontId="5" fillId="3" borderId="10" xfId="0" applyFont="1" applyFill="1" applyBorder="1" applyAlignment="1">
      <alignment horizontal="center" vertical="center" wrapText="1"/>
    </xf>
    <xf numFmtId="0" fontId="5" fillId="3" borderId="25" xfId="0" applyFont="1" applyFill="1" applyBorder="1" applyAlignment="1">
      <alignment horizontal="center" vertical="center" wrapText="1"/>
    </xf>
    <xf numFmtId="0" fontId="6" fillId="3" borderId="7" xfId="0" applyFont="1" applyFill="1" applyBorder="1" applyAlignment="1">
      <alignment horizontal="center" vertical="center" wrapText="1"/>
    </xf>
    <xf numFmtId="0" fontId="5" fillId="8" borderId="8" xfId="0" applyFont="1" applyFill="1" applyBorder="1" applyAlignment="1">
      <alignment horizontal="center" vertical="center" wrapText="1"/>
    </xf>
    <xf numFmtId="0" fontId="5" fillId="8" borderId="9" xfId="0" applyFont="1" applyFill="1" applyBorder="1" applyAlignment="1">
      <alignment horizontal="center" vertical="center" wrapText="1"/>
    </xf>
    <xf numFmtId="0" fontId="5" fillId="8" borderId="3" xfId="0" applyFont="1" applyFill="1" applyBorder="1" applyAlignment="1">
      <alignment horizontal="center" vertical="center" wrapText="1"/>
    </xf>
    <xf numFmtId="0" fontId="5" fillId="3" borderId="9" xfId="0" applyFont="1" applyFill="1" applyBorder="1" applyAlignment="1">
      <alignment horizontal="center" vertical="center" wrapText="1"/>
    </xf>
    <xf numFmtId="0" fontId="5" fillId="3" borderId="26" xfId="0" applyFont="1" applyFill="1" applyBorder="1" applyAlignment="1">
      <alignment horizontal="center" vertical="center" wrapText="1"/>
    </xf>
    <xf numFmtId="0" fontId="5" fillId="3" borderId="0" xfId="0" applyFont="1" applyFill="1" applyAlignment="1">
      <alignment horizontal="center" vertical="center" wrapText="1"/>
    </xf>
    <xf numFmtId="0" fontId="5" fillId="3" borderId="27" xfId="0" applyFont="1" applyFill="1" applyBorder="1" applyAlignment="1">
      <alignment horizontal="center" vertical="center" wrapText="1"/>
    </xf>
    <xf numFmtId="0" fontId="5" fillId="11" borderId="16" xfId="0" applyFont="1" applyFill="1" applyBorder="1" applyAlignment="1">
      <alignment horizontal="center" vertical="center" wrapText="1"/>
    </xf>
    <xf numFmtId="0" fontId="5" fillId="11" borderId="12" xfId="0" applyFont="1" applyFill="1" applyBorder="1" applyAlignment="1">
      <alignment horizontal="center" vertical="center" wrapText="1"/>
    </xf>
    <xf numFmtId="0" fontId="5" fillId="11" borderId="24" xfId="0" applyFont="1" applyFill="1" applyBorder="1" applyAlignment="1">
      <alignment horizontal="center" vertical="center" wrapText="1"/>
    </xf>
    <xf numFmtId="0" fontId="5" fillId="7" borderId="16" xfId="0" applyFont="1" applyFill="1" applyBorder="1" applyAlignment="1">
      <alignment horizontal="center" vertical="center" wrapText="1"/>
    </xf>
    <xf numFmtId="0" fontId="5" fillId="7" borderId="12" xfId="0" applyFont="1" applyFill="1" applyBorder="1" applyAlignment="1">
      <alignment horizontal="center" vertical="center" wrapText="1"/>
    </xf>
    <xf numFmtId="0" fontId="5" fillId="7" borderId="24" xfId="0" applyFont="1" applyFill="1" applyBorder="1" applyAlignment="1">
      <alignment horizontal="center" vertical="center" wrapText="1"/>
    </xf>
    <xf numFmtId="0" fontId="5" fillId="3" borderId="6" xfId="0" applyFont="1" applyFill="1" applyBorder="1" applyAlignment="1">
      <alignment horizontal="center" vertical="center" wrapText="1"/>
    </xf>
    <xf numFmtId="0" fontId="5" fillId="3" borderId="7" xfId="0" applyFont="1" applyFill="1" applyBorder="1" applyAlignment="1">
      <alignment horizontal="center" vertical="center" wrapText="1"/>
    </xf>
    <xf numFmtId="0" fontId="5" fillId="3" borderId="2" xfId="0" applyFont="1" applyFill="1" applyBorder="1" applyAlignment="1">
      <alignment horizontal="center" vertical="center" wrapText="1"/>
    </xf>
    <xf numFmtId="0" fontId="5" fillId="4" borderId="16" xfId="0" applyFont="1" applyFill="1" applyBorder="1" applyAlignment="1">
      <alignment horizontal="center" vertical="center" wrapText="1"/>
    </xf>
    <xf numFmtId="0" fontId="5" fillId="4" borderId="12" xfId="0" applyFont="1" applyFill="1" applyBorder="1" applyAlignment="1">
      <alignment horizontal="center" vertical="center" wrapText="1"/>
    </xf>
    <xf numFmtId="0" fontId="5" fillId="4" borderId="24" xfId="0" applyFont="1" applyFill="1" applyBorder="1" applyAlignment="1">
      <alignment horizontal="center" vertical="center" wrapText="1"/>
    </xf>
    <xf numFmtId="0" fontId="6" fillId="9" borderId="6" xfId="0" applyFont="1" applyFill="1" applyBorder="1" applyAlignment="1">
      <alignment horizontal="center" vertical="center" wrapText="1"/>
    </xf>
    <xf numFmtId="0" fontId="6" fillId="9" borderId="2" xfId="0" applyFont="1" applyFill="1" applyBorder="1" applyAlignment="1">
      <alignment horizontal="center" vertical="center" wrapText="1"/>
    </xf>
    <xf numFmtId="0" fontId="5" fillId="9" borderId="8" xfId="0" applyFont="1" applyFill="1" applyBorder="1" applyAlignment="1">
      <alignment horizontal="center" vertical="center" wrapText="1"/>
    </xf>
    <xf numFmtId="0" fontId="5" fillId="9" borderId="3" xfId="0" applyFont="1" applyFill="1" applyBorder="1" applyAlignment="1">
      <alignment horizontal="center" vertical="center" wrapText="1"/>
    </xf>
    <xf numFmtId="0" fontId="5" fillId="9" borderId="9" xfId="0" applyFont="1" applyFill="1" applyBorder="1" applyAlignment="1">
      <alignment horizontal="center" vertical="center" wrapText="1"/>
    </xf>
    <xf numFmtId="0" fontId="6" fillId="0" borderId="21" xfId="0" applyFont="1" applyBorder="1" applyAlignment="1">
      <alignment horizontal="center"/>
    </xf>
    <xf numFmtId="0" fontId="6" fillId="0" borderId="22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0" fontId="6" fillId="0" borderId="38" xfId="0" applyFont="1" applyBorder="1" applyAlignment="1">
      <alignment horizontal="distributed" vertical="distributed"/>
    </xf>
    <xf numFmtId="0" fontId="6" fillId="0" borderId="39" xfId="0" applyFont="1" applyBorder="1" applyAlignment="1">
      <alignment horizontal="distributed" vertical="distributed"/>
    </xf>
    <xf numFmtId="0" fontId="6" fillId="0" borderId="33" xfId="0" applyFont="1" applyBorder="1" applyAlignment="1">
      <alignment horizontal="center" vertical="distributed"/>
    </xf>
    <xf numFmtId="0" fontId="6" fillId="0" borderId="35" xfId="0" applyFont="1" applyBorder="1" applyAlignment="1">
      <alignment horizontal="center" vertical="distributed"/>
    </xf>
    <xf numFmtId="0" fontId="6" fillId="0" borderId="5" xfId="0" applyFont="1" applyBorder="1" applyAlignment="1">
      <alignment horizontal="center" vertical="distributed"/>
    </xf>
    <xf numFmtId="0" fontId="6" fillId="0" borderId="36" xfId="0" applyFont="1" applyBorder="1" applyAlignment="1">
      <alignment horizontal="center" vertical="distributed"/>
    </xf>
    <xf numFmtId="0" fontId="6" fillId="3" borderId="21" xfId="0" applyFont="1" applyFill="1" applyBorder="1" applyAlignment="1">
      <alignment horizontal="center"/>
    </xf>
    <xf numFmtId="0" fontId="6" fillId="3" borderId="22" xfId="0" applyFont="1" applyFill="1" applyBorder="1" applyAlignment="1">
      <alignment horizontal="center"/>
    </xf>
    <xf numFmtId="0" fontId="6" fillId="3" borderId="23" xfId="0" applyFont="1" applyFill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6" fillId="3" borderId="17" xfId="0" applyFont="1" applyFill="1" applyBorder="1" applyAlignment="1">
      <alignment horizontal="center" vertical="center"/>
    </xf>
    <xf numFmtId="0" fontId="16" fillId="3" borderId="18" xfId="0" applyFont="1" applyFill="1" applyBorder="1" applyAlignment="1">
      <alignment horizontal="center" vertical="center"/>
    </xf>
    <xf numFmtId="3" fontId="5" fillId="3" borderId="11" xfId="0" applyNumberFormat="1" applyFont="1" applyFill="1" applyBorder="1" applyAlignment="1">
      <alignment horizontal="center"/>
    </xf>
    <xf numFmtId="3" fontId="5" fillId="3" borderId="10" xfId="0" applyNumberFormat="1" applyFont="1" applyFill="1" applyBorder="1" applyAlignment="1">
      <alignment horizontal="center"/>
    </xf>
    <xf numFmtId="3" fontId="5" fillId="3" borderId="25" xfId="0" applyNumberFormat="1" applyFont="1" applyFill="1" applyBorder="1" applyAlignment="1">
      <alignment horizontal="center"/>
    </xf>
    <xf numFmtId="3" fontId="5" fillId="3" borderId="54" xfId="0" applyNumberFormat="1" applyFont="1" applyFill="1" applyBorder="1" applyAlignment="1">
      <alignment horizontal="center"/>
    </xf>
    <xf numFmtId="3" fontId="5" fillId="3" borderId="56" xfId="0" applyNumberFormat="1" applyFont="1" applyFill="1" applyBorder="1" applyAlignment="1">
      <alignment horizontal="center"/>
    </xf>
    <xf numFmtId="3" fontId="5" fillId="3" borderId="76" xfId="0" applyNumberFormat="1" applyFont="1" applyFill="1" applyBorder="1" applyAlignment="1">
      <alignment horizontal="center"/>
    </xf>
    <xf numFmtId="3" fontId="5" fillId="3" borderId="50" xfId="0" applyNumberFormat="1" applyFont="1" applyFill="1" applyBorder="1" applyAlignment="1">
      <alignment horizontal="center"/>
    </xf>
    <xf numFmtId="0" fontId="6" fillId="12" borderId="11" xfId="0" applyFont="1" applyFill="1" applyBorder="1" applyAlignment="1">
      <alignment horizontal="center" vertical="center"/>
    </xf>
    <xf numFmtId="0" fontId="6" fillId="12" borderId="10" xfId="0" applyFont="1" applyFill="1" applyBorder="1" applyAlignment="1">
      <alignment horizontal="center" vertical="center"/>
    </xf>
    <xf numFmtId="0" fontId="6" fillId="12" borderId="25" xfId="0" applyFont="1" applyFill="1" applyBorder="1" applyAlignment="1">
      <alignment horizontal="center" vertical="center"/>
    </xf>
    <xf numFmtId="0" fontId="6" fillId="12" borderId="30" xfId="0" applyFont="1" applyFill="1" applyBorder="1" applyAlignment="1">
      <alignment horizontal="center" vertical="center"/>
    </xf>
    <xf numFmtId="0" fontId="6" fillId="12" borderId="31" xfId="0" applyFont="1" applyFill="1" applyBorder="1" applyAlignment="1">
      <alignment horizontal="center" vertical="center"/>
    </xf>
    <xf numFmtId="0" fontId="6" fillId="12" borderId="32" xfId="0" applyFont="1" applyFill="1" applyBorder="1" applyAlignment="1">
      <alignment horizontal="center" vertical="center"/>
    </xf>
    <xf numFmtId="0" fontId="3" fillId="9" borderId="8" xfId="0" applyFont="1" applyFill="1" applyBorder="1" applyAlignment="1">
      <alignment horizontal="center" vertical="center"/>
    </xf>
    <xf numFmtId="0" fontId="3" fillId="9" borderId="3" xfId="0" applyFont="1" applyFill="1" applyBorder="1" applyAlignment="1">
      <alignment horizontal="center" vertical="center"/>
    </xf>
    <xf numFmtId="0" fontId="6" fillId="6" borderId="21" xfId="0" applyFont="1" applyFill="1" applyBorder="1" applyAlignment="1">
      <alignment horizontal="center" vertical="center"/>
    </xf>
    <xf numFmtId="0" fontId="6" fillId="6" borderId="22" xfId="0" applyFont="1" applyFill="1" applyBorder="1" applyAlignment="1">
      <alignment horizontal="center" vertical="center"/>
    </xf>
    <xf numFmtId="0" fontId="6" fillId="6" borderId="23" xfId="0" applyFont="1" applyFill="1" applyBorder="1" applyAlignment="1">
      <alignment horizontal="center" vertical="center"/>
    </xf>
    <xf numFmtId="0" fontId="0" fillId="0" borderId="10" xfId="0" applyBorder="1" applyAlignment="1"/>
    <xf numFmtId="0" fontId="0" fillId="0" borderId="25" xfId="0" applyBorder="1" applyAlignment="1"/>
    <xf numFmtId="0" fontId="0" fillId="0" borderId="28" xfId="0" applyBorder="1" applyAlignment="1"/>
    <xf numFmtId="0" fontId="0" fillId="0" borderId="29" xfId="0" applyBorder="1" applyAlignment="1"/>
    <xf numFmtId="0" fontId="0" fillId="0" borderId="4" xfId="0" applyBorder="1" applyAlignment="1"/>
  </cellXfs>
  <cellStyles count="202">
    <cellStyle name="Hiperlink" xfId="32" builtinId="8"/>
    <cellStyle name="Hiperlink Visitado" xfId="38" builtinId="9" hidden="1"/>
    <cellStyle name="Hiperlink Visitado" xfId="179" builtinId="9" hidden="1"/>
    <cellStyle name="Hiperlink Visitado" xfId="124" builtinId="9" hidden="1"/>
    <cellStyle name="Hiperlink Visitado" xfId="106" builtinId="9" hidden="1"/>
    <cellStyle name="Hiperlink Visitado" xfId="48" builtinId="9" hidden="1"/>
    <cellStyle name="Hiperlink Visitado" xfId="162" builtinId="9" hidden="1"/>
    <cellStyle name="Hiperlink Visitado" xfId="40" builtinId="9" hidden="1"/>
    <cellStyle name="Hiperlink Visitado" xfId="57" builtinId="9" hidden="1"/>
    <cellStyle name="Hiperlink Visitado" xfId="92" builtinId="9" hidden="1"/>
    <cellStyle name="Hiperlink Visitado" xfId="91" builtinId="9" hidden="1"/>
    <cellStyle name="Hiperlink Visitado" xfId="117" builtinId="9" hidden="1"/>
    <cellStyle name="Hiperlink Visitado" xfId="134" builtinId="9" hidden="1"/>
    <cellStyle name="Hiperlink Visitado" xfId="139" builtinId="9" hidden="1"/>
    <cellStyle name="Hiperlink Visitado" xfId="185" builtinId="9" hidden="1"/>
    <cellStyle name="Hiperlink Visitado" xfId="119" builtinId="9" hidden="1"/>
    <cellStyle name="Hiperlink Visitado" xfId="152" builtinId="9" hidden="1"/>
    <cellStyle name="Hiperlink Visitado" xfId="114" builtinId="9" hidden="1"/>
    <cellStyle name="Hiperlink Visitado" xfId="122" builtinId="9" hidden="1"/>
    <cellStyle name="Hiperlink Visitado" xfId="136" builtinId="9" hidden="1"/>
    <cellStyle name="Hiperlink Visitado" xfId="39" builtinId="9" hidden="1"/>
    <cellStyle name="Hiperlink Visitado" xfId="67" builtinId="9" hidden="1"/>
    <cellStyle name="Hiperlink Visitado" xfId="53" builtinId="9" hidden="1"/>
    <cellStyle name="Hiperlink Visitado" xfId="82" builtinId="9" hidden="1"/>
    <cellStyle name="Hiperlink Visitado" xfId="155" builtinId="9" hidden="1"/>
    <cellStyle name="Hiperlink Visitado" xfId="135" builtinId="9" hidden="1"/>
    <cellStyle name="Hiperlink Visitado" xfId="109" builtinId="9" hidden="1"/>
    <cellStyle name="Hiperlink Visitado" xfId="143" builtinId="9" hidden="1"/>
    <cellStyle name="Hiperlink Visitado" xfId="44" builtinId="9" hidden="1"/>
    <cellStyle name="Hiperlink Visitado" xfId="176" builtinId="9" hidden="1"/>
    <cellStyle name="Hiperlink Visitado" xfId="145" builtinId="9" hidden="1"/>
    <cellStyle name="Hiperlink Visitado" xfId="64" builtinId="9" hidden="1"/>
    <cellStyle name="Hiperlink Visitado" xfId="193" builtinId="9" hidden="1"/>
    <cellStyle name="Hiperlink Visitado" xfId="75" builtinId="9" hidden="1"/>
    <cellStyle name="Hiperlink Visitado" xfId="41" builtinId="9" hidden="1"/>
    <cellStyle name="Hiperlink Visitado" xfId="58" builtinId="9" hidden="1"/>
    <cellStyle name="Hiperlink Visitado" xfId="121" builtinId="9" hidden="1"/>
    <cellStyle name="Hiperlink Visitado" xfId="150" builtinId="9" hidden="1"/>
    <cellStyle name="Hiperlink Visitado" xfId="51" builtinId="9" hidden="1"/>
    <cellStyle name="Hiperlink Visitado" xfId="186" builtinId="9" hidden="1"/>
    <cellStyle name="Hiperlink Visitado" xfId="116" builtinId="9" hidden="1"/>
    <cellStyle name="Hiperlink Visitado" xfId="95" builtinId="9" hidden="1"/>
    <cellStyle name="Hiperlink Visitado" xfId="65" builtinId="9" hidden="1"/>
    <cellStyle name="Hiperlink Visitado" xfId="74" builtinId="9" hidden="1"/>
    <cellStyle name="Hiperlink Visitado" xfId="125" builtinId="9" hidden="1"/>
    <cellStyle name="Hiperlink Visitado" xfId="79" builtinId="9" hidden="1"/>
    <cellStyle name="Hiperlink Visitado" xfId="50" builtinId="9" hidden="1"/>
    <cellStyle name="Hiperlink Visitado" xfId="113" builtinId="9" hidden="1"/>
    <cellStyle name="Hiperlink Visitado" xfId="80" builtinId="9" hidden="1"/>
    <cellStyle name="Hiperlink Visitado" xfId="183" builtinId="9" hidden="1"/>
    <cellStyle name="Hiperlink Visitado" xfId="71" builtinId="9" hidden="1"/>
    <cellStyle name="Hiperlink Visitado" xfId="181" builtinId="9" hidden="1"/>
    <cellStyle name="Hiperlink Visitado" xfId="49" builtinId="9" hidden="1"/>
    <cellStyle name="Hiperlink Visitado" xfId="164" builtinId="9" hidden="1"/>
    <cellStyle name="Hiperlink Visitado" xfId="184" builtinId="9" hidden="1"/>
    <cellStyle name="Hiperlink Visitado" xfId="130" builtinId="9" hidden="1"/>
    <cellStyle name="Hiperlink Visitado" xfId="197" builtinId="9" hidden="1"/>
    <cellStyle name="Hiperlink Visitado" xfId="120" builtinId="9" hidden="1"/>
    <cellStyle name="Hiperlink Visitado" xfId="177" builtinId="9" hidden="1"/>
    <cellStyle name="Hiperlink Visitado" xfId="56" builtinId="9" hidden="1"/>
    <cellStyle name="Hiperlink Visitado" xfId="84" builtinId="9" hidden="1"/>
    <cellStyle name="Hiperlink Visitado" xfId="160" builtinId="9" hidden="1"/>
    <cellStyle name="Hiperlink Visitado" xfId="62" builtinId="9" hidden="1"/>
    <cellStyle name="Hiperlink Visitado" xfId="94" builtinId="9" hidden="1"/>
    <cellStyle name="Hiperlink Visitado" xfId="102" builtinId="9" hidden="1"/>
    <cellStyle name="Hiperlink Visitado" xfId="170" builtinId="9" hidden="1"/>
    <cellStyle name="Hiperlink Visitado" xfId="69" builtinId="9" hidden="1"/>
    <cellStyle name="Hiperlink Visitado" xfId="154" builtinId="9" hidden="1"/>
    <cellStyle name="Hiperlink Visitado" xfId="104" builtinId="9" hidden="1"/>
    <cellStyle name="Hiperlink Visitado" xfId="126" builtinId="9" hidden="1"/>
    <cellStyle name="Hiperlink Visitado" xfId="110" builtinId="9" hidden="1"/>
    <cellStyle name="Hiperlink Visitado" xfId="77" builtinId="9" hidden="1"/>
    <cellStyle name="Hiperlink Visitado" xfId="140" builtinId="9" hidden="1"/>
    <cellStyle name="Hiperlink Visitado" xfId="133" builtinId="9" hidden="1"/>
    <cellStyle name="Hiperlink Visitado" xfId="96" builtinId="9" hidden="1"/>
    <cellStyle name="Hiperlink Visitado" xfId="105" builtinId="9" hidden="1"/>
    <cellStyle name="Hiperlink Visitado" xfId="37" builtinId="9" hidden="1"/>
    <cellStyle name="Hiperlink Visitado" xfId="163" builtinId="9" hidden="1"/>
    <cellStyle name="Hiperlink Visitado" xfId="165" builtinId="9" hidden="1"/>
    <cellStyle name="Hiperlink Visitado" xfId="88" builtinId="9" hidden="1"/>
    <cellStyle name="Hiperlink Visitado" xfId="66" builtinId="9" hidden="1"/>
    <cellStyle name="Hiperlink Visitado" xfId="128" builtinId="9" hidden="1"/>
    <cellStyle name="Hiperlink Visitado" xfId="47" builtinId="9" hidden="1"/>
    <cellStyle name="Hiperlink Visitado" xfId="180" builtinId="9" hidden="1"/>
    <cellStyle name="Hiperlink Visitado" xfId="103" builtinId="9" hidden="1"/>
    <cellStyle name="Hiperlink Visitado" xfId="112" builtinId="9" hidden="1"/>
    <cellStyle name="Hiperlink Visitado" xfId="198" builtinId="9" hidden="1"/>
    <cellStyle name="Hiperlink Visitado" xfId="87" builtinId="9" hidden="1"/>
    <cellStyle name="Hiperlink Visitado" xfId="196" builtinId="9" hidden="1"/>
    <cellStyle name="Hiperlink Visitado" xfId="54" builtinId="9" hidden="1"/>
    <cellStyle name="Hiperlink Visitado" xfId="45" builtinId="9" hidden="1"/>
    <cellStyle name="Hiperlink Visitado" xfId="108" builtinId="9" hidden="1"/>
    <cellStyle name="Hiperlink Visitado" xfId="195" builtinId="9" hidden="1"/>
    <cellStyle name="Hiperlink Visitado" xfId="127" builtinId="9" hidden="1"/>
    <cellStyle name="Hiperlink Visitado" xfId="76" builtinId="9" hidden="1"/>
    <cellStyle name="Hiperlink Visitado" xfId="42" builtinId="9" hidden="1"/>
    <cellStyle name="Hiperlink Visitado" xfId="86" builtinId="9" hidden="1"/>
    <cellStyle name="Hiperlink Visitado" xfId="149" builtinId="9" hidden="1"/>
    <cellStyle name="Hiperlink Visitado" xfId="85" builtinId="9" hidden="1"/>
    <cellStyle name="Hiperlink Visitado" xfId="81" builtinId="9" hidden="1"/>
    <cellStyle name="Hiperlink Visitado" xfId="168" builtinId="9" hidden="1"/>
    <cellStyle name="Hiperlink Visitado" xfId="115" builtinId="9" hidden="1"/>
    <cellStyle name="Hiperlink Visitado" xfId="43" builtinId="9" hidden="1"/>
    <cellStyle name="Hiperlink Visitado" xfId="156" builtinId="9" hidden="1"/>
    <cellStyle name="Hiperlink Visitado" xfId="161" builtinId="9" hidden="1"/>
    <cellStyle name="Hiperlink Visitado" xfId="98" builtinId="9" hidden="1"/>
    <cellStyle name="Hiperlink Visitado" xfId="169" builtinId="9" hidden="1"/>
    <cellStyle name="Hiperlink Visitado" xfId="101" builtinId="9" hidden="1"/>
    <cellStyle name="Hiperlink Visitado" xfId="100" builtinId="9" hidden="1"/>
    <cellStyle name="Hiperlink Visitado" xfId="52" builtinId="9" hidden="1"/>
    <cellStyle name="Hiperlink Visitado" xfId="171" builtinId="9" hidden="1"/>
    <cellStyle name="Hiperlink Visitado" xfId="166" builtinId="9" hidden="1"/>
    <cellStyle name="Hiperlink Visitado" xfId="83" builtinId="9" hidden="1"/>
    <cellStyle name="Hiperlink Visitado" xfId="189" builtinId="9" hidden="1"/>
    <cellStyle name="Hiperlink Visitado" xfId="151" builtinId="9" hidden="1"/>
    <cellStyle name="Hiperlink Visitado" xfId="129" builtinId="9" hidden="1"/>
    <cellStyle name="Hiperlink Visitado" xfId="144" builtinId="9" hidden="1"/>
    <cellStyle name="Hiperlink Visitado" xfId="147" builtinId="9" hidden="1"/>
    <cellStyle name="Hiperlink Visitado" xfId="35" builtinId="9" hidden="1"/>
    <cellStyle name="Hiperlink Visitado" xfId="148" builtinId="9" hidden="1"/>
    <cellStyle name="Hiperlink Visitado" xfId="182" builtinId="9" hidden="1"/>
    <cellStyle name="Hiperlink Visitado" xfId="157" builtinId="9" hidden="1"/>
    <cellStyle name="Hiperlink Visitado" xfId="89" builtinId="9" hidden="1"/>
    <cellStyle name="Hiperlink Visitado" xfId="99" builtinId="9" hidden="1"/>
    <cellStyle name="Hiperlink Visitado" xfId="107" builtinId="9" hidden="1"/>
    <cellStyle name="Hiperlink Visitado" xfId="172" builtinId="9" hidden="1"/>
    <cellStyle name="Hiperlink Visitado" xfId="36" builtinId="9" hidden="1"/>
    <cellStyle name="Hiperlink Visitado" xfId="159" builtinId="9" hidden="1"/>
    <cellStyle name="Hiperlink Visitado" xfId="173" builtinId="9" hidden="1"/>
    <cellStyle name="Hiperlink Visitado" xfId="63" builtinId="9" hidden="1"/>
    <cellStyle name="Hiperlink Visitado" xfId="33" builtinId="9" hidden="1"/>
    <cellStyle name="Hiperlink Visitado" xfId="141" builtinId="9" hidden="1"/>
    <cellStyle name="Hiperlink Visitado" xfId="174" builtinId="9" hidden="1"/>
    <cellStyle name="Hiperlink Visitado" xfId="61" builtinId="9" hidden="1"/>
    <cellStyle name="Hiperlink Visitado" xfId="192" builtinId="9" hidden="1"/>
    <cellStyle name="Hiperlink Visitado" xfId="97" builtinId="9" hidden="1"/>
    <cellStyle name="Hiperlink Visitado" xfId="59" builtinId="9" hidden="1"/>
    <cellStyle name="Hiperlink Visitado" xfId="70" builtinId="9" hidden="1"/>
    <cellStyle name="Hiperlink Visitado" xfId="93" builtinId="9" hidden="1"/>
    <cellStyle name="Hiperlink Visitado" xfId="60" builtinId="9" hidden="1"/>
    <cellStyle name="Hiperlink Visitado" xfId="142" builtinId="9" hidden="1"/>
    <cellStyle name="Hiperlink Visitado" xfId="138" builtinId="9" hidden="1"/>
    <cellStyle name="Hiperlink Visitado" xfId="131" builtinId="9" hidden="1"/>
    <cellStyle name="Hiperlink Visitado" xfId="34" builtinId="9" hidden="1"/>
    <cellStyle name="Hiperlink Visitado" xfId="175" builtinId="9" hidden="1"/>
    <cellStyle name="Hiperlink Visitado" xfId="158" builtinId="9" hidden="1"/>
    <cellStyle name="Hiperlink Visitado" xfId="68" builtinId="9" hidden="1"/>
    <cellStyle name="Hiperlink Visitado" xfId="55" builtinId="9" hidden="1"/>
    <cellStyle name="Hiperlink Visitado" xfId="72" builtinId="9" hidden="1"/>
    <cellStyle name="Hiperlink Visitado" xfId="111" builtinId="9" hidden="1"/>
    <cellStyle name="Hiperlink Visitado" xfId="73" builtinId="9" hidden="1"/>
    <cellStyle name="Hiperlink Visitado" xfId="167" builtinId="9" hidden="1"/>
    <cellStyle name="Hiperlink Visitado" xfId="188" builtinId="9" hidden="1"/>
    <cellStyle name="Hiperlink Visitado" xfId="78" builtinId="9" hidden="1"/>
    <cellStyle name="Hiperlink Visitado" xfId="191" builtinId="9" hidden="1"/>
    <cellStyle name="Hiperlink Visitado" xfId="123" builtinId="9" hidden="1"/>
    <cellStyle name="Hiperlink Visitado" xfId="132" builtinId="9" hidden="1"/>
    <cellStyle name="Hiperlink Visitado" xfId="187" builtinId="9" hidden="1"/>
    <cellStyle name="Hiperlink Visitado" xfId="118" builtinId="9" hidden="1"/>
    <cellStyle name="Hiperlink Visitado" xfId="194" builtinId="9" hidden="1"/>
    <cellStyle name="Hiperlink Visitado" xfId="153" builtinId="9" hidden="1"/>
    <cellStyle name="Hiperlink Visitado" xfId="46" builtinId="9" hidden="1"/>
    <cellStyle name="Hiperlink Visitado" xfId="178" builtinId="9" hidden="1"/>
    <cellStyle name="Hiperlink Visitado" xfId="137" builtinId="9" hidden="1"/>
    <cellStyle name="Hiperlink Visitado" xfId="146" builtinId="9" hidden="1"/>
    <cellStyle name="Hiperlink Visitado" xfId="90" builtinId="9" hidden="1"/>
    <cellStyle name="Hiperlink Visitado" xfId="190" builtinId="9" hidden="1"/>
    <cellStyle name="Normal" xfId="0" builtinId="0"/>
    <cellStyle name="Normal 10" xfId="10" xr:uid="{00000000-0005-0000-0000-0000A8000000}"/>
    <cellStyle name="Normal 11" xfId="11" xr:uid="{00000000-0005-0000-0000-0000A9000000}"/>
    <cellStyle name="Normal 12" xfId="12" xr:uid="{00000000-0005-0000-0000-0000AA000000}"/>
    <cellStyle name="Normal 13" xfId="13" xr:uid="{00000000-0005-0000-0000-0000AB000000}"/>
    <cellStyle name="Normal 14" xfId="14" xr:uid="{00000000-0005-0000-0000-0000AC000000}"/>
    <cellStyle name="Normal 15" xfId="15" xr:uid="{00000000-0005-0000-0000-0000AD000000}"/>
    <cellStyle name="Normal 16" xfId="16" xr:uid="{00000000-0005-0000-0000-0000AE000000}"/>
    <cellStyle name="Normal 17" xfId="17" xr:uid="{00000000-0005-0000-0000-0000AF000000}"/>
    <cellStyle name="Normal 18" xfId="18" xr:uid="{00000000-0005-0000-0000-0000B0000000}"/>
    <cellStyle name="Normal 19" xfId="19" xr:uid="{00000000-0005-0000-0000-0000B1000000}"/>
    <cellStyle name="Normal 2" xfId="2" xr:uid="{00000000-0005-0000-0000-0000B2000000}"/>
    <cellStyle name="Normal 20" xfId="20" xr:uid="{00000000-0005-0000-0000-0000B3000000}"/>
    <cellStyle name="Normal 21" xfId="21" xr:uid="{00000000-0005-0000-0000-0000B4000000}"/>
    <cellStyle name="Normal 22" xfId="22" xr:uid="{00000000-0005-0000-0000-0000B5000000}"/>
    <cellStyle name="Normal 23" xfId="23" xr:uid="{00000000-0005-0000-0000-0000B6000000}"/>
    <cellStyle name="Normal 24" xfId="24" xr:uid="{00000000-0005-0000-0000-0000B7000000}"/>
    <cellStyle name="Normal 25" xfId="25" xr:uid="{00000000-0005-0000-0000-0000B8000000}"/>
    <cellStyle name="Normal 26" xfId="199" xr:uid="{00000000-0005-0000-0000-0000B9000000}"/>
    <cellStyle name="Normal 27" xfId="26" xr:uid="{00000000-0005-0000-0000-0000BA000000}"/>
    <cellStyle name="Normal 28" xfId="27" xr:uid="{00000000-0005-0000-0000-0000BB000000}"/>
    <cellStyle name="Normal 29" xfId="28" xr:uid="{00000000-0005-0000-0000-0000BC000000}"/>
    <cellStyle name="Normal 3" xfId="1" xr:uid="{00000000-0005-0000-0000-0000BD000000}"/>
    <cellStyle name="Normal 30" xfId="29" xr:uid="{00000000-0005-0000-0000-0000BE000000}"/>
    <cellStyle name="Normal 31" xfId="30" xr:uid="{00000000-0005-0000-0000-0000BF000000}"/>
    <cellStyle name="Normal 4" xfId="4" xr:uid="{00000000-0005-0000-0000-0000C0000000}"/>
    <cellStyle name="Normal 5" xfId="5" xr:uid="{00000000-0005-0000-0000-0000C1000000}"/>
    <cellStyle name="Normal 6" xfId="6" xr:uid="{00000000-0005-0000-0000-0000C2000000}"/>
    <cellStyle name="Normal 7" xfId="7" xr:uid="{00000000-0005-0000-0000-0000C3000000}"/>
    <cellStyle name="Normal 8" xfId="8" xr:uid="{00000000-0005-0000-0000-0000C4000000}"/>
    <cellStyle name="Normal 9" xfId="9" xr:uid="{00000000-0005-0000-0000-0000C5000000}"/>
    <cellStyle name="Porcentagem" xfId="3" builtinId="5"/>
    <cellStyle name="Porcentagem 2" xfId="200" xr:uid="{00000000-0005-0000-0000-0000C7000000}"/>
    <cellStyle name="Vírgula" xfId="31" builtinId="3"/>
    <cellStyle name="Vírgula 2" xfId="201" xr:uid="{00000000-0005-0000-0000-0000C9000000}"/>
  </cellStyles>
  <dxfs count="0"/>
  <tableStyles count="0" defaultTableStyle="TableStyleMedium9" defaultPivotStyle="PivotStyleLight16"/>
  <colors>
    <mruColors>
      <color rgb="FFFF0066"/>
      <color rgb="FFFFFF00"/>
      <color rgb="FF00FF00"/>
      <color rgb="FFFF6600"/>
      <color rgb="FFCC00FF"/>
      <color rgb="FFFFFF66"/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61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customXml" Target="../customXml/item3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INDICE!$A$3</c:f>
              <c:strCache>
                <c:ptCount val="1"/>
                <c:pt idx="0">
                  <c:v>Brasil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/>
            <c:extLst>
              <c:ext xmlns:c16="http://schemas.microsoft.com/office/drawing/2014/chart" uri="{C3380CC4-5D6E-409C-BE32-E72D297353CC}">
                <c16:uniqueId val="{00000001-9BB5-4CE0-98B6-085F55C82407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 b="1"/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INDICE!$B$2:$F$2</c:f>
              <c:numCache>
                <c:formatCode>General</c:formatCode>
                <c:ptCount val="5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</c:numCache>
            </c:numRef>
          </c:cat>
          <c:val>
            <c:numRef>
              <c:f>INDICE!$B$3:$F$3</c:f>
              <c:numCache>
                <c:formatCode>#,##0.00</c:formatCode>
                <c:ptCount val="5"/>
                <c:pt idx="0">
                  <c:v>53.840555458911041</c:v>
                </c:pt>
                <c:pt idx="1">
                  <c:v>55.100913425152235</c:v>
                </c:pt>
                <c:pt idx="2">
                  <c:v>51.403265036107854</c:v>
                </c:pt>
                <c:pt idx="3">
                  <c:v>49.286985356728458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B5-4CE0-98B6-085F55C82407}"/>
            </c:ext>
          </c:extLst>
        </c:ser>
        <c:ser>
          <c:idx val="1"/>
          <c:order val="1"/>
          <c:tx>
            <c:strRef>
              <c:f>INDICE!$A$4</c:f>
              <c:strCache>
                <c:ptCount val="1"/>
                <c:pt idx="0">
                  <c:v>N</c:v>
                </c:pt>
              </c:strCache>
            </c:strRef>
          </c:tx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 b="1"/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INDICE!$B$2:$F$2</c:f>
              <c:numCache>
                <c:formatCode>General</c:formatCode>
                <c:ptCount val="5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</c:numCache>
            </c:numRef>
          </c:cat>
          <c:val>
            <c:numRef>
              <c:f>INDICE!$B$4:$F$4</c:f>
              <c:numCache>
                <c:formatCode>#,##0.00</c:formatCode>
                <c:ptCount val="5"/>
                <c:pt idx="0">
                  <c:v>60.185494454873677</c:v>
                </c:pt>
                <c:pt idx="1">
                  <c:v>66.700328197249164</c:v>
                </c:pt>
                <c:pt idx="2">
                  <c:v>62.19825893341806</c:v>
                </c:pt>
                <c:pt idx="3">
                  <c:v>58.626650220005921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B5-4CE0-98B6-085F55C82407}"/>
            </c:ext>
          </c:extLst>
        </c:ser>
        <c:ser>
          <c:idx val="2"/>
          <c:order val="2"/>
          <c:tx>
            <c:strRef>
              <c:f>INDICE!$A$12</c:f>
              <c:strCache>
                <c:ptCount val="1"/>
                <c:pt idx="0">
                  <c:v>NE</c:v>
                </c:pt>
              </c:strCache>
            </c:strRef>
          </c:tx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 b="1"/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INDICE!$B$2:$F$2</c:f>
              <c:numCache>
                <c:formatCode>General</c:formatCode>
                <c:ptCount val="5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</c:numCache>
            </c:numRef>
          </c:cat>
          <c:val>
            <c:numRef>
              <c:f>INDICE!$B$12:$F$12</c:f>
              <c:numCache>
                <c:formatCode>#,##0.00</c:formatCode>
                <c:ptCount val="5"/>
                <c:pt idx="0">
                  <c:v>84.856310418092022</c:v>
                </c:pt>
                <c:pt idx="1">
                  <c:v>89.421360404225979</c:v>
                </c:pt>
                <c:pt idx="2">
                  <c:v>82.039488634625656</c:v>
                </c:pt>
                <c:pt idx="3">
                  <c:v>79.375868300543758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B5-4CE0-98B6-085F55C82407}"/>
            </c:ext>
          </c:extLst>
        </c:ser>
        <c:ser>
          <c:idx val="3"/>
          <c:order val="3"/>
          <c:tx>
            <c:strRef>
              <c:f>INDICE!$A$22</c:f>
              <c:strCache>
                <c:ptCount val="1"/>
                <c:pt idx="0">
                  <c:v>SE</c:v>
                </c:pt>
              </c:strCache>
            </c:strRef>
          </c:tx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 b="1"/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INDICE!$B$2:$F$2</c:f>
              <c:numCache>
                <c:formatCode>General</c:formatCode>
                <c:ptCount val="5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</c:numCache>
            </c:numRef>
          </c:cat>
          <c:val>
            <c:numRef>
              <c:f>INDICE!$B$22:$F$22</c:f>
              <c:numCache>
                <c:formatCode>#,##0.00</c:formatCode>
                <c:ptCount val="5"/>
                <c:pt idx="0">
                  <c:v>40.898339298684796</c:v>
                </c:pt>
                <c:pt idx="1">
                  <c:v>41.353092615795873</c:v>
                </c:pt>
                <c:pt idx="2">
                  <c:v>39.093107733042459</c:v>
                </c:pt>
                <c:pt idx="3">
                  <c:v>36.901024750916115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B5-4CE0-98B6-085F55C82407}"/>
            </c:ext>
          </c:extLst>
        </c:ser>
        <c:ser>
          <c:idx val="4"/>
          <c:order val="4"/>
          <c:tx>
            <c:strRef>
              <c:f>INDICE!$A$27</c:f>
              <c:strCache>
                <c:ptCount val="1"/>
                <c:pt idx="0">
                  <c:v>S</c:v>
                </c:pt>
              </c:strCache>
            </c:strRef>
          </c:tx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 b="1"/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INDICE!$B$2:$F$2</c:f>
              <c:numCache>
                <c:formatCode>General</c:formatCode>
                <c:ptCount val="5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</c:numCache>
            </c:numRef>
          </c:cat>
          <c:val>
            <c:numRef>
              <c:f>INDICE!$B$27:$F$27</c:f>
              <c:numCache>
                <c:formatCode>#,##0.00</c:formatCode>
                <c:ptCount val="5"/>
                <c:pt idx="0">
                  <c:v>54.825145095595126</c:v>
                </c:pt>
                <c:pt idx="1">
                  <c:v>52.596385921256946</c:v>
                </c:pt>
                <c:pt idx="2">
                  <c:v>49.002183432357697</c:v>
                </c:pt>
                <c:pt idx="3">
                  <c:v>46.486228269334326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B5-4CE0-98B6-085F55C82407}"/>
            </c:ext>
          </c:extLst>
        </c:ser>
        <c:ser>
          <c:idx val="5"/>
          <c:order val="5"/>
          <c:tx>
            <c:strRef>
              <c:f>INDICE!$A$31</c:f>
              <c:strCache>
                <c:ptCount val="1"/>
                <c:pt idx="0">
                  <c:v>CO</c:v>
                </c:pt>
              </c:strCache>
            </c:strRef>
          </c:tx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 b="1"/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INDICE!$B$2:$F$2</c:f>
              <c:numCache>
                <c:formatCode>General</c:formatCode>
                <c:ptCount val="5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</c:numCache>
            </c:numRef>
          </c:cat>
          <c:val>
            <c:numRef>
              <c:f>INDICE!$B$31:$F$31</c:f>
              <c:numCache>
                <c:formatCode>#,##0.00</c:formatCode>
                <c:ptCount val="5"/>
                <c:pt idx="0">
                  <c:v>60.19578727617381</c:v>
                </c:pt>
                <c:pt idx="1">
                  <c:v>58.774824440889354</c:v>
                </c:pt>
                <c:pt idx="2">
                  <c:v>53.622230081364791</c:v>
                </c:pt>
                <c:pt idx="3">
                  <c:v>49.37810597271168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BB5-4CE0-98B6-085F55C824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9115648"/>
        <c:axId val="108933120"/>
      </c:barChart>
      <c:catAx>
        <c:axId val="109115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08933120"/>
        <c:crosses val="autoZero"/>
        <c:auto val="1"/>
        <c:lblAlgn val="ctr"/>
        <c:lblOffset val="100"/>
        <c:noMultiLvlLbl val="0"/>
      </c:catAx>
      <c:valAx>
        <c:axId val="108933120"/>
        <c:scaling>
          <c:orientation val="minMax"/>
          <c:max val="12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Mortes/bilhão</a:t>
                </a:r>
                <a:r>
                  <a:rPr lang="pt-BR" baseline="0"/>
                  <a:t> de </a:t>
                </a:r>
                <a:r>
                  <a:rPr lang="pt-BR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19050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09115648"/>
        <c:crosses val="autoZero"/>
        <c:crossBetween val="between"/>
        <c:majorUnit val="20"/>
      </c:valAx>
    </c:plotArea>
    <c:legend>
      <c:legendPos val="b"/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702" footer="0.314960620000007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Brasil e regiões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INDICE!$A$3</c:f>
              <c:strCache>
                <c:ptCount val="1"/>
                <c:pt idx="0">
                  <c:v>Brasil</c:v>
                </c:pt>
              </c:strCache>
            </c:strRef>
          </c:tx>
          <c:marker>
            <c:symbol val="circle"/>
            <c:size val="5"/>
            <c:spPr>
              <a:ln>
                <a:solidFill>
                  <a:prstClr val="black"/>
                </a:solidFill>
              </a:ln>
            </c:spPr>
          </c:marker>
          <c:cat>
            <c:numRef>
              <c:f>INDICE!$B$2:$F$2</c:f>
              <c:numCache>
                <c:formatCode>General</c:formatCode>
                <c:ptCount val="5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</c:numCache>
            </c:numRef>
          </c:cat>
          <c:val>
            <c:numRef>
              <c:f>INDICE!$B$3:$F$3</c:f>
              <c:numCache>
                <c:formatCode>#,##0.00</c:formatCode>
                <c:ptCount val="5"/>
                <c:pt idx="0">
                  <c:v>53.840555458911041</c:v>
                </c:pt>
                <c:pt idx="1">
                  <c:v>55.100913425152235</c:v>
                </c:pt>
                <c:pt idx="2">
                  <c:v>51.403265036107854</c:v>
                </c:pt>
                <c:pt idx="3">
                  <c:v>49.286985356728458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28-45B7-A144-2E75EF803412}"/>
            </c:ext>
          </c:extLst>
        </c:ser>
        <c:ser>
          <c:idx val="1"/>
          <c:order val="1"/>
          <c:tx>
            <c:strRef>
              <c:f>INDICE!$A$4</c:f>
              <c:strCache>
                <c:ptCount val="1"/>
                <c:pt idx="0">
                  <c:v>N</c:v>
                </c:pt>
              </c:strCache>
            </c:strRef>
          </c:tx>
          <c:marker>
            <c:symbol val="circle"/>
            <c:size val="5"/>
            <c:spPr>
              <a:ln>
                <a:solidFill>
                  <a:prstClr val="black"/>
                </a:solidFill>
              </a:ln>
            </c:spPr>
          </c:marker>
          <c:cat>
            <c:numRef>
              <c:f>INDICE!$B$2:$F$2</c:f>
              <c:numCache>
                <c:formatCode>General</c:formatCode>
                <c:ptCount val="5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</c:numCache>
            </c:numRef>
          </c:cat>
          <c:val>
            <c:numRef>
              <c:f>INDICE!$B$4:$F$4</c:f>
              <c:numCache>
                <c:formatCode>#,##0.00</c:formatCode>
                <c:ptCount val="5"/>
                <c:pt idx="0">
                  <c:v>60.185494454873677</c:v>
                </c:pt>
                <c:pt idx="1">
                  <c:v>66.700328197249164</c:v>
                </c:pt>
                <c:pt idx="2">
                  <c:v>62.19825893341806</c:v>
                </c:pt>
                <c:pt idx="3">
                  <c:v>58.626650220005921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28-45B7-A144-2E75EF803412}"/>
            </c:ext>
          </c:extLst>
        </c:ser>
        <c:ser>
          <c:idx val="2"/>
          <c:order val="2"/>
          <c:tx>
            <c:strRef>
              <c:f>INDICE!$A$12</c:f>
              <c:strCache>
                <c:ptCount val="1"/>
                <c:pt idx="0">
                  <c:v>NE</c:v>
                </c:pt>
              </c:strCache>
            </c:strRef>
          </c:tx>
          <c:marker>
            <c:symbol val="circle"/>
            <c:size val="5"/>
            <c:spPr>
              <a:ln>
                <a:solidFill>
                  <a:prstClr val="black"/>
                </a:solidFill>
              </a:ln>
            </c:spPr>
          </c:marker>
          <c:cat>
            <c:numRef>
              <c:f>INDICE!$B$2:$F$2</c:f>
              <c:numCache>
                <c:formatCode>General</c:formatCode>
                <c:ptCount val="5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</c:numCache>
            </c:numRef>
          </c:cat>
          <c:val>
            <c:numRef>
              <c:f>INDICE!$B$12:$F$12</c:f>
              <c:numCache>
                <c:formatCode>#,##0.00</c:formatCode>
                <c:ptCount val="5"/>
                <c:pt idx="0">
                  <c:v>84.856310418092022</c:v>
                </c:pt>
                <c:pt idx="1">
                  <c:v>89.421360404225979</c:v>
                </c:pt>
                <c:pt idx="2">
                  <c:v>82.039488634625656</c:v>
                </c:pt>
                <c:pt idx="3">
                  <c:v>79.375868300543758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28-45B7-A144-2E75EF803412}"/>
            </c:ext>
          </c:extLst>
        </c:ser>
        <c:ser>
          <c:idx val="3"/>
          <c:order val="3"/>
          <c:tx>
            <c:strRef>
              <c:f>INDICE!$A$22</c:f>
              <c:strCache>
                <c:ptCount val="1"/>
                <c:pt idx="0">
                  <c:v>SE</c:v>
                </c:pt>
              </c:strCache>
            </c:strRef>
          </c:tx>
          <c:marker>
            <c:symbol val="circle"/>
            <c:size val="5"/>
            <c:spPr>
              <a:ln>
                <a:solidFill>
                  <a:prstClr val="black"/>
                </a:solidFill>
              </a:ln>
            </c:spPr>
          </c:marker>
          <c:cat>
            <c:numRef>
              <c:f>INDICE!$B$2:$F$2</c:f>
              <c:numCache>
                <c:formatCode>General</c:formatCode>
                <c:ptCount val="5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</c:numCache>
            </c:numRef>
          </c:cat>
          <c:val>
            <c:numRef>
              <c:f>INDICE!$B$22:$F$22</c:f>
              <c:numCache>
                <c:formatCode>#,##0.00</c:formatCode>
                <c:ptCount val="5"/>
                <c:pt idx="0">
                  <c:v>40.898339298684796</c:v>
                </c:pt>
                <c:pt idx="1">
                  <c:v>41.353092615795873</c:v>
                </c:pt>
                <c:pt idx="2">
                  <c:v>39.093107733042459</c:v>
                </c:pt>
                <c:pt idx="3">
                  <c:v>36.901024750916115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28-45B7-A144-2E75EF803412}"/>
            </c:ext>
          </c:extLst>
        </c:ser>
        <c:ser>
          <c:idx val="4"/>
          <c:order val="4"/>
          <c:tx>
            <c:strRef>
              <c:f>INDICE!$A$27</c:f>
              <c:strCache>
                <c:ptCount val="1"/>
                <c:pt idx="0">
                  <c:v>S</c:v>
                </c:pt>
              </c:strCache>
            </c:strRef>
          </c:tx>
          <c:marker>
            <c:symbol val="circle"/>
            <c:size val="5"/>
            <c:spPr>
              <a:ln>
                <a:solidFill>
                  <a:prstClr val="black"/>
                </a:solidFill>
              </a:ln>
            </c:spPr>
          </c:marker>
          <c:cat>
            <c:numRef>
              <c:f>INDICE!$B$2:$F$2</c:f>
              <c:numCache>
                <c:formatCode>General</c:formatCode>
                <c:ptCount val="5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</c:numCache>
            </c:numRef>
          </c:cat>
          <c:val>
            <c:numRef>
              <c:f>INDICE!$B$27:$F$27</c:f>
              <c:numCache>
                <c:formatCode>#,##0.00</c:formatCode>
                <c:ptCount val="5"/>
                <c:pt idx="0">
                  <c:v>54.825145095595126</c:v>
                </c:pt>
                <c:pt idx="1">
                  <c:v>52.596385921256946</c:v>
                </c:pt>
                <c:pt idx="2">
                  <c:v>49.002183432357697</c:v>
                </c:pt>
                <c:pt idx="3">
                  <c:v>46.486228269334326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28-45B7-A144-2E75EF803412}"/>
            </c:ext>
          </c:extLst>
        </c:ser>
        <c:ser>
          <c:idx val="5"/>
          <c:order val="5"/>
          <c:tx>
            <c:strRef>
              <c:f>INDICE!$A$31</c:f>
              <c:strCache>
                <c:ptCount val="1"/>
                <c:pt idx="0">
                  <c:v>CO</c:v>
                </c:pt>
              </c:strCache>
            </c:strRef>
          </c:tx>
          <c:marker>
            <c:symbol val="circle"/>
            <c:size val="5"/>
            <c:spPr>
              <a:ln>
                <a:solidFill>
                  <a:prstClr val="black"/>
                </a:solidFill>
              </a:ln>
            </c:spPr>
          </c:marker>
          <c:cat>
            <c:numRef>
              <c:f>INDICE!$B$2:$F$2</c:f>
              <c:numCache>
                <c:formatCode>General</c:formatCode>
                <c:ptCount val="5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</c:numCache>
            </c:numRef>
          </c:cat>
          <c:val>
            <c:numRef>
              <c:f>INDICE!$B$31:$F$31</c:f>
              <c:numCache>
                <c:formatCode>#,##0.00</c:formatCode>
                <c:ptCount val="5"/>
                <c:pt idx="0">
                  <c:v>60.19578727617381</c:v>
                </c:pt>
                <c:pt idx="1">
                  <c:v>58.774824440889354</c:v>
                </c:pt>
                <c:pt idx="2">
                  <c:v>53.622230081364791</c:v>
                </c:pt>
                <c:pt idx="3">
                  <c:v>49.37810597271168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28-45B7-A144-2E75EF803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969344"/>
        <c:axId val="108983808"/>
      </c:lineChart>
      <c:catAx>
        <c:axId val="108969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08983808"/>
        <c:crosses val="autoZero"/>
        <c:auto val="1"/>
        <c:lblAlgn val="ctr"/>
        <c:lblOffset val="100"/>
        <c:noMultiLvlLbl val="0"/>
      </c:catAx>
      <c:valAx>
        <c:axId val="108983808"/>
        <c:scaling>
          <c:orientation val="minMax"/>
          <c:max val="12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Mortes/109km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19050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08969344"/>
        <c:crosses val="autoZero"/>
        <c:crossBetween val="between"/>
        <c:majorUnit val="20"/>
      </c:valAx>
    </c:plotArea>
    <c:legend>
      <c:legendPos val="b"/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Brasil e regiões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73735332033337"/>
          <c:y val="3.8732188052832801E-2"/>
          <c:w val="0.46603604359167899"/>
          <c:h val="0.928439284071226"/>
        </c:manualLayout>
      </c:layout>
      <c:radarChart>
        <c:radarStyle val="marker"/>
        <c:varyColors val="0"/>
        <c:ser>
          <c:idx val="0"/>
          <c:order val="0"/>
          <c:tx>
            <c:strRef>
              <c:f>INDICE!$A$3</c:f>
              <c:strCache>
                <c:ptCount val="1"/>
                <c:pt idx="0">
                  <c:v>Brasil</c:v>
                </c:pt>
              </c:strCache>
            </c:strRef>
          </c:tx>
          <c:marker>
            <c:symbol val="none"/>
          </c:marker>
          <c:cat>
            <c:numRef>
              <c:f>INDICE!$B$2:$F$2</c:f>
              <c:numCache>
                <c:formatCode>General</c:formatCode>
                <c:ptCount val="5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</c:numCache>
            </c:numRef>
          </c:cat>
          <c:val>
            <c:numRef>
              <c:f>INDICE!$B$3:$F$3</c:f>
              <c:numCache>
                <c:formatCode>#,##0.00</c:formatCode>
                <c:ptCount val="5"/>
                <c:pt idx="0">
                  <c:v>53.840555458911041</c:v>
                </c:pt>
                <c:pt idx="1">
                  <c:v>55.100913425152235</c:v>
                </c:pt>
                <c:pt idx="2">
                  <c:v>51.403265036107854</c:v>
                </c:pt>
                <c:pt idx="3">
                  <c:v>49.286985356728458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69-413F-B5A7-DF907629055E}"/>
            </c:ext>
          </c:extLst>
        </c:ser>
        <c:ser>
          <c:idx val="1"/>
          <c:order val="1"/>
          <c:tx>
            <c:strRef>
              <c:f>INDICE!$A$4</c:f>
              <c:strCache>
                <c:ptCount val="1"/>
                <c:pt idx="0">
                  <c:v>N</c:v>
                </c:pt>
              </c:strCache>
            </c:strRef>
          </c:tx>
          <c:marker>
            <c:symbol val="none"/>
          </c:marker>
          <c:cat>
            <c:numRef>
              <c:f>INDICE!$B$2:$F$2</c:f>
              <c:numCache>
                <c:formatCode>General</c:formatCode>
                <c:ptCount val="5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</c:numCache>
            </c:numRef>
          </c:cat>
          <c:val>
            <c:numRef>
              <c:f>INDICE!$B$4:$F$4</c:f>
              <c:numCache>
                <c:formatCode>#,##0.00</c:formatCode>
                <c:ptCount val="5"/>
                <c:pt idx="0">
                  <c:v>60.185494454873677</c:v>
                </c:pt>
                <c:pt idx="1">
                  <c:v>66.700328197249164</c:v>
                </c:pt>
                <c:pt idx="2">
                  <c:v>62.19825893341806</c:v>
                </c:pt>
                <c:pt idx="3">
                  <c:v>58.626650220005921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69-413F-B5A7-DF907629055E}"/>
            </c:ext>
          </c:extLst>
        </c:ser>
        <c:ser>
          <c:idx val="2"/>
          <c:order val="2"/>
          <c:tx>
            <c:strRef>
              <c:f>INDICE!$A$12</c:f>
              <c:strCache>
                <c:ptCount val="1"/>
                <c:pt idx="0">
                  <c:v>NE</c:v>
                </c:pt>
              </c:strCache>
            </c:strRef>
          </c:tx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INDICE!$B$2:$F$2</c:f>
              <c:numCache>
                <c:formatCode>General</c:formatCode>
                <c:ptCount val="5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</c:numCache>
            </c:numRef>
          </c:cat>
          <c:val>
            <c:numRef>
              <c:f>INDICE!$B$12:$F$12</c:f>
              <c:numCache>
                <c:formatCode>#,##0.00</c:formatCode>
                <c:ptCount val="5"/>
                <c:pt idx="0">
                  <c:v>84.856310418092022</c:v>
                </c:pt>
                <c:pt idx="1">
                  <c:v>89.421360404225979</c:v>
                </c:pt>
                <c:pt idx="2">
                  <c:v>82.039488634625656</c:v>
                </c:pt>
                <c:pt idx="3">
                  <c:v>79.375868300543758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69-413F-B5A7-DF907629055E}"/>
            </c:ext>
          </c:extLst>
        </c:ser>
        <c:ser>
          <c:idx val="3"/>
          <c:order val="3"/>
          <c:tx>
            <c:strRef>
              <c:f>INDICE!$A$22</c:f>
              <c:strCache>
                <c:ptCount val="1"/>
                <c:pt idx="0">
                  <c:v>SE</c:v>
                </c:pt>
              </c:strCache>
            </c:strRef>
          </c:tx>
          <c:marker>
            <c:symbol val="none"/>
          </c:marker>
          <c:cat>
            <c:numRef>
              <c:f>INDICE!$B$2:$F$2</c:f>
              <c:numCache>
                <c:formatCode>General</c:formatCode>
                <c:ptCount val="5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</c:numCache>
            </c:numRef>
          </c:cat>
          <c:val>
            <c:numRef>
              <c:f>INDICE!$B$22:$F$22</c:f>
              <c:numCache>
                <c:formatCode>#,##0.00</c:formatCode>
                <c:ptCount val="5"/>
                <c:pt idx="0">
                  <c:v>40.898339298684796</c:v>
                </c:pt>
                <c:pt idx="1">
                  <c:v>41.353092615795873</c:v>
                </c:pt>
                <c:pt idx="2">
                  <c:v>39.093107733042459</c:v>
                </c:pt>
                <c:pt idx="3">
                  <c:v>36.901024750916115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69-413F-B5A7-DF907629055E}"/>
            </c:ext>
          </c:extLst>
        </c:ser>
        <c:ser>
          <c:idx val="4"/>
          <c:order val="4"/>
          <c:tx>
            <c:strRef>
              <c:f>INDICE!$A$27</c:f>
              <c:strCache>
                <c:ptCount val="1"/>
                <c:pt idx="0">
                  <c:v>S</c:v>
                </c:pt>
              </c:strCache>
            </c:strRef>
          </c:tx>
          <c:marker>
            <c:symbol val="none"/>
          </c:marker>
          <c:cat>
            <c:numRef>
              <c:f>INDICE!$B$2:$F$2</c:f>
              <c:numCache>
                <c:formatCode>General</c:formatCode>
                <c:ptCount val="5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</c:numCache>
            </c:numRef>
          </c:cat>
          <c:val>
            <c:numRef>
              <c:f>INDICE!$B$27:$F$27</c:f>
              <c:numCache>
                <c:formatCode>#,##0.00</c:formatCode>
                <c:ptCount val="5"/>
                <c:pt idx="0">
                  <c:v>54.825145095595126</c:v>
                </c:pt>
                <c:pt idx="1">
                  <c:v>52.596385921256946</c:v>
                </c:pt>
                <c:pt idx="2">
                  <c:v>49.002183432357697</c:v>
                </c:pt>
                <c:pt idx="3">
                  <c:v>46.486228269334326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69-413F-B5A7-DF907629055E}"/>
            </c:ext>
          </c:extLst>
        </c:ser>
        <c:ser>
          <c:idx val="5"/>
          <c:order val="5"/>
          <c:tx>
            <c:strRef>
              <c:f>INDICE!$A$31</c:f>
              <c:strCache>
                <c:ptCount val="1"/>
                <c:pt idx="0">
                  <c:v>CO</c:v>
                </c:pt>
              </c:strCache>
            </c:strRef>
          </c:tx>
          <c:marker>
            <c:symbol val="none"/>
          </c:marker>
          <c:cat>
            <c:numRef>
              <c:f>INDICE!$B$2:$F$2</c:f>
              <c:numCache>
                <c:formatCode>General</c:formatCode>
                <c:ptCount val="5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</c:numCache>
            </c:numRef>
          </c:cat>
          <c:val>
            <c:numRef>
              <c:f>INDICE!$B$31:$F$31</c:f>
              <c:numCache>
                <c:formatCode>#,##0.00</c:formatCode>
                <c:ptCount val="5"/>
                <c:pt idx="0">
                  <c:v>60.19578727617381</c:v>
                </c:pt>
                <c:pt idx="1">
                  <c:v>58.774824440889354</c:v>
                </c:pt>
                <c:pt idx="2">
                  <c:v>53.622230081364791</c:v>
                </c:pt>
                <c:pt idx="3">
                  <c:v>49.37810597271168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69-413F-B5A7-DF9076290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611264"/>
        <c:axId val="109629440"/>
      </c:radarChart>
      <c:catAx>
        <c:axId val="10961126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spPr>
          <a:ln w="19050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09629440"/>
        <c:crosses val="autoZero"/>
        <c:auto val="1"/>
        <c:lblAlgn val="ctr"/>
        <c:lblOffset val="100"/>
        <c:noMultiLvlLbl val="0"/>
      </c:catAx>
      <c:valAx>
        <c:axId val="109629440"/>
        <c:scaling>
          <c:orientation val="minMax"/>
          <c:max val="12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Mortes/109km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19050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09611264"/>
        <c:crosses val="autoZero"/>
        <c:crossBetween val="between"/>
        <c:majorUnit val="20"/>
      </c:valAx>
    </c:plotArea>
    <c:legend>
      <c:legendPos val="r"/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2"/>
          <c:order val="0"/>
          <c:tx>
            <c:strRef>
              <c:f>INDICE!$A$3</c:f>
              <c:strCache>
                <c:ptCount val="1"/>
                <c:pt idx="0">
                  <c:v>Brasil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circle"/>
            <c:size val="8"/>
            <c:spPr>
              <a:solidFill>
                <a:srgbClr val="FFFF66"/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INDICE!$B$2:$F$2</c:f>
              <c:numCache>
                <c:formatCode>General</c:formatCode>
                <c:ptCount val="5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</c:numCache>
            </c:numRef>
          </c:cat>
          <c:val>
            <c:numRef>
              <c:f>INDICE!$B$3:$F$3</c:f>
              <c:numCache>
                <c:formatCode>#,##0.00</c:formatCode>
                <c:ptCount val="5"/>
                <c:pt idx="0">
                  <c:v>53.840555458911041</c:v>
                </c:pt>
                <c:pt idx="1">
                  <c:v>55.100913425152235</c:v>
                </c:pt>
                <c:pt idx="2">
                  <c:v>51.403265036107854</c:v>
                </c:pt>
                <c:pt idx="3">
                  <c:v>49.286985356728458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DD-4551-BF04-D8EE1498E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659264"/>
        <c:axId val="109660800"/>
      </c:lineChart>
      <c:catAx>
        <c:axId val="109659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09660800"/>
        <c:crosses val="autoZero"/>
        <c:auto val="1"/>
        <c:lblAlgn val="ctr"/>
        <c:lblOffset val="100"/>
        <c:noMultiLvlLbl val="0"/>
      </c:catAx>
      <c:valAx>
        <c:axId val="109660800"/>
        <c:scaling>
          <c:orientation val="minMax"/>
          <c:max val="80"/>
          <c:min val="5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Mortes/bilhão de veic.km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09659264"/>
        <c:crosses val="autoZero"/>
        <c:crossBetween val="between"/>
        <c:majorUnit val="10"/>
      </c:valAx>
      <c:spPr>
        <a:ln w="3175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pedestre - Brasil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INDICE!$A$3</c:f>
              <c:strCache>
                <c:ptCount val="1"/>
                <c:pt idx="0">
                  <c:v>Brasil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circle"/>
            <c:size val="8"/>
            <c:spPr>
              <a:solidFill>
                <a:srgbClr val="FFFF66"/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INDICE!$G$2:$K$2</c:f>
              <c:numCache>
                <c:formatCode>General</c:formatCode>
                <c:ptCount val="5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</c:numCache>
            </c:numRef>
          </c:cat>
          <c:val>
            <c:numRef>
              <c:f>INDICE!$G$3:$K$3</c:f>
              <c:numCache>
                <c:formatCode>#,##0.00</c:formatCode>
                <c:ptCount val="5"/>
                <c:pt idx="0">
                  <c:v>12.448010877492399</c:v>
                </c:pt>
                <c:pt idx="1">
                  <c:v>12.63047344090109</c:v>
                </c:pt>
                <c:pt idx="2">
                  <c:v>10.859759939704716</c:v>
                </c:pt>
                <c:pt idx="3">
                  <c:v>9.5691222585362308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8B-46AD-BEC0-D62F8B0E19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677184"/>
        <c:axId val="109691264"/>
      </c:lineChart>
      <c:catAx>
        <c:axId val="109677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09691264"/>
        <c:crosses val="autoZero"/>
        <c:auto val="1"/>
        <c:lblAlgn val="ctr"/>
        <c:lblOffset val="100"/>
        <c:noMultiLvlLbl val="0"/>
      </c:catAx>
      <c:valAx>
        <c:axId val="109691264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09677184"/>
        <c:crosses val="autoZero"/>
        <c:crossBetween val="between"/>
        <c:majorUnit val="1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ciclista - Brasil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INDICE!$A$3</c:f>
              <c:strCache>
                <c:ptCount val="1"/>
                <c:pt idx="0">
                  <c:v>Brasil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circle"/>
            <c:size val="8"/>
            <c:spPr>
              <a:solidFill>
                <a:srgbClr val="FFFF66"/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INDICE!$L$2:$P$2</c:f>
              <c:numCache>
                <c:formatCode>General</c:formatCode>
                <c:ptCount val="5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</c:numCache>
            </c:numRef>
          </c:cat>
          <c:val>
            <c:numRef>
              <c:f>INDICE!$L$3:$P$3</c:f>
              <c:numCache>
                <c:formatCode>#,##0.00</c:formatCode>
                <c:ptCount val="5"/>
                <c:pt idx="0">
                  <c:v>2.1929439723432869</c:v>
                </c:pt>
                <c:pt idx="1">
                  <c:v>1.9065111785470081</c:v>
                </c:pt>
                <c:pt idx="2">
                  <c:v>1.6819384296859743</c:v>
                </c:pt>
                <c:pt idx="3">
                  <c:v>1.6026389091760471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3E-4082-9A5F-1812C3E7C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125824"/>
        <c:axId val="110127360"/>
      </c:lineChart>
      <c:catAx>
        <c:axId val="110125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0127360"/>
        <c:crosses val="autoZero"/>
        <c:auto val="1"/>
        <c:lblAlgn val="ctr"/>
        <c:lblOffset val="100"/>
        <c:noMultiLvlLbl val="0"/>
      </c:catAx>
      <c:valAx>
        <c:axId val="110127360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0125824"/>
        <c:crosses val="autoZero"/>
        <c:crossBetween val="between"/>
        <c:majorUnit val="2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motocicleta - Brasil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INDICE!$A$3</c:f>
              <c:strCache>
                <c:ptCount val="1"/>
                <c:pt idx="0">
                  <c:v>Brasil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circle"/>
            <c:size val="8"/>
            <c:spPr>
              <a:solidFill>
                <a:srgbClr val="FFFF66"/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INDICE!$Q$2:$U$2</c:f>
              <c:numCache>
                <c:formatCode>General</c:formatCode>
                <c:ptCount val="5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</c:numCache>
            </c:numRef>
          </c:cat>
          <c:val>
            <c:numRef>
              <c:f>INDICE!$Q$3:$U$3</c:f>
              <c:numCache>
                <c:formatCode>#,##0.00</c:formatCode>
                <c:ptCount val="5"/>
                <c:pt idx="0">
                  <c:v>53.012285762139051</c:v>
                </c:pt>
                <c:pt idx="1">
                  <c:v>52.778348655386225</c:v>
                </c:pt>
                <c:pt idx="2">
                  <c:v>47.852936805183298</c:v>
                </c:pt>
                <c:pt idx="3">
                  <c:v>46.471973836125557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35-4089-BAE3-68F012EF1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156416"/>
        <c:axId val="110645632"/>
      </c:lineChart>
      <c:catAx>
        <c:axId val="11015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0645632"/>
        <c:crosses val="autoZero"/>
        <c:auto val="1"/>
        <c:lblAlgn val="ctr"/>
        <c:lblOffset val="100"/>
        <c:noMultiLvlLbl val="0"/>
      </c:catAx>
      <c:valAx>
        <c:axId val="110645632"/>
        <c:scaling>
          <c:orientation val="minMax"/>
          <c:max val="80"/>
          <c:min val="2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0156416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veículos</a:t>
            </a:r>
            <a:r>
              <a:rPr lang="pt-BR" baseline="0"/>
              <a:t> leves</a:t>
            </a:r>
            <a:r>
              <a:rPr lang="pt-BR"/>
              <a:t> - Brasil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INDICE!$A$3</c:f>
              <c:strCache>
                <c:ptCount val="1"/>
                <c:pt idx="0">
                  <c:v>Brasil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circle"/>
            <c:size val="8"/>
            <c:spPr>
              <a:solidFill>
                <a:srgbClr val="FFFF66"/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INDICE!$AA$2:$AE$2</c:f>
              <c:numCache>
                <c:formatCode>General</c:formatCode>
                <c:ptCount val="5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</c:numCache>
            </c:numRef>
          </c:cat>
          <c:val>
            <c:numRef>
              <c:f>INDICE!$AA$3:$AE$3</c:f>
              <c:numCache>
                <c:formatCode>#,##0.00</c:formatCode>
                <c:ptCount val="5"/>
                <c:pt idx="0">
                  <c:v>22.424121597079743</c:v>
                </c:pt>
                <c:pt idx="1">
                  <c:v>22.785333971754262</c:v>
                </c:pt>
                <c:pt idx="2">
                  <c:v>23.222511229167232</c:v>
                </c:pt>
                <c:pt idx="3">
                  <c:v>22.595763363240579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36-493C-8E56-BEAF54DB8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674688"/>
        <c:axId val="110676224"/>
      </c:lineChart>
      <c:catAx>
        <c:axId val="110674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0676224"/>
        <c:crosses val="autoZero"/>
        <c:auto val="1"/>
        <c:lblAlgn val="ctr"/>
        <c:lblOffset val="100"/>
        <c:noMultiLvlLbl val="0"/>
      </c:catAx>
      <c:valAx>
        <c:axId val="110676224"/>
        <c:scaling>
          <c:orientation val="minMax"/>
          <c:max val="4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0674688"/>
        <c:crosses val="autoZero"/>
        <c:crossBetween val="between"/>
        <c:majorUnit val="1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caminhão - Brasil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INDICE!$A$3</c:f>
              <c:strCache>
                <c:ptCount val="1"/>
                <c:pt idx="0">
                  <c:v>Brasil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circle"/>
            <c:size val="8"/>
            <c:spPr>
              <a:solidFill>
                <a:srgbClr val="FFFF66"/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INDICE!$AF$2:$AJ$2</c:f>
              <c:numCache>
                <c:formatCode>General</c:formatCode>
                <c:ptCount val="5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</c:numCache>
            </c:numRef>
          </c:cat>
          <c:val>
            <c:numRef>
              <c:f>INDICE!$AF$3:$AJ$3</c:f>
              <c:numCache>
                <c:formatCode>#,##0.00</c:formatCode>
                <c:ptCount val="5"/>
                <c:pt idx="0">
                  <c:v>8.7813474401433531</c:v>
                </c:pt>
                <c:pt idx="1">
                  <c:v>8.353098180900945</c:v>
                </c:pt>
                <c:pt idx="2">
                  <c:v>8.6370697200089062</c:v>
                </c:pt>
                <c:pt idx="3">
                  <c:v>8.3544738123573996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24-47A2-A202-2C4753EBCF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849024"/>
        <c:axId val="110850816"/>
      </c:lineChart>
      <c:catAx>
        <c:axId val="110849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0850816"/>
        <c:crosses val="autoZero"/>
        <c:auto val="1"/>
        <c:lblAlgn val="ctr"/>
        <c:lblOffset val="100"/>
        <c:noMultiLvlLbl val="0"/>
      </c:catAx>
      <c:valAx>
        <c:axId val="110850816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0849024"/>
        <c:crosses val="autoZero"/>
        <c:crossBetween val="between"/>
        <c:majorUnit val="2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ônibus - Brasil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INDICE!$A$3</c:f>
              <c:strCache>
                <c:ptCount val="1"/>
                <c:pt idx="0">
                  <c:v>Brasil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circle"/>
            <c:size val="8"/>
            <c:spPr>
              <a:solidFill>
                <a:srgbClr val="FFFF66"/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INDICE!$AK$2:$AO$2</c:f>
              <c:numCache>
                <c:formatCode>General</c:formatCode>
                <c:ptCount val="5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</c:numCache>
            </c:numRef>
          </c:cat>
          <c:val>
            <c:numRef>
              <c:f>INDICE!$AK$3:$AO$3</c:f>
              <c:numCache>
                <c:formatCode>#,##0.00</c:formatCode>
                <c:ptCount val="5"/>
                <c:pt idx="0">
                  <c:v>3.484834084290783</c:v>
                </c:pt>
                <c:pt idx="1">
                  <c:v>2.8959430755123665</c:v>
                </c:pt>
                <c:pt idx="2">
                  <c:v>3.3420183626525932</c:v>
                </c:pt>
                <c:pt idx="3">
                  <c:v>3.1382194124861824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2A-4C1E-B69C-7D6E3B7C3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891776"/>
        <c:axId val="110893312"/>
      </c:lineChart>
      <c:catAx>
        <c:axId val="110891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0893312"/>
        <c:crosses val="autoZero"/>
        <c:auto val="1"/>
        <c:lblAlgn val="ctr"/>
        <c:lblOffset val="100"/>
        <c:noMultiLvlLbl val="0"/>
      </c:catAx>
      <c:valAx>
        <c:axId val="110893312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0891776"/>
        <c:crosses val="autoZero"/>
        <c:crossBetween val="between"/>
        <c:majorUnit val="2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outros - Brasil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INDICE!$A$3</c:f>
              <c:strCache>
                <c:ptCount val="1"/>
                <c:pt idx="0">
                  <c:v>Brasil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circle"/>
            <c:size val="8"/>
            <c:spPr>
              <a:solidFill>
                <a:srgbClr val="FFFF66"/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INDICE!$AP$2:$AT$2</c:f>
              <c:numCache>
                <c:formatCode>General</c:formatCode>
                <c:ptCount val="5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</c:numCache>
            </c:numRef>
          </c:cat>
          <c:val>
            <c:numRef>
              <c:f>INDICE!$AP$3:$AT$3</c:f>
              <c:numCache>
                <c:formatCode>#,##0.00</c:formatCode>
                <c:ptCount val="5"/>
                <c:pt idx="0">
                  <c:v>2.9215016183273632</c:v>
                </c:pt>
                <c:pt idx="1">
                  <c:v>2.6229209232576909</c:v>
                </c:pt>
                <c:pt idx="2">
                  <c:v>2.4211726428765168</c:v>
                </c:pt>
                <c:pt idx="3">
                  <c:v>2.2376887475796021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6F-431E-9F0F-3112157060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922368"/>
        <c:axId val="110924160"/>
      </c:lineChart>
      <c:catAx>
        <c:axId val="110922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0924160"/>
        <c:crosses val="autoZero"/>
        <c:auto val="1"/>
        <c:lblAlgn val="ctr"/>
        <c:lblOffset val="100"/>
        <c:noMultiLvlLbl val="0"/>
      </c:catAx>
      <c:valAx>
        <c:axId val="110924160"/>
        <c:scaling>
          <c:orientation val="minMax"/>
          <c:max val="4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0922368"/>
        <c:crosses val="autoZero"/>
        <c:crossBetween val="between"/>
        <c:majorUnit val="1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Acre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GRAF_TOT!$A$5</c:f>
              <c:strCache>
                <c:ptCount val="1"/>
                <c:pt idx="0">
                  <c:v>Acre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HABT!$B$5:$F$5</c:f>
              <c:numCache>
                <c:formatCode>#,##0.00</c:formatCode>
                <c:ptCount val="5"/>
                <c:pt idx="0">
                  <c:v>17.217207368964754</c:v>
                </c:pt>
                <c:pt idx="1">
                  <c:v>18.812392731872965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C1-4A47-9F43-9421865FC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408640"/>
        <c:axId val="111410176"/>
      </c:lineChart>
      <c:catAx>
        <c:axId val="111408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1410176"/>
        <c:crosses val="autoZero"/>
        <c:auto val="1"/>
        <c:lblAlgn val="ctr"/>
        <c:lblOffset val="100"/>
        <c:noMultiLvlLbl val="0"/>
      </c:catAx>
      <c:valAx>
        <c:axId val="111410176"/>
        <c:scaling>
          <c:orientation val="minMax"/>
          <c:max val="20"/>
          <c:min val="1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Mortes/100 mil habitantes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1408640"/>
        <c:crosses val="autoZero"/>
        <c:crossBetween val="between"/>
        <c:majorUnit val="5"/>
      </c:valAx>
      <c:spPr>
        <a:ln w="3175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Amapá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GRAF_TOT!$A$6</c:f>
              <c:strCache>
                <c:ptCount val="1"/>
                <c:pt idx="0">
                  <c:v>Amapá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HABT!$B$6:$F$6</c:f>
              <c:numCache>
                <c:formatCode>#,##0.00</c:formatCode>
                <c:ptCount val="5"/>
                <c:pt idx="0">
                  <c:v>17.07609394724285</c:v>
                </c:pt>
                <c:pt idx="1">
                  <c:v>18.072487102816023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2-400E-A89B-D31EF5AD10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851200"/>
        <c:axId val="108852736"/>
      </c:lineChart>
      <c:catAx>
        <c:axId val="108851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08852736"/>
        <c:crosses val="autoZero"/>
        <c:auto val="1"/>
        <c:lblAlgn val="ctr"/>
        <c:lblOffset val="100"/>
        <c:noMultiLvlLbl val="0"/>
      </c:catAx>
      <c:valAx>
        <c:axId val="108852736"/>
        <c:scaling>
          <c:orientation val="minMax"/>
          <c:max val="30"/>
          <c:min val="1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Mortes/100 mil habitantes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08851200"/>
        <c:crosses val="autoZero"/>
        <c:crossBetween val="between"/>
        <c:majorUnit val="5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Amazonas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GRAF_TOT!$A$7</c:f>
              <c:strCache>
                <c:ptCount val="1"/>
                <c:pt idx="0">
                  <c:v>Amazonas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HABT!$B$7:$F$7</c:f>
              <c:numCache>
                <c:formatCode>#,##0.00</c:formatCode>
                <c:ptCount val="5"/>
                <c:pt idx="0">
                  <c:v>10.75631004931105</c:v>
                </c:pt>
                <c:pt idx="1">
                  <c:v>13.40419089060372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5F-44EA-8A41-56A7CC9F7E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331584"/>
        <c:axId val="111333376"/>
      </c:lineChart>
      <c:catAx>
        <c:axId val="111331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1333376"/>
        <c:crosses val="autoZero"/>
        <c:auto val="1"/>
        <c:lblAlgn val="ctr"/>
        <c:lblOffset val="100"/>
        <c:noMultiLvlLbl val="0"/>
      </c:catAx>
      <c:valAx>
        <c:axId val="111333376"/>
        <c:scaling>
          <c:orientation val="minMax"/>
          <c:max val="20"/>
          <c:min val="1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Mortes/100</a:t>
                </a:r>
                <a:r>
                  <a:rPr lang="pt-BR" sz="1200" baseline="0"/>
                  <a:t> mil habitantes</a:t>
                </a:r>
                <a:endParaRPr lang="pt-BR" sz="1200"/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1331584"/>
        <c:crosses val="autoZero"/>
        <c:crossBetween val="between"/>
        <c:majorUnit val="5"/>
      </c:valAx>
      <c:spPr>
        <a:ln w="3175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Pará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GRAF_TOT!$A$8</c:f>
              <c:strCache>
                <c:ptCount val="1"/>
                <c:pt idx="0">
                  <c:v>Pará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HABT!$B$8:$F$8</c:f>
              <c:numCache>
                <c:formatCode>#,##0.00</c:formatCode>
                <c:ptCount val="5"/>
                <c:pt idx="0">
                  <c:v>13.59163541151233</c:v>
                </c:pt>
                <c:pt idx="1">
                  <c:v>17.688840241280531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12-46A9-BB4A-EE0AAB40A2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559040"/>
        <c:axId val="111560576"/>
      </c:lineChart>
      <c:catAx>
        <c:axId val="111559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1560576"/>
        <c:crosses val="autoZero"/>
        <c:auto val="1"/>
        <c:lblAlgn val="ctr"/>
        <c:lblOffset val="100"/>
        <c:noMultiLvlLbl val="0"/>
      </c:catAx>
      <c:valAx>
        <c:axId val="111560576"/>
        <c:scaling>
          <c:orientation val="minMax"/>
          <c:max val="20"/>
          <c:min val="1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Mortes/100 mil habitantes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1559040"/>
        <c:crosses val="autoZero"/>
        <c:crossBetween val="between"/>
        <c:majorUnit val="5"/>
      </c:valAx>
      <c:spPr>
        <a:ln w="3175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Rondônia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GRAF_TOT!$A$9</c:f>
              <c:strCache>
                <c:ptCount val="1"/>
                <c:pt idx="0">
                  <c:v>Rondônia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HABT!$B$9:$F$9</c:f>
              <c:numCache>
                <c:formatCode>#,##0.00</c:formatCode>
                <c:ptCount val="5"/>
                <c:pt idx="0">
                  <c:v>32.448728681417983</c:v>
                </c:pt>
                <c:pt idx="1">
                  <c:v>38.210225363525169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0B-48E4-BD97-463657A5CA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593728"/>
        <c:axId val="111603712"/>
      </c:lineChart>
      <c:catAx>
        <c:axId val="111593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1603712"/>
        <c:crosses val="autoZero"/>
        <c:auto val="1"/>
        <c:lblAlgn val="ctr"/>
        <c:lblOffset val="100"/>
        <c:noMultiLvlLbl val="0"/>
      </c:catAx>
      <c:valAx>
        <c:axId val="111603712"/>
        <c:scaling>
          <c:orientation val="minMax"/>
          <c:max val="40"/>
          <c:min val="2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</a:t>
                </a:r>
                <a:r>
                  <a:rPr lang="pt-BR" sz="1200" baseline="0"/>
                  <a:t>/100 mil habitantes</a:t>
                </a:r>
                <a:endParaRPr lang="pt-BR" sz="1200"/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1593728"/>
        <c:crosses val="autoZero"/>
        <c:crossBetween val="between"/>
        <c:majorUnit val="5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Roraima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GRAF_TOT!$A$10</c:f>
              <c:strCache>
                <c:ptCount val="1"/>
                <c:pt idx="0">
                  <c:v>Roraima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HABT!$B$10:$F$10</c:f>
              <c:numCache>
                <c:formatCode>#,##0.00</c:formatCode>
                <c:ptCount val="5"/>
                <c:pt idx="0">
                  <c:v>29.893451198940916</c:v>
                </c:pt>
                <c:pt idx="1">
                  <c:v>32.187959927099818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49-4ACD-A314-F3892B2F65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759744"/>
        <c:axId val="111761280"/>
      </c:lineChart>
      <c:catAx>
        <c:axId val="111759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1761280"/>
        <c:crosses val="autoZero"/>
        <c:auto val="1"/>
        <c:lblAlgn val="ctr"/>
        <c:lblOffset val="100"/>
        <c:noMultiLvlLbl val="0"/>
      </c:catAx>
      <c:valAx>
        <c:axId val="111761280"/>
        <c:scaling>
          <c:orientation val="minMax"/>
          <c:max val="40"/>
          <c:min val="1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Mortes/100 mil habitantes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1759744"/>
        <c:crosses val="autoZero"/>
        <c:crossBetween val="between"/>
        <c:majorUnit val="10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Tocantins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GRAF_TOT!$A$11</c:f>
              <c:strCache>
                <c:ptCount val="1"/>
                <c:pt idx="0">
                  <c:v>Tocantins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HABT!$B$11:$F$11</c:f>
              <c:numCache>
                <c:formatCode>#,##0.00</c:formatCode>
                <c:ptCount val="5"/>
                <c:pt idx="0">
                  <c:v>34.828023091753266</c:v>
                </c:pt>
                <c:pt idx="1">
                  <c:v>37.804177253161491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33-4E96-9FB0-E1B57BBC0F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138496"/>
        <c:axId val="112152576"/>
      </c:lineChart>
      <c:catAx>
        <c:axId val="112138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2152576"/>
        <c:crosses val="autoZero"/>
        <c:auto val="1"/>
        <c:lblAlgn val="ctr"/>
        <c:lblOffset val="100"/>
        <c:noMultiLvlLbl val="0"/>
      </c:catAx>
      <c:valAx>
        <c:axId val="112152576"/>
        <c:scaling>
          <c:orientation val="minMax"/>
          <c:max val="40"/>
          <c:min val="2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Mortes/100</a:t>
                </a:r>
                <a:r>
                  <a:rPr lang="pt-BR" sz="1200" baseline="0"/>
                  <a:t> mil habitantes</a:t>
                </a:r>
                <a:endParaRPr lang="pt-BR" sz="1200"/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2138496"/>
        <c:crosses val="autoZero"/>
        <c:crossBetween val="between"/>
        <c:majorUnit val="5"/>
      </c:valAx>
      <c:spPr>
        <a:ln w="3175">
          <a:solidFill>
            <a:schemeClr val="tx1">
              <a:lumMod val="95000"/>
              <a:lumOff val="5000"/>
            </a:scheme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Alagoas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GRAF_TOT!$A$13</c:f>
              <c:strCache>
                <c:ptCount val="1"/>
                <c:pt idx="0">
                  <c:v>Alagoas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HABT!$B$13:$F$13</c:f>
              <c:numCache>
                <c:formatCode>#,##0.00</c:formatCode>
                <c:ptCount val="5"/>
                <c:pt idx="0">
                  <c:v>20.880193631319148</c:v>
                </c:pt>
                <c:pt idx="1">
                  <c:v>25.092180917508575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AC-478E-B1CF-D638F0AEB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182016"/>
        <c:axId val="112183552"/>
      </c:lineChart>
      <c:catAx>
        <c:axId val="112182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2183552"/>
        <c:crosses val="autoZero"/>
        <c:auto val="1"/>
        <c:lblAlgn val="ctr"/>
        <c:lblOffset val="100"/>
        <c:noMultiLvlLbl val="0"/>
      </c:catAx>
      <c:valAx>
        <c:axId val="112183552"/>
        <c:scaling>
          <c:orientation val="minMax"/>
          <c:max val="30"/>
          <c:min val="1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Mortes/100 mil habitantes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2182016"/>
        <c:crosses val="autoZero"/>
        <c:crossBetween val="between"/>
        <c:majorUnit val="5"/>
      </c:valAx>
      <c:spPr>
        <a:ln w="3175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Bahia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GRAF_TOT!$A$14</c:f>
              <c:strCache>
                <c:ptCount val="1"/>
                <c:pt idx="0">
                  <c:v>Bahia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HABT!$B$14:$F$14</c:f>
              <c:numCache>
                <c:formatCode>#,##0.00</c:formatCode>
                <c:ptCount val="5"/>
                <c:pt idx="0">
                  <c:v>12.508966695132365</c:v>
                </c:pt>
                <c:pt idx="1">
                  <c:v>18.556163535661863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8-4BBE-9FDE-FCBC0EB74D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946752"/>
        <c:axId val="111960832"/>
      </c:lineChart>
      <c:catAx>
        <c:axId val="111946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1960832"/>
        <c:crosses val="autoZero"/>
        <c:auto val="1"/>
        <c:lblAlgn val="ctr"/>
        <c:lblOffset val="100"/>
        <c:noMultiLvlLbl val="0"/>
      </c:catAx>
      <c:valAx>
        <c:axId val="111960832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Mortes/100 mil habitantes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1946752"/>
        <c:crosses val="autoZero"/>
        <c:crossBetween val="between"/>
        <c:majorUnit val="5"/>
      </c:valAx>
      <c:spPr>
        <a:ln w="3175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Ceará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GRAF_TOT!$A$15</c:f>
              <c:strCache>
                <c:ptCount val="1"/>
                <c:pt idx="0">
                  <c:v>Ceará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HABT!$B$15:$F$15</c:f>
              <c:numCache>
                <c:formatCode>#,##0.00</c:formatCode>
                <c:ptCount val="5"/>
                <c:pt idx="0">
                  <c:v>17.723962446257786</c:v>
                </c:pt>
                <c:pt idx="1">
                  <c:v>23.839436485411625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6F-4278-BB8A-A0565267A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461312"/>
        <c:axId val="112462848"/>
      </c:lineChart>
      <c:catAx>
        <c:axId val="112461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2462848"/>
        <c:crosses val="autoZero"/>
        <c:auto val="1"/>
        <c:lblAlgn val="ctr"/>
        <c:lblOffset val="100"/>
        <c:noMultiLvlLbl val="0"/>
      </c:catAx>
      <c:valAx>
        <c:axId val="112462848"/>
        <c:scaling>
          <c:orientation val="minMax"/>
          <c:max val="30"/>
          <c:min val="1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Mortes/100 mil habitantes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2461312"/>
        <c:crosses val="autoZero"/>
        <c:crossBetween val="between"/>
        <c:majorUnit val="5"/>
      </c:valAx>
      <c:spPr>
        <a:ln w="3175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Maranhão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GRAF_TOT!$A$16</c:f>
              <c:strCache>
                <c:ptCount val="1"/>
                <c:pt idx="0">
                  <c:v>Maranhão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HABT!$B$16:$F$16</c:f>
              <c:numCache>
                <c:formatCode>#,##0.00</c:formatCode>
                <c:ptCount val="5"/>
                <c:pt idx="0">
                  <c:v>17.417632580930345</c:v>
                </c:pt>
                <c:pt idx="1">
                  <c:v>19.392257302857931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96-4A97-BC5B-ECE07B1DD8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479616"/>
        <c:axId val="112493696"/>
      </c:lineChart>
      <c:catAx>
        <c:axId val="112479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2493696"/>
        <c:crosses val="autoZero"/>
        <c:auto val="1"/>
        <c:lblAlgn val="ctr"/>
        <c:lblOffset val="100"/>
        <c:noMultiLvlLbl val="0"/>
      </c:catAx>
      <c:valAx>
        <c:axId val="112493696"/>
        <c:scaling>
          <c:orientation val="minMax"/>
          <c:max val="30"/>
          <c:min val="1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Mortes/100 mil habitantes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2479616"/>
        <c:crosses val="autoZero"/>
        <c:crossBetween val="between"/>
        <c:majorUnit val="5"/>
      </c:valAx>
      <c:spPr>
        <a:ln w="3175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Paraíba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GRAF_TOT!$A$17</c:f>
              <c:strCache>
                <c:ptCount val="1"/>
                <c:pt idx="0">
                  <c:v>Paraíba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HABT!$B$17:$F$17</c:f>
              <c:numCache>
                <c:formatCode>#,##0.00</c:formatCode>
                <c:ptCount val="5"/>
                <c:pt idx="0">
                  <c:v>20.530754486659518</c:v>
                </c:pt>
                <c:pt idx="1">
                  <c:v>22.009659824644871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C9-4DE6-B86F-DC2AA6DB29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6480"/>
        <c:axId val="112598016"/>
      </c:lineChart>
      <c:catAx>
        <c:axId val="112596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2598016"/>
        <c:crosses val="autoZero"/>
        <c:auto val="1"/>
        <c:lblAlgn val="ctr"/>
        <c:lblOffset val="100"/>
        <c:noMultiLvlLbl val="0"/>
      </c:catAx>
      <c:valAx>
        <c:axId val="112598016"/>
        <c:scaling>
          <c:orientation val="minMax"/>
          <c:max val="30"/>
          <c:min val="1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Mortes/100 mil habitantes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2596480"/>
        <c:crosses val="autoZero"/>
        <c:crossBetween val="between"/>
        <c:majorUnit val="5"/>
      </c:valAx>
      <c:spPr>
        <a:ln w="3175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Pernambuco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GRAF_TOT!$A$18</c:f>
              <c:strCache>
                <c:ptCount val="1"/>
                <c:pt idx="0">
                  <c:v>Pernambuco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HABT!$B$18:$F$18</c:f>
              <c:numCache>
                <c:formatCode>#,##0.00</c:formatCode>
                <c:ptCount val="5"/>
                <c:pt idx="0">
                  <c:v>19.749570900846031</c:v>
                </c:pt>
                <c:pt idx="1">
                  <c:v>22.042988260716143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BA-4FFB-B7B5-FE49F22C5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618880"/>
        <c:axId val="112624768"/>
      </c:lineChart>
      <c:catAx>
        <c:axId val="112618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2624768"/>
        <c:crosses val="autoZero"/>
        <c:auto val="1"/>
        <c:lblAlgn val="ctr"/>
        <c:lblOffset val="100"/>
        <c:noMultiLvlLbl val="0"/>
      </c:catAx>
      <c:valAx>
        <c:axId val="112624768"/>
        <c:scaling>
          <c:orientation val="minMax"/>
          <c:max val="30"/>
          <c:min val="1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Mortes/100 mil habitantes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2618880"/>
        <c:crosses val="autoZero"/>
        <c:crossBetween val="between"/>
        <c:majorUnit val="5"/>
      </c:valAx>
      <c:spPr>
        <a:ln w="3175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Piauí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GRAF_TOT!$A$19</c:f>
              <c:strCache>
                <c:ptCount val="1"/>
                <c:pt idx="0">
                  <c:v>Piauí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HABT!$B$19:$F$19</c:f>
              <c:numCache>
                <c:formatCode>#,##0.00</c:formatCode>
                <c:ptCount val="5"/>
                <c:pt idx="0">
                  <c:v>28.71074449535859</c:v>
                </c:pt>
                <c:pt idx="1">
                  <c:v>33.479136469169688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56-418A-ADDE-23C6C71505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752512"/>
        <c:axId val="112754048"/>
      </c:lineChart>
      <c:catAx>
        <c:axId val="112752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2754048"/>
        <c:crosses val="autoZero"/>
        <c:auto val="1"/>
        <c:lblAlgn val="ctr"/>
        <c:lblOffset val="100"/>
        <c:noMultiLvlLbl val="0"/>
      </c:catAx>
      <c:valAx>
        <c:axId val="112754048"/>
        <c:scaling>
          <c:orientation val="minMax"/>
          <c:max val="30"/>
          <c:min val="1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Mortes/100 mil habitantes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2752512"/>
        <c:crosses val="autoZero"/>
        <c:crossBetween val="between"/>
        <c:majorUnit val="5"/>
      </c:valAx>
      <c:spPr>
        <a:ln w="3175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Rio Grande do Norte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GRAF_TOT!$A$20</c:f>
              <c:strCache>
                <c:ptCount val="1"/>
                <c:pt idx="0">
                  <c:v>Rio Grande do Norte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HABT!$B$20:$F$20</c:f>
              <c:numCache>
                <c:formatCode>#,##0.00</c:formatCode>
                <c:ptCount val="5"/>
                <c:pt idx="0">
                  <c:v>15.967384465934016</c:v>
                </c:pt>
                <c:pt idx="1">
                  <c:v>20.485936515061265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B3-4DF2-833E-B23A84B3E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795648"/>
        <c:axId val="112797184"/>
      </c:lineChart>
      <c:catAx>
        <c:axId val="112795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2797184"/>
        <c:crosses val="autoZero"/>
        <c:auto val="1"/>
        <c:lblAlgn val="ctr"/>
        <c:lblOffset val="100"/>
        <c:noMultiLvlLbl val="0"/>
      </c:catAx>
      <c:valAx>
        <c:axId val="112797184"/>
        <c:scaling>
          <c:orientation val="minMax"/>
          <c:max val="20"/>
          <c:min val="1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Mortes/100</a:t>
                </a:r>
                <a:r>
                  <a:rPr lang="pt-BR" sz="1200" baseline="0"/>
                  <a:t> mil habitantes</a:t>
                </a:r>
                <a:endParaRPr lang="pt-BR" sz="1200"/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2795648"/>
        <c:crosses val="autoZero"/>
        <c:crossBetween val="between"/>
        <c:majorUnit val="5"/>
      </c:valAx>
      <c:spPr>
        <a:ln w="3175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Sergipe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GRAF_TOT!$A$21</c:f>
              <c:strCache>
                <c:ptCount val="1"/>
                <c:pt idx="0">
                  <c:v>Sergipe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HABT!$B$21:$F$21</c:f>
              <c:numCache>
                <c:formatCode>#,##0.00</c:formatCode>
                <c:ptCount val="5"/>
                <c:pt idx="0">
                  <c:v>26.438850256590527</c:v>
                </c:pt>
                <c:pt idx="1">
                  <c:v>30.318899699567268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50-464A-B752-6317CB9889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830336"/>
        <c:axId val="112831872"/>
      </c:lineChart>
      <c:catAx>
        <c:axId val="112830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2831872"/>
        <c:crosses val="autoZero"/>
        <c:auto val="1"/>
        <c:lblAlgn val="ctr"/>
        <c:lblOffset val="100"/>
        <c:noMultiLvlLbl val="0"/>
      </c:catAx>
      <c:valAx>
        <c:axId val="112831872"/>
        <c:scaling>
          <c:orientation val="minMax"/>
          <c:max val="30"/>
          <c:min val="1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Mortes/100 mil habitantes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2830336"/>
        <c:crosses val="autoZero"/>
        <c:crossBetween val="between"/>
        <c:majorUnit val="5"/>
      </c:valAx>
      <c:spPr>
        <a:ln w="3175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Espírito Santo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GRAF_TOT!$A$23</c:f>
              <c:strCache>
                <c:ptCount val="1"/>
                <c:pt idx="0">
                  <c:v>Espírito Santo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HABT!$B$23:$F$23</c:f>
              <c:numCache>
                <c:formatCode>#,##0.00</c:formatCode>
                <c:ptCount val="5"/>
                <c:pt idx="0">
                  <c:v>27.472732309481763</c:v>
                </c:pt>
                <c:pt idx="1">
                  <c:v>32.518224999943101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CE-4B64-8035-BC2500CF50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51296"/>
        <c:axId val="112952832"/>
      </c:lineChart>
      <c:catAx>
        <c:axId val="1129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2952832"/>
        <c:crosses val="autoZero"/>
        <c:auto val="1"/>
        <c:lblAlgn val="ctr"/>
        <c:lblOffset val="100"/>
        <c:noMultiLvlLbl val="0"/>
      </c:catAx>
      <c:valAx>
        <c:axId val="112952832"/>
        <c:scaling>
          <c:orientation val="minMax"/>
          <c:max val="40"/>
          <c:min val="2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Mortes/100</a:t>
                </a:r>
                <a:r>
                  <a:rPr lang="pt-BR" sz="1200" baseline="0"/>
                  <a:t> mil habitantes</a:t>
                </a:r>
                <a:endParaRPr lang="pt-BR" sz="1200"/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2951296"/>
        <c:crosses val="autoZero"/>
        <c:crossBetween val="between"/>
        <c:majorUnit val="5"/>
      </c:valAx>
      <c:spPr>
        <a:ln w="3175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Minas Gerais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GRAF_TOT!$A$24</c:f>
              <c:strCache>
                <c:ptCount val="1"/>
                <c:pt idx="0">
                  <c:v>Minas Gerais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HABT!$B$24:$F$24</c:f>
              <c:numCache>
                <c:formatCode>#,##0.00</c:formatCode>
                <c:ptCount val="5"/>
                <c:pt idx="0">
                  <c:v>19.282154777551916</c:v>
                </c:pt>
                <c:pt idx="1">
                  <c:v>21.870326212805519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32-4088-B591-BF4AFAE608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69600"/>
        <c:axId val="112971136"/>
      </c:lineChart>
      <c:catAx>
        <c:axId val="112969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2971136"/>
        <c:crosses val="autoZero"/>
        <c:auto val="1"/>
        <c:lblAlgn val="ctr"/>
        <c:lblOffset val="100"/>
        <c:noMultiLvlLbl val="0"/>
      </c:catAx>
      <c:valAx>
        <c:axId val="112971136"/>
        <c:scaling>
          <c:orientation val="minMax"/>
          <c:max val="30"/>
          <c:min val="1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Mortes/100 mil habitantes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2969600"/>
        <c:crosses val="autoZero"/>
        <c:crossBetween val="between"/>
        <c:majorUnit val="5"/>
      </c:valAx>
      <c:spPr>
        <a:ln w="3175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Rio de Janeiro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GRAF_TOT!$A$25</c:f>
              <c:strCache>
                <c:ptCount val="1"/>
                <c:pt idx="0">
                  <c:v>Rio de Janeiro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bg1">
                  <a:lumMod val="85000"/>
                </a:schemeClr>
              </a:solidFill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HABT!$B$25:$F$25</c:f>
              <c:numCache>
                <c:formatCode>#,##0.00</c:formatCode>
                <c:ptCount val="5"/>
                <c:pt idx="0">
                  <c:v>14.265739751683688</c:v>
                </c:pt>
                <c:pt idx="1">
                  <c:v>17.692386251371097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0C-4925-99E9-2F5F98564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213440"/>
        <c:axId val="113214976"/>
      </c:lineChart>
      <c:catAx>
        <c:axId val="113213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3214976"/>
        <c:crosses val="autoZero"/>
        <c:auto val="1"/>
        <c:lblAlgn val="ctr"/>
        <c:lblOffset val="100"/>
        <c:noMultiLvlLbl val="0"/>
      </c:catAx>
      <c:valAx>
        <c:axId val="113214976"/>
        <c:scaling>
          <c:orientation val="minMax"/>
          <c:max val="30"/>
          <c:min val="1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Mortes/100 mil habitantes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3213440"/>
        <c:crosses val="autoZero"/>
        <c:crossBetween val="between"/>
        <c:majorUnit val="5"/>
      </c:valAx>
      <c:spPr>
        <a:ln w="3175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São Paulo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GRAF_TOT!$A$26</c:f>
              <c:strCache>
                <c:ptCount val="1"/>
                <c:pt idx="0">
                  <c:v>São Paulo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HABT!$B$26:$F$26</c:f>
              <c:numCache>
                <c:formatCode>#,##0.00</c:formatCode>
                <c:ptCount val="5"/>
                <c:pt idx="0">
                  <c:v>16.33236387056871</c:v>
                </c:pt>
                <c:pt idx="1">
                  <c:v>17.034962193847207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2E-4E56-A2BA-DB9A073D2B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313664"/>
        <c:axId val="113315200"/>
      </c:lineChart>
      <c:catAx>
        <c:axId val="113313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3315200"/>
        <c:crosses val="autoZero"/>
        <c:auto val="1"/>
        <c:lblAlgn val="ctr"/>
        <c:lblOffset val="100"/>
        <c:noMultiLvlLbl val="0"/>
      </c:catAx>
      <c:valAx>
        <c:axId val="113315200"/>
        <c:scaling>
          <c:orientation val="minMax"/>
          <c:max val="30"/>
          <c:min val="1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Mortes/100 mil habitantes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3313664"/>
        <c:crosses val="autoZero"/>
        <c:crossBetween val="between"/>
        <c:majorUnit val="5"/>
      </c:valAx>
      <c:spPr>
        <a:ln w="3175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Paraná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GRAF_TOT!$A$28</c:f>
              <c:strCache>
                <c:ptCount val="1"/>
                <c:pt idx="0">
                  <c:v>Paraná</c:v>
                </c:pt>
              </c:strCache>
            </c:strRef>
          </c:tx>
          <c:spPr>
            <a:ln w="38100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HABT!$B$28:$F$28</c:f>
              <c:numCache>
                <c:formatCode>#,##0.00</c:formatCode>
                <c:ptCount val="5"/>
                <c:pt idx="0">
                  <c:v>28.812785952161978</c:v>
                </c:pt>
                <c:pt idx="1">
                  <c:v>32.438044579524238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84-4BD0-890B-4F3CAA7E81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349376"/>
        <c:axId val="113350912"/>
      </c:lineChart>
      <c:catAx>
        <c:axId val="113349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3350912"/>
        <c:crosses val="autoZero"/>
        <c:auto val="1"/>
        <c:lblAlgn val="ctr"/>
        <c:lblOffset val="100"/>
        <c:noMultiLvlLbl val="0"/>
      </c:catAx>
      <c:valAx>
        <c:axId val="113350912"/>
        <c:scaling>
          <c:orientation val="minMax"/>
          <c:max val="40"/>
          <c:min val="2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Mortes/100 mil habitantes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3349376"/>
        <c:crosses val="autoZero"/>
        <c:crossBetween val="between"/>
        <c:majorUnit val="5"/>
      </c:valAx>
      <c:spPr>
        <a:ln w="3175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Rio</a:t>
            </a:r>
            <a:r>
              <a:rPr lang="pt-BR" baseline="0"/>
              <a:t> Grande do Sul</a:t>
            </a:r>
            <a:endParaRPr lang="pt-BR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GRAF_TOT!$A$29</c:f>
              <c:strCache>
                <c:ptCount val="1"/>
                <c:pt idx="0">
                  <c:v>Rio Grande do Sul</c:v>
                </c:pt>
              </c:strCache>
            </c:strRef>
          </c:tx>
          <c:spPr>
            <a:ln w="38100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HABT!$B$29:$F$29</c:f>
              <c:numCache>
                <c:formatCode>#,##0.00</c:formatCode>
                <c:ptCount val="5"/>
                <c:pt idx="0">
                  <c:v>18.132603851075523</c:v>
                </c:pt>
                <c:pt idx="1">
                  <c:v>20.39474920770467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61-4435-8769-DA7BAAFA4E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391872"/>
        <c:axId val="113397760"/>
      </c:lineChart>
      <c:catAx>
        <c:axId val="113391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3397760"/>
        <c:crosses val="autoZero"/>
        <c:auto val="1"/>
        <c:lblAlgn val="ctr"/>
        <c:lblOffset val="100"/>
        <c:noMultiLvlLbl val="0"/>
      </c:catAx>
      <c:valAx>
        <c:axId val="113397760"/>
        <c:scaling>
          <c:orientation val="minMax"/>
          <c:max val="30"/>
          <c:min val="1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Mortes/100</a:t>
                </a:r>
                <a:r>
                  <a:rPr lang="pt-BR" sz="1200" baseline="0"/>
                  <a:t> mil habitantes</a:t>
                </a:r>
                <a:endParaRPr lang="pt-BR" sz="1200"/>
              </a:p>
            </c:rich>
          </c:tx>
          <c:layout>
            <c:manualLayout>
              <c:xMode val="edge"/>
              <c:yMode val="edge"/>
              <c:x val="1.8973698135389402E-2"/>
              <c:y val="0.20077097505668901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3391872"/>
        <c:crosses val="autoZero"/>
        <c:crossBetween val="between"/>
        <c:majorUnit val="5"/>
      </c:valAx>
      <c:spPr>
        <a:ln w="3175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Santa</a:t>
            </a:r>
            <a:r>
              <a:rPr lang="pt-BR" baseline="0"/>
              <a:t> Catarina</a:t>
            </a:r>
            <a:endParaRPr lang="pt-BR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GRAF_TOT!$A$30</c:f>
              <c:strCache>
                <c:ptCount val="1"/>
                <c:pt idx="0">
                  <c:v>Santa Catarina</c:v>
                </c:pt>
              </c:strCache>
            </c:strRef>
          </c:tx>
          <c:spPr>
            <a:ln w="38100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HABT!$B$30:$F$30</c:f>
              <c:numCache>
                <c:formatCode>#,##0.00</c:formatCode>
                <c:ptCount val="5"/>
                <c:pt idx="0">
                  <c:v>29.614003043443514</c:v>
                </c:pt>
                <c:pt idx="1">
                  <c:v>29.367348885385077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58-4EB5-B734-E0C21B249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426816"/>
        <c:axId val="113428352"/>
      </c:lineChart>
      <c:catAx>
        <c:axId val="113426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3428352"/>
        <c:crosses val="autoZero"/>
        <c:auto val="1"/>
        <c:lblAlgn val="ctr"/>
        <c:lblOffset val="100"/>
        <c:noMultiLvlLbl val="0"/>
      </c:catAx>
      <c:valAx>
        <c:axId val="113428352"/>
        <c:scaling>
          <c:orientation val="minMax"/>
          <c:max val="40"/>
          <c:min val="2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Mortes/100 mil habitantes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3426816"/>
        <c:crosses val="autoZero"/>
        <c:crossBetween val="between"/>
        <c:majorUnit val="5"/>
      </c:valAx>
      <c:spPr>
        <a:ln w="3175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Distrito Federal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GRAF_TOT!$A$32</c:f>
              <c:strCache>
                <c:ptCount val="1"/>
                <c:pt idx="0">
                  <c:v>Distrito Federal</c:v>
                </c:pt>
              </c:strCache>
            </c:strRef>
          </c:tx>
          <c:spPr>
            <a:ln w="381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HABT!$B$32:$F$32</c:f>
              <c:numCache>
                <c:formatCode>#,##0.00</c:formatCode>
                <c:ptCount val="5"/>
                <c:pt idx="0">
                  <c:v>22.095344480230036</c:v>
                </c:pt>
                <c:pt idx="1">
                  <c:v>24.745541133625924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97-4B0C-B824-53607FC13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727744"/>
        <c:axId val="113737728"/>
      </c:lineChart>
      <c:catAx>
        <c:axId val="113727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3737728"/>
        <c:crosses val="autoZero"/>
        <c:auto val="1"/>
        <c:lblAlgn val="ctr"/>
        <c:lblOffset val="100"/>
        <c:noMultiLvlLbl val="0"/>
      </c:catAx>
      <c:valAx>
        <c:axId val="113737728"/>
        <c:scaling>
          <c:orientation val="minMax"/>
          <c:max val="30"/>
          <c:min val="2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Mortes/100 mil</a:t>
                </a:r>
                <a:r>
                  <a:rPr lang="pt-BR" sz="1200" baseline="0"/>
                  <a:t> habitantes</a:t>
                </a:r>
                <a:endParaRPr lang="pt-BR" sz="1200"/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3727744"/>
        <c:crosses val="autoZero"/>
        <c:crossBetween val="between"/>
        <c:majorUnit val="5"/>
      </c:valAx>
      <c:spPr>
        <a:ln w="3175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Goiás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GRAF_TOT!$A$33</c:f>
              <c:strCache>
                <c:ptCount val="1"/>
                <c:pt idx="0">
                  <c:v>Goiás</c:v>
                </c:pt>
              </c:strCache>
            </c:strRef>
          </c:tx>
          <c:spPr>
            <a:ln w="381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HABT!$B$33:$F$33</c:f>
              <c:numCache>
                <c:formatCode>#,##0.00</c:formatCode>
                <c:ptCount val="5"/>
                <c:pt idx="0">
                  <c:v>28.297550515430519</c:v>
                </c:pt>
                <c:pt idx="1">
                  <c:v>32.029778533152736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F0-4F28-B1E3-91ABD122F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905024"/>
        <c:axId val="113910912"/>
      </c:lineChart>
      <c:catAx>
        <c:axId val="113905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3910912"/>
        <c:crosses val="autoZero"/>
        <c:auto val="1"/>
        <c:lblAlgn val="ctr"/>
        <c:lblOffset val="100"/>
        <c:noMultiLvlLbl val="0"/>
      </c:catAx>
      <c:valAx>
        <c:axId val="113910912"/>
        <c:scaling>
          <c:orientation val="minMax"/>
          <c:max val="40"/>
          <c:min val="2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Mortes/100 mil habitantes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3905024"/>
        <c:crosses val="autoZero"/>
        <c:crossBetween val="between"/>
        <c:majorUnit val="5"/>
      </c:valAx>
      <c:spPr>
        <a:ln w="3175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Mato Grosso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GRAF_TOT!$A$34</c:f>
              <c:strCache>
                <c:ptCount val="1"/>
                <c:pt idx="0">
                  <c:v>Mato Grosso</c:v>
                </c:pt>
              </c:strCache>
            </c:strRef>
          </c:tx>
          <c:spPr>
            <a:ln w="381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HABT!$B$34:$F$34</c:f>
              <c:numCache>
                <c:formatCode>#,##0.00</c:formatCode>
                <c:ptCount val="5"/>
                <c:pt idx="0">
                  <c:v>36.812166337689163</c:v>
                </c:pt>
                <c:pt idx="1">
                  <c:v>36.341208030517386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3C-401B-8308-AADEF8D195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952256"/>
        <c:axId val="113953792"/>
      </c:lineChart>
      <c:catAx>
        <c:axId val="113952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3953792"/>
        <c:crosses val="autoZero"/>
        <c:auto val="1"/>
        <c:lblAlgn val="ctr"/>
        <c:lblOffset val="100"/>
        <c:noMultiLvlLbl val="0"/>
      </c:catAx>
      <c:valAx>
        <c:axId val="113953792"/>
        <c:scaling>
          <c:orientation val="minMax"/>
          <c:max val="40"/>
          <c:min val="2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Mortes/100 mil habitantes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3952256"/>
        <c:crosses val="autoZero"/>
        <c:crossBetween val="between"/>
        <c:majorUnit val="5"/>
      </c:valAx>
      <c:spPr>
        <a:ln w="3175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Mato Grosso do Sul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GRAF_TOT!$A$35</c:f>
              <c:strCache>
                <c:ptCount val="1"/>
                <c:pt idx="0">
                  <c:v>Mato Grosso do Sul</c:v>
                </c:pt>
              </c:strCache>
            </c:strRef>
          </c:tx>
          <c:spPr>
            <a:ln w="381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HABT!$B$35:$F$35</c:f>
              <c:numCache>
                <c:formatCode>#,##0.00</c:formatCode>
                <c:ptCount val="5"/>
                <c:pt idx="0">
                  <c:v>29.696469043231449</c:v>
                </c:pt>
                <c:pt idx="1">
                  <c:v>31.767757278001358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E7-4DC2-A1E8-0CE7C9FDF7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982848"/>
        <c:axId val="113992832"/>
      </c:lineChart>
      <c:catAx>
        <c:axId val="113982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3992832"/>
        <c:crosses val="autoZero"/>
        <c:auto val="1"/>
        <c:lblAlgn val="ctr"/>
        <c:lblOffset val="100"/>
        <c:noMultiLvlLbl val="0"/>
      </c:catAx>
      <c:valAx>
        <c:axId val="113992832"/>
        <c:scaling>
          <c:orientation val="minMax"/>
          <c:max val="40"/>
          <c:min val="2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Mortes/100</a:t>
                </a:r>
                <a:r>
                  <a:rPr lang="pt-BR" sz="1200" baseline="0"/>
                  <a:t> mil habitantes</a:t>
                </a:r>
                <a:endParaRPr lang="pt-BR" sz="1200"/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3982848"/>
        <c:crosses val="autoZero"/>
        <c:crossBetween val="between"/>
        <c:majorUnit val="5"/>
      </c:valAx>
      <c:spPr>
        <a:ln w="3175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Acre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GRAF_TOT!$A$5</c:f>
              <c:strCache>
                <c:ptCount val="1"/>
                <c:pt idx="0">
                  <c:v>Acre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VEICL!$B$5:$F$5</c:f>
              <c:numCache>
                <c:formatCode>#,##0.00</c:formatCode>
                <c:ptCount val="5"/>
                <c:pt idx="0">
                  <c:v>101.24988300958896</c:v>
                </c:pt>
                <c:pt idx="1">
                  <c:v>100.26519417299379</c:v>
                </c:pt>
                <c:pt idx="2">
                  <c:v>102.98465970835755</c:v>
                </c:pt>
                <c:pt idx="3">
                  <c:v>88.946801880913256</c:v>
                </c:pt>
                <c:pt idx="4">
                  <c:v>62.203258867609108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06-4818-AF4A-0C06A3C8E8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022656"/>
        <c:axId val="114298880"/>
      </c:lineChart>
      <c:catAx>
        <c:axId val="114022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4298880"/>
        <c:crosses val="autoZero"/>
        <c:auto val="1"/>
        <c:lblAlgn val="ctr"/>
        <c:lblOffset val="100"/>
        <c:noMultiLvlLbl val="0"/>
      </c:catAx>
      <c:valAx>
        <c:axId val="114298880"/>
        <c:scaling>
          <c:orientation val="minMax"/>
          <c:max val="140"/>
          <c:min val="9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Mortes/100 mil </a:t>
                </a:r>
                <a:r>
                  <a:rPr lang="pt-BR" sz="1200" baseline="0"/>
                  <a:t>veiculos</a:t>
                </a:r>
                <a:endParaRPr lang="pt-BR" sz="1200"/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4022656"/>
        <c:crosses val="autoZero"/>
        <c:crossBetween val="between"/>
        <c:majorUnit val="10"/>
      </c:valAx>
      <c:spPr>
        <a:ln w="3175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Amapá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GRAF_TOT!$A$6</c:f>
              <c:strCache>
                <c:ptCount val="1"/>
                <c:pt idx="0">
                  <c:v>Amapá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VEICL!$B$6:$F$6</c:f>
              <c:numCache>
                <c:formatCode>#,##0.00</c:formatCode>
                <c:ptCount val="5"/>
                <c:pt idx="0">
                  <c:v>116.40683645383436</c:v>
                </c:pt>
                <c:pt idx="1">
                  <c:v>115.0354137947426</c:v>
                </c:pt>
                <c:pt idx="2">
                  <c:v>123.58800701979879</c:v>
                </c:pt>
                <c:pt idx="3">
                  <c:v>91.34129450080485</c:v>
                </c:pt>
                <c:pt idx="4">
                  <c:v>74.688470458744447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7F-470A-922B-5C4F5EED2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332416"/>
        <c:axId val="114333952"/>
      </c:lineChart>
      <c:catAx>
        <c:axId val="114332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4333952"/>
        <c:crosses val="autoZero"/>
        <c:auto val="1"/>
        <c:lblAlgn val="ctr"/>
        <c:lblOffset val="100"/>
        <c:noMultiLvlLbl val="0"/>
      </c:catAx>
      <c:valAx>
        <c:axId val="114333952"/>
        <c:scaling>
          <c:orientation val="minMax"/>
          <c:max val="260"/>
          <c:min val="10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Mortes/100</a:t>
                </a:r>
                <a:r>
                  <a:rPr lang="pt-BR" sz="1200" baseline="0"/>
                  <a:t> mil veículos</a:t>
                </a:r>
                <a:endParaRPr lang="pt-BR" sz="1200"/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4332416"/>
        <c:crosses val="autoZero"/>
        <c:crossBetween val="between"/>
        <c:majorUnit val="4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Amazonas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GRAF_TOT!$A$7</c:f>
              <c:strCache>
                <c:ptCount val="1"/>
                <c:pt idx="0">
                  <c:v>Amazonas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VEICL!$B$7:$F$7</c:f>
              <c:numCache>
                <c:formatCode>#,##0.00</c:formatCode>
                <c:ptCount val="5"/>
                <c:pt idx="0">
                  <c:v>83.610316367692974</c:v>
                </c:pt>
                <c:pt idx="1">
                  <c:v>95.747341832362196</c:v>
                </c:pt>
                <c:pt idx="2">
                  <c:v>92.700648354929896</c:v>
                </c:pt>
                <c:pt idx="3">
                  <c:v>76.172125669006277</c:v>
                </c:pt>
                <c:pt idx="4">
                  <c:v>64.635891611459812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C1-4CD8-8497-D8051BCEC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910656"/>
        <c:axId val="109912448"/>
      </c:lineChart>
      <c:catAx>
        <c:axId val="109910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09912448"/>
        <c:crosses val="autoZero"/>
        <c:auto val="1"/>
        <c:lblAlgn val="ctr"/>
        <c:lblOffset val="100"/>
        <c:noMultiLvlLbl val="0"/>
      </c:catAx>
      <c:valAx>
        <c:axId val="109912448"/>
        <c:scaling>
          <c:orientation val="minMax"/>
          <c:max val="150"/>
          <c:min val="9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Mortes/100 mil veículos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09910656"/>
        <c:crosses val="autoZero"/>
        <c:crossBetween val="between"/>
        <c:majorUnit val="20"/>
      </c:valAx>
      <c:spPr>
        <a:ln w="3175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Pará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GRAF_TOT!$A$8</c:f>
              <c:strCache>
                <c:ptCount val="1"/>
                <c:pt idx="0">
                  <c:v>Pará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VEICL!$B$8:$F$8</c:f>
              <c:numCache>
                <c:formatCode>#,##0.00</c:formatCode>
                <c:ptCount val="5"/>
                <c:pt idx="0">
                  <c:v>130.92670178786244</c:v>
                </c:pt>
                <c:pt idx="1">
                  <c:v>152.15467356525292</c:v>
                </c:pt>
                <c:pt idx="2">
                  <c:v>133.37116632046846</c:v>
                </c:pt>
                <c:pt idx="3">
                  <c:v>130.82074443233142</c:v>
                </c:pt>
                <c:pt idx="4">
                  <c:v>108.23639781426886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18-4C3A-9E7E-8B44EABD8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949696"/>
        <c:axId val="109951232"/>
      </c:lineChart>
      <c:catAx>
        <c:axId val="109949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09951232"/>
        <c:crosses val="autoZero"/>
        <c:auto val="1"/>
        <c:lblAlgn val="ctr"/>
        <c:lblOffset val="100"/>
        <c:noMultiLvlLbl val="0"/>
      </c:catAx>
      <c:valAx>
        <c:axId val="109951232"/>
        <c:scaling>
          <c:orientation val="minMax"/>
          <c:max val="210"/>
          <c:min val="15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Mortes/100 mil veículos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09949696"/>
        <c:crosses val="autoZero"/>
        <c:crossBetween val="between"/>
        <c:majorUnit val="20"/>
      </c:valAx>
      <c:spPr>
        <a:ln w="3175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Rondônia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GRAF_TOT!$A$9</c:f>
              <c:strCache>
                <c:ptCount val="1"/>
                <c:pt idx="0">
                  <c:v>Rondônia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VEICL!$B$9:$F$9</c:f>
              <c:numCache>
                <c:formatCode>#,##0.00</c:formatCode>
                <c:ptCount val="5"/>
                <c:pt idx="0">
                  <c:v>109.45336120506356</c:v>
                </c:pt>
                <c:pt idx="1">
                  <c:v>117.13116925159657</c:v>
                </c:pt>
                <c:pt idx="2">
                  <c:v>99.745400294944233</c:v>
                </c:pt>
                <c:pt idx="3">
                  <c:v>102.14803607689913</c:v>
                </c:pt>
                <c:pt idx="4">
                  <c:v>70.551807444995958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AC-45BA-9820-55CC8EC664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972096"/>
        <c:axId val="109986176"/>
      </c:lineChart>
      <c:catAx>
        <c:axId val="109972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09986176"/>
        <c:crosses val="autoZero"/>
        <c:auto val="1"/>
        <c:lblAlgn val="ctr"/>
        <c:lblOffset val="100"/>
        <c:noMultiLvlLbl val="0"/>
      </c:catAx>
      <c:valAx>
        <c:axId val="109986176"/>
        <c:scaling>
          <c:orientation val="minMax"/>
          <c:max val="140"/>
          <c:min val="9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Mortes/100 mil veículos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09972096"/>
        <c:crosses val="autoZero"/>
        <c:crossBetween val="between"/>
        <c:majorUnit val="10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Roraima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GRAF_TOT!$A$10</c:f>
              <c:strCache>
                <c:ptCount val="1"/>
                <c:pt idx="0">
                  <c:v>Roraima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VEICL!$B$10:$F$10</c:f>
              <c:numCache>
                <c:formatCode>#,##0.00</c:formatCode>
                <c:ptCount val="5"/>
                <c:pt idx="0">
                  <c:v>124.24197603904747</c:v>
                </c:pt>
                <c:pt idx="1">
                  <c:v>125.91505509869135</c:v>
                </c:pt>
                <c:pt idx="2">
                  <c:v>103.21348245370798</c:v>
                </c:pt>
                <c:pt idx="3">
                  <c:v>103.24813037169326</c:v>
                </c:pt>
                <c:pt idx="4">
                  <c:v>91.32751498436545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5D-4FF1-A014-9053A5EED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027520"/>
        <c:axId val="110029056"/>
      </c:lineChart>
      <c:catAx>
        <c:axId val="110027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0029056"/>
        <c:crosses val="autoZero"/>
        <c:auto val="1"/>
        <c:lblAlgn val="ctr"/>
        <c:lblOffset val="100"/>
        <c:noMultiLvlLbl val="0"/>
      </c:catAx>
      <c:valAx>
        <c:axId val="110029056"/>
        <c:scaling>
          <c:orientation val="minMax"/>
          <c:max val="180"/>
          <c:min val="11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Mortes/100 mil veículos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0027520"/>
        <c:crosses val="autoZero"/>
        <c:crossBetween val="between"/>
        <c:majorUnit val="10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Tocantins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GRAF_TOT!$A$11</c:f>
              <c:strCache>
                <c:ptCount val="1"/>
                <c:pt idx="0">
                  <c:v>Tocantins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VEICL!$B$11:$F$11</c:f>
              <c:numCache>
                <c:formatCode>#,##0.00</c:formatCode>
                <c:ptCount val="5"/>
                <c:pt idx="0">
                  <c:v>139.47174302486317</c:v>
                </c:pt>
                <c:pt idx="1">
                  <c:v>145.94914383943919</c:v>
                </c:pt>
                <c:pt idx="2">
                  <c:v>132.07990834454844</c:v>
                </c:pt>
                <c:pt idx="3">
                  <c:v>123.37307428011584</c:v>
                </c:pt>
                <c:pt idx="4">
                  <c:v>94.079622467579512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3C-437A-8CEC-CBFBED8DF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436736"/>
        <c:axId val="114475392"/>
      </c:lineChart>
      <c:catAx>
        <c:axId val="114436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4475392"/>
        <c:crosses val="autoZero"/>
        <c:auto val="1"/>
        <c:lblAlgn val="ctr"/>
        <c:lblOffset val="100"/>
        <c:noMultiLvlLbl val="0"/>
      </c:catAx>
      <c:valAx>
        <c:axId val="114475392"/>
        <c:scaling>
          <c:orientation val="minMax"/>
          <c:max val="290"/>
          <c:min val="13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Mortes/100 mil veículos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4436736"/>
        <c:crosses val="autoZero"/>
        <c:crossBetween val="between"/>
        <c:majorUnit val="40"/>
      </c:valAx>
      <c:spPr>
        <a:ln w="3175">
          <a:solidFill>
            <a:schemeClr val="tx1">
              <a:lumMod val="95000"/>
              <a:lumOff val="5000"/>
            </a:scheme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Alagoas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GRAF_TOT!$A$13</c:f>
              <c:strCache>
                <c:ptCount val="1"/>
                <c:pt idx="0">
                  <c:v>Alagoas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VEICL!$B$13:$F$13</c:f>
              <c:numCache>
                <c:formatCode>#,##0.00</c:formatCode>
                <c:ptCount val="5"/>
                <c:pt idx="0">
                  <c:v>185.88094593374854</c:v>
                </c:pt>
                <c:pt idx="1">
                  <c:v>195.98665388456561</c:v>
                </c:pt>
                <c:pt idx="2">
                  <c:v>188.5428708470283</c:v>
                </c:pt>
                <c:pt idx="3">
                  <c:v>164.66455477840856</c:v>
                </c:pt>
                <c:pt idx="4">
                  <c:v>126.91883377863402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9F-4EB6-BBE5-EC5270DD6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029120"/>
        <c:axId val="115030656"/>
      </c:lineChart>
      <c:catAx>
        <c:axId val="115029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5030656"/>
        <c:crosses val="autoZero"/>
        <c:auto val="1"/>
        <c:lblAlgn val="ctr"/>
        <c:lblOffset val="100"/>
        <c:noMultiLvlLbl val="0"/>
      </c:catAx>
      <c:valAx>
        <c:axId val="115030656"/>
        <c:scaling>
          <c:orientation val="minMax"/>
          <c:max val="260"/>
          <c:min val="17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Mortes/100 mil veículos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5029120"/>
        <c:crosses val="autoZero"/>
        <c:crossBetween val="between"/>
        <c:majorUnit val="30"/>
      </c:valAx>
      <c:spPr>
        <a:ln w="3175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Bahia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GRAF_TOT!$A$14</c:f>
              <c:strCache>
                <c:ptCount val="1"/>
                <c:pt idx="0">
                  <c:v>Bahia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VEICL!$B$14:$F$14</c:f>
              <c:numCache>
                <c:formatCode>#,##0.00</c:formatCode>
                <c:ptCount val="5"/>
                <c:pt idx="0">
                  <c:v>97.663594521664407</c:v>
                </c:pt>
                <c:pt idx="1">
                  <c:v>122.46373877415728</c:v>
                </c:pt>
                <c:pt idx="2">
                  <c:v>109.11974517624088</c:v>
                </c:pt>
                <c:pt idx="3">
                  <c:v>106.19852378805713</c:v>
                </c:pt>
                <c:pt idx="4">
                  <c:v>84.22183143855321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60-428D-B89B-6714CDD57D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051904"/>
        <c:axId val="115053696"/>
      </c:lineChart>
      <c:catAx>
        <c:axId val="115051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5053696"/>
        <c:crosses val="autoZero"/>
        <c:auto val="1"/>
        <c:lblAlgn val="ctr"/>
        <c:lblOffset val="100"/>
        <c:noMultiLvlLbl val="0"/>
      </c:catAx>
      <c:valAx>
        <c:axId val="115053696"/>
        <c:scaling>
          <c:orientation val="minMax"/>
          <c:max val="150"/>
          <c:min val="9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Mortes/100 mil veículos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5051904"/>
        <c:crosses val="autoZero"/>
        <c:crossBetween val="between"/>
        <c:majorUnit val="15"/>
      </c:valAx>
      <c:spPr>
        <a:ln w="3175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Ceará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GRAF_TOT!$A$15</c:f>
              <c:strCache>
                <c:ptCount val="1"/>
                <c:pt idx="0">
                  <c:v>Ceará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VEICL!$B$15:$F$15</c:f>
              <c:numCache>
                <c:formatCode>#,##0.00</c:formatCode>
                <c:ptCount val="5"/>
                <c:pt idx="0">
                  <c:v>110.11502841185782</c:v>
                </c:pt>
                <c:pt idx="1">
                  <c:v>128.81292655297887</c:v>
                </c:pt>
                <c:pt idx="2">
                  <c:v>114.02788850631288</c:v>
                </c:pt>
                <c:pt idx="3">
                  <c:v>120.42115098367132</c:v>
                </c:pt>
                <c:pt idx="4">
                  <c:v>97.341254280435919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04-4945-AF97-A88B6B47B5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099136"/>
        <c:axId val="115100672"/>
      </c:lineChart>
      <c:catAx>
        <c:axId val="115099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5100672"/>
        <c:crosses val="autoZero"/>
        <c:auto val="1"/>
        <c:lblAlgn val="ctr"/>
        <c:lblOffset val="100"/>
        <c:noMultiLvlLbl val="0"/>
      </c:catAx>
      <c:valAx>
        <c:axId val="115100672"/>
        <c:scaling>
          <c:orientation val="minMax"/>
          <c:max val="200"/>
          <c:min val="12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Mortes/100 mil veículos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5099136"/>
        <c:crosses val="autoZero"/>
        <c:crossBetween val="between"/>
        <c:majorUnit val="20"/>
      </c:valAx>
      <c:spPr>
        <a:ln w="3175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Maranhão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GRAF_TOT!$A$16</c:f>
              <c:strCache>
                <c:ptCount val="1"/>
                <c:pt idx="0">
                  <c:v>Maranhão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VEICL!$B$16:$F$16</c:f>
              <c:numCache>
                <c:formatCode>#,##0.00</c:formatCode>
                <c:ptCount val="5"/>
                <c:pt idx="0">
                  <c:v>184.73665448415329</c:v>
                </c:pt>
                <c:pt idx="1">
                  <c:v>179.57038313981982</c:v>
                </c:pt>
                <c:pt idx="2">
                  <c:v>170.90123240464925</c:v>
                </c:pt>
                <c:pt idx="3">
                  <c:v>166.22494299852892</c:v>
                </c:pt>
                <c:pt idx="4">
                  <c:v>128.26229680833384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6F-4DA4-8C89-AD82F7DDFF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121536"/>
        <c:axId val="115164288"/>
      </c:lineChart>
      <c:catAx>
        <c:axId val="115121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5164288"/>
        <c:crosses val="autoZero"/>
        <c:auto val="1"/>
        <c:lblAlgn val="ctr"/>
        <c:lblOffset val="100"/>
        <c:noMultiLvlLbl val="0"/>
      </c:catAx>
      <c:valAx>
        <c:axId val="115164288"/>
        <c:scaling>
          <c:orientation val="minMax"/>
          <c:max val="270"/>
          <c:min val="19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Mortes/100 mil</a:t>
                </a:r>
                <a:r>
                  <a:rPr lang="pt-BR" sz="1200" baseline="0"/>
                  <a:t> veículos</a:t>
                </a:r>
                <a:endParaRPr lang="pt-BR" sz="1200"/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5121536"/>
        <c:crosses val="autoZero"/>
        <c:crossBetween val="between"/>
        <c:majorUnit val="20"/>
      </c:valAx>
      <c:spPr>
        <a:ln w="3175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Paraíba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GRAF_TOT!$A$17</c:f>
              <c:strCache>
                <c:ptCount val="1"/>
                <c:pt idx="0">
                  <c:v>Paraíba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VEICL!$B$17:$F$17</c:f>
              <c:numCache>
                <c:formatCode>#,##0.00</c:formatCode>
                <c:ptCount val="5"/>
                <c:pt idx="0">
                  <c:v>135.5134541749174</c:v>
                </c:pt>
                <c:pt idx="1">
                  <c:v>128.19144905820264</c:v>
                </c:pt>
                <c:pt idx="2">
                  <c:v>105.91068289366405</c:v>
                </c:pt>
                <c:pt idx="3">
                  <c:v>116.86352749545799</c:v>
                </c:pt>
                <c:pt idx="4">
                  <c:v>104.68310942200118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3E-4346-96D5-0FF13B2D6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197440"/>
        <c:axId val="115198976"/>
      </c:lineChart>
      <c:catAx>
        <c:axId val="1151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5198976"/>
        <c:crosses val="autoZero"/>
        <c:auto val="1"/>
        <c:lblAlgn val="ctr"/>
        <c:lblOffset val="100"/>
        <c:noMultiLvlLbl val="0"/>
      </c:catAx>
      <c:valAx>
        <c:axId val="115198976"/>
        <c:scaling>
          <c:orientation val="minMax"/>
          <c:max val="190"/>
          <c:min val="14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Mortes/100 mil veículos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5197440"/>
        <c:crosses val="autoZero"/>
        <c:crossBetween val="between"/>
        <c:majorUnit val="10"/>
      </c:valAx>
      <c:spPr>
        <a:ln w="3175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Pernambuco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GRAF_TOT!$A$18</c:f>
              <c:strCache>
                <c:ptCount val="1"/>
                <c:pt idx="0">
                  <c:v>Pernambuco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VEICL!$B$18:$F$18</c:f>
              <c:numCache>
                <c:formatCode>#,##0.00</c:formatCode>
                <c:ptCount val="5"/>
                <c:pt idx="0">
                  <c:v>119.82629319427974</c:v>
                </c:pt>
                <c:pt idx="1">
                  <c:v>118.79751670915562</c:v>
                </c:pt>
                <c:pt idx="2">
                  <c:v>105.68905196920383</c:v>
                </c:pt>
                <c:pt idx="3">
                  <c:v>99.517718089823489</c:v>
                </c:pt>
                <c:pt idx="4">
                  <c:v>77.355138525779623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65-41C7-9B87-97BBECCCA4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346816"/>
        <c:axId val="115369088"/>
      </c:lineChart>
      <c:catAx>
        <c:axId val="115346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5369088"/>
        <c:crosses val="autoZero"/>
        <c:auto val="1"/>
        <c:lblAlgn val="ctr"/>
        <c:lblOffset val="100"/>
        <c:noMultiLvlLbl val="0"/>
      </c:catAx>
      <c:valAx>
        <c:axId val="115369088"/>
        <c:scaling>
          <c:orientation val="minMax"/>
          <c:max val="150"/>
          <c:min val="11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Mortes/100 mil veículos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5346816"/>
        <c:crosses val="autoZero"/>
        <c:crossBetween val="between"/>
        <c:majorUnit val="10"/>
      </c:valAx>
      <c:spPr>
        <a:ln w="3175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Piauí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GRAF_TOT!$A$19</c:f>
              <c:strCache>
                <c:ptCount val="1"/>
                <c:pt idx="0">
                  <c:v>Piauí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VEICL!$B$19:$F$19</c:f>
              <c:numCache>
                <c:formatCode>#,##0.00</c:formatCode>
                <c:ptCount val="5"/>
                <c:pt idx="0">
                  <c:v>195.65570662477654</c:v>
                </c:pt>
                <c:pt idx="1">
                  <c:v>195.8323719914689</c:v>
                </c:pt>
                <c:pt idx="2">
                  <c:v>176.08605333541067</c:v>
                </c:pt>
                <c:pt idx="3">
                  <c:v>169.37645369644622</c:v>
                </c:pt>
                <c:pt idx="4">
                  <c:v>139.57647773965596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F6-4412-93C5-A43FFC1D7F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402240"/>
        <c:axId val="115403776"/>
      </c:lineChart>
      <c:catAx>
        <c:axId val="115402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5403776"/>
        <c:crosses val="autoZero"/>
        <c:auto val="1"/>
        <c:lblAlgn val="ctr"/>
        <c:lblOffset val="100"/>
        <c:noMultiLvlLbl val="0"/>
      </c:catAx>
      <c:valAx>
        <c:axId val="115403776"/>
        <c:scaling>
          <c:orientation val="minMax"/>
          <c:max val="240"/>
          <c:min val="19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Mortes/100 mil veículos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5402240"/>
        <c:crosses val="autoZero"/>
        <c:crossBetween val="between"/>
        <c:majorUnit val="10"/>
      </c:valAx>
      <c:spPr>
        <a:ln w="3175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Rio Grande do Norte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GRAF_TOT!$A$20</c:f>
              <c:strCache>
                <c:ptCount val="1"/>
                <c:pt idx="0">
                  <c:v>Rio Grande do Norte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VEICL!$B$20:$F$20</c:f>
              <c:numCache>
                <c:formatCode>#,##0.00</c:formatCode>
                <c:ptCount val="5"/>
                <c:pt idx="0">
                  <c:v>82.317103226633279</c:v>
                </c:pt>
                <c:pt idx="1">
                  <c:v>95.527994559761666</c:v>
                </c:pt>
                <c:pt idx="2">
                  <c:v>78.060500857342447</c:v>
                </c:pt>
                <c:pt idx="3">
                  <c:v>71.993462993560186</c:v>
                </c:pt>
                <c:pt idx="4">
                  <c:v>62.235151695597743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BF-40A6-9208-1426170657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420544"/>
        <c:axId val="115451008"/>
      </c:lineChart>
      <c:catAx>
        <c:axId val="115420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5451008"/>
        <c:crosses val="autoZero"/>
        <c:auto val="1"/>
        <c:lblAlgn val="ctr"/>
        <c:lblOffset val="100"/>
        <c:noMultiLvlLbl val="0"/>
      </c:catAx>
      <c:valAx>
        <c:axId val="115451008"/>
        <c:scaling>
          <c:orientation val="minMax"/>
          <c:max val="130"/>
          <c:min val="7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Mortes/100 mil veículos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5420544"/>
        <c:crosses val="autoZero"/>
        <c:crossBetween val="between"/>
        <c:majorUnit val="20"/>
      </c:valAx>
      <c:spPr>
        <a:ln w="3175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Sergipe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GRAF_TOT!$A$21</c:f>
              <c:strCache>
                <c:ptCount val="1"/>
                <c:pt idx="0">
                  <c:v>Sergipe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VEICL!$B$21:$F$21</c:f>
              <c:numCache>
                <c:formatCode>#,##0.00</c:formatCode>
                <c:ptCount val="5"/>
                <c:pt idx="0">
                  <c:v>155.60211315828582</c:v>
                </c:pt>
                <c:pt idx="1">
                  <c:v>160.96238563198915</c:v>
                </c:pt>
                <c:pt idx="2">
                  <c:v>133.48204892682696</c:v>
                </c:pt>
                <c:pt idx="3">
                  <c:v>132.26382767447635</c:v>
                </c:pt>
                <c:pt idx="4">
                  <c:v>115.37592743827214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9A-402E-8359-2A579EE89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475968"/>
        <c:axId val="115477504"/>
      </c:lineChart>
      <c:catAx>
        <c:axId val="115475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5477504"/>
        <c:crosses val="autoZero"/>
        <c:auto val="1"/>
        <c:lblAlgn val="ctr"/>
        <c:lblOffset val="100"/>
        <c:noMultiLvlLbl val="0"/>
      </c:catAx>
      <c:valAx>
        <c:axId val="115477504"/>
        <c:scaling>
          <c:orientation val="minMax"/>
          <c:max val="220"/>
          <c:min val="14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Mortes/100 mil veículos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5475968"/>
        <c:crosses val="autoZero"/>
        <c:crossBetween val="between"/>
        <c:majorUnit val="20"/>
      </c:valAx>
      <c:spPr>
        <a:ln w="3175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Espírito Santo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GRAF_TOT!$A$23</c:f>
              <c:strCache>
                <c:ptCount val="1"/>
                <c:pt idx="0">
                  <c:v>Espírito Santo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VEICL!$B$23:$F$23</c:f>
              <c:numCache>
                <c:formatCode>#,##0.00</c:formatCode>
                <c:ptCount val="5"/>
                <c:pt idx="0">
                  <c:v>89.333171700593994</c:v>
                </c:pt>
                <c:pt idx="1">
                  <c:v>97.422107062037341</c:v>
                </c:pt>
                <c:pt idx="2">
                  <c:v>90.652003142183815</c:v>
                </c:pt>
                <c:pt idx="3">
                  <c:v>85.749543140653188</c:v>
                </c:pt>
                <c:pt idx="4">
                  <c:v>70.154364838026694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F9-4A9D-941D-2B417128D1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518848"/>
        <c:axId val="115520640"/>
      </c:lineChart>
      <c:catAx>
        <c:axId val="115518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5520640"/>
        <c:crosses val="autoZero"/>
        <c:auto val="1"/>
        <c:lblAlgn val="ctr"/>
        <c:lblOffset val="100"/>
        <c:noMultiLvlLbl val="0"/>
      </c:catAx>
      <c:valAx>
        <c:axId val="115520640"/>
        <c:scaling>
          <c:orientation val="minMax"/>
          <c:max val="140"/>
          <c:min val="10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Mortes/100 mil veículos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5518848"/>
        <c:crosses val="autoZero"/>
        <c:crossBetween val="between"/>
        <c:majorUnit val="10"/>
      </c:valAx>
      <c:spPr>
        <a:ln w="3175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Minas Gerais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GRAF_TOT!$A$24</c:f>
              <c:strCache>
                <c:ptCount val="1"/>
                <c:pt idx="0">
                  <c:v>Minas Gerais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VEICL!$B$24:$F$24</c:f>
              <c:numCache>
                <c:formatCode>#,##0.00</c:formatCode>
                <c:ptCount val="5"/>
                <c:pt idx="0">
                  <c:v>64.994159274555486</c:v>
                </c:pt>
                <c:pt idx="1">
                  <c:v>65.93655445042512</c:v>
                </c:pt>
                <c:pt idx="2">
                  <c:v>62.793149517776868</c:v>
                </c:pt>
                <c:pt idx="3">
                  <c:v>56.555320215862672</c:v>
                </c:pt>
                <c:pt idx="4">
                  <c:v>46.799749185759772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08-408D-A2DD-0FC64B84E8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069888"/>
        <c:axId val="116071424"/>
      </c:lineChart>
      <c:catAx>
        <c:axId val="116069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6071424"/>
        <c:crosses val="autoZero"/>
        <c:auto val="1"/>
        <c:lblAlgn val="ctr"/>
        <c:lblOffset val="100"/>
        <c:noMultiLvlLbl val="0"/>
      </c:catAx>
      <c:valAx>
        <c:axId val="116071424"/>
        <c:scaling>
          <c:orientation val="minMax"/>
          <c:max val="90"/>
          <c:min val="6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Mortes/100 mil veículos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6069888"/>
        <c:crosses val="autoZero"/>
        <c:crossBetween val="between"/>
        <c:majorUnit val="10"/>
      </c:valAx>
      <c:spPr>
        <a:ln w="3175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Rio de Janeiro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GRAF_TOT!$A$25</c:f>
              <c:strCache>
                <c:ptCount val="1"/>
                <c:pt idx="0">
                  <c:v>Rio de Janeiro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bg1">
                  <a:lumMod val="85000"/>
                </a:schemeClr>
              </a:solidFill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VEICL!$B$25:$F$25</c:f>
              <c:numCache>
                <c:formatCode>#,##0.00</c:formatCode>
                <c:ptCount val="5"/>
                <c:pt idx="0">
                  <c:v>57.550838884108387</c:v>
                </c:pt>
                <c:pt idx="1">
                  <c:v>66.288136180997313</c:v>
                </c:pt>
                <c:pt idx="2">
                  <c:v>58.693993524993246</c:v>
                </c:pt>
                <c:pt idx="3">
                  <c:v>60.355313668098219</c:v>
                </c:pt>
                <c:pt idx="4">
                  <c:v>47.032296228401329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9A-403C-BE05-89D5B4805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00480"/>
        <c:axId val="116114560"/>
      </c:lineChart>
      <c:catAx>
        <c:axId val="116100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6114560"/>
        <c:crosses val="autoZero"/>
        <c:auto val="1"/>
        <c:lblAlgn val="ctr"/>
        <c:lblOffset val="100"/>
        <c:noMultiLvlLbl val="0"/>
      </c:catAx>
      <c:valAx>
        <c:axId val="116114560"/>
        <c:scaling>
          <c:orientation val="minMax"/>
          <c:max val="100"/>
          <c:min val="6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Mortes/100</a:t>
                </a:r>
                <a:r>
                  <a:rPr lang="pt-BR" sz="1200" baseline="0"/>
                  <a:t> mil veículos</a:t>
                </a:r>
                <a:endParaRPr lang="pt-BR" sz="1200"/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6100480"/>
        <c:crosses val="autoZero"/>
        <c:crossBetween val="between"/>
        <c:majorUnit val="10"/>
      </c:valAx>
      <c:spPr>
        <a:ln w="3175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São Paulo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GRAF_TOT!$A$26</c:f>
              <c:strCache>
                <c:ptCount val="1"/>
                <c:pt idx="0">
                  <c:v>São Paulo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VEICL!$B$26:$F$26</c:f>
              <c:numCache>
                <c:formatCode>#,##0.00</c:formatCode>
                <c:ptCount val="5"/>
                <c:pt idx="0">
                  <c:v>37.372152156578871</c:v>
                </c:pt>
                <c:pt idx="1">
                  <c:v>36.259992970854114</c:v>
                </c:pt>
                <c:pt idx="2">
                  <c:v>34.928322857963238</c:v>
                </c:pt>
                <c:pt idx="3">
                  <c:v>31.043336045580197</c:v>
                </c:pt>
                <c:pt idx="4">
                  <c:v>26.298643634934272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89-43DC-849D-336F02F4E5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209152"/>
        <c:axId val="116210688"/>
      </c:lineChart>
      <c:catAx>
        <c:axId val="116209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6210688"/>
        <c:crosses val="autoZero"/>
        <c:auto val="1"/>
        <c:lblAlgn val="ctr"/>
        <c:lblOffset val="100"/>
        <c:noMultiLvlLbl val="0"/>
      </c:catAx>
      <c:valAx>
        <c:axId val="116210688"/>
        <c:scaling>
          <c:orientation val="minMax"/>
          <c:max val="6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Mortes/100</a:t>
                </a:r>
                <a:r>
                  <a:rPr lang="pt-BR" sz="1200" baseline="0"/>
                  <a:t> mil veículos</a:t>
                </a:r>
                <a:endParaRPr lang="pt-BR" sz="1200"/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6209152"/>
        <c:crosses val="autoZero"/>
        <c:crossBetween val="between"/>
        <c:majorUnit val="5"/>
      </c:valAx>
      <c:spPr>
        <a:ln w="3175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Paraná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GRAF_TOT!$A$28</c:f>
              <c:strCache>
                <c:ptCount val="1"/>
                <c:pt idx="0">
                  <c:v>Paraná</c:v>
                </c:pt>
              </c:strCache>
            </c:strRef>
          </c:tx>
          <c:spPr>
            <a:ln w="38100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VEICL!$B$28:$F$28</c:f>
              <c:numCache>
                <c:formatCode>#,##0.00</c:formatCode>
                <c:ptCount val="5"/>
                <c:pt idx="0">
                  <c:v>69.157023278671801</c:v>
                </c:pt>
                <c:pt idx="1">
                  <c:v>70.775252225618473</c:v>
                </c:pt>
                <c:pt idx="2">
                  <c:v>64.100678890619051</c:v>
                </c:pt>
                <c:pt idx="3">
                  <c:v>64.648202125201422</c:v>
                </c:pt>
                <c:pt idx="4">
                  <c:v>49.061725980813335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14-43CE-974D-E2DB764E9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256768"/>
        <c:axId val="116258304"/>
      </c:lineChart>
      <c:catAx>
        <c:axId val="116256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6258304"/>
        <c:crosses val="autoZero"/>
        <c:auto val="1"/>
        <c:lblAlgn val="ctr"/>
        <c:lblOffset val="100"/>
        <c:noMultiLvlLbl val="0"/>
      </c:catAx>
      <c:valAx>
        <c:axId val="116258304"/>
        <c:scaling>
          <c:orientation val="minMax"/>
          <c:max val="110"/>
          <c:min val="7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Mortes/100 mil veículos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6256768"/>
        <c:crosses val="autoZero"/>
        <c:crossBetween val="between"/>
        <c:majorUnit val="10"/>
      </c:valAx>
      <c:spPr>
        <a:ln w="3175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Rio</a:t>
            </a:r>
            <a:r>
              <a:rPr lang="pt-BR" baseline="0"/>
              <a:t> Grande do Sul</a:t>
            </a:r>
            <a:endParaRPr lang="pt-BR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GRAF_TOT!$A$29</c:f>
              <c:strCache>
                <c:ptCount val="1"/>
                <c:pt idx="0">
                  <c:v>Rio Grande do Sul</c:v>
                </c:pt>
              </c:strCache>
            </c:strRef>
          </c:tx>
          <c:spPr>
            <a:ln w="38100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VEICL!$B$29:$F$29</c:f>
              <c:numCache>
                <c:formatCode>#,##0.00</c:formatCode>
                <c:ptCount val="5"/>
                <c:pt idx="0">
                  <c:v>47.22351277552319</c:v>
                </c:pt>
                <c:pt idx="1">
                  <c:v>48.772808164313155</c:v>
                </c:pt>
                <c:pt idx="2">
                  <c:v>42.505444247687059</c:v>
                </c:pt>
                <c:pt idx="3">
                  <c:v>40.1905892369602</c:v>
                </c:pt>
                <c:pt idx="4">
                  <c:v>33.77860030519679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8D-4ECF-A34A-B91FCC1FA9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03744"/>
        <c:axId val="116305280"/>
      </c:lineChart>
      <c:catAx>
        <c:axId val="116303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6305280"/>
        <c:crosses val="autoZero"/>
        <c:auto val="1"/>
        <c:lblAlgn val="ctr"/>
        <c:lblOffset val="100"/>
        <c:noMultiLvlLbl val="0"/>
      </c:catAx>
      <c:valAx>
        <c:axId val="116305280"/>
        <c:scaling>
          <c:orientation val="minMax"/>
          <c:max val="7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Mortes/100 mil veículos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6303744"/>
        <c:crosses val="autoZero"/>
        <c:crossBetween val="between"/>
        <c:majorUnit val="10"/>
      </c:valAx>
      <c:spPr>
        <a:ln w="3175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Santa</a:t>
            </a:r>
            <a:r>
              <a:rPr lang="pt-BR" baseline="0"/>
              <a:t> Catarina</a:t>
            </a:r>
            <a:endParaRPr lang="pt-BR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GRAF_TOT!$A$30</c:f>
              <c:strCache>
                <c:ptCount val="1"/>
                <c:pt idx="0">
                  <c:v>Santa Catarina</c:v>
                </c:pt>
              </c:strCache>
            </c:strRef>
          </c:tx>
          <c:spPr>
            <a:ln w="38100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VEICL!$B$30:$F$30</c:f>
              <c:numCache>
                <c:formatCode>#,##0.00</c:formatCode>
                <c:ptCount val="5"/>
                <c:pt idx="0">
                  <c:v>61.790365613456935</c:v>
                </c:pt>
                <c:pt idx="1">
                  <c:v>57.810278951135665</c:v>
                </c:pt>
                <c:pt idx="2">
                  <c:v>57.439439926198318</c:v>
                </c:pt>
                <c:pt idx="3">
                  <c:v>51.164077511682464</c:v>
                </c:pt>
                <c:pt idx="4">
                  <c:v>39.654817429553788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BF-4BEA-8343-AF1BE4ECC5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38688"/>
        <c:axId val="116340224"/>
      </c:lineChart>
      <c:catAx>
        <c:axId val="116338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6340224"/>
        <c:crosses val="autoZero"/>
        <c:auto val="1"/>
        <c:lblAlgn val="ctr"/>
        <c:lblOffset val="100"/>
        <c:noMultiLvlLbl val="0"/>
      </c:catAx>
      <c:valAx>
        <c:axId val="116340224"/>
        <c:scaling>
          <c:orientation val="minMax"/>
          <c:max val="100"/>
          <c:min val="6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Mortes/100 mil veículos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6338688"/>
        <c:crosses val="autoZero"/>
        <c:crossBetween val="between"/>
        <c:majorUnit val="10"/>
      </c:valAx>
      <c:spPr>
        <a:ln w="3175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Distrito Federal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GRAF_TOT!$A$32</c:f>
              <c:strCache>
                <c:ptCount val="1"/>
                <c:pt idx="0">
                  <c:v>Distrito Federal</c:v>
                </c:pt>
              </c:strCache>
            </c:strRef>
          </c:tx>
          <c:spPr>
            <a:ln w="381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VEICL!$B$32:$F$32</c:f>
              <c:numCache>
                <c:formatCode>#,##0.00</c:formatCode>
                <c:ptCount val="5"/>
                <c:pt idx="0">
                  <c:v>53.002167935896821</c:v>
                </c:pt>
                <c:pt idx="1">
                  <c:v>54.165690804181658</c:v>
                </c:pt>
                <c:pt idx="2">
                  <c:v>50.344241514128591</c:v>
                </c:pt>
                <c:pt idx="3">
                  <c:v>40.620864057477782</c:v>
                </c:pt>
                <c:pt idx="4">
                  <c:v>35.470614316628172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00-4812-B441-4059C02029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81568"/>
        <c:axId val="116383104"/>
      </c:lineChart>
      <c:catAx>
        <c:axId val="116381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6383104"/>
        <c:crosses val="autoZero"/>
        <c:auto val="1"/>
        <c:lblAlgn val="ctr"/>
        <c:lblOffset val="100"/>
        <c:noMultiLvlLbl val="0"/>
      </c:catAx>
      <c:valAx>
        <c:axId val="116383104"/>
        <c:scaling>
          <c:orientation val="minMax"/>
          <c:max val="80"/>
          <c:min val="5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Mortes/100 mil veículos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6381568"/>
        <c:crosses val="autoZero"/>
        <c:crossBetween val="between"/>
        <c:majorUnit val="10"/>
      </c:valAx>
      <c:spPr>
        <a:ln w="3175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Goiás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GRAF_TOT!$A$33</c:f>
              <c:strCache>
                <c:ptCount val="1"/>
                <c:pt idx="0">
                  <c:v>Goiás</c:v>
                </c:pt>
              </c:strCache>
            </c:strRef>
          </c:tx>
          <c:spPr>
            <a:ln w="381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VEICL!$B$33:$F$33</c:f>
              <c:numCache>
                <c:formatCode>#,##0.00</c:formatCode>
                <c:ptCount val="5"/>
                <c:pt idx="0">
                  <c:v>83.7920577920368</c:v>
                </c:pt>
                <c:pt idx="1">
                  <c:v>87.499294727473597</c:v>
                </c:pt>
                <c:pt idx="2">
                  <c:v>74.919580697064603</c:v>
                </c:pt>
                <c:pt idx="3">
                  <c:v>76.330698510703257</c:v>
                </c:pt>
                <c:pt idx="4">
                  <c:v>62.730981279156651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31-4FD6-B9DF-84517A769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477312"/>
        <c:axId val="116483200"/>
      </c:lineChart>
      <c:catAx>
        <c:axId val="116477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6483200"/>
        <c:crosses val="autoZero"/>
        <c:auto val="1"/>
        <c:lblAlgn val="ctr"/>
        <c:lblOffset val="100"/>
        <c:noMultiLvlLbl val="0"/>
      </c:catAx>
      <c:valAx>
        <c:axId val="116483200"/>
        <c:scaling>
          <c:orientation val="minMax"/>
          <c:max val="130"/>
          <c:min val="8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Mortes/100</a:t>
                </a:r>
                <a:r>
                  <a:rPr lang="pt-BR" sz="1200" baseline="0"/>
                  <a:t> mil veículos</a:t>
                </a:r>
                <a:endParaRPr lang="pt-BR" sz="1200"/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6477312"/>
        <c:crosses val="autoZero"/>
        <c:crossBetween val="between"/>
        <c:majorUnit val="10"/>
      </c:valAx>
      <c:spPr>
        <a:ln w="3175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Mato Grosso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GRAF_TOT!$A$34</c:f>
              <c:strCache>
                <c:ptCount val="1"/>
                <c:pt idx="0">
                  <c:v>Mato Grosso</c:v>
                </c:pt>
              </c:strCache>
            </c:strRef>
          </c:tx>
          <c:spPr>
            <a:ln w="381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VEICL!$B$34:$F$34</c:f>
              <c:numCache>
                <c:formatCode>#,##0.00</c:formatCode>
                <c:ptCount val="5"/>
                <c:pt idx="0">
                  <c:v>116.40646398247056</c:v>
                </c:pt>
                <c:pt idx="1">
                  <c:v>104.17512755077948</c:v>
                </c:pt>
                <c:pt idx="2">
                  <c:v>90.498502254012649</c:v>
                </c:pt>
                <c:pt idx="3">
                  <c:v>87.736939631151756</c:v>
                </c:pt>
                <c:pt idx="4">
                  <c:v>76.130185171347208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E1-45B3-9E16-AD04B6EEC9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520448"/>
        <c:axId val="116521984"/>
      </c:lineChart>
      <c:catAx>
        <c:axId val="116520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6521984"/>
        <c:crosses val="autoZero"/>
        <c:auto val="1"/>
        <c:lblAlgn val="ctr"/>
        <c:lblOffset val="100"/>
        <c:noMultiLvlLbl val="0"/>
      </c:catAx>
      <c:valAx>
        <c:axId val="116521984"/>
        <c:scaling>
          <c:orientation val="minMax"/>
          <c:max val="170"/>
          <c:min val="11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Mortes/100</a:t>
                </a:r>
                <a:r>
                  <a:rPr lang="pt-BR" sz="1200" baseline="0"/>
                  <a:t> mil veículos</a:t>
                </a:r>
                <a:endParaRPr lang="pt-BR" sz="1200"/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6520448"/>
        <c:crosses val="autoZero"/>
        <c:crossBetween val="between"/>
        <c:majorUnit val="20"/>
      </c:valAx>
      <c:spPr>
        <a:ln w="3175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Mato Grosso do Sul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GRAF_TOT!$A$35</c:f>
              <c:strCache>
                <c:ptCount val="1"/>
                <c:pt idx="0">
                  <c:v>Mato Grosso do Sul</c:v>
                </c:pt>
              </c:strCache>
            </c:strRef>
          </c:tx>
          <c:spPr>
            <a:ln w="381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VEICL!$B$35:$F$35</c:f>
              <c:numCache>
                <c:formatCode>#,##0.00</c:formatCode>
                <c:ptCount val="5"/>
                <c:pt idx="0">
                  <c:v>86.226513730434519</c:v>
                </c:pt>
                <c:pt idx="1">
                  <c:v>87.394716326636072</c:v>
                </c:pt>
                <c:pt idx="2">
                  <c:v>86.141600480354114</c:v>
                </c:pt>
                <c:pt idx="3">
                  <c:v>75.417886203205356</c:v>
                </c:pt>
                <c:pt idx="4">
                  <c:v>66.07091132374029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62-4785-969B-56DD32B8E4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616576"/>
        <c:axId val="116626560"/>
      </c:lineChart>
      <c:catAx>
        <c:axId val="116616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6626560"/>
        <c:crosses val="autoZero"/>
        <c:auto val="1"/>
        <c:lblAlgn val="ctr"/>
        <c:lblOffset val="100"/>
        <c:noMultiLvlLbl val="0"/>
      </c:catAx>
      <c:valAx>
        <c:axId val="116626560"/>
        <c:scaling>
          <c:orientation val="minMax"/>
          <c:max val="140"/>
          <c:min val="8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Mortes/100 mil veículos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6616576"/>
        <c:crosses val="autoZero"/>
        <c:crossBetween val="between"/>
        <c:majorUnit val="20"/>
      </c:valAx>
      <c:spPr>
        <a:ln w="3175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Acre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GRAF_TOT!$A$5</c:f>
              <c:strCache>
                <c:ptCount val="1"/>
                <c:pt idx="0">
                  <c:v>Acre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GRAF_TOT!$B$5:$F$5</c:f>
              <c:numCache>
                <c:formatCode>#,##0.00</c:formatCode>
                <c:ptCount val="5"/>
                <c:pt idx="0">
                  <c:v>60.580812704081495</c:v>
                </c:pt>
                <c:pt idx="1">
                  <c:v>57.145053874874257</c:v>
                </c:pt>
                <c:pt idx="2">
                  <c:v>61.622473869153353</c:v>
                </c:pt>
                <c:pt idx="3">
                  <c:v>50.528436004315623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C2-4AF2-9AEC-5FA8FADA8F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562944"/>
        <c:axId val="114564480"/>
      </c:lineChart>
      <c:catAx>
        <c:axId val="114562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4564480"/>
        <c:crosses val="autoZero"/>
        <c:auto val="1"/>
        <c:lblAlgn val="ctr"/>
        <c:lblOffset val="100"/>
        <c:noMultiLvlLbl val="0"/>
      </c:catAx>
      <c:valAx>
        <c:axId val="114564480"/>
        <c:scaling>
          <c:orientation val="minMax"/>
          <c:max val="90"/>
          <c:min val="5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Mortes/bilhão</a:t>
                </a:r>
                <a:r>
                  <a:rPr lang="pt-BR" sz="1200" baseline="0"/>
                  <a:t> de veic.km</a:t>
                </a:r>
                <a:endParaRPr lang="pt-BR" sz="1200"/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4562944"/>
        <c:crosses val="autoZero"/>
        <c:crossBetween val="between"/>
        <c:majorUnit val="10"/>
      </c:valAx>
      <c:spPr>
        <a:ln w="3175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Amapá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GRAF_TOT!$A$6</c:f>
              <c:strCache>
                <c:ptCount val="1"/>
                <c:pt idx="0">
                  <c:v>Amapá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GRAF_TOT!$B$6:$F$6</c:f>
              <c:numCache>
                <c:formatCode>#,##0.00</c:formatCode>
                <c:ptCount val="5"/>
                <c:pt idx="0">
                  <c:v>52.806405052168515</c:v>
                </c:pt>
                <c:pt idx="1">
                  <c:v>53.251059702799004</c:v>
                </c:pt>
                <c:pt idx="2">
                  <c:v>58.911619379056383</c:v>
                </c:pt>
                <c:pt idx="3">
                  <c:v>39.912310749223145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79-45D5-93FE-A241B6FEB1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357952"/>
        <c:axId val="111359488"/>
      </c:lineChart>
      <c:catAx>
        <c:axId val="111357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1359488"/>
        <c:crosses val="autoZero"/>
        <c:auto val="1"/>
        <c:lblAlgn val="ctr"/>
        <c:lblOffset val="100"/>
        <c:noMultiLvlLbl val="0"/>
      </c:catAx>
      <c:valAx>
        <c:axId val="111359488"/>
        <c:scaling>
          <c:orientation val="minMax"/>
          <c:max val="110"/>
          <c:min val="3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Mortes/bilhão de veic.km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1357952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Amazonas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GRAF_TOT!$A$7</c:f>
              <c:strCache>
                <c:ptCount val="1"/>
                <c:pt idx="0">
                  <c:v>Amazonas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GRAF_TOT!$B$7:$F$7</c:f>
              <c:numCache>
                <c:formatCode>#,##0.00</c:formatCode>
                <c:ptCount val="5"/>
                <c:pt idx="0">
                  <c:v>40.45893557462017</c:v>
                </c:pt>
                <c:pt idx="1">
                  <c:v>50.246207503553158</c:v>
                </c:pt>
                <c:pt idx="2">
                  <c:v>48.416360821514147</c:v>
                </c:pt>
                <c:pt idx="3">
                  <c:v>41.04470859312552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4D-4037-A528-2B2208DFFE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620288"/>
        <c:axId val="114621824"/>
      </c:lineChart>
      <c:catAx>
        <c:axId val="114620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4621824"/>
        <c:crosses val="autoZero"/>
        <c:auto val="1"/>
        <c:lblAlgn val="ctr"/>
        <c:lblOffset val="100"/>
        <c:noMultiLvlLbl val="0"/>
      </c:catAx>
      <c:valAx>
        <c:axId val="114621824"/>
        <c:scaling>
          <c:orientation val="minMax"/>
          <c:max val="7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Mortes/bilhão de veic.km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4620288"/>
        <c:crosses val="autoZero"/>
        <c:crossBetween val="between"/>
        <c:majorUnit val="10"/>
      </c:valAx>
      <c:spPr>
        <a:ln w="3175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Pará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GRAF_TOT!$A$8</c:f>
              <c:strCache>
                <c:ptCount val="1"/>
                <c:pt idx="0">
                  <c:v>Pará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GRAF_TOT!$B$8:$F$8</c:f>
              <c:numCache>
                <c:formatCode>#,##0.00</c:formatCode>
                <c:ptCount val="5"/>
                <c:pt idx="0">
                  <c:v>64.895170641801073</c:v>
                </c:pt>
                <c:pt idx="1">
                  <c:v>74.73655490008268</c:v>
                </c:pt>
                <c:pt idx="2">
                  <c:v>66.770543810762803</c:v>
                </c:pt>
                <c:pt idx="3">
                  <c:v>64.273818260982523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EC-4BCE-AF12-23C4EF0EF6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716672"/>
        <c:axId val="114718208"/>
      </c:lineChart>
      <c:catAx>
        <c:axId val="114716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4718208"/>
        <c:crosses val="autoZero"/>
        <c:auto val="1"/>
        <c:lblAlgn val="ctr"/>
        <c:lblOffset val="100"/>
        <c:noMultiLvlLbl val="0"/>
      </c:catAx>
      <c:valAx>
        <c:axId val="114718208"/>
        <c:scaling>
          <c:orientation val="minMax"/>
          <c:max val="110"/>
          <c:min val="7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Mortes/bilhão de veic.km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4716672"/>
        <c:crosses val="autoZero"/>
        <c:crossBetween val="between"/>
        <c:majorUnit val="10"/>
      </c:valAx>
      <c:spPr>
        <a:ln w="3175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Rondônia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GRAF_TOT!$A$9</c:f>
              <c:strCache>
                <c:ptCount val="1"/>
                <c:pt idx="0">
                  <c:v>Rondônia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GRAF_TOT!$B$9:$F$9</c:f>
              <c:numCache>
                <c:formatCode>#,##0.00</c:formatCode>
                <c:ptCount val="5"/>
                <c:pt idx="0">
                  <c:v>61.879304441709152</c:v>
                </c:pt>
                <c:pt idx="1">
                  <c:v>67.090830837959714</c:v>
                </c:pt>
                <c:pt idx="2">
                  <c:v>61.441338634516249</c:v>
                </c:pt>
                <c:pt idx="3">
                  <c:v>66.226425876853952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EC-4C01-B2B0-1E5A0941C5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763648"/>
        <c:axId val="114765184"/>
      </c:lineChart>
      <c:catAx>
        <c:axId val="114763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4765184"/>
        <c:crosses val="autoZero"/>
        <c:auto val="1"/>
        <c:lblAlgn val="ctr"/>
        <c:lblOffset val="100"/>
        <c:noMultiLvlLbl val="0"/>
      </c:catAx>
      <c:valAx>
        <c:axId val="114765184"/>
        <c:scaling>
          <c:orientation val="minMax"/>
          <c:max val="80"/>
          <c:min val="5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Mortes/bilhão de veic.km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4763648"/>
        <c:crosses val="autoZero"/>
        <c:crossBetween val="between"/>
        <c:majorUnit val="10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Roraima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GRAF_TOT!$A$10</c:f>
              <c:strCache>
                <c:ptCount val="1"/>
                <c:pt idx="0">
                  <c:v>Roraima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GRAF_TOT!$B$10:$F$10</c:f>
              <c:numCache>
                <c:formatCode>#,##0.00</c:formatCode>
                <c:ptCount val="5"/>
                <c:pt idx="0">
                  <c:v>76.581625090385202</c:v>
                </c:pt>
                <c:pt idx="1">
                  <c:v>70.133806089867534</c:v>
                </c:pt>
                <c:pt idx="2">
                  <c:v>68.261468448644123</c:v>
                </c:pt>
                <c:pt idx="3">
                  <c:v>69.357024764846102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9D-4724-931B-2410827AB9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794496"/>
        <c:axId val="114796032"/>
      </c:lineChart>
      <c:catAx>
        <c:axId val="114794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4796032"/>
        <c:crosses val="autoZero"/>
        <c:auto val="1"/>
        <c:lblAlgn val="ctr"/>
        <c:lblOffset val="100"/>
        <c:noMultiLvlLbl val="0"/>
      </c:catAx>
      <c:valAx>
        <c:axId val="114796032"/>
        <c:scaling>
          <c:orientation val="minMax"/>
          <c:max val="140"/>
          <c:min val="7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Mortes/bilhão de veic.km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4794496"/>
        <c:crosses val="autoZero"/>
        <c:crossBetween val="between"/>
        <c:majorUnit val="10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Tocantins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GRAF_TOT!$A$11</c:f>
              <c:strCache>
                <c:ptCount val="1"/>
                <c:pt idx="0">
                  <c:v>Tocantins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GRAF_TOT!$B$11:$F$11</c:f>
              <c:numCache>
                <c:formatCode>#,##0.00</c:formatCode>
                <c:ptCount val="5"/>
                <c:pt idx="0">
                  <c:v>74.916719274056945</c:v>
                </c:pt>
                <c:pt idx="1">
                  <c:v>75.006725529793059</c:v>
                </c:pt>
                <c:pt idx="2">
                  <c:v>71.257133699634267</c:v>
                </c:pt>
                <c:pt idx="3">
                  <c:v>64.881143222824164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16-4B18-A1B4-08BC601FB7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816896"/>
        <c:axId val="114818432"/>
      </c:lineChart>
      <c:catAx>
        <c:axId val="114816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4818432"/>
        <c:crosses val="autoZero"/>
        <c:auto val="1"/>
        <c:lblAlgn val="ctr"/>
        <c:lblOffset val="100"/>
        <c:noMultiLvlLbl val="0"/>
      </c:catAx>
      <c:valAx>
        <c:axId val="114818432"/>
        <c:scaling>
          <c:orientation val="minMax"/>
          <c:max val="130"/>
          <c:min val="7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Mortes/bilhão</a:t>
                </a:r>
                <a:r>
                  <a:rPr lang="pt-BR" sz="1200" baseline="0"/>
                  <a:t> de veic.km</a:t>
                </a:r>
                <a:endParaRPr lang="pt-BR" sz="1200"/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4816896"/>
        <c:crosses val="autoZero"/>
        <c:crossBetween val="between"/>
        <c:majorUnit val="10"/>
      </c:valAx>
      <c:spPr>
        <a:ln w="3175">
          <a:solidFill>
            <a:schemeClr val="tx1">
              <a:lumMod val="95000"/>
              <a:lumOff val="5000"/>
            </a:scheme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Alagoas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GRAF_TOT!$A$13</c:f>
              <c:strCache>
                <c:ptCount val="1"/>
                <c:pt idx="0">
                  <c:v>Alagoas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GRAF_TOT!$B$13:$F$13</c:f>
              <c:numCache>
                <c:formatCode>#,##0.00</c:formatCode>
                <c:ptCount val="5"/>
                <c:pt idx="0">
                  <c:v>126.21656178900706</c:v>
                </c:pt>
                <c:pt idx="1">
                  <c:v>127.11658016066335</c:v>
                </c:pt>
                <c:pt idx="2">
                  <c:v>120.9491222124268</c:v>
                </c:pt>
                <c:pt idx="3">
                  <c:v>105.82312268814296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D9-4ADE-97C4-BDD96696B2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912128"/>
        <c:axId val="116913664"/>
      </c:lineChart>
      <c:catAx>
        <c:axId val="116912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6913664"/>
        <c:crosses val="autoZero"/>
        <c:auto val="1"/>
        <c:lblAlgn val="ctr"/>
        <c:lblOffset val="100"/>
        <c:noMultiLvlLbl val="0"/>
      </c:catAx>
      <c:valAx>
        <c:axId val="116913664"/>
        <c:scaling>
          <c:orientation val="minMax"/>
          <c:max val="160"/>
          <c:min val="11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Mortes/bilhão de veic.km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6912128"/>
        <c:crosses val="autoZero"/>
        <c:crossBetween val="between"/>
        <c:majorUnit val="10"/>
      </c:valAx>
      <c:spPr>
        <a:ln w="3175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Bahia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GRAF_TOT!$A$14</c:f>
              <c:strCache>
                <c:ptCount val="1"/>
                <c:pt idx="0">
                  <c:v>Bahia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GRAF_TOT!$B$14:$F$14</c:f>
              <c:numCache>
                <c:formatCode>#,##0.00</c:formatCode>
                <c:ptCount val="5"/>
                <c:pt idx="0">
                  <c:v>59.389401424063209</c:v>
                </c:pt>
                <c:pt idx="1">
                  <c:v>74.121763185967197</c:v>
                </c:pt>
                <c:pt idx="2">
                  <c:v>67.85183092614858</c:v>
                </c:pt>
                <c:pt idx="3">
                  <c:v>65.777244631779013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18-4AA6-A7A7-D447FD24F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081984"/>
        <c:axId val="117083520"/>
      </c:lineChart>
      <c:catAx>
        <c:axId val="117081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7083520"/>
        <c:crosses val="autoZero"/>
        <c:auto val="1"/>
        <c:lblAlgn val="ctr"/>
        <c:lblOffset val="100"/>
        <c:noMultiLvlLbl val="0"/>
      </c:catAx>
      <c:valAx>
        <c:axId val="117083520"/>
        <c:scaling>
          <c:orientation val="minMax"/>
          <c:max val="100"/>
          <c:min val="6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Mortes/bilhão de veic.km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7081984"/>
        <c:crosses val="autoZero"/>
        <c:crossBetween val="between"/>
        <c:majorUnit val="10"/>
      </c:valAx>
      <c:spPr>
        <a:ln w="3175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Ceará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GRAF_TOT!$A$15</c:f>
              <c:strCache>
                <c:ptCount val="1"/>
                <c:pt idx="0">
                  <c:v>Ceará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GRAF_TOT!$B$15:$F$15</c:f>
              <c:numCache>
                <c:formatCode>#,##0.00</c:formatCode>
                <c:ptCount val="5"/>
                <c:pt idx="0">
                  <c:v>87.414276859853416</c:v>
                </c:pt>
                <c:pt idx="1">
                  <c:v>98.185049616271556</c:v>
                </c:pt>
                <c:pt idx="2">
                  <c:v>89.890178268564256</c:v>
                </c:pt>
                <c:pt idx="3">
                  <c:v>92.362812529116027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9C-4F7D-AF17-E6A47ABE1F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661696"/>
        <c:axId val="117663232"/>
      </c:lineChart>
      <c:catAx>
        <c:axId val="117661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7663232"/>
        <c:crosses val="autoZero"/>
        <c:auto val="1"/>
        <c:lblAlgn val="ctr"/>
        <c:lblOffset val="100"/>
        <c:noMultiLvlLbl val="0"/>
      </c:catAx>
      <c:valAx>
        <c:axId val="117663232"/>
        <c:scaling>
          <c:orientation val="minMax"/>
          <c:max val="160"/>
          <c:min val="9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Mortes/bilhão de veic.km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7661696"/>
        <c:crosses val="autoZero"/>
        <c:crossBetween val="between"/>
        <c:majorUnit val="10"/>
      </c:valAx>
      <c:spPr>
        <a:ln w="3175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Maranhão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GRAF_TOT!$A$16</c:f>
              <c:strCache>
                <c:ptCount val="1"/>
                <c:pt idx="0">
                  <c:v>Maranhão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GRAF_TOT!$B$16:$F$16</c:f>
              <c:numCache>
                <c:formatCode>#,##0.00</c:formatCode>
                <c:ptCount val="5"/>
                <c:pt idx="0">
                  <c:v>109.72309229216644</c:v>
                </c:pt>
                <c:pt idx="1">
                  <c:v>103.55776849232811</c:v>
                </c:pt>
                <c:pt idx="2">
                  <c:v>103.61290461588878</c:v>
                </c:pt>
                <c:pt idx="3">
                  <c:v>98.600961169252656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55-4499-B892-F7D46C68F6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688192"/>
        <c:axId val="117689728"/>
      </c:lineChart>
      <c:catAx>
        <c:axId val="117688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7689728"/>
        <c:crosses val="autoZero"/>
        <c:auto val="1"/>
        <c:lblAlgn val="ctr"/>
        <c:lblOffset val="100"/>
        <c:noMultiLvlLbl val="0"/>
      </c:catAx>
      <c:valAx>
        <c:axId val="117689728"/>
        <c:scaling>
          <c:orientation val="minMax"/>
          <c:max val="160"/>
          <c:min val="10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Mortes/bilhão de veic.km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7688192"/>
        <c:crosses val="autoZero"/>
        <c:crossBetween val="between"/>
        <c:majorUnit val="10"/>
      </c:valAx>
      <c:spPr>
        <a:ln w="3175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Paraíba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GRAF_TOT!$A$17</c:f>
              <c:strCache>
                <c:ptCount val="1"/>
                <c:pt idx="0">
                  <c:v>Paraíba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GRAF_TOT!$B$17:$F$17</c:f>
              <c:numCache>
                <c:formatCode>#,##0.00</c:formatCode>
                <c:ptCount val="5"/>
                <c:pt idx="0">
                  <c:v>88.353209147742191</c:v>
                </c:pt>
                <c:pt idx="1">
                  <c:v>81.628092778416672</c:v>
                </c:pt>
                <c:pt idx="2">
                  <c:v>69.93364373091697</c:v>
                </c:pt>
                <c:pt idx="3">
                  <c:v>77.18054836496546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E5-44F0-A77D-2AEDD5BB2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124544"/>
        <c:axId val="118126080"/>
      </c:lineChart>
      <c:catAx>
        <c:axId val="118124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8126080"/>
        <c:crosses val="autoZero"/>
        <c:auto val="1"/>
        <c:lblAlgn val="ctr"/>
        <c:lblOffset val="100"/>
        <c:noMultiLvlLbl val="0"/>
      </c:catAx>
      <c:valAx>
        <c:axId val="118126080"/>
        <c:scaling>
          <c:orientation val="minMax"/>
          <c:max val="120"/>
          <c:min val="9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Mortes/bilhão de veic.km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8124544"/>
        <c:crosses val="autoZero"/>
        <c:crossBetween val="between"/>
        <c:majorUnit val="10"/>
      </c:valAx>
      <c:spPr>
        <a:ln w="3175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Pernambuco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GRAF_TOT!$A$18</c:f>
              <c:strCache>
                <c:ptCount val="1"/>
                <c:pt idx="0">
                  <c:v>Pernambuco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GRAF_TOT!$B$18:$F$18</c:f>
              <c:numCache>
                <c:formatCode>#,##0.00</c:formatCode>
                <c:ptCount val="5"/>
                <c:pt idx="0">
                  <c:v>91.039666633478745</c:v>
                </c:pt>
                <c:pt idx="1">
                  <c:v>85.228533013382815</c:v>
                </c:pt>
                <c:pt idx="2">
                  <c:v>77.029086975493371</c:v>
                </c:pt>
                <c:pt idx="3">
                  <c:v>70.990937874127255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BA-4B99-BC42-B9039D94D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151040"/>
        <c:axId val="118152576"/>
      </c:lineChart>
      <c:catAx>
        <c:axId val="118151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8152576"/>
        <c:crosses val="autoZero"/>
        <c:auto val="1"/>
        <c:lblAlgn val="ctr"/>
        <c:lblOffset val="100"/>
        <c:noMultiLvlLbl val="0"/>
      </c:catAx>
      <c:valAx>
        <c:axId val="118152576"/>
        <c:scaling>
          <c:orientation val="minMax"/>
          <c:max val="110"/>
          <c:min val="7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Mortes/bilhão de veic.km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8151040"/>
        <c:crosses val="autoZero"/>
        <c:crossBetween val="between"/>
        <c:majorUnit val="10"/>
      </c:valAx>
      <c:spPr>
        <a:ln w="3175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Piauí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GRAF_TOT!$A$19</c:f>
              <c:strCache>
                <c:ptCount val="1"/>
                <c:pt idx="0">
                  <c:v>Piauí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GRAF_TOT!$B$19:$F$19</c:f>
              <c:numCache>
                <c:formatCode>#,##0.00</c:formatCode>
                <c:ptCount val="5"/>
                <c:pt idx="0">
                  <c:v>127.69799244430486</c:v>
                </c:pt>
                <c:pt idx="1">
                  <c:v>123.78292293094962</c:v>
                </c:pt>
                <c:pt idx="2">
                  <c:v>120.23241906125917</c:v>
                </c:pt>
                <c:pt idx="3">
                  <c:v>108.73951542278395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96-4BFB-9E7D-4DB34EDE1A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198272"/>
        <c:axId val="118199808"/>
      </c:lineChart>
      <c:catAx>
        <c:axId val="118198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8199808"/>
        <c:crosses val="autoZero"/>
        <c:auto val="1"/>
        <c:lblAlgn val="ctr"/>
        <c:lblOffset val="100"/>
        <c:noMultiLvlLbl val="0"/>
      </c:catAx>
      <c:valAx>
        <c:axId val="118199808"/>
        <c:scaling>
          <c:orientation val="minMax"/>
          <c:max val="180"/>
          <c:min val="14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Mortes/bilhão de veic.km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8198272"/>
        <c:crosses val="autoZero"/>
        <c:crossBetween val="between"/>
        <c:majorUnit val="10"/>
      </c:valAx>
      <c:spPr>
        <a:ln w="3175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Rio Grande do Norte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GRAF_TOT!$A$20</c:f>
              <c:strCache>
                <c:ptCount val="1"/>
                <c:pt idx="0">
                  <c:v>Rio Grande do Norte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GRAF_TOT!$B$20:$F$20</c:f>
              <c:numCache>
                <c:formatCode>#,##0.00</c:formatCode>
                <c:ptCount val="5"/>
                <c:pt idx="0">
                  <c:v>56.706595269995972</c:v>
                </c:pt>
                <c:pt idx="1">
                  <c:v>65.515785446387611</c:v>
                </c:pt>
                <c:pt idx="2">
                  <c:v>53.289581884030049</c:v>
                </c:pt>
                <c:pt idx="3">
                  <c:v>47.759013413159124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77-4858-B0C7-020F69F3AB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26176"/>
        <c:axId val="118627712"/>
      </c:lineChart>
      <c:catAx>
        <c:axId val="118626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8627712"/>
        <c:crosses val="autoZero"/>
        <c:auto val="1"/>
        <c:lblAlgn val="ctr"/>
        <c:lblOffset val="100"/>
        <c:noMultiLvlLbl val="0"/>
      </c:catAx>
      <c:valAx>
        <c:axId val="118627712"/>
        <c:scaling>
          <c:orientation val="minMax"/>
          <c:max val="80"/>
          <c:min val="5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Mortes/bilhão de veic.km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8626176"/>
        <c:crosses val="autoZero"/>
        <c:crossBetween val="between"/>
        <c:majorUnit val="10"/>
      </c:valAx>
      <c:spPr>
        <a:ln w="3175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Sergipe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GRAF_TOT!$A$21</c:f>
              <c:strCache>
                <c:ptCount val="1"/>
                <c:pt idx="0">
                  <c:v>Sergipe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GRAF_TOT!$B$21:$F$21</c:f>
              <c:numCache>
                <c:formatCode>#,##0.00</c:formatCode>
                <c:ptCount val="5"/>
                <c:pt idx="0">
                  <c:v>98.789356793334775</c:v>
                </c:pt>
                <c:pt idx="1">
                  <c:v>101.86185844929328</c:v>
                </c:pt>
                <c:pt idx="2">
                  <c:v>88.055675302305247</c:v>
                </c:pt>
                <c:pt idx="3">
                  <c:v>87.607658078562764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CE-45E4-9BB0-21224E26F3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77504"/>
        <c:axId val="118679040"/>
      </c:lineChart>
      <c:catAx>
        <c:axId val="118677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8679040"/>
        <c:crosses val="autoZero"/>
        <c:auto val="1"/>
        <c:lblAlgn val="ctr"/>
        <c:lblOffset val="100"/>
        <c:noMultiLvlLbl val="0"/>
      </c:catAx>
      <c:valAx>
        <c:axId val="118679040"/>
        <c:scaling>
          <c:orientation val="minMax"/>
          <c:max val="130"/>
          <c:min val="8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Mortes/bilhão de veic.km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8677504"/>
        <c:crosses val="autoZero"/>
        <c:crossBetween val="between"/>
        <c:majorUnit val="10"/>
      </c:valAx>
      <c:spPr>
        <a:ln w="3175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Espírito Santo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GRAF_TOT!$A$23</c:f>
              <c:strCache>
                <c:ptCount val="1"/>
                <c:pt idx="0">
                  <c:v>Espírito Santo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GRAF_TOT!$B$23:$F$23</c:f>
              <c:numCache>
                <c:formatCode>#,##0.00</c:formatCode>
                <c:ptCount val="5"/>
                <c:pt idx="0">
                  <c:v>77.945784401925593</c:v>
                </c:pt>
                <c:pt idx="1">
                  <c:v>82.510033291374668</c:v>
                </c:pt>
                <c:pt idx="2">
                  <c:v>75.588369172687365</c:v>
                </c:pt>
                <c:pt idx="3">
                  <c:v>69.360389861280126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2D-4CA9-BF4F-88159E1842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04000"/>
        <c:axId val="118705536"/>
      </c:lineChart>
      <c:catAx>
        <c:axId val="118704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8705536"/>
        <c:crosses val="autoZero"/>
        <c:auto val="1"/>
        <c:lblAlgn val="ctr"/>
        <c:lblOffset val="100"/>
        <c:noMultiLvlLbl val="0"/>
      </c:catAx>
      <c:valAx>
        <c:axId val="118705536"/>
        <c:scaling>
          <c:orientation val="minMax"/>
          <c:max val="110"/>
          <c:min val="7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Mortes/bilhão de veic.km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8704000"/>
        <c:crosses val="autoZero"/>
        <c:crossBetween val="between"/>
        <c:majorUnit val="10"/>
      </c:valAx>
      <c:spPr>
        <a:ln w="3175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Minas Gerais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GRAF_TOT!$A$24</c:f>
              <c:strCache>
                <c:ptCount val="1"/>
                <c:pt idx="0">
                  <c:v>Minas Gerais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GRAF_TOT!$B$24:$F$24</c:f>
              <c:numCache>
                <c:formatCode>#,##0.00</c:formatCode>
                <c:ptCount val="5"/>
                <c:pt idx="0">
                  <c:v>50.66836893725295</c:v>
                </c:pt>
                <c:pt idx="1">
                  <c:v>49.921706065738178</c:v>
                </c:pt>
                <c:pt idx="2">
                  <c:v>49.052265221226712</c:v>
                </c:pt>
                <c:pt idx="3">
                  <c:v>45.223968131741927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CA-4D8F-AC2D-E793F2BD89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43040"/>
        <c:axId val="118744576"/>
      </c:lineChart>
      <c:catAx>
        <c:axId val="118743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8744576"/>
        <c:crosses val="autoZero"/>
        <c:auto val="1"/>
        <c:lblAlgn val="ctr"/>
        <c:lblOffset val="100"/>
        <c:noMultiLvlLbl val="0"/>
      </c:catAx>
      <c:valAx>
        <c:axId val="118744576"/>
        <c:scaling>
          <c:orientation val="minMax"/>
          <c:max val="7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Mortes/bilhão de veic.km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8743040"/>
        <c:crosses val="autoZero"/>
        <c:crossBetween val="between"/>
        <c:majorUnit val="10"/>
      </c:valAx>
      <c:spPr>
        <a:ln w="3175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Rio de Janeiro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GRAF_TOT!$A$25</c:f>
              <c:strCache>
                <c:ptCount val="1"/>
                <c:pt idx="0">
                  <c:v>Rio de Janeiro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bg1">
                  <a:lumMod val="85000"/>
                </a:schemeClr>
              </a:solidFill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GRAF_TOT!$B$25:$F$25</c:f>
              <c:numCache>
                <c:formatCode>#,##0.00</c:formatCode>
                <c:ptCount val="5"/>
                <c:pt idx="0">
                  <c:v>44.980154170670126</c:v>
                </c:pt>
                <c:pt idx="1">
                  <c:v>52.428711649715972</c:v>
                </c:pt>
                <c:pt idx="2">
                  <c:v>45.881403193876267</c:v>
                </c:pt>
                <c:pt idx="3">
                  <c:v>48.681519992994154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39-4032-A31A-7B99B4000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73632"/>
        <c:axId val="118775168"/>
      </c:lineChart>
      <c:catAx>
        <c:axId val="118773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8775168"/>
        <c:crosses val="autoZero"/>
        <c:auto val="1"/>
        <c:lblAlgn val="ctr"/>
        <c:lblOffset val="100"/>
        <c:noMultiLvlLbl val="0"/>
      </c:catAx>
      <c:valAx>
        <c:axId val="118775168"/>
        <c:scaling>
          <c:orientation val="minMax"/>
          <c:max val="80"/>
          <c:min val="3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Mortes/bilhão de veic.km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8773632"/>
        <c:crosses val="autoZero"/>
        <c:crossBetween val="between"/>
        <c:majorUnit val="10"/>
      </c:valAx>
      <c:spPr>
        <a:ln w="3175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São Paulo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GRAF_TOT!$A$26</c:f>
              <c:strCache>
                <c:ptCount val="1"/>
                <c:pt idx="0">
                  <c:v>São Paulo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GRAF_TOT!$B$26:$F$26</c:f>
              <c:numCache>
                <c:formatCode>#,##0.00</c:formatCode>
                <c:ptCount val="5"/>
                <c:pt idx="0">
                  <c:v>33.871336088244782</c:v>
                </c:pt>
                <c:pt idx="1">
                  <c:v>32.553852908371979</c:v>
                </c:pt>
                <c:pt idx="2">
                  <c:v>31.126948388559306</c:v>
                </c:pt>
                <c:pt idx="3">
                  <c:v>28.340955767166871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27-4BD3-A21D-6AC6B61A2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898688"/>
        <c:axId val="118900224"/>
      </c:lineChart>
      <c:catAx>
        <c:axId val="118898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8900224"/>
        <c:crosses val="autoZero"/>
        <c:auto val="1"/>
        <c:lblAlgn val="ctr"/>
        <c:lblOffset val="100"/>
        <c:noMultiLvlLbl val="0"/>
      </c:catAx>
      <c:valAx>
        <c:axId val="118900224"/>
        <c:scaling>
          <c:orientation val="minMax"/>
          <c:max val="60"/>
          <c:min val="3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Mortes/bilhão de veic.km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8898688"/>
        <c:crosses val="autoZero"/>
        <c:crossBetween val="between"/>
        <c:majorUnit val="10"/>
      </c:valAx>
      <c:spPr>
        <a:ln w="3175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Paraná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GRAF_TOT!$A$28</c:f>
              <c:strCache>
                <c:ptCount val="1"/>
                <c:pt idx="0">
                  <c:v>Paraná</c:v>
                </c:pt>
              </c:strCache>
            </c:strRef>
          </c:tx>
          <c:spPr>
            <a:ln w="38100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GRAF_TOT!$B$28:$F$28</c:f>
              <c:numCache>
                <c:formatCode>#,##0.00</c:formatCode>
                <c:ptCount val="5"/>
                <c:pt idx="0">
                  <c:v>68.948812741832583</c:v>
                </c:pt>
                <c:pt idx="1">
                  <c:v>65.451044350021931</c:v>
                </c:pt>
                <c:pt idx="2">
                  <c:v>59.251472325955625</c:v>
                </c:pt>
                <c:pt idx="3">
                  <c:v>57.755266806049733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34-46CA-871D-229D8B2ED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33376"/>
        <c:axId val="118934912"/>
      </c:lineChart>
      <c:catAx>
        <c:axId val="118933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8934912"/>
        <c:crosses val="autoZero"/>
        <c:auto val="1"/>
        <c:lblAlgn val="ctr"/>
        <c:lblOffset val="100"/>
        <c:noMultiLvlLbl val="0"/>
      </c:catAx>
      <c:valAx>
        <c:axId val="118934912"/>
        <c:scaling>
          <c:orientation val="minMax"/>
          <c:max val="100"/>
          <c:min val="6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Mortes/bilhão de veic.km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8933376"/>
        <c:crosses val="autoZero"/>
        <c:crossBetween val="between"/>
        <c:majorUnit val="10"/>
      </c:valAx>
      <c:spPr>
        <a:ln w="3175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Rio</a:t>
            </a:r>
            <a:r>
              <a:rPr lang="pt-BR" baseline="0"/>
              <a:t> Grande do Sul</a:t>
            </a:r>
            <a:endParaRPr lang="pt-BR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GRAF_TOT!$A$29</c:f>
              <c:strCache>
                <c:ptCount val="1"/>
                <c:pt idx="0">
                  <c:v>Rio Grande do Sul</c:v>
                </c:pt>
              </c:strCache>
            </c:strRef>
          </c:tx>
          <c:spPr>
            <a:ln w="38100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GRAF_TOT!$B$29:$F$29</c:f>
              <c:numCache>
                <c:formatCode>#,##0.00</c:formatCode>
                <c:ptCount val="5"/>
                <c:pt idx="0">
                  <c:v>42.591906538294616</c:v>
                </c:pt>
                <c:pt idx="1">
                  <c:v>42.888851929114416</c:v>
                </c:pt>
                <c:pt idx="2">
                  <c:v>38.20562875544433</c:v>
                </c:pt>
                <c:pt idx="3">
                  <c:v>36.20662324196671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2C-4918-BAC7-99723D017D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80608"/>
        <c:axId val="118982144"/>
      </c:lineChart>
      <c:catAx>
        <c:axId val="118980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8982144"/>
        <c:crosses val="autoZero"/>
        <c:auto val="1"/>
        <c:lblAlgn val="ctr"/>
        <c:lblOffset val="100"/>
        <c:noMultiLvlLbl val="0"/>
      </c:catAx>
      <c:valAx>
        <c:axId val="118982144"/>
        <c:scaling>
          <c:orientation val="minMax"/>
          <c:max val="6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Mortes/bilhão de veic.km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8980608"/>
        <c:crosses val="autoZero"/>
        <c:crossBetween val="between"/>
        <c:majorUnit val="10"/>
      </c:valAx>
      <c:spPr>
        <a:ln w="3175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Santa</a:t>
            </a:r>
            <a:r>
              <a:rPr lang="pt-BR" baseline="0"/>
              <a:t> Catarina</a:t>
            </a:r>
            <a:endParaRPr lang="pt-BR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GRAF_TOT!$A$30</c:f>
              <c:strCache>
                <c:ptCount val="1"/>
                <c:pt idx="0">
                  <c:v>Santa Catarina</c:v>
                </c:pt>
              </c:strCache>
            </c:strRef>
          </c:tx>
          <c:spPr>
            <a:ln w="38100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GRAF_TOT!$B$30:$F$30</c:f>
              <c:numCache>
                <c:formatCode>#,##0.00</c:formatCode>
                <c:ptCount val="5"/>
                <c:pt idx="0">
                  <c:v>53.074054148577261</c:v>
                </c:pt>
                <c:pt idx="1">
                  <c:v>48.170244558587974</c:v>
                </c:pt>
                <c:pt idx="2">
                  <c:v>49.044680391400462</c:v>
                </c:pt>
                <c:pt idx="3">
                  <c:v>43.807245783993459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8E-4244-9A1E-A37FEC9A5B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94816"/>
        <c:axId val="118996352"/>
      </c:lineChart>
      <c:catAx>
        <c:axId val="118994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8996352"/>
        <c:crosses val="autoZero"/>
        <c:auto val="1"/>
        <c:lblAlgn val="ctr"/>
        <c:lblOffset val="100"/>
        <c:noMultiLvlLbl val="0"/>
      </c:catAx>
      <c:valAx>
        <c:axId val="118996352"/>
        <c:scaling>
          <c:orientation val="minMax"/>
          <c:max val="80"/>
          <c:min val="5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Mortes/bilhão</a:t>
                </a:r>
                <a:r>
                  <a:rPr lang="pt-BR" sz="1200" baseline="0"/>
                  <a:t> de </a:t>
                </a:r>
                <a:r>
                  <a:rPr lang="pt-BR" sz="1200"/>
                  <a:t>veic.km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8994816"/>
        <c:crosses val="autoZero"/>
        <c:crossBetween val="between"/>
        <c:majorUnit val="10"/>
      </c:valAx>
      <c:spPr>
        <a:ln w="3175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Distrito Federal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GRAF_TOT!$A$32</c:f>
              <c:strCache>
                <c:ptCount val="1"/>
                <c:pt idx="0">
                  <c:v>Distrito Federal</c:v>
                </c:pt>
              </c:strCache>
            </c:strRef>
          </c:tx>
          <c:spPr>
            <a:ln w="381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GRAF_TOT!$B$32:$F$32</c:f>
              <c:numCache>
                <c:formatCode>#,##0.00</c:formatCode>
                <c:ptCount val="5"/>
                <c:pt idx="0">
                  <c:v>44.127427852649333</c:v>
                </c:pt>
                <c:pt idx="1">
                  <c:v>45.092469199936886</c:v>
                </c:pt>
                <c:pt idx="2">
                  <c:v>42.459912832063367</c:v>
                </c:pt>
                <c:pt idx="3">
                  <c:v>34.567971751398204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A8-4467-9B86-7B3596F0D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123968"/>
        <c:axId val="119125504"/>
      </c:lineChart>
      <c:catAx>
        <c:axId val="119123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9125504"/>
        <c:crosses val="autoZero"/>
        <c:auto val="1"/>
        <c:lblAlgn val="ctr"/>
        <c:lblOffset val="100"/>
        <c:noMultiLvlLbl val="0"/>
      </c:catAx>
      <c:valAx>
        <c:axId val="119125504"/>
        <c:scaling>
          <c:orientation val="minMax"/>
          <c:max val="7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Mortes/bilhão de veic.km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9123968"/>
        <c:crosses val="autoZero"/>
        <c:crossBetween val="between"/>
        <c:majorUnit val="10"/>
      </c:valAx>
      <c:spPr>
        <a:ln w="3175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Goiás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GRAF_TOT!$A$33</c:f>
              <c:strCache>
                <c:ptCount val="1"/>
                <c:pt idx="0">
                  <c:v>Goiás</c:v>
                </c:pt>
              </c:strCache>
            </c:strRef>
          </c:tx>
          <c:spPr>
            <a:ln w="381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GRAF_TOT!$B$33:$F$33</c:f>
              <c:numCache>
                <c:formatCode>#,##0.00</c:formatCode>
                <c:ptCount val="5"/>
                <c:pt idx="0">
                  <c:v>61.362279426386621</c:v>
                </c:pt>
                <c:pt idx="1">
                  <c:v>61.354676118471417</c:v>
                </c:pt>
                <c:pt idx="2">
                  <c:v>54.15946940233912</c:v>
                </c:pt>
                <c:pt idx="3">
                  <c:v>53.540938598303377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24-49A1-9F3A-57BD5371E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142272"/>
        <c:axId val="119143808"/>
      </c:lineChart>
      <c:catAx>
        <c:axId val="119142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9143808"/>
        <c:crosses val="autoZero"/>
        <c:auto val="1"/>
        <c:lblAlgn val="ctr"/>
        <c:lblOffset val="100"/>
        <c:noMultiLvlLbl val="0"/>
      </c:catAx>
      <c:valAx>
        <c:axId val="119143808"/>
        <c:scaling>
          <c:orientation val="minMax"/>
          <c:max val="90"/>
          <c:min val="5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Mortes/bilhão de veic.km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9142272"/>
        <c:crosses val="autoZero"/>
        <c:crossBetween val="between"/>
        <c:majorUnit val="10"/>
      </c:valAx>
      <c:spPr>
        <a:ln w="3175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Mato Grosso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GRAF_TOT!$A$34</c:f>
              <c:strCache>
                <c:ptCount val="1"/>
                <c:pt idx="0">
                  <c:v>Mato Grosso</c:v>
                </c:pt>
              </c:strCache>
            </c:strRef>
          </c:tx>
          <c:spPr>
            <a:ln w="381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GRAF_TOT!$B$34:$F$34</c:f>
              <c:numCache>
                <c:formatCode>#,##0.00</c:formatCode>
                <c:ptCount val="5"/>
                <c:pt idx="0">
                  <c:v>71.024828835045952</c:v>
                </c:pt>
                <c:pt idx="1">
                  <c:v>64.340445896427383</c:v>
                </c:pt>
                <c:pt idx="2">
                  <c:v>56.880851212351189</c:v>
                </c:pt>
                <c:pt idx="3">
                  <c:v>51.075241159273041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39-4189-8398-598C4A3A3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336960"/>
        <c:axId val="119338496"/>
      </c:lineChart>
      <c:catAx>
        <c:axId val="119336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9338496"/>
        <c:crosses val="autoZero"/>
        <c:auto val="1"/>
        <c:lblAlgn val="ctr"/>
        <c:lblOffset val="100"/>
        <c:noMultiLvlLbl val="0"/>
      </c:catAx>
      <c:valAx>
        <c:axId val="119338496"/>
        <c:scaling>
          <c:orientation val="minMax"/>
          <c:max val="100"/>
          <c:min val="6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Mortes/bilhão de veic.km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9336960"/>
        <c:crosses val="autoZero"/>
        <c:crossBetween val="between"/>
        <c:majorUnit val="10"/>
      </c:valAx>
      <c:spPr>
        <a:ln w="3175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Mato Grosso do Sul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GRAF_TOT!$A$35</c:f>
              <c:strCache>
                <c:ptCount val="1"/>
                <c:pt idx="0">
                  <c:v>Mato Grosso do Sul</c:v>
                </c:pt>
              </c:strCache>
            </c:strRef>
          </c:tx>
          <c:spPr>
            <a:ln w="381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</c:numCache>
            </c:numRef>
          </c:cat>
          <c:val>
            <c:numRef>
              <c:f>GRAF_TOT!$B$35:$F$35</c:f>
              <c:numCache>
                <c:formatCode>#,##0.00</c:formatCode>
                <c:ptCount val="5"/>
                <c:pt idx="0">
                  <c:v>61.671773112392003</c:v>
                </c:pt>
                <c:pt idx="1">
                  <c:v>60.9046418119527</c:v>
                </c:pt>
                <c:pt idx="2">
                  <c:v>60.212796120635311</c:v>
                </c:pt>
                <c:pt idx="3">
                  <c:v>51.534074919171474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DE-4FB3-84E7-0DCF4A8E37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502720"/>
        <c:axId val="119504256"/>
      </c:lineChart>
      <c:catAx>
        <c:axId val="119502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9504256"/>
        <c:crosses val="autoZero"/>
        <c:auto val="1"/>
        <c:lblAlgn val="ctr"/>
        <c:lblOffset val="100"/>
        <c:noMultiLvlLbl val="0"/>
      </c:catAx>
      <c:valAx>
        <c:axId val="119504256"/>
        <c:scaling>
          <c:orientation val="minMax"/>
          <c:max val="100"/>
          <c:min val="6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Mortes/bilhão de veic.km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19502720"/>
        <c:crosses val="autoZero"/>
        <c:crossBetween val="between"/>
        <c:majorUnit val="10"/>
      </c:valAx>
      <c:spPr>
        <a:ln w="3175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invertIfNegative val="0"/>
          <c:cat>
            <c:strRef>
              <c:f>APPENDIX!$U$172:$X$172</c:f>
              <c:strCache>
                <c:ptCount val="4"/>
                <c:pt idx="0">
                  <c:v>Veículo leve</c:v>
                </c:pt>
                <c:pt idx="1">
                  <c:v>Motocicleta</c:v>
                </c:pt>
                <c:pt idx="2">
                  <c:v>Caminhão</c:v>
                </c:pt>
                <c:pt idx="3">
                  <c:v>Ônibus</c:v>
                </c:pt>
              </c:strCache>
            </c:strRef>
          </c:cat>
          <c:val>
            <c:numRef>
              <c:f>APPENDIX!$U$173:$X$173</c:f>
              <c:numCache>
                <c:formatCode>#,##0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0-23C1-4BFE-B4B4-C7E1DDD5E9D7}"/>
            </c:ext>
          </c:extLst>
        </c:ser>
        <c:ser>
          <c:idx val="1"/>
          <c:order val="1"/>
          <c:spPr>
            <a:gradFill rotWithShape="1">
              <a:gsLst>
                <a:gs pos="0">
                  <a:schemeClr val="accent6">
                    <a:tint val="50000"/>
                    <a:satMod val="300000"/>
                  </a:schemeClr>
                </a:gs>
                <a:gs pos="35000">
                  <a:schemeClr val="accent6">
                    <a:tint val="37000"/>
                    <a:satMod val="300000"/>
                  </a:schemeClr>
                </a:gs>
                <a:gs pos="100000">
                  <a:schemeClr val="accent6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shade val="95000"/>
                  <a:satMod val="105000"/>
                </a:schemeClr>
              </a:solidFill>
              <a:prstDash val="solid"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APPENDIX!$U$172:$X$172</c:f>
              <c:strCache>
                <c:ptCount val="4"/>
                <c:pt idx="0">
                  <c:v>Veículo leve</c:v>
                </c:pt>
                <c:pt idx="1">
                  <c:v>Motocicleta</c:v>
                </c:pt>
                <c:pt idx="2">
                  <c:v>Caminhão</c:v>
                </c:pt>
                <c:pt idx="3">
                  <c:v>Ônibus</c:v>
                </c:pt>
              </c:strCache>
            </c:strRef>
          </c:cat>
          <c:val>
            <c:numRef>
              <c:f>APPENDIX!$U$174:$X$174</c:f>
              <c:numCache>
                <c:formatCode>#,##0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C1-4BFE-B4B4-C7E1DDD5E9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9282432"/>
        <c:axId val="109283968"/>
      </c:barChart>
      <c:catAx>
        <c:axId val="109282432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09283968"/>
        <c:crosses val="autoZero"/>
        <c:auto val="1"/>
        <c:lblAlgn val="ctr"/>
        <c:lblOffset val="100"/>
        <c:noMultiLvlLbl val="0"/>
      </c:catAx>
      <c:valAx>
        <c:axId val="109283968"/>
        <c:scaling>
          <c:orientation val="minMax"/>
          <c:max val="800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Distância anual média percorrida no período 2004-2008 (km)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09282432"/>
        <c:crosses val="autoZero"/>
        <c:crossBetween val="between"/>
      </c:valAx>
      <c:spPr>
        <a:ln w="3175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402" footer="0.31496062000000402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invertIfNegative val="0"/>
          <c:cat>
            <c:strRef>
              <c:f>KMA.FROT!$U$192:$X$192</c:f>
              <c:strCache>
                <c:ptCount val="4"/>
                <c:pt idx="0">
                  <c:v>Veículo leve</c:v>
                </c:pt>
                <c:pt idx="1">
                  <c:v>Motocicleta</c:v>
                </c:pt>
                <c:pt idx="2">
                  <c:v>Caminhão</c:v>
                </c:pt>
                <c:pt idx="3">
                  <c:v>Ônibus</c:v>
                </c:pt>
              </c:strCache>
            </c:strRef>
          </c:cat>
          <c:val>
            <c:numRef>
              <c:f>KMA.FROT!$U$193:$X$193</c:f>
              <c:numCache>
                <c:formatCode>#,##0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0-54E0-4F1C-A670-9A3EF071E795}"/>
            </c:ext>
          </c:extLst>
        </c:ser>
        <c:ser>
          <c:idx val="1"/>
          <c:order val="1"/>
          <c:spPr>
            <a:gradFill rotWithShape="1">
              <a:gsLst>
                <a:gs pos="0">
                  <a:schemeClr val="accent6">
                    <a:tint val="50000"/>
                    <a:satMod val="300000"/>
                  </a:schemeClr>
                </a:gs>
                <a:gs pos="35000">
                  <a:schemeClr val="accent6">
                    <a:tint val="37000"/>
                    <a:satMod val="300000"/>
                  </a:schemeClr>
                </a:gs>
                <a:gs pos="100000">
                  <a:schemeClr val="accent6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shade val="95000"/>
                  <a:satMod val="105000"/>
                </a:schemeClr>
              </a:solidFill>
              <a:prstDash val="solid"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KMA.FROT!$U$192:$X$192</c:f>
              <c:strCache>
                <c:ptCount val="4"/>
                <c:pt idx="0">
                  <c:v>Veículo leve</c:v>
                </c:pt>
                <c:pt idx="1">
                  <c:v>Motocicleta</c:v>
                </c:pt>
                <c:pt idx="2">
                  <c:v>Caminhão</c:v>
                </c:pt>
                <c:pt idx="3">
                  <c:v>Ônibus</c:v>
                </c:pt>
              </c:strCache>
            </c:strRef>
          </c:cat>
          <c:val>
            <c:numRef>
              <c:f>KMA.FROT!$U$194:$X$194</c:f>
              <c:numCache>
                <c:formatCode>#,##0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E0-4F1C-A670-9A3EF071E7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623680"/>
        <c:axId val="119625216"/>
      </c:barChart>
      <c:catAx>
        <c:axId val="11962368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19625216"/>
        <c:crosses val="autoZero"/>
        <c:auto val="1"/>
        <c:lblAlgn val="ctr"/>
        <c:lblOffset val="100"/>
        <c:noMultiLvlLbl val="0"/>
      </c:catAx>
      <c:valAx>
        <c:axId val="119625216"/>
        <c:scaling>
          <c:orientation val="minMax"/>
          <c:max val="800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Distância anual média percorrida no período 2004-2008 (km)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19623680"/>
        <c:crosses val="autoZero"/>
        <c:crossBetween val="between"/>
      </c:valAx>
      <c:spPr>
        <a:ln w="3175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402" footer="0.31496062000000402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Relação</a:t>
            </a:r>
            <a:r>
              <a:rPr lang="pt-BR" baseline="0"/>
              <a:t> entre a quilometragem anual média e o índice de motorização</a:t>
            </a:r>
            <a:endParaRPr lang="pt-BR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KMA!$T$153</c:f>
              <c:strCache>
                <c:ptCount val="1"/>
                <c:pt idx="0">
                  <c:v>Quilometragem média anual em 2008</c:v>
                </c:pt>
              </c:strCache>
            </c:strRef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ymbol val="circle"/>
            <c:size val="5"/>
            <c:spPr>
              <a:solidFill>
                <a:sysClr val="window" lastClr="FFFFFF"/>
              </a:solidFill>
              <a:ln>
                <a:solidFill>
                  <a:schemeClr val="tx1">
                    <a:lumMod val="65000"/>
                    <a:lumOff val="35000"/>
                  </a:schemeClr>
                </a:solidFill>
              </a:ln>
            </c:spPr>
          </c:marker>
          <c:cat>
            <c:strRef>
              <c:f>(KMA!$T$159:$T$165,KMA!$T$167:$T$175,KMA!$T$177:$T$180,KMA!$T$182:$T$184,KMA!$T$186:$T$189)</c:f>
              <c:strCache>
                <c:ptCount val="27"/>
                <c:pt idx="0">
                  <c:v>Acre</c:v>
                </c:pt>
                <c:pt idx="1">
                  <c:v>Amapá</c:v>
                </c:pt>
                <c:pt idx="2">
                  <c:v>Amazonas</c:v>
                </c:pt>
                <c:pt idx="3">
                  <c:v>Pará</c:v>
                </c:pt>
                <c:pt idx="4">
                  <c:v>Rondônia</c:v>
                </c:pt>
                <c:pt idx="5">
                  <c:v>Roraima</c:v>
                </c:pt>
                <c:pt idx="6">
                  <c:v>Tocantins</c:v>
                </c:pt>
                <c:pt idx="7">
                  <c:v>Alagoas</c:v>
                </c:pt>
                <c:pt idx="8">
                  <c:v>Bahia</c:v>
                </c:pt>
                <c:pt idx="9">
                  <c:v>Ceará</c:v>
                </c:pt>
                <c:pt idx="10">
                  <c:v>Maranhão</c:v>
                </c:pt>
                <c:pt idx="11">
                  <c:v>Paraíba</c:v>
                </c:pt>
                <c:pt idx="12">
                  <c:v>Pernambuco</c:v>
                </c:pt>
                <c:pt idx="13">
                  <c:v>Piauí</c:v>
                </c:pt>
                <c:pt idx="14">
                  <c:v>Rio Grande do Norte</c:v>
                </c:pt>
                <c:pt idx="15">
                  <c:v>Sergipe</c:v>
                </c:pt>
                <c:pt idx="16">
                  <c:v>Espírito Santo</c:v>
                </c:pt>
                <c:pt idx="17">
                  <c:v>Minas Gerais</c:v>
                </c:pt>
                <c:pt idx="18">
                  <c:v>Rio de Janeiro</c:v>
                </c:pt>
                <c:pt idx="19">
                  <c:v>São Paulo</c:v>
                </c:pt>
                <c:pt idx="20">
                  <c:v>Paraná</c:v>
                </c:pt>
                <c:pt idx="21">
                  <c:v>Rio Grande do Sul</c:v>
                </c:pt>
                <c:pt idx="22">
                  <c:v>Santa Catarina</c:v>
                </c:pt>
                <c:pt idx="23">
                  <c:v>Distrito Federal</c:v>
                </c:pt>
                <c:pt idx="24">
                  <c:v>Goiás</c:v>
                </c:pt>
                <c:pt idx="25">
                  <c:v>Mato Grosso</c:v>
                </c:pt>
                <c:pt idx="26">
                  <c:v>Mato Grosso do Sul</c:v>
                </c:pt>
              </c:strCache>
            </c:strRef>
          </c:cat>
          <c:val>
            <c:numRef>
              <c:f>(KMA!$U$159:$U$165,KMA!$U$167:$U$175,KMA!$U$177:$U$180,KMA!$U$182:$U$184,KMA!$U$186:$U$189)</c:f>
              <c:numCache>
                <c:formatCode>#,##0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67-4B18-8C77-2C4A5817ED34}"/>
            </c:ext>
          </c:extLst>
        </c:ser>
        <c:ser>
          <c:idx val="1"/>
          <c:order val="1"/>
          <c:tx>
            <c:v>Veic/100.000hab</c:v>
          </c:tx>
          <c:spPr>
            <a:ln>
              <a:solidFill>
                <a:srgbClr val="FF6600"/>
              </a:solidFill>
            </a:ln>
          </c:spPr>
          <c:marker>
            <c:symbol val="triangle"/>
            <c:size val="5"/>
            <c:spPr>
              <a:solidFill>
                <a:schemeClr val="bg1"/>
              </a:solidFill>
              <a:ln>
                <a:solidFill>
                  <a:schemeClr val="tx1">
                    <a:lumMod val="65000"/>
                    <a:lumOff val="35000"/>
                  </a:schemeClr>
                </a:solidFill>
              </a:ln>
            </c:spPr>
          </c:marker>
          <c:cat>
            <c:strRef>
              <c:f>(KMA!$T$159:$T$165,KMA!$T$167:$T$175,KMA!$T$177:$T$180,KMA!$T$182:$T$184,KMA!$T$186:$T$189)</c:f>
              <c:strCache>
                <c:ptCount val="27"/>
                <c:pt idx="0">
                  <c:v>Acre</c:v>
                </c:pt>
                <c:pt idx="1">
                  <c:v>Amapá</c:v>
                </c:pt>
                <c:pt idx="2">
                  <c:v>Amazonas</c:v>
                </c:pt>
                <c:pt idx="3">
                  <c:v>Pará</c:v>
                </c:pt>
                <c:pt idx="4">
                  <c:v>Rondônia</c:v>
                </c:pt>
                <c:pt idx="5">
                  <c:v>Roraima</c:v>
                </c:pt>
                <c:pt idx="6">
                  <c:v>Tocantins</c:v>
                </c:pt>
                <c:pt idx="7">
                  <c:v>Alagoas</c:v>
                </c:pt>
                <c:pt idx="8">
                  <c:v>Bahia</c:v>
                </c:pt>
                <c:pt idx="9">
                  <c:v>Ceará</c:v>
                </c:pt>
                <c:pt idx="10">
                  <c:v>Maranhão</c:v>
                </c:pt>
                <c:pt idx="11">
                  <c:v>Paraíba</c:v>
                </c:pt>
                <c:pt idx="12">
                  <c:v>Pernambuco</c:v>
                </c:pt>
                <c:pt idx="13">
                  <c:v>Piauí</c:v>
                </c:pt>
                <c:pt idx="14">
                  <c:v>Rio Grande do Norte</c:v>
                </c:pt>
                <c:pt idx="15">
                  <c:v>Sergipe</c:v>
                </c:pt>
                <c:pt idx="16">
                  <c:v>Espírito Santo</c:v>
                </c:pt>
                <c:pt idx="17">
                  <c:v>Minas Gerais</c:v>
                </c:pt>
                <c:pt idx="18">
                  <c:v>Rio de Janeiro</c:v>
                </c:pt>
                <c:pt idx="19">
                  <c:v>São Paulo</c:v>
                </c:pt>
                <c:pt idx="20">
                  <c:v>Paraná</c:v>
                </c:pt>
                <c:pt idx="21">
                  <c:v>Rio Grande do Sul</c:v>
                </c:pt>
                <c:pt idx="22">
                  <c:v>Santa Catarina</c:v>
                </c:pt>
                <c:pt idx="23">
                  <c:v>Distrito Federal</c:v>
                </c:pt>
                <c:pt idx="24">
                  <c:v>Goiás</c:v>
                </c:pt>
                <c:pt idx="25">
                  <c:v>Mato Grosso</c:v>
                </c:pt>
                <c:pt idx="26">
                  <c:v>Mato Grosso do Sul</c:v>
                </c:pt>
              </c:strCache>
            </c:strRef>
          </c:cat>
          <c:val>
            <c:numRef>
              <c:f>(KMA!$W$159:$W$165,KMA!$W$167:$W$175,KMA!$W$177:$W$180,KMA!$W$182:$W$184,KMA!$W$186:$W$189)</c:f>
              <c:numCache>
                <c:formatCode>General</c:formatCode>
                <c:ptCount val="27"/>
                <c:pt idx="0">
                  <c:v>16116.505139889396</c:v>
                </c:pt>
                <c:pt idx="1">
                  <c:v>13977.33722136329</c:v>
                </c:pt>
                <c:pt idx="2">
                  <c:v>12444.239854227475</c:v>
                </c:pt>
                <c:pt idx="3">
                  <c:v>9865.0507485290218</c:v>
                </c:pt>
                <c:pt idx="4">
                  <c:v>27988.920476229374</c:v>
                </c:pt>
                <c:pt idx="5">
                  <c:v>23286.811714629723</c:v>
                </c:pt>
                <c:pt idx="6">
                  <c:v>23957.035834968752</c:v>
                </c:pt>
                <c:pt idx="7">
                  <c:v>10729.396778380058</c:v>
                </c:pt>
                <c:pt idx="8">
                  <c:v>12182.484834589721</c:v>
                </c:pt>
                <c:pt idx="9">
                  <c:v>15408.601144046994</c:v>
                </c:pt>
                <c:pt idx="10">
                  <c:v>8832.884865195505</c:v>
                </c:pt>
                <c:pt idx="11">
                  <c:v>14381.47643647234</c:v>
                </c:pt>
                <c:pt idx="12">
                  <c:v>15787.409805644345</c:v>
                </c:pt>
                <c:pt idx="13">
                  <c:v>13869.0071503739</c:v>
                </c:pt>
                <c:pt idx="14">
                  <c:v>18670.274237629692</c:v>
                </c:pt>
                <c:pt idx="15">
                  <c:v>16186.266301352323</c:v>
                </c:pt>
                <c:pt idx="16">
                  <c:v>29593.953987204251</c:v>
                </c:pt>
                <c:pt idx="17">
                  <c:v>28720.268621695675</c:v>
                </c:pt>
                <c:pt idx="18">
                  <c:v>24181.700240959726</c:v>
                </c:pt>
                <c:pt idx="19">
                  <c:v>42607.277178781093</c:v>
                </c:pt>
                <c:pt idx="20">
                  <c:v>40613.166796488324</c:v>
                </c:pt>
                <c:pt idx="21">
                  <c:v>37351.387084584421</c:v>
                </c:pt>
                <c:pt idx="22">
                  <c:v>46610.614601657107</c:v>
                </c:pt>
                <c:pt idx="23">
                  <c:v>40601.441131130734</c:v>
                </c:pt>
                <c:pt idx="24">
                  <c:v>32622.400425936987</c:v>
                </c:pt>
                <c:pt idx="25">
                  <c:v>30439.235197779919</c:v>
                </c:pt>
                <c:pt idx="26">
                  <c:v>33380.80646970238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67-4B18-8C77-2C4A5817ED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255296"/>
        <c:axId val="109310720"/>
      </c:lineChart>
      <c:catAx>
        <c:axId val="1092552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09310720"/>
        <c:crosses val="autoZero"/>
        <c:auto val="1"/>
        <c:lblAlgn val="ctr"/>
        <c:lblOffset val="100"/>
        <c:noMultiLvlLbl val="0"/>
      </c:catAx>
      <c:valAx>
        <c:axId val="1093107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Veículos/100mil hab. </a:t>
                </a:r>
                <a:r>
                  <a:rPr lang="pt-BR" baseline="0"/>
                  <a:t>ou Quilometragem anual média</a:t>
                </a:r>
                <a:endParaRPr lang="pt-BR"/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09255296"/>
        <c:crosses val="autoZero"/>
        <c:crossBetween val="between"/>
      </c:valAx>
      <c:spPr>
        <a:noFill/>
        <a:ln w="3175">
          <a:solidFill>
            <a:schemeClr val="tx1"/>
          </a:solidFill>
        </a:ln>
      </c:spPr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702" footer="0.31496062000000702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Relação</a:t>
            </a:r>
            <a:r>
              <a:rPr lang="pt-BR" baseline="0"/>
              <a:t> entre o índice de mortes/10</a:t>
            </a:r>
            <a:r>
              <a:rPr lang="pt-BR" baseline="30000"/>
              <a:t>9</a:t>
            </a:r>
            <a:r>
              <a:rPr lang="pt-BR" baseline="0"/>
              <a:t>km percorridos e o índice de mortes/100mil veículos - 2004</a:t>
            </a:r>
            <a:endParaRPr lang="pt-BR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RELAÇ_ESTADOS!$A$2</c:f>
              <c:strCache>
                <c:ptCount val="1"/>
                <c:pt idx="0">
                  <c:v>Mortes/109km</c:v>
                </c:pt>
              </c:strCache>
            </c:strRef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ymbol val="circle"/>
            <c:size val="5"/>
            <c:spPr>
              <a:solidFill>
                <a:sysClr val="window" lastClr="FFFFFF"/>
              </a:solidFill>
              <a:ln>
                <a:solidFill>
                  <a:schemeClr val="tx1">
                    <a:lumMod val="65000"/>
                    <a:lumOff val="35000"/>
                  </a:schemeClr>
                </a:solidFill>
              </a:ln>
            </c:spPr>
          </c:marker>
          <c:cat>
            <c:strRef>
              <c:f>RELAÇ_ESTADOS!$H$3:$H$29</c:f>
              <c:strCache>
                <c:ptCount val="27"/>
                <c:pt idx="0">
                  <c:v>São Paulo</c:v>
                </c:pt>
                <c:pt idx="1">
                  <c:v>Rio Grande do Sul</c:v>
                </c:pt>
                <c:pt idx="2">
                  <c:v>Distrito Federal</c:v>
                </c:pt>
                <c:pt idx="3">
                  <c:v>Minas Gerais</c:v>
                </c:pt>
                <c:pt idx="4">
                  <c:v>Amazonas</c:v>
                </c:pt>
                <c:pt idx="5">
                  <c:v>Santa Catarina</c:v>
                </c:pt>
                <c:pt idx="6">
                  <c:v>Bahia</c:v>
                </c:pt>
                <c:pt idx="7">
                  <c:v>Rio de Janeiro</c:v>
                </c:pt>
                <c:pt idx="8">
                  <c:v>Rondônia</c:v>
                </c:pt>
                <c:pt idx="9">
                  <c:v>Roraima</c:v>
                </c:pt>
                <c:pt idx="10">
                  <c:v>Rio Grande do Norte</c:v>
                </c:pt>
                <c:pt idx="11">
                  <c:v>Acre</c:v>
                </c:pt>
                <c:pt idx="12">
                  <c:v>Goiás</c:v>
                </c:pt>
                <c:pt idx="13">
                  <c:v>Mato Grosso do Sul</c:v>
                </c:pt>
                <c:pt idx="14">
                  <c:v>Mato Grosso</c:v>
                </c:pt>
                <c:pt idx="15">
                  <c:v>Paraná</c:v>
                </c:pt>
                <c:pt idx="16">
                  <c:v>Espírito Santo</c:v>
                </c:pt>
                <c:pt idx="17">
                  <c:v>Amapá</c:v>
                </c:pt>
                <c:pt idx="18">
                  <c:v>Pará</c:v>
                </c:pt>
                <c:pt idx="19">
                  <c:v>Pernambuco</c:v>
                </c:pt>
                <c:pt idx="20">
                  <c:v>Paraíba</c:v>
                </c:pt>
                <c:pt idx="21">
                  <c:v>Tocantins</c:v>
                </c:pt>
                <c:pt idx="22">
                  <c:v>Sergipe</c:v>
                </c:pt>
                <c:pt idx="23">
                  <c:v>Maranhão</c:v>
                </c:pt>
                <c:pt idx="24">
                  <c:v>Ceará</c:v>
                </c:pt>
                <c:pt idx="25">
                  <c:v>Alagoas</c:v>
                </c:pt>
                <c:pt idx="26">
                  <c:v>Piauí</c:v>
                </c:pt>
              </c:strCache>
            </c:strRef>
          </c:cat>
          <c:val>
            <c:numRef>
              <c:f>RELAÇ_ESTADOS!$A$3:$A$29</c:f>
              <c:numCache>
                <c:formatCode>#,##0.00</c:formatCode>
                <c:ptCount val="27"/>
                <c:pt idx="0">
                  <c:v>33.871336088244782</c:v>
                </c:pt>
                <c:pt idx="1">
                  <c:v>42.591906538294616</c:v>
                </c:pt>
                <c:pt idx="2">
                  <c:v>44.127427852649333</c:v>
                </c:pt>
                <c:pt idx="3">
                  <c:v>50.66836893725295</c:v>
                </c:pt>
                <c:pt idx="4">
                  <c:v>40.45893557462017</c:v>
                </c:pt>
                <c:pt idx="5">
                  <c:v>53.074054148577261</c:v>
                </c:pt>
                <c:pt idx="6">
                  <c:v>59.389401424063209</c:v>
                </c:pt>
                <c:pt idx="7">
                  <c:v>44.980154170670126</c:v>
                </c:pt>
                <c:pt idx="8">
                  <c:v>61.879304441709152</c:v>
                </c:pt>
                <c:pt idx="9">
                  <c:v>76.581625090385202</c:v>
                </c:pt>
                <c:pt idx="10">
                  <c:v>56.706595269995972</c:v>
                </c:pt>
                <c:pt idx="11">
                  <c:v>60.580812704081495</c:v>
                </c:pt>
                <c:pt idx="12">
                  <c:v>61.362279426386621</c:v>
                </c:pt>
                <c:pt idx="13">
                  <c:v>61.671773112392003</c:v>
                </c:pt>
                <c:pt idx="14">
                  <c:v>71.024828835045952</c:v>
                </c:pt>
                <c:pt idx="15">
                  <c:v>68.948812741832583</c:v>
                </c:pt>
                <c:pt idx="16">
                  <c:v>77.945784401925593</c:v>
                </c:pt>
                <c:pt idx="17">
                  <c:v>52.806405052168515</c:v>
                </c:pt>
                <c:pt idx="18">
                  <c:v>64.895170641801073</c:v>
                </c:pt>
                <c:pt idx="19">
                  <c:v>91.039666633478745</c:v>
                </c:pt>
                <c:pt idx="20">
                  <c:v>88.353209147742191</c:v>
                </c:pt>
                <c:pt idx="21">
                  <c:v>74.916719274056945</c:v>
                </c:pt>
                <c:pt idx="22">
                  <c:v>98.789356793334775</c:v>
                </c:pt>
                <c:pt idx="23">
                  <c:v>109.72309229216644</c:v>
                </c:pt>
                <c:pt idx="24">
                  <c:v>87.414276859853416</c:v>
                </c:pt>
                <c:pt idx="25">
                  <c:v>126.21656178900706</c:v>
                </c:pt>
                <c:pt idx="26">
                  <c:v>127.69799244430486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5E-4DA3-8FEB-8F1214377C01}"/>
            </c:ext>
          </c:extLst>
        </c:ser>
        <c:ser>
          <c:idx val="1"/>
          <c:order val="1"/>
          <c:tx>
            <c:strRef>
              <c:f>RELAÇ_ESTADOS!$D$2</c:f>
              <c:strCache>
                <c:ptCount val="1"/>
                <c:pt idx="0">
                  <c:v>Mortes/100mil veic</c:v>
                </c:pt>
              </c:strCache>
            </c:strRef>
          </c:tx>
          <c:spPr>
            <a:ln>
              <a:solidFill>
                <a:schemeClr val="accent1"/>
              </a:solidFill>
            </a:ln>
          </c:spPr>
          <c:marker>
            <c:symbol val="triangle"/>
            <c:size val="5"/>
            <c:spPr>
              <a:solidFill>
                <a:schemeClr val="bg1"/>
              </a:solidFill>
              <a:ln>
                <a:solidFill>
                  <a:schemeClr val="tx1">
                    <a:lumMod val="65000"/>
                    <a:lumOff val="35000"/>
                  </a:schemeClr>
                </a:solidFill>
              </a:ln>
            </c:spPr>
          </c:marker>
          <c:trendline>
            <c:trendlineType val="linear"/>
            <c:dispRSqr val="0"/>
            <c:dispEq val="0"/>
          </c:trendline>
          <c:cat>
            <c:strRef>
              <c:f>RELAÇ_ESTADOS!$H$3:$H$29</c:f>
              <c:strCache>
                <c:ptCount val="27"/>
                <c:pt idx="0">
                  <c:v>São Paulo</c:v>
                </c:pt>
                <c:pt idx="1">
                  <c:v>Rio Grande do Sul</c:v>
                </c:pt>
                <c:pt idx="2">
                  <c:v>Distrito Federal</c:v>
                </c:pt>
                <c:pt idx="3">
                  <c:v>Minas Gerais</c:v>
                </c:pt>
                <c:pt idx="4">
                  <c:v>Amazonas</c:v>
                </c:pt>
                <c:pt idx="5">
                  <c:v>Santa Catarina</c:v>
                </c:pt>
                <c:pt idx="6">
                  <c:v>Bahia</c:v>
                </c:pt>
                <c:pt idx="7">
                  <c:v>Rio de Janeiro</c:v>
                </c:pt>
                <c:pt idx="8">
                  <c:v>Rondônia</c:v>
                </c:pt>
                <c:pt idx="9">
                  <c:v>Roraima</c:v>
                </c:pt>
                <c:pt idx="10">
                  <c:v>Rio Grande do Norte</c:v>
                </c:pt>
                <c:pt idx="11">
                  <c:v>Acre</c:v>
                </c:pt>
                <c:pt idx="12">
                  <c:v>Goiás</c:v>
                </c:pt>
                <c:pt idx="13">
                  <c:v>Mato Grosso do Sul</c:v>
                </c:pt>
                <c:pt idx="14">
                  <c:v>Mato Grosso</c:v>
                </c:pt>
                <c:pt idx="15">
                  <c:v>Paraná</c:v>
                </c:pt>
                <c:pt idx="16">
                  <c:v>Espírito Santo</c:v>
                </c:pt>
                <c:pt idx="17">
                  <c:v>Amapá</c:v>
                </c:pt>
                <c:pt idx="18">
                  <c:v>Pará</c:v>
                </c:pt>
                <c:pt idx="19">
                  <c:v>Pernambuco</c:v>
                </c:pt>
                <c:pt idx="20">
                  <c:v>Paraíba</c:v>
                </c:pt>
                <c:pt idx="21">
                  <c:v>Tocantins</c:v>
                </c:pt>
                <c:pt idx="22">
                  <c:v>Sergipe</c:v>
                </c:pt>
                <c:pt idx="23">
                  <c:v>Maranhão</c:v>
                </c:pt>
                <c:pt idx="24">
                  <c:v>Ceará</c:v>
                </c:pt>
                <c:pt idx="25">
                  <c:v>Alagoas</c:v>
                </c:pt>
                <c:pt idx="26">
                  <c:v>Piauí</c:v>
                </c:pt>
              </c:strCache>
            </c:strRef>
          </c:cat>
          <c:val>
            <c:numRef>
              <c:f>RELAÇ_ESTADOS!$D$3:$D$29</c:f>
              <c:numCache>
                <c:formatCode>#,##0.00</c:formatCode>
                <c:ptCount val="27"/>
                <c:pt idx="0">
                  <c:v>37.372152156578871</c:v>
                </c:pt>
                <c:pt idx="1">
                  <c:v>47.22351277552319</c:v>
                </c:pt>
                <c:pt idx="2">
                  <c:v>53.002167935896821</c:v>
                </c:pt>
                <c:pt idx="3">
                  <c:v>64.994159274555486</c:v>
                </c:pt>
                <c:pt idx="4">
                  <c:v>83.610316367692974</c:v>
                </c:pt>
                <c:pt idx="5">
                  <c:v>61.790365613456935</c:v>
                </c:pt>
                <c:pt idx="6">
                  <c:v>97.663594521664407</c:v>
                </c:pt>
                <c:pt idx="7">
                  <c:v>57.550838884108387</c:v>
                </c:pt>
                <c:pt idx="8">
                  <c:v>109.45336120506356</c:v>
                </c:pt>
                <c:pt idx="9">
                  <c:v>124.24197603904747</c:v>
                </c:pt>
                <c:pt idx="10">
                  <c:v>82.317103226633279</c:v>
                </c:pt>
                <c:pt idx="11">
                  <c:v>101.24988300958896</c:v>
                </c:pt>
                <c:pt idx="12">
                  <c:v>83.7920577920368</c:v>
                </c:pt>
                <c:pt idx="13">
                  <c:v>86.226513730434519</c:v>
                </c:pt>
                <c:pt idx="14">
                  <c:v>116.40646398247056</c:v>
                </c:pt>
                <c:pt idx="15">
                  <c:v>69.157023278671801</c:v>
                </c:pt>
                <c:pt idx="16">
                  <c:v>89.333171700593994</c:v>
                </c:pt>
                <c:pt idx="17">
                  <c:v>116.40683645383436</c:v>
                </c:pt>
                <c:pt idx="18">
                  <c:v>130.92670178786244</c:v>
                </c:pt>
                <c:pt idx="19">
                  <c:v>119.82629319427974</c:v>
                </c:pt>
                <c:pt idx="20">
                  <c:v>135.5134541749174</c:v>
                </c:pt>
                <c:pt idx="21">
                  <c:v>139.47174302486317</c:v>
                </c:pt>
                <c:pt idx="22">
                  <c:v>155.60211315828582</c:v>
                </c:pt>
                <c:pt idx="23">
                  <c:v>184.73665448415329</c:v>
                </c:pt>
                <c:pt idx="24">
                  <c:v>110.11502841185782</c:v>
                </c:pt>
                <c:pt idx="25">
                  <c:v>185.88094593374854</c:v>
                </c:pt>
                <c:pt idx="26">
                  <c:v>195.65570662477654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5E-4DA3-8FEB-8F1214377C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976896"/>
        <c:axId val="145052416"/>
      </c:lineChart>
      <c:catAx>
        <c:axId val="1449768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45052416"/>
        <c:crosses val="autoZero"/>
        <c:auto val="1"/>
        <c:lblAlgn val="ctr"/>
        <c:lblOffset val="100"/>
        <c:noMultiLvlLbl val="0"/>
      </c:catAx>
      <c:valAx>
        <c:axId val="1450524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</a:t>
                </a:r>
                <a:r>
                  <a:rPr lang="pt-BR" baseline="30000"/>
                  <a:t>9</a:t>
                </a:r>
                <a:r>
                  <a:rPr lang="pt-BR"/>
                  <a:t>km</a:t>
                </a:r>
                <a:r>
                  <a:rPr lang="pt-BR" baseline="0"/>
                  <a:t> ou Mortes/100mil veic.</a:t>
                </a:r>
                <a:endParaRPr lang="pt-BR"/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144976896"/>
        <c:crosses val="autoZero"/>
        <c:crossBetween val="between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602" footer="0.31496062000000602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Relação</a:t>
            </a:r>
            <a:r>
              <a:rPr lang="pt-BR" baseline="0"/>
              <a:t> entre o índice de mortes/10</a:t>
            </a:r>
            <a:r>
              <a:rPr lang="pt-BR" baseline="30000"/>
              <a:t>9</a:t>
            </a:r>
            <a:r>
              <a:rPr lang="pt-BR" baseline="0"/>
              <a:t>km percorridos e o índice de mortes/100mil veículos - 2005</a:t>
            </a:r>
            <a:endParaRPr lang="pt-BR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RELAÇ_ESTADOS!$I$2</c:f>
              <c:strCache>
                <c:ptCount val="1"/>
                <c:pt idx="0">
                  <c:v>Mortes/109km</c:v>
                </c:pt>
              </c:strCache>
            </c:strRef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ymbol val="circle"/>
            <c:size val="5"/>
            <c:spPr>
              <a:solidFill>
                <a:sysClr val="window" lastClr="FFFFFF"/>
              </a:solidFill>
              <a:ln>
                <a:solidFill>
                  <a:schemeClr val="tx1">
                    <a:lumMod val="65000"/>
                    <a:lumOff val="35000"/>
                  </a:schemeClr>
                </a:solidFill>
              </a:ln>
            </c:spPr>
          </c:marker>
          <c:cat>
            <c:strRef>
              <c:f>RELAÇ_ESTADOS!$P$3:$P$29</c:f>
              <c:strCache>
                <c:ptCount val="27"/>
                <c:pt idx="0">
                  <c:v>São Paulo</c:v>
                </c:pt>
                <c:pt idx="1">
                  <c:v>Rio Grande do Sul</c:v>
                </c:pt>
                <c:pt idx="2">
                  <c:v>Minas Gerais</c:v>
                </c:pt>
                <c:pt idx="3">
                  <c:v>Distrito Federal</c:v>
                </c:pt>
                <c:pt idx="4">
                  <c:v>Amazonas</c:v>
                </c:pt>
                <c:pt idx="5">
                  <c:v>Santa Catarina</c:v>
                </c:pt>
                <c:pt idx="6">
                  <c:v>Rio de Janeiro</c:v>
                </c:pt>
                <c:pt idx="7">
                  <c:v>Rondônia</c:v>
                </c:pt>
                <c:pt idx="8">
                  <c:v>Rio Grande do Norte</c:v>
                </c:pt>
                <c:pt idx="9">
                  <c:v>Mato Grosso</c:v>
                </c:pt>
                <c:pt idx="10">
                  <c:v>Paraná</c:v>
                </c:pt>
                <c:pt idx="11">
                  <c:v>Goiás</c:v>
                </c:pt>
                <c:pt idx="12">
                  <c:v>Acre</c:v>
                </c:pt>
                <c:pt idx="13">
                  <c:v>Amapá</c:v>
                </c:pt>
                <c:pt idx="14">
                  <c:v>Bahia</c:v>
                </c:pt>
                <c:pt idx="15">
                  <c:v>Espírito Santo</c:v>
                </c:pt>
                <c:pt idx="16">
                  <c:v>Mato Grosso do Sul</c:v>
                </c:pt>
                <c:pt idx="17">
                  <c:v>Tocantins</c:v>
                </c:pt>
                <c:pt idx="18">
                  <c:v>Sergipe</c:v>
                </c:pt>
                <c:pt idx="19">
                  <c:v>Pará</c:v>
                </c:pt>
                <c:pt idx="20">
                  <c:v>Pernambuco</c:v>
                </c:pt>
                <c:pt idx="21">
                  <c:v>Paraíba</c:v>
                </c:pt>
                <c:pt idx="22">
                  <c:v>Roraima</c:v>
                </c:pt>
                <c:pt idx="23">
                  <c:v>Ceará</c:v>
                </c:pt>
                <c:pt idx="24">
                  <c:v>Maranhão</c:v>
                </c:pt>
                <c:pt idx="25">
                  <c:v>Alagoas</c:v>
                </c:pt>
                <c:pt idx="26">
                  <c:v>Piauí</c:v>
                </c:pt>
              </c:strCache>
            </c:strRef>
          </c:cat>
          <c:val>
            <c:numRef>
              <c:f>RELAÇ_ESTADOS!$I$3:$I$29</c:f>
              <c:numCache>
                <c:formatCode>#,##0.00</c:formatCode>
                <c:ptCount val="27"/>
                <c:pt idx="0">
                  <c:v>32.553852908371979</c:v>
                </c:pt>
                <c:pt idx="1">
                  <c:v>42.888851929114416</c:v>
                </c:pt>
                <c:pt idx="2">
                  <c:v>49.921706065738178</c:v>
                </c:pt>
                <c:pt idx="3">
                  <c:v>45.092469199936886</c:v>
                </c:pt>
                <c:pt idx="4">
                  <c:v>50.246207503553158</c:v>
                </c:pt>
                <c:pt idx="5">
                  <c:v>48.170244558587974</c:v>
                </c:pt>
                <c:pt idx="6">
                  <c:v>52.428711649715972</c:v>
                </c:pt>
                <c:pt idx="7">
                  <c:v>67.090830837959714</c:v>
                </c:pt>
                <c:pt idx="8">
                  <c:v>65.515785446387611</c:v>
                </c:pt>
                <c:pt idx="9">
                  <c:v>64.340445896427383</c:v>
                </c:pt>
                <c:pt idx="10">
                  <c:v>65.451044350021931</c:v>
                </c:pt>
                <c:pt idx="11">
                  <c:v>61.354676118471417</c:v>
                </c:pt>
                <c:pt idx="12">
                  <c:v>57.145053874874257</c:v>
                </c:pt>
                <c:pt idx="13">
                  <c:v>53.251059702799004</c:v>
                </c:pt>
                <c:pt idx="14">
                  <c:v>74.121763185967197</c:v>
                </c:pt>
                <c:pt idx="15">
                  <c:v>82.510033291374668</c:v>
                </c:pt>
                <c:pt idx="16">
                  <c:v>60.9046418119527</c:v>
                </c:pt>
                <c:pt idx="17">
                  <c:v>75.006725529793059</c:v>
                </c:pt>
                <c:pt idx="18">
                  <c:v>101.86185844929328</c:v>
                </c:pt>
                <c:pt idx="19">
                  <c:v>74.73655490008268</c:v>
                </c:pt>
                <c:pt idx="20">
                  <c:v>85.228533013382815</c:v>
                </c:pt>
                <c:pt idx="21">
                  <c:v>81.628092778416672</c:v>
                </c:pt>
                <c:pt idx="22">
                  <c:v>70.133806089867534</c:v>
                </c:pt>
                <c:pt idx="23">
                  <c:v>98.185049616271556</c:v>
                </c:pt>
                <c:pt idx="24">
                  <c:v>103.55776849232811</c:v>
                </c:pt>
                <c:pt idx="25">
                  <c:v>127.11658016066335</c:v>
                </c:pt>
                <c:pt idx="26">
                  <c:v>123.78292293094962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EB-48A0-9C4D-C62CBF0B0FD2}"/>
            </c:ext>
          </c:extLst>
        </c:ser>
        <c:ser>
          <c:idx val="1"/>
          <c:order val="1"/>
          <c:tx>
            <c:strRef>
              <c:f>RELAÇ_ESTADOS!$L$2</c:f>
              <c:strCache>
                <c:ptCount val="1"/>
                <c:pt idx="0">
                  <c:v>Mortes/100mil veic</c:v>
                </c:pt>
              </c:strCache>
            </c:strRef>
          </c:tx>
          <c:spPr>
            <a:ln>
              <a:solidFill>
                <a:schemeClr val="accent1"/>
              </a:solidFill>
            </a:ln>
          </c:spPr>
          <c:marker>
            <c:symbol val="triangle"/>
            <c:size val="5"/>
            <c:spPr>
              <a:solidFill>
                <a:schemeClr val="bg1"/>
              </a:solidFill>
              <a:ln>
                <a:solidFill>
                  <a:schemeClr val="tx1">
                    <a:lumMod val="65000"/>
                    <a:lumOff val="35000"/>
                  </a:schemeClr>
                </a:solidFill>
              </a:ln>
            </c:spPr>
          </c:marker>
          <c:trendline>
            <c:trendlineType val="linear"/>
            <c:dispRSqr val="0"/>
            <c:dispEq val="0"/>
          </c:trendline>
          <c:cat>
            <c:strRef>
              <c:f>RELAÇ_ESTADOS!$P$3:$P$29</c:f>
              <c:strCache>
                <c:ptCount val="27"/>
                <c:pt idx="0">
                  <c:v>São Paulo</c:v>
                </c:pt>
                <c:pt idx="1">
                  <c:v>Rio Grande do Sul</c:v>
                </c:pt>
                <c:pt idx="2">
                  <c:v>Minas Gerais</c:v>
                </c:pt>
                <c:pt idx="3">
                  <c:v>Distrito Federal</c:v>
                </c:pt>
                <c:pt idx="4">
                  <c:v>Amazonas</c:v>
                </c:pt>
                <c:pt idx="5">
                  <c:v>Santa Catarina</c:v>
                </c:pt>
                <c:pt idx="6">
                  <c:v>Rio de Janeiro</c:v>
                </c:pt>
                <c:pt idx="7">
                  <c:v>Rondônia</c:v>
                </c:pt>
                <c:pt idx="8">
                  <c:v>Rio Grande do Norte</c:v>
                </c:pt>
                <c:pt idx="9">
                  <c:v>Mato Grosso</c:v>
                </c:pt>
                <c:pt idx="10">
                  <c:v>Paraná</c:v>
                </c:pt>
                <c:pt idx="11">
                  <c:v>Goiás</c:v>
                </c:pt>
                <c:pt idx="12">
                  <c:v>Acre</c:v>
                </c:pt>
                <c:pt idx="13">
                  <c:v>Amapá</c:v>
                </c:pt>
                <c:pt idx="14">
                  <c:v>Bahia</c:v>
                </c:pt>
                <c:pt idx="15">
                  <c:v>Espírito Santo</c:v>
                </c:pt>
                <c:pt idx="16">
                  <c:v>Mato Grosso do Sul</c:v>
                </c:pt>
                <c:pt idx="17">
                  <c:v>Tocantins</c:v>
                </c:pt>
                <c:pt idx="18">
                  <c:v>Sergipe</c:v>
                </c:pt>
                <c:pt idx="19">
                  <c:v>Pará</c:v>
                </c:pt>
                <c:pt idx="20">
                  <c:v>Pernambuco</c:v>
                </c:pt>
                <c:pt idx="21">
                  <c:v>Paraíba</c:v>
                </c:pt>
                <c:pt idx="22">
                  <c:v>Roraima</c:v>
                </c:pt>
                <c:pt idx="23">
                  <c:v>Ceará</c:v>
                </c:pt>
                <c:pt idx="24">
                  <c:v>Maranhão</c:v>
                </c:pt>
                <c:pt idx="25">
                  <c:v>Alagoas</c:v>
                </c:pt>
                <c:pt idx="26">
                  <c:v>Piauí</c:v>
                </c:pt>
              </c:strCache>
            </c:strRef>
          </c:cat>
          <c:val>
            <c:numRef>
              <c:f>RELAÇ_ESTADOS!$L$3:$L$29</c:f>
              <c:numCache>
                <c:formatCode>#,##0.00</c:formatCode>
                <c:ptCount val="27"/>
                <c:pt idx="0">
                  <c:v>36.259992970854114</c:v>
                </c:pt>
                <c:pt idx="1">
                  <c:v>48.772808164313155</c:v>
                </c:pt>
                <c:pt idx="2">
                  <c:v>65.93655445042512</c:v>
                </c:pt>
                <c:pt idx="3">
                  <c:v>54.165690804181658</c:v>
                </c:pt>
                <c:pt idx="4">
                  <c:v>95.747341832362196</c:v>
                </c:pt>
                <c:pt idx="5">
                  <c:v>57.810278951135665</c:v>
                </c:pt>
                <c:pt idx="6">
                  <c:v>66.288136180997313</c:v>
                </c:pt>
                <c:pt idx="7">
                  <c:v>117.13116925159657</c:v>
                </c:pt>
                <c:pt idx="8">
                  <c:v>95.527994559761666</c:v>
                </c:pt>
                <c:pt idx="9">
                  <c:v>104.17512755077948</c:v>
                </c:pt>
                <c:pt idx="10">
                  <c:v>70.775252225618473</c:v>
                </c:pt>
                <c:pt idx="11">
                  <c:v>87.499294727473597</c:v>
                </c:pt>
                <c:pt idx="12">
                  <c:v>100.26519417299379</c:v>
                </c:pt>
                <c:pt idx="13">
                  <c:v>115.0354137947426</c:v>
                </c:pt>
                <c:pt idx="14">
                  <c:v>122.46373877415728</c:v>
                </c:pt>
                <c:pt idx="15">
                  <c:v>97.422107062037341</c:v>
                </c:pt>
                <c:pt idx="16">
                  <c:v>87.394716326636072</c:v>
                </c:pt>
                <c:pt idx="17">
                  <c:v>145.94914383943919</c:v>
                </c:pt>
                <c:pt idx="18">
                  <c:v>160.96238563198915</c:v>
                </c:pt>
                <c:pt idx="19">
                  <c:v>152.15467356525292</c:v>
                </c:pt>
                <c:pt idx="20">
                  <c:v>118.79751670915562</c:v>
                </c:pt>
                <c:pt idx="21">
                  <c:v>128.19144905820264</c:v>
                </c:pt>
                <c:pt idx="22">
                  <c:v>125.91505509869135</c:v>
                </c:pt>
                <c:pt idx="23">
                  <c:v>128.81292655297887</c:v>
                </c:pt>
                <c:pt idx="24">
                  <c:v>179.57038313981982</c:v>
                </c:pt>
                <c:pt idx="25">
                  <c:v>195.98665388456561</c:v>
                </c:pt>
                <c:pt idx="26">
                  <c:v>195.8323719914689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EB-48A0-9C4D-C62CBF0B0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091200"/>
        <c:axId val="145281408"/>
      </c:lineChart>
      <c:catAx>
        <c:axId val="145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45281408"/>
        <c:crosses val="autoZero"/>
        <c:auto val="1"/>
        <c:lblAlgn val="ctr"/>
        <c:lblOffset val="100"/>
        <c:noMultiLvlLbl val="0"/>
      </c:catAx>
      <c:valAx>
        <c:axId val="1452814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</a:t>
                </a:r>
                <a:r>
                  <a:rPr lang="pt-BR" baseline="30000"/>
                  <a:t>9</a:t>
                </a:r>
                <a:r>
                  <a:rPr lang="pt-BR"/>
                  <a:t>km</a:t>
                </a:r>
                <a:r>
                  <a:rPr lang="pt-BR" baseline="0"/>
                  <a:t> ou Mortes/100mil veic.</a:t>
                </a:r>
                <a:endParaRPr lang="pt-BR"/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145091200"/>
        <c:crosses val="autoZero"/>
        <c:crossBetween val="between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602" footer="0.31496062000000602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Relação</a:t>
            </a:r>
            <a:r>
              <a:rPr lang="pt-BR" baseline="0"/>
              <a:t> entre o índice de mortes/10</a:t>
            </a:r>
            <a:r>
              <a:rPr lang="pt-BR" baseline="30000"/>
              <a:t>9</a:t>
            </a:r>
            <a:r>
              <a:rPr lang="pt-BR" baseline="0"/>
              <a:t>km percorridos e o índice de mortes/100mil veículos - 2006</a:t>
            </a:r>
            <a:endParaRPr lang="pt-BR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RELAÇ_ESTADOS!$Q$2</c:f>
              <c:strCache>
                <c:ptCount val="1"/>
                <c:pt idx="0">
                  <c:v>Mortes/109km</c:v>
                </c:pt>
              </c:strCache>
            </c:strRef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ymbol val="circle"/>
            <c:size val="5"/>
            <c:spPr>
              <a:solidFill>
                <a:sysClr val="window" lastClr="FFFFFF"/>
              </a:solidFill>
              <a:ln>
                <a:solidFill>
                  <a:schemeClr val="tx1">
                    <a:lumMod val="65000"/>
                    <a:lumOff val="35000"/>
                  </a:schemeClr>
                </a:solidFill>
              </a:ln>
            </c:spPr>
          </c:marker>
          <c:cat>
            <c:strRef>
              <c:f>RELAÇ_ESTADOS!$X$3:$X$29</c:f>
              <c:strCache>
                <c:ptCount val="27"/>
                <c:pt idx="0">
                  <c:v>São Paulo</c:v>
                </c:pt>
                <c:pt idx="1">
                  <c:v>Distrito Federal</c:v>
                </c:pt>
                <c:pt idx="2">
                  <c:v>Rio Grande do Sul</c:v>
                </c:pt>
                <c:pt idx="3">
                  <c:v>Minas Gerais</c:v>
                </c:pt>
                <c:pt idx="4">
                  <c:v>Acre</c:v>
                </c:pt>
                <c:pt idx="5">
                  <c:v>Santa Catarina</c:v>
                </c:pt>
                <c:pt idx="6">
                  <c:v>Amazonas</c:v>
                </c:pt>
                <c:pt idx="7">
                  <c:v>Goiás</c:v>
                </c:pt>
                <c:pt idx="8">
                  <c:v>Rondônia</c:v>
                </c:pt>
                <c:pt idx="9">
                  <c:v>Rio de Janeiro</c:v>
                </c:pt>
                <c:pt idx="10">
                  <c:v>Rio Grande do Norte</c:v>
                </c:pt>
                <c:pt idx="11">
                  <c:v>Bahia</c:v>
                </c:pt>
                <c:pt idx="12">
                  <c:v>Paraná</c:v>
                </c:pt>
                <c:pt idx="13">
                  <c:v>Mato Grosso</c:v>
                </c:pt>
                <c:pt idx="14">
                  <c:v>Amapá</c:v>
                </c:pt>
                <c:pt idx="15">
                  <c:v>Mato Grosso do Sul</c:v>
                </c:pt>
                <c:pt idx="16">
                  <c:v>Espírito Santo</c:v>
                </c:pt>
                <c:pt idx="17">
                  <c:v>Tocantins</c:v>
                </c:pt>
                <c:pt idx="18">
                  <c:v>Sergipe</c:v>
                </c:pt>
                <c:pt idx="19">
                  <c:v>Pernambuco</c:v>
                </c:pt>
                <c:pt idx="20">
                  <c:v>Pará</c:v>
                </c:pt>
                <c:pt idx="21">
                  <c:v>Paraíba</c:v>
                </c:pt>
                <c:pt idx="22">
                  <c:v>Roraima</c:v>
                </c:pt>
                <c:pt idx="23">
                  <c:v>Maranhão</c:v>
                </c:pt>
                <c:pt idx="24">
                  <c:v>Ceará</c:v>
                </c:pt>
                <c:pt idx="25">
                  <c:v>Alagoas</c:v>
                </c:pt>
                <c:pt idx="26">
                  <c:v>Piauí</c:v>
                </c:pt>
              </c:strCache>
            </c:strRef>
          </c:cat>
          <c:val>
            <c:numRef>
              <c:f>RELAÇ_ESTADOS!$Q$3:$Q$29</c:f>
              <c:numCache>
                <c:formatCode>#,##0.00</c:formatCode>
                <c:ptCount val="27"/>
                <c:pt idx="0">
                  <c:v>31.126948388559306</c:v>
                </c:pt>
                <c:pt idx="1">
                  <c:v>42.459912832063367</c:v>
                </c:pt>
                <c:pt idx="2">
                  <c:v>38.20562875544433</c:v>
                </c:pt>
                <c:pt idx="3">
                  <c:v>49.052265221226712</c:v>
                </c:pt>
                <c:pt idx="4">
                  <c:v>61.622473869153353</c:v>
                </c:pt>
                <c:pt idx="5">
                  <c:v>49.044680391400462</c:v>
                </c:pt>
                <c:pt idx="6">
                  <c:v>48.416360821514147</c:v>
                </c:pt>
                <c:pt idx="7">
                  <c:v>54.15946940233912</c:v>
                </c:pt>
                <c:pt idx="8">
                  <c:v>61.441338634516249</c:v>
                </c:pt>
                <c:pt idx="9">
                  <c:v>45.881403193876267</c:v>
                </c:pt>
                <c:pt idx="10">
                  <c:v>53.289581884030049</c:v>
                </c:pt>
                <c:pt idx="11">
                  <c:v>67.85183092614858</c:v>
                </c:pt>
                <c:pt idx="12">
                  <c:v>59.251472325955625</c:v>
                </c:pt>
                <c:pt idx="13">
                  <c:v>56.880851212351189</c:v>
                </c:pt>
                <c:pt idx="14">
                  <c:v>58.911619379056383</c:v>
                </c:pt>
                <c:pt idx="15">
                  <c:v>60.212796120635311</c:v>
                </c:pt>
                <c:pt idx="16">
                  <c:v>75.588369172687365</c:v>
                </c:pt>
                <c:pt idx="17">
                  <c:v>71.257133699634267</c:v>
                </c:pt>
                <c:pt idx="18">
                  <c:v>88.055675302305247</c:v>
                </c:pt>
                <c:pt idx="19">
                  <c:v>77.029086975493371</c:v>
                </c:pt>
                <c:pt idx="20">
                  <c:v>66.770543810762803</c:v>
                </c:pt>
                <c:pt idx="21">
                  <c:v>69.93364373091697</c:v>
                </c:pt>
                <c:pt idx="22">
                  <c:v>68.261468448644123</c:v>
                </c:pt>
                <c:pt idx="23">
                  <c:v>103.61290461588878</c:v>
                </c:pt>
                <c:pt idx="24">
                  <c:v>89.890178268564256</c:v>
                </c:pt>
                <c:pt idx="25">
                  <c:v>120.9491222124268</c:v>
                </c:pt>
                <c:pt idx="26">
                  <c:v>120.23241906125917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D7-499F-9C30-4F10ED826BAF}"/>
            </c:ext>
          </c:extLst>
        </c:ser>
        <c:ser>
          <c:idx val="1"/>
          <c:order val="1"/>
          <c:tx>
            <c:strRef>
              <c:f>RELAÇ_ESTADOS!$T$2</c:f>
              <c:strCache>
                <c:ptCount val="1"/>
                <c:pt idx="0">
                  <c:v>Mortes/100mil veic</c:v>
                </c:pt>
              </c:strCache>
            </c:strRef>
          </c:tx>
          <c:spPr>
            <a:ln>
              <a:solidFill>
                <a:schemeClr val="accent1"/>
              </a:solidFill>
            </a:ln>
          </c:spPr>
          <c:marker>
            <c:symbol val="triangle"/>
            <c:size val="5"/>
            <c:spPr>
              <a:solidFill>
                <a:schemeClr val="bg1"/>
              </a:solidFill>
              <a:ln>
                <a:solidFill>
                  <a:schemeClr val="tx1">
                    <a:lumMod val="65000"/>
                    <a:lumOff val="35000"/>
                  </a:schemeClr>
                </a:solidFill>
              </a:ln>
            </c:spPr>
          </c:marker>
          <c:trendline>
            <c:trendlineType val="linear"/>
            <c:dispRSqr val="0"/>
            <c:dispEq val="0"/>
          </c:trendline>
          <c:cat>
            <c:strRef>
              <c:f>RELAÇ_ESTADOS!$X$3:$X$29</c:f>
              <c:strCache>
                <c:ptCount val="27"/>
                <c:pt idx="0">
                  <c:v>São Paulo</c:v>
                </c:pt>
                <c:pt idx="1">
                  <c:v>Distrito Federal</c:v>
                </c:pt>
                <c:pt idx="2">
                  <c:v>Rio Grande do Sul</c:v>
                </c:pt>
                <c:pt idx="3">
                  <c:v>Minas Gerais</c:v>
                </c:pt>
                <c:pt idx="4">
                  <c:v>Acre</c:v>
                </c:pt>
                <c:pt idx="5">
                  <c:v>Santa Catarina</c:v>
                </c:pt>
                <c:pt idx="6">
                  <c:v>Amazonas</c:v>
                </c:pt>
                <c:pt idx="7">
                  <c:v>Goiás</c:v>
                </c:pt>
                <c:pt idx="8">
                  <c:v>Rondônia</c:v>
                </c:pt>
                <c:pt idx="9">
                  <c:v>Rio de Janeiro</c:v>
                </c:pt>
                <c:pt idx="10">
                  <c:v>Rio Grande do Norte</c:v>
                </c:pt>
                <c:pt idx="11">
                  <c:v>Bahia</c:v>
                </c:pt>
                <c:pt idx="12">
                  <c:v>Paraná</c:v>
                </c:pt>
                <c:pt idx="13">
                  <c:v>Mato Grosso</c:v>
                </c:pt>
                <c:pt idx="14">
                  <c:v>Amapá</c:v>
                </c:pt>
                <c:pt idx="15">
                  <c:v>Mato Grosso do Sul</c:v>
                </c:pt>
                <c:pt idx="16">
                  <c:v>Espírito Santo</c:v>
                </c:pt>
                <c:pt idx="17">
                  <c:v>Tocantins</c:v>
                </c:pt>
                <c:pt idx="18">
                  <c:v>Sergipe</c:v>
                </c:pt>
                <c:pt idx="19">
                  <c:v>Pernambuco</c:v>
                </c:pt>
                <c:pt idx="20">
                  <c:v>Pará</c:v>
                </c:pt>
                <c:pt idx="21">
                  <c:v>Paraíba</c:v>
                </c:pt>
                <c:pt idx="22">
                  <c:v>Roraima</c:v>
                </c:pt>
                <c:pt idx="23">
                  <c:v>Maranhão</c:v>
                </c:pt>
                <c:pt idx="24">
                  <c:v>Ceará</c:v>
                </c:pt>
                <c:pt idx="25">
                  <c:v>Alagoas</c:v>
                </c:pt>
                <c:pt idx="26">
                  <c:v>Piauí</c:v>
                </c:pt>
              </c:strCache>
            </c:strRef>
          </c:cat>
          <c:val>
            <c:numRef>
              <c:f>RELAÇ_ESTADOS!$T$3:$T$29</c:f>
              <c:numCache>
                <c:formatCode>#,##0.00</c:formatCode>
                <c:ptCount val="27"/>
                <c:pt idx="0">
                  <c:v>34.928322857963238</c:v>
                </c:pt>
                <c:pt idx="1">
                  <c:v>50.344241514128591</c:v>
                </c:pt>
                <c:pt idx="2">
                  <c:v>42.505444247687059</c:v>
                </c:pt>
                <c:pt idx="3">
                  <c:v>62.793149517776868</c:v>
                </c:pt>
                <c:pt idx="4">
                  <c:v>102.98465970835755</c:v>
                </c:pt>
                <c:pt idx="5">
                  <c:v>57.439439926198318</c:v>
                </c:pt>
                <c:pt idx="6">
                  <c:v>92.700648354929896</c:v>
                </c:pt>
                <c:pt idx="7">
                  <c:v>74.919580697064603</c:v>
                </c:pt>
                <c:pt idx="8">
                  <c:v>99.745400294944233</c:v>
                </c:pt>
                <c:pt idx="9">
                  <c:v>58.693993524993246</c:v>
                </c:pt>
                <c:pt idx="10">
                  <c:v>78.060500857342447</c:v>
                </c:pt>
                <c:pt idx="11">
                  <c:v>109.11974517624088</c:v>
                </c:pt>
                <c:pt idx="12">
                  <c:v>64.100678890619051</c:v>
                </c:pt>
                <c:pt idx="13">
                  <c:v>90.498502254012649</c:v>
                </c:pt>
                <c:pt idx="14">
                  <c:v>123.58800701979879</c:v>
                </c:pt>
                <c:pt idx="15">
                  <c:v>86.141600480354114</c:v>
                </c:pt>
                <c:pt idx="16">
                  <c:v>90.652003142183815</c:v>
                </c:pt>
                <c:pt idx="17">
                  <c:v>132.07990834454844</c:v>
                </c:pt>
                <c:pt idx="18">
                  <c:v>133.48204892682696</c:v>
                </c:pt>
                <c:pt idx="19">
                  <c:v>105.68905196920383</c:v>
                </c:pt>
                <c:pt idx="20">
                  <c:v>133.37116632046846</c:v>
                </c:pt>
                <c:pt idx="21">
                  <c:v>105.91068289366405</c:v>
                </c:pt>
                <c:pt idx="22">
                  <c:v>103.21348245370798</c:v>
                </c:pt>
                <c:pt idx="23">
                  <c:v>170.90123240464925</c:v>
                </c:pt>
                <c:pt idx="24">
                  <c:v>114.02788850631288</c:v>
                </c:pt>
                <c:pt idx="25">
                  <c:v>188.5428708470283</c:v>
                </c:pt>
                <c:pt idx="26">
                  <c:v>176.08605333541067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D7-499F-9C30-4F10ED826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197312"/>
        <c:axId val="145207296"/>
      </c:lineChart>
      <c:catAx>
        <c:axId val="14519731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45207296"/>
        <c:crosses val="autoZero"/>
        <c:auto val="1"/>
        <c:lblAlgn val="ctr"/>
        <c:lblOffset val="100"/>
        <c:noMultiLvlLbl val="0"/>
      </c:catAx>
      <c:valAx>
        <c:axId val="1452072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</a:t>
                </a:r>
                <a:r>
                  <a:rPr lang="pt-BR" baseline="30000"/>
                  <a:t>9</a:t>
                </a:r>
                <a:r>
                  <a:rPr lang="pt-BR"/>
                  <a:t>km</a:t>
                </a:r>
                <a:r>
                  <a:rPr lang="pt-BR" baseline="0"/>
                  <a:t> ou Mortes/100mil veic.</a:t>
                </a:r>
                <a:endParaRPr lang="pt-BR"/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145197312"/>
        <c:crosses val="autoZero"/>
        <c:crossBetween val="between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602" footer="0.31496062000000602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Relação</a:t>
            </a:r>
            <a:r>
              <a:rPr lang="pt-BR" baseline="0"/>
              <a:t> entre o índice de mortes/bilhão de km percorridos e o índice de mortes/100mil veículos - 2007</a:t>
            </a:r>
            <a:endParaRPr lang="pt-BR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Mortes por bilhão de veic.km</c:v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ymbol val="circle"/>
            <c:size val="5"/>
            <c:spPr>
              <a:solidFill>
                <a:sysClr val="window" lastClr="FFFFFF"/>
              </a:solidFill>
              <a:ln>
                <a:solidFill>
                  <a:schemeClr val="tx1">
                    <a:lumMod val="65000"/>
                    <a:lumOff val="35000"/>
                  </a:schemeClr>
                </a:solidFill>
              </a:ln>
            </c:spPr>
          </c:marker>
          <c:cat>
            <c:strRef>
              <c:f>RELAÇ_ESTADOS!$AF$3:$AF$29</c:f>
              <c:strCache>
                <c:ptCount val="27"/>
                <c:pt idx="0">
                  <c:v>São Paulo</c:v>
                </c:pt>
                <c:pt idx="1">
                  <c:v>Rio Grande do Sul</c:v>
                </c:pt>
                <c:pt idx="2">
                  <c:v>Amazonas</c:v>
                </c:pt>
                <c:pt idx="3">
                  <c:v>Minas Gerais</c:v>
                </c:pt>
                <c:pt idx="4">
                  <c:v>Distrito Federal</c:v>
                </c:pt>
                <c:pt idx="5">
                  <c:v>Rio de Janeiro</c:v>
                </c:pt>
                <c:pt idx="6">
                  <c:v>Rondônia</c:v>
                </c:pt>
                <c:pt idx="7">
                  <c:v>Santa Catarina</c:v>
                </c:pt>
                <c:pt idx="8">
                  <c:v>Rio Grande do Norte</c:v>
                </c:pt>
                <c:pt idx="9">
                  <c:v>Goiás</c:v>
                </c:pt>
                <c:pt idx="10">
                  <c:v>Amapá</c:v>
                </c:pt>
                <c:pt idx="11">
                  <c:v>Acre</c:v>
                </c:pt>
                <c:pt idx="12">
                  <c:v>Mato Grosso do Sul</c:v>
                </c:pt>
                <c:pt idx="13">
                  <c:v>Paraná</c:v>
                </c:pt>
                <c:pt idx="14">
                  <c:v>Bahia</c:v>
                </c:pt>
                <c:pt idx="15">
                  <c:v>Mato Grosso</c:v>
                </c:pt>
                <c:pt idx="16">
                  <c:v>Pará</c:v>
                </c:pt>
                <c:pt idx="17">
                  <c:v>Tocantins</c:v>
                </c:pt>
                <c:pt idx="18">
                  <c:v>Espírito Santo</c:v>
                </c:pt>
                <c:pt idx="19">
                  <c:v>Pernambuco</c:v>
                </c:pt>
                <c:pt idx="20">
                  <c:v>Paraíba</c:v>
                </c:pt>
                <c:pt idx="21">
                  <c:v>Sergipe</c:v>
                </c:pt>
                <c:pt idx="22">
                  <c:v>Ceará</c:v>
                </c:pt>
                <c:pt idx="23">
                  <c:v>Roraima</c:v>
                </c:pt>
                <c:pt idx="24">
                  <c:v>Maranhão</c:v>
                </c:pt>
                <c:pt idx="25">
                  <c:v>Alagoas</c:v>
                </c:pt>
                <c:pt idx="26">
                  <c:v>Piauí</c:v>
                </c:pt>
              </c:strCache>
            </c:strRef>
          </c:cat>
          <c:val>
            <c:numRef>
              <c:f>RELAÇ_ESTADOS!$Y$3:$Y$29</c:f>
              <c:numCache>
                <c:formatCode>#,##0.00</c:formatCode>
                <c:ptCount val="27"/>
                <c:pt idx="0">
                  <c:v>28.340955767166871</c:v>
                </c:pt>
                <c:pt idx="1">
                  <c:v>36.20662324196671</c:v>
                </c:pt>
                <c:pt idx="2">
                  <c:v>41.04470859312552</c:v>
                </c:pt>
                <c:pt idx="3">
                  <c:v>45.223968131741927</c:v>
                </c:pt>
                <c:pt idx="4">
                  <c:v>34.567971751398204</c:v>
                </c:pt>
                <c:pt idx="5">
                  <c:v>48.681519992994154</c:v>
                </c:pt>
                <c:pt idx="6">
                  <c:v>66.226425876853952</c:v>
                </c:pt>
                <c:pt idx="7">
                  <c:v>43.807245783993459</c:v>
                </c:pt>
                <c:pt idx="8">
                  <c:v>47.759013413159124</c:v>
                </c:pt>
                <c:pt idx="9">
                  <c:v>53.540938598303377</c:v>
                </c:pt>
                <c:pt idx="10">
                  <c:v>39.912310749223145</c:v>
                </c:pt>
                <c:pt idx="11">
                  <c:v>50.528436004315623</c:v>
                </c:pt>
                <c:pt idx="12">
                  <c:v>51.534074919171474</c:v>
                </c:pt>
                <c:pt idx="13">
                  <c:v>57.755266806049733</c:v>
                </c:pt>
                <c:pt idx="14">
                  <c:v>65.777244631779013</c:v>
                </c:pt>
                <c:pt idx="15">
                  <c:v>51.075241159273041</c:v>
                </c:pt>
                <c:pt idx="16">
                  <c:v>64.273818260982523</c:v>
                </c:pt>
                <c:pt idx="17">
                  <c:v>64.881143222824164</c:v>
                </c:pt>
                <c:pt idx="18">
                  <c:v>69.360389861280126</c:v>
                </c:pt>
                <c:pt idx="19">
                  <c:v>70.990937874127255</c:v>
                </c:pt>
                <c:pt idx="20">
                  <c:v>77.18054836496546</c:v>
                </c:pt>
                <c:pt idx="21">
                  <c:v>87.607658078562764</c:v>
                </c:pt>
                <c:pt idx="22">
                  <c:v>92.362812529116027</c:v>
                </c:pt>
                <c:pt idx="23">
                  <c:v>69.357024764846102</c:v>
                </c:pt>
                <c:pt idx="24">
                  <c:v>98.600961169252656</c:v>
                </c:pt>
                <c:pt idx="25">
                  <c:v>105.82312268814296</c:v>
                </c:pt>
                <c:pt idx="26">
                  <c:v>108.73951542278395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CB-4AD0-BB15-C0CE6216E837}"/>
            </c:ext>
          </c:extLst>
        </c:ser>
        <c:ser>
          <c:idx val="1"/>
          <c:order val="1"/>
          <c:tx>
            <c:strRef>
              <c:f>RELAÇ_ESTADOS!$AB$2</c:f>
              <c:strCache>
                <c:ptCount val="1"/>
                <c:pt idx="0">
                  <c:v>Mortes/100mil veic</c:v>
                </c:pt>
              </c:strCache>
            </c:strRef>
          </c:tx>
          <c:spPr>
            <a:ln>
              <a:solidFill>
                <a:schemeClr val="accent1"/>
              </a:solidFill>
            </a:ln>
          </c:spPr>
          <c:marker>
            <c:symbol val="triangle"/>
            <c:size val="5"/>
            <c:spPr>
              <a:solidFill>
                <a:schemeClr val="bg1"/>
              </a:solidFill>
              <a:ln>
                <a:solidFill>
                  <a:schemeClr val="tx1">
                    <a:lumMod val="65000"/>
                    <a:lumOff val="35000"/>
                  </a:schemeClr>
                </a:solidFill>
              </a:ln>
            </c:spPr>
          </c:marker>
          <c:trendline>
            <c:name>Regressão linear (Mortes/100mil veic)</c:name>
            <c:trendlineType val="linear"/>
            <c:dispRSqr val="0"/>
            <c:dispEq val="0"/>
          </c:trendline>
          <c:cat>
            <c:strRef>
              <c:f>RELAÇ_ESTADOS!$AF$3:$AF$29</c:f>
              <c:strCache>
                <c:ptCount val="27"/>
                <c:pt idx="0">
                  <c:v>São Paulo</c:v>
                </c:pt>
                <c:pt idx="1">
                  <c:v>Rio Grande do Sul</c:v>
                </c:pt>
                <c:pt idx="2">
                  <c:v>Amazonas</c:v>
                </c:pt>
                <c:pt idx="3">
                  <c:v>Minas Gerais</c:v>
                </c:pt>
                <c:pt idx="4">
                  <c:v>Distrito Federal</c:v>
                </c:pt>
                <c:pt idx="5">
                  <c:v>Rio de Janeiro</c:v>
                </c:pt>
                <c:pt idx="6">
                  <c:v>Rondônia</c:v>
                </c:pt>
                <c:pt idx="7">
                  <c:v>Santa Catarina</c:v>
                </c:pt>
                <c:pt idx="8">
                  <c:v>Rio Grande do Norte</c:v>
                </c:pt>
                <c:pt idx="9">
                  <c:v>Goiás</c:v>
                </c:pt>
                <c:pt idx="10">
                  <c:v>Amapá</c:v>
                </c:pt>
                <c:pt idx="11">
                  <c:v>Acre</c:v>
                </c:pt>
                <c:pt idx="12">
                  <c:v>Mato Grosso do Sul</c:v>
                </c:pt>
                <c:pt idx="13">
                  <c:v>Paraná</c:v>
                </c:pt>
                <c:pt idx="14">
                  <c:v>Bahia</c:v>
                </c:pt>
                <c:pt idx="15">
                  <c:v>Mato Grosso</c:v>
                </c:pt>
                <c:pt idx="16">
                  <c:v>Pará</c:v>
                </c:pt>
                <c:pt idx="17">
                  <c:v>Tocantins</c:v>
                </c:pt>
                <c:pt idx="18">
                  <c:v>Espírito Santo</c:v>
                </c:pt>
                <c:pt idx="19">
                  <c:v>Pernambuco</c:v>
                </c:pt>
                <c:pt idx="20">
                  <c:v>Paraíba</c:v>
                </c:pt>
                <c:pt idx="21">
                  <c:v>Sergipe</c:v>
                </c:pt>
                <c:pt idx="22">
                  <c:v>Ceará</c:v>
                </c:pt>
                <c:pt idx="23">
                  <c:v>Roraima</c:v>
                </c:pt>
                <c:pt idx="24">
                  <c:v>Maranhão</c:v>
                </c:pt>
                <c:pt idx="25">
                  <c:v>Alagoas</c:v>
                </c:pt>
                <c:pt idx="26">
                  <c:v>Piauí</c:v>
                </c:pt>
              </c:strCache>
            </c:strRef>
          </c:cat>
          <c:val>
            <c:numRef>
              <c:f>RELAÇ_ESTADOS!$AB$3:$AB$29</c:f>
              <c:numCache>
                <c:formatCode>#,##0.00</c:formatCode>
                <c:ptCount val="27"/>
                <c:pt idx="0">
                  <c:v>31.043336045580197</c:v>
                </c:pt>
                <c:pt idx="1">
                  <c:v>40.1905892369602</c:v>
                </c:pt>
                <c:pt idx="2">
                  <c:v>76.172125669006277</c:v>
                </c:pt>
                <c:pt idx="3">
                  <c:v>56.555320215862672</c:v>
                </c:pt>
                <c:pt idx="4">
                  <c:v>40.620864057477782</c:v>
                </c:pt>
                <c:pt idx="5">
                  <c:v>60.355313668098219</c:v>
                </c:pt>
                <c:pt idx="6">
                  <c:v>102.14803607689913</c:v>
                </c:pt>
                <c:pt idx="7">
                  <c:v>51.164077511682464</c:v>
                </c:pt>
                <c:pt idx="8">
                  <c:v>71.993462993560186</c:v>
                </c:pt>
                <c:pt idx="9">
                  <c:v>76.330698510703257</c:v>
                </c:pt>
                <c:pt idx="10">
                  <c:v>91.34129450080485</c:v>
                </c:pt>
                <c:pt idx="11">
                  <c:v>88.946801880913256</c:v>
                </c:pt>
                <c:pt idx="12">
                  <c:v>75.417886203205356</c:v>
                </c:pt>
                <c:pt idx="13">
                  <c:v>64.648202125201422</c:v>
                </c:pt>
                <c:pt idx="14">
                  <c:v>106.19852378805713</c:v>
                </c:pt>
                <c:pt idx="15">
                  <c:v>87.736939631151756</c:v>
                </c:pt>
                <c:pt idx="16">
                  <c:v>130.82074443233142</c:v>
                </c:pt>
                <c:pt idx="17">
                  <c:v>123.37307428011584</c:v>
                </c:pt>
                <c:pt idx="18">
                  <c:v>85.749543140653188</c:v>
                </c:pt>
                <c:pt idx="19">
                  <c:v>99.517718089823489</c:v>
                </c:pt>
                <c:pt idx="20">
                  <c:v>116.86352749545799</c:v>
                </c:pt>
                <c:pt idx="21">
                  <c:v>132.26382767447635</c:v>
                </c:pt>
                <c:pt idx="22">
                  <c:v>120.42115098367132</c:v>
                </c:pt>
                <c:pt idx="23">
                  <c:v>103.24813037169326</c:v>
                </c:pt>
                <c:pt idx="24">
                  <c:v>166.22494299852892</c:v>
                </c:pt>
                <c:pt idx="25">
                  <c:v>164.66455477840856</c:v>
                </c:pt>
                <c:pt idx="26">
                  <c:v>169.37645369644622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CB-4AD0-BB15-C0CE6216E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373056"/>
        <c:axId val="145374592"/>
      </c:lineChart>
      <c:catAx>
        <c:axId val="145373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5374592"/>
        <c:crosses val="autoZero"/>
        <c:auto val="1"/>
        <c:lblAlgn val="ctr"/>
        <c:lblOffset val="100"/>
        <c:noMultiLvlLbl val="0"/>
      </c:catAx>
      <c:valAx>
        <c:axId val="1453745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</a:t>
                </a:r>
                <a:r>
                  <a:rPr lang="pt-BR" baseline="30000"/>
                  <a:t>9</a:t>
                </a:r>
                <a:r>
                  <a:rPr lang="pt-BR"/>
                  <a:t>km</a:t>
                </a:r>
                <a:r>
                  <a:rPr lang="pt-BR" baseline="0"/>
                  <a:t> ou Mortes/100mil veic.</a:t>
                </a:r>
                <a:endParaRPr lang="pt-BR"/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145373056"/>
        <c:crosses val="autoZero"/>
        <c:crossBetween val="between"/>
      </c:valAx>
      <c:spPr>
        <a:ln w="3175">
          <a:solidFill>
            <a:schemeClr val="tx1">
              <a:lumMod val="95000"/>
              <a:lumOff val="5000"/>
            </a:schemeClr>
          </a:solidFill>
        </a:ln>
      </c:spPr>
    </c:plotArea>
    <c:legend>
      <c:legendPos val="b"/>
      <c:layout>
        <c:manualLayout>
          <c:xMode val="edge"/>
          <c:yMode val="edge"/>
          <c:x val="8.0021464385945207E-2"/>
          <c:y val="0.89780024865313501"/>
          <c:w val="0.85988407158758395"/>
          <c:h val="0.102199684760039"/>
        </c:manualLayout>
      </c:layout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602" footer="0.31496062000000602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Relação</a:t>
            </a:r>
            <a:r>
              <a:rPr lang="pt-BR" baseline="0"/>
              <a:t> entre o índice de mortes/10</a:t>
            </a:r>
            <a:r>
              <a:rPr lang="pt-BR" baseline="30000"/>
              <a:t>9</a:t>
            </a:r>
            <a:r>
              <a:rPr lang="pt-BR" baseline="0"/>
              <a:t>km percorridos e o índice de mortes/100mil veículos - 2008</a:t>
            </a:r>
            <a:endParaRPr lang="pt-BR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RELAÇ_ESTADOS!$AG$2</c:f>
              <c:strCache>
                <c:ptCount val="1"/>
                <c:pt idx="0">
                  <c:v>Mortes/109km</c:v>
                </c:pt>
              </c:strCache>
            </c:strRef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ymbol val="circle"/>
            <c:size val="5"/>
            <c:spPr>
              <a:solidFill>
                <a:sysClr val="window" lastClr="FFFFFF"/>
              </a:solidFill>
              <a:ln>
                <a:solidFill>
                  <a:schemeClr val="tx1">
                    <a:lumMod val="65000"/>
                    <a:lumOff val="35000"/>
                  </a:schemeClr>
                </a:solidFill>
              </a:ln>
            </c:spPr>
          </c:marker>
          <c:cat>
            <c:strRef>
              <c:f>RELAÇ_ESTADOS!$AN$3:$AN$29</c:f>
              <c:strCache>
                <c:ptCount val="27"/>
                <c:pt idx="0">
                  <c:v>São Paulo</c:v>
                </c:pt>
                <c:pt idx="1">
                  <c:v>Rio de Janeiro</c:v>
                </c:pt>
                <c:pt idx="2">
                  <c:v>Amapá</c:v>
                </c:pt>
                <c:pt idx="3">
                  <c:v>Amazonas</c:v>
                </c:pt>
                <c:pt idx="4">
                  <c:v>Rio Grande do Sul</c:v>
                </c:pt>
                <c:pt idx="5">
                  <c:v>Distrito Federal</c:v>
                </c:pt>
                <c:pt idx="6">
                  <c:v>Minas Gerais</c:v>
                </c:pt>
                <c:pt idx="7">
                  <c:v>Rio Grande do Norte</c:v>
                </c:pt>
                <c:pt idx="8">
                  <c:v>Goiás</c:v>
                </c:pt>
                <c:pt idx="9">
                  <c:v>Rondônia</c:v>
                </c:pt>
                <c:pt idx="10">
                  <c:v>Santa Catarina</c:v>
                </c:pt>
                <c:pt idx="11">
                  <c:v>Acre</c:v>
                </c:pt>
                <c:pt idx="12">
                  <c:v>Bahia</c:v>
                </c:pt>
                <c:pt idx="13">
                  <c:v>Paraná</c:v>
                </c:pt>
                <c:pt idx="14">
                  <c:v>Mato Grosso do Sul</c:v>
                </c:pt>
                <c:pt idx="15">
                  <c:v>Mato Grosso</c:v>
                </c:pt>
                <c:pt idx="16">
                  <c:v>Pernambuco</c:v>
                </c:pt>
                <c:pt idx="17">
                  <c:v>Tocantins</c:v>
                </c:pt>
                <c:pt idx="18">
                  <c:v>Pará</c:v>
                </c:pt>
                <c:pt idx="19">
                  <c:v>Espírito Santo</c:v>
                </c:pt>
                <c:pt idx="20">
                  <c:v>Roraima</c:v>
                </c:pt>
                <c:pt idx="21">
                  <c:v>Sergipe</c:v>
                </c:pt>
                <c:pt idx="22">
                  <c:v>Paraíba</c:v>
                </c:pt>
                <c:pt idx="23">
                  <c:v>Ceará</c:v>
                </c:pt>
                <c:pt idx="24">
                  <c:v>Maranhão</c:v>
                </c:pt>
                <c:pt idx="25">
                  <c:v>Alagoas</c:v>
                </c:pt>
                <c:pt idx="26">
                  <c:v>Piauí</c:v>
                </c:pt>
              </c:strCache>
            </c:strRef>
          </c:cat>
          <c:val>
            <c:numRef>
              <c:f>RELAÇ_ESTADOS!$AG$3:$AG$29</c:f>
              <c:numCache>
                <c:formatCode>#,##0.00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7D-4115-95F4-D4C4C40FB8AE}"/>
            </c:ext>
          </c:extLst>
        </c:ser>
        <c:ser>
          <c:idx val="1"/>
          <c:order val="1"/>
          <c:tx>
            <c:strRef>
              <c:f>RELAÇ_ESTADOS!$AJ$2</c:f>
              <c:strCache>
                <c:ptCount val="1"/>
                <c:pt idx="0">
                  <c:v>Mortes/100mil veic</c:v>
                </c:pt>
              </c:strCache>
            </c:strRef>
          </c:tx>
          <c:spPr>
            <a:ln>
              <a:solidFill>
                <a:schemeClr val="accent1"/>
              </a:solidFill>
            </a:ln>
          </c:spPr>
          <c:marker>
            <c:symbol val="triangle"/>
            <c:size val="5"/>
            <c:spPr>
              <a:solidFill>
                <a:schemeClr val="bg1"/>
              </a:solidFill>
              <a:ln>
                <a:solidFill>
                  <a:schemeClr val="tx1">
                    <a:lumMod val="65000"/>
                    <a:lumOff val="35000"/>
                  </a:schemeClr>
                </a:solidFill>
              </a:ln>
            </c:spPr>
          </c:marker>
          <c:trendline>
            <c:trendlineType val="linear"/>
            <c:dispRSqr val="0"/>
            <c:dispEq val="0"/>
          </c:trendline>
          <c:cat>
            <c:strRef>
              <c:f>RELAÇ_ESTADOS!$AN$3:$AN$29</c:f>
              <c:strCache>
                <c:ptCount val="27"/>
                <c:pt idx="0">
                  <c:v>São Paulo</c:v>
                </c:pt>
                <c:pt idx="1">
                  <c:v>Rio de Janeiro</c:v>
                </c:pt>
                <c:pt idx="2">
                  <c:v>Amapá</c:v>
                </c:pt>
                <c:pt idx="3">
                  <c:v>Amazonas</c:v>
                </c:pt>
                <c:pt idx="4">
                  <c:v>Rio Grande do Sul</c:v>
                </c:pt>
                <c:pt idx="5">
                  <c:v>Distrito Federal</c:v>
                </c:pt>
                <c:pt idx="6">
                  <c:v>Minas Gerais</c:v>
                </c:pt>
                <c:pt idx="7">
                  <c:v>Rio Grande do Norte</c:v>
                </c:pt>
                <c:pt idx="8">
                  <c:v>Goiás</c:v>
                </c:pt>
                <c:pt idx="9">
                  <c:v>Rondônia</c:v>
                </c:pt>
                <c:pt idx="10">
                  <c:v>Santa Catarina</c:v>
                </c:pt>
                <c:pt idx="11">
                  <c:v>Acre</c:v>
                </c:pt>
                <c:pt idx="12">
                  <c:v>Bahia</c:v>
                </c:pt>
                <c:pt idx="13">
                  <c:v>Paraná</c:v>
                </c:pt>
                <c:pt idx="14">
                  <c:v>Mato Grosso do Sul</c:v>
                </c:pt>
                <c:pt idx="15">
                  <c:v>Mato Grosso</c:v>
                </c:pt>
                <c:pt idx="16">
                  <c:v>Pernambuco</c:v>
                </c:pt>
                <c:pt idx="17">
                  <c:v>Tocantins</c:v>
                </c:pt>
                <c:pt idx="18">
                  <c:v>Pará</c:v>
                </c:pt>
                <c:pt idx="19">
                  <c:v>Espírito Santo</c:v>
                </c:pt>
                <c:pt idx="20">
                  <c:v>Roraima</c:v>
                </c:pt>
                <c:pt idx="21">
                  <c:v>Sergipe</c:v>
                </c:pt>
                <c:pt idx="22">
                  <c:v>Paraíba</c:v>
                </c:pt>
                <c:pt idx="23">
                  <c:v>Ceará</c:v>
                </c:pt>
                <c:pt idx="24">
                  <c:v>Maranhão</c:v>
                </c:pt>
                <c:pt idx="25">
                  <c:v>Alagoas</c:v>
                </c:pt>
                <c:pt idx="26">
                  <c:v>Piauí</c:v>
                </c:pt>
              </c:strCache>
            </c:strRef>
          </c:cat>
          <c:val>
            <c:numRef>
              <c:f>RELAÇ_ESTADOS!$AJ$3:$AJ$29</c:f>
              <c:numCache>
                <c:formatCode>#,##0.00</c:formatCode>
                <c:ptCount val="27"/>
                <c:pt idx="0">
                  <c:v>26.298643634934272</c:v>
                </c:pt>
                <c:pt idx="1">
                  <c:v>47.032296228401329</c:v>
                </c:pt>
                <c:pt idx="2">
                  <c:v>74.688470458744447</c:v>
                </c:pt>
                <c:pt idx="3">
                  <c:v>64.635891611459812</c:v>
                </c:pt>
                <c:pt idx="4">
                  <c:v>33.77860030519679</c:v>
                </c:pt>
                <c:pt idx="5">
                  <c:v>35.470614316628172</c:v>
                </c:pt>
                <c:pt idx="6">
                  <c:v>46.799749185759772</c:v>
                </c:pt>
                <c:pt idx="7">
                  <c:v>62.235151695597743</c:v>
                </c:pt>
                <c:pt idx="8">
                  <c:v>62.730981279156651</c:v>
                </c:pt>
                <c:pt idx="9">
                  <c:v>70.551807444995958</c:v>
                </c:pt>
                <c:pt idx="10">
                  <c:v>39.654817429553788</c:v>
                </c:pt>
                <c:pt idx="11">
                  <c:v>62.203258867609108</c:v>
                </c:pt>
                <c:pt idx="12">
                  <c:v>84.22183143855321</c:v>
                </c:pt>
                <c:pt idx="13">
                  <c:v>49.061725980813335</c:v>
                </c:pt>
                <c:pt idx="14">
                  <c:v>66.07091132374029</c:v>
                </c:pt>
                <c:pt idx="15">
                  <c:v>76.130185171347208</c:v>
                </c:pt>
                <c:pt idx="16">
                  <c:v>77.355138525779623</c:v>
                </c:pt>
                <c:pt idx="17">
                  <c:v>94.079622467579512</c:v>
                </c:pt>
                <c:pt idx="18">
                  <c:v>108.23639781426886</c:v>
                </c:pt>
                <c:pt idx="19">
                  <c:v>70.154364838026694</c:v>
                </c:pt>
                <c:pt idx="20">
                  <c:v>91.32751498436545</c:v>
                </c:pt>
                <c:pt idx="21">
                  <c:v>115.37592743827214</c:v>
                </c:pt>
                <c:pt idx="22">
                  <c:v>104.68310942200118</c:v>
                </c:pt>
                <c:pt idx="23">
                  <c:v>97.341254280435919</c:v>
                </c:pt>
                <c:pt idx="24">
                  <c:v>128.26229680833384</c:v>
                </c:pt>
                <c:pt idx="25">
                  <c:v>126.91883377863402</c:v>
                </c:pt>
                <c:pt idx="26">
                  <c:v>139.57647773965596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7D-4115-95F4-D4C4C40FB8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422208"/>
        <c:axId val="145423744"/>
      </c:lineChart>
      <c:catAx>
        <c:axId val="1454222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45423744"/>
        <c:crosses val="autoZero"/>
        <c:auto val="1"/>
        <c:lblAlgn val="ctr"/>
        <c:lblOffset val="100"/>
        <c:noMultiLvlLbl val="0"/>
      </c:catAx>
      <c:valAx>
        <c:axId val="1454237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</a:t>
                </a:r>
                <a:r>
                  <a:rPr lang="pt-BR" baseline="30000"/>
                  <a:t>9</a:t>
                </a:r>
                <a:r>
                  <a:rPr lang="pt-BR"/>
                  <a:t>km</a:t>
                </a:r>
                <a:r>
                  <a:rPr lang="pt-BR" baseline="0"/>
                  <a:t> ou Mortes/100mil veic.</a:t>
                </a:r>
                <a:endParaRPr lang="pt-BR"/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145422208"/>
        <c:crosses val="autoZero"/>
        <c:crossBetween val="between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602" footer="0.31496062000000602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Relação</a:t>
            </a:r>
            <a:r>
              <a:rPr lang="pt-BR" baseline="0"/>
              <a:t> entre o índice de mortes/10</a:t>
            </a:r>
            <a:r>
              <a:rPr lang="pt-BR" baseline="30000"/>
              <a:t>9</a:t>
            </a:r>
            <a:r>
              <a:rPr lang="pt-BR" baseline="0"/>
              <a:t>km percorridos e o índice de motorização - 2004</a:t>
            </a:r>
            <a:endParaRPr lang="pt-BR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RELAÇ_ESTADOS!$A$2</c:f>
              <c:strCache>
                <c:ptCount val="1"/>
                <c:pt idx="0">
                  <c:v>Mortes/109km</c:v>
                </c:pt>
              </c:strCache>
            </c:strRef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ymbol val="circle"/>
            <c:size val="5"/>
            <c:spPr>
              <a:solidFill>
                <a:sysClr val="window" lastClr="FFFFFF"/>
              </a:solidFill>
              <a:ln>
                <a:solidFill>
                  <a:schemeClr val="tx1">
                    <a:lumMod val="65000"/>
                    <a:lumOff val="35000"/>
                  </a:schemeClr>
                </a:solidFill>
              </a:ln>
            </c:spPr>
          </c:marker>
          <c:cat>
            <c:strRef>
              <c:f>RELAÇ_ESTADOS!$H$3:$H$29</c:f>
              <c:strCache>
                <c:ptCount val="27"/>
                <c:pt idx="0">
                  <c:v>São Paulo</c:v>
                </c:pt>
                <c:pt idx="1">
                  <c:v>Rio Grande do Sul</c:v>
                </c:pt>
                <c:pt idx="2">
                  <c:v>Distrito Federal</c:v>
                </c:pt>
                <c:pt idx="3">
                  <c:v>Minas Gerais</c:v>
                </c:pt>
                <c:pt idx="4">
                  <c:v>Amazonas</c:v>
                </c:pt>
                <c:pt idx="5">
                  <c:v>Santa Catarina</c:v>
                </c:pt>
                <c:pt idx="6">
                  <c:v>Bahia</c:v>
                </c:pt>
                <c:pt idx="7">
                  <c:v>Rio de Janeiro</c:v>
                </c:pt>
                <c:pt idx="8">
                  <c:v>Rondônia</c:v>
                </c:pt>
                <c:pt idx="9">
                  <c:v>Roraima</c:v>
                </c:pt>
                <c:pt idx="10">
                  <c:v>Rio Grande do Norte</c:v>
                </c:pt>
                <c:pt idx="11">
                  <c:v>Acre</c:v>
                </c:pt>
                <c:pt idx="12">
                  <c:v>Goiás</c:v>
                </c:pt>
                <c:pt idx="13">
                  <c:v>Mato Grosso do Sul</c:v>
                </c:pt>
                <c:pt idx="14">
                  <c:v>Mato Grosso</c:v>
                </c:pt>
                <c:pt idx="15">
                  <c:v>Paraná</c:v>
                </c:pt>
                <c:pt idx="16">
                  <c:v>Espírito Santo</c:v>
                </c:pt>
                <c:pt idx="17">
                  <c:v>Amapá</c:v>
                </c:pt>
                <c:pt idx="18">
                  <c:v>Pará</c:v>
                </c:pt>
                <c:pt idx="19">
                  <c:v>Pernambuco</c:v>
                </c:pt>
                <c:pt idx="20">
                  <c:v>Paraíba</c:v>
                </c:pt>
                <c:pt idx="21">
                  <c:v>Tocantins</c:v>
                </c:pt>
                <c:pt idx="22">
                  <c:v>Sergipe</c:v>
                </c:pt>
                <c:pt idx="23">
                  <c:v>Maranhão</c:v>
                </c:pt>
                <c:pt idx="24">
                  <c:v>Ceará</c:v>
                </c:pt>
                <c:pt idx="25">
                  <c:v>Alagoas</c:v>
                </c:pt>
                <c:pt idx="26">
                  <c:v>Piauí</c:v>
                </c:pt>
              </c:strCache>
            </c:strRef>
          </c:cat>
          <c:val>
            <c:numRef>
              <c:f>RELAÇ_ESTADOS!$A$3:$A$29</c:f>
              <c:numCache>
                <c:formatCode>#,##0.00</c:formatCode>
                <c:ptCount val="27"/>
                <c:pt idx="0">
                  <c:v>33.871336088244782</c:v>
                </c:pt>
                <c:pt idx="1">
                  <c:v>42.591906538294616</c:v>
                </c:pt>
                <c:pt idx="2">
                  <c:v>44.127427852649333</c:v>
                </c:pt>
                <c:pt idx="3">
                  <c:v>50.66836893725295</c:v>
                </c:pt>
                <c:pt idx="4">
                  <c:v>40.45893557462017</c:v>
                </c:pt>
                <c:pt idx="5">
                  <c:v>53.074054148577261</c:v>
                </c:pt>
                <c:pt idx="6">
                  <c:v>59.389401424063209</c:v>
                </c:pt>
                <c:pt idx="7">
                  <c:v>44.980154170670126</c:v>
                </c:pt>
                <c:pt idx="8">
                  <c:v>61.879304441709152</c:v>
                </c:pt>
                <c:pt idx="9">
                  <c:v>76.581625090385202</c:v>
                </c:pt>
                <c:pt idx="10">
                  <c:v>56.706595269995972</c:v>
                </c:pt>
                <c:pt idx="11">
                  <c:v>60.580812704081495</c:v>
                </c:pt>
                <c:pt idx="12">
                  <c:v>61.362279426386621</c:v>
                </c:pt>
                <c:pt idx="13">
                  <c:v>61.671773112392003</c:v>
                </c:pt>
                <c:pt idx="14">
                  <c:v>71.024828835045952</c:v>
                </c:pt>
                <c:pt idx="15">
                  <c:v>68.948812741832583</c:v>
                </c:pt>
                <c:pt idx="16">
                  <c:v>77.945784401925593</c:v>
                </c:pt>
                <c:pt idx="17">
                  <c:v>52.806405052168515</c:v>
                </c:pt>
                <c:pt idx="18">
                  <c:v>64.895170641801073</c:v>
                </c:pt>
                <c:pt idx="19">
                  <c:v>91.039666633478745</c:v>
                </c:pt>
                <c:pt idx="20">
                  <c:v>88.353209147742191</c:v>
                </c:pt>
                <c:pt idx="21">
                  <c:v>74.916719274056945</c:v>
                </c:pt>
                <c:pt idx="22">
                  <c:v>98.789356793334775</c:v>
                </c:pt>
                <c:pt idx="23">
                  <c:v>109.72309229216644</c:v>
                </c:pt>
                <c:pt idx="24">
                  <c:v>87.414276859853416</c:v>
                </c:pt>
                <c:pt idx="25">
                  <c:v>126.21656178900706</c:v>
                </c:pt>
                <c:pt idx="26">
                  <c:v>127.69799244430486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3E-4F9E-B9C2-B2351E76B64E}"/>
            </c:ext>
          </c:extLst>
        </c:ser>
        <c:ser>
          <c:idx val="1"/>
          <c:order val="1"/>
          <c:tx>
            <c:strRef>
              <c:f>RELAÇ_ESTADOS!$E$30</c:f>
              <c:strCache>
                <c:ptCount val="1"/>
                <c:pt idx="0">
                  <c:v>Veic/100hab</c:v>
                </c:pt>
              </c:strCache>
            </c:strRef>
          </c:tx>
          <c:spPr>
            <a:ln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bg1"/>
              </a:solidFill>
              <a:ln>
                <a:solidFill>
                  <a:schemeClr val="tx1">
                    <a:lumMod val="65000"/>
                    <a:lumOff val="35000"/>
                  </a:schemeClr>
                </a:solidFill>
              </a:ln>
            </c:spPr>
          </c:marker>
          <c:trendline>
            <c:trendlineType val="linear"/>
            <c:dispRSqr val="0"/>
            <c:dispEq val="0"/>
          </c:trendline>
          <c:cat>
            <c:strRef>
              <c:f>RELAÇ_ESTADOS!$H$3:$H$29</c:f>
              <c:strCache>
                <c:ptCount val="27"/>
                <c:pt idx="0">
                  <c:v>São Paulo</c:v>
                </c:pt>
                <c:pt idx="1">
                  <c:v>Rio Grande do Sul</c:v>
                </c:pt>
                <c:pt idx="2">
                  <c:v>Distrito Federal</c:v>
                </c:pt>
                <c:pt idx="3">
                  <c:v>Minas Gerais</c:v>
                </c:pt>
                <c:pt idx="4">
                  <c:v>Amazonas</c:v>
                </c:pt>
                <c:pt idx="5">
                  <c:v>Santa Catarina</c:v>
                </c:pt>
                <c:pt idx="6">
                  <c:v>Bahia</c:v>
                </c:pt>
                <c:pt idx="7">
                  <c:v>Rio de Janeiro</c:v>
                </c:pt>
                <c:pt idx="8">
                  <c:v>Rondônia</c:v>
                </c:pt>
                <c:pt idx="9">
                  <c:v>Roraima</c:v>
                </c:pt>
                <c:pt idx="10">
                  <c:v>Rio Grande do Norte</c:v>
                </c:pt>
                <c:pt idx="11">
                  <c:v>Acre</c:v>
                </c:pt>
                <c:pt idx="12">
                  <c:v>Goiás</c:v>
                </c:pt>
                <c:pt idx="13">
                  <c:v>Mato Grosso do Sul</c:v>
                </c:pt>
                <c:pt idx="14">
                  <c:v>Mato Grosso</c:v>
                </c:pt>
                <c:pt idx="15">
                  <c:v>Paraná</c:v>
                </c:pt>
                <c:pt idx="16">
                  <c:v>Espírito Santo</c:v>
                </c:pt>
                <c:pt idx="17">
                  <c:v>Amapá</c:v>
                </c:pt>
                <c:pt idx="18">
                  <c:v>Pará</c:v>
                </c:pt>
                <c:pt idx="19">
                  <c:v>Pernambuco</c:v>
                </c:pt>
                <c:pt idx="20">
                  <c:v>Paraíba</c:v>
                </c:pt>
                <c:pt idx="21">
                  <c:v>Tocantins</c:v>
                </c:pt>
                <c:pt idx="22">
                  <c:v>Sergipe</c:v>
                </c:pt>
                <c:pt idx="23">
                  <c:v>Maranhão</c:v>
                </c:pt>
                <c:pt idx="24">
                  <c:v>Ceará</c:v>
                </c:pt>
                <c:pt idx="25">
                  <c:v>Alagoas</c:v>
                </c:pt>
                <c:pt idx="26">
                  <c:v>Piauí</c:v>
                </c:pt>
              </c:strCache>
            </c:strRef>
          </c:cat>
          <c:val>
            <c:numRef>
              <c:f>RELAÇ_ESTADOS!$E$31:$E$57</c:f>
              <c:numCache>
                <c:formatCode>#,##0.00</c:formatCode>
                <c:ptCount val="27"/>
                <c:pt idx="0">
                  <c:v>43.701962365294541</c:v>
                </c:pt>
                <c:pt idx="1">
                  <c:v>38.397405837360715</c:v>
                </c:pt>
                <c:pt idx="2">
                  <c:v>41.687623998612906</c:v>
                </c:pt>
                <c:pt idx="3">
                  <c:v>29.66751934754339</c:v>
                </c:pt>
                <c:pt idx="4">
                  <c:v>12.864812043059427</c:v>
                </c:pt>
                <c:pt idx="5">
                  <c:v>47.92657034706729</c:v>
                </c:pt>
                <c:pt idx="6">
                  <c:v>12.808218616567038</c:v>
                </c:pt>
                <c:pt idx="7">
                  <c:v>24.788065696854531</c:v>
                </c:pt>
                <c:pt idx="8">
                  <c:v>29.646169221449941</c:v>
                </c:pt>
                <c:pt idx="9">
                  <c:v>24.060669470957087</c:v>
                </c:pt>
                <c:pt idx="10">
                  <c:v>19.397408120610166</c:v>
                </c:pt>
                <c:pt idx="11">
                  <c:v>17.004668901527701</c:v>
                </c:pt>
                <c:pt idx="12">
                  <c:v>33.771160729411967</c:v>
                </c:pt>
                <c:pt idx="13">
                  <c:v>34.440066933553624</c:v>
                </c:pt>
                <c:pt idx="14">
                  <c:v>31.623816305624263</c:v>
                </c:pt>
                <c:pt idx="15">
                  <c:v>41.66284866839824</c:v>
                </c:pt>
                <c:pt idx="16">
                  <c:v>30.75311419766717</c:v>
                </c:pt>
                <c:pt idx="17">
                  <c:v>14.669322238659957</c:v>
                </c:pt>
                <c:pt idx="18">
                  <c:v>10.381102728406425</c:v>
                </c:pt>
                <c:pt idx="19">
                  <c:v>16.481834140379494</c:v>
                </c:pt>
                <c:pt idx="20">
                  <c:v>15.150344009502504</c:v>
                </c:pt>
                <c:pt idx="21">
                  <c:v>24.97138297435961</c:v>
                </c:pt>
                <c:pt idx="22">
                  <c:v>16.991318253946641</c:v>
                </c:pt>
                <c:pt idx="23">
                  <c:v>9.4283576962927143</c:v>
                </c:pt>
                <c:pt idx="24">
                  <c:v>16.095861484016261</c:v>
                </c:pt>
                <c:pt idx="25">
                  <c:v>11.233100588352528</c:v>
                </c:pt>
                <c:pt idx="26">
                  <c:v>14.674115562813258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3E-4F9E-B9C2-B2351E76B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318464"/>
        <c:axId val="146320000"/>
      </c:lineChart>
      <c:catAx>
        <c:axId val="14631846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46320000"/>
        <c:crosses val="autoZero"/>
        <c:auto val="1"/>
        <c:lblAlgn val="ctr"/>
        <c:lblOffset val="100"/>
        <c:noMultiLvlLbl val="0"/>
      </c:catAx>
      <c:valAx>
        <c:axId val="1463200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</a:t>
                </a:r>
                <a:r>
                  <a:rPr lang="pt-BR" baseline="30000"/>
                  <a:t>9</a:t>
                </a:r>
                <a:r>
                  <a:rPr lang="pt-BR"/>
                  <a:t>km</a:t>
                </a:r>
                <a:r>
                  <a:rPr lang="pt-BR" baseline="0"/>
                  <a:t> ou Veic./100hab.</a:t>
                </a:r>
                <a:endParaRPr lang="pt-BR"/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146318464"/>
        <c:crosses val="autoZero"/>
        <c:crossBetween val="between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602" footer="0.31496062000000602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Relação</a:t>
            </a:r>
            <a:r>
              <a:rPr lang="pt-BR" baseline="0"/>
              <a:t> entre o índice de mortes/10</a:t>
            </a:r>
            <a:r>
              <a:rPr lang="pt-BR" baseline="30000"/>
              <a:t>9</a:t>
            </a:r>
            <a:r>
              <a:rPr lang="pt-BR" baseline="0"/>
              <a:t>km percorridos e o índice de motorização - 2005</a:t>
            </a:r>
            <a:endParaRPr lang="pt-BR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RELAÇ_ESTADOS!$I$2</c:f>
              <c:strCache>
                <c:ptCount val="1"/>
                <c:pt idx="0">
                  <c:v>Mortes/109km</c:v>
                </c:pt>
              </c:strCache>
            </c:strRef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ymbol val="circle"/>
            <c:size val="5"/>
            <c:spPr>
              <a:solidFill>
                <a:sysClr val="window" lastClr="FFFFFF"/>
              </a:solidFill>
              <a:ln>
                <a:solidFill>
                  <a:schemeClr val="tx1">
                    <a:lumMod val="65000"/>
                    <a:lumOff val="35000"/>
                  </a:schemeClr>
                </a:solidFill>
              </a:ln>
            </c:spPr>
          </c:marker>
          <c:cat>
            <c:strRef>
              <c:f>RELAÇ_ESTADOS!$P$3:$P$29</c:f>
              <c:strCache>
                <c:ptCount val="27"/>
                <c:pt idx="0">
                  <c:v>São Paulo</c:v>
                </c:pt>
                <c:pt idx="1">
                  <c:v>Rio Grande do Sul</c:v>
                </c:pt>
                <c:pt idx="2">
                  <c:v>Minas Gerais</c:v>
                </c:pt>
                <c:pt idx="3">
                  <c:v>Distrito Federal</c:v>
                </c:pt>
                <c:pt idx="4">
                  <c:v>Amazonas</c:v>
                </c:pt>
                <c:pt idx="5">
                  <c:v>Santa Catarina</c:v>
                </c:pt>
                <c:pt idx="6">
                  <c:v>Rio de Janeiro</c:v>
                </c:pt>
                <c:pt idx="7">
                  <c:v>Rondônia</c:v>
                </c:pt>
                <c:pt idx="8">
                  <c:v>Rio Grande do Norte</c:v>
                </c:pt>
                <c:pt idx="9">
                  <c:v>Mato Grosso</c:v>
                </c:pt>
                <c:pt idx="10">
                  <c:v>Paraná</c:v>
                </c:pt>
                <c:pt idx="11">
                  <c:v>Goiás</c:v>
                </c:pt>
                <c:pt idx="12">
                  <c:v>Acre</c:v>
                </c:pt>
                <c:pt idx="13">
                  <c:v>Amapá</c:v>
                </c:pt>
                <c:pt idx="14">
                  <c:v>Bahia</c:v>
                </c:pt>
                <c:pt idx="15">
                  <c:v>Espírito Santo</c:v>
                </c:pt>
                <c:pt idx="16">
                  <c:v>Mato Grosso do Sul</c:v>
                </c:pt>
                <c:pt idx="17">
                  <c:v>Tocantins</c:v>
                </c:pt>
                <c:pt idx="18">
                  <c:v>Sergipe</c:v>
                </c:pt>
                <c:pt idx="19">
                  <c:v>Pará</c:v>
                </c:pt>
                <c:pt idx="20">
                  <c:v>Pernambuco</c:v>
                </c:pt>
                <c:pt idx="21">
                  <c:v>Paraíba</c:v>
                </c:pt>
                <c:pt idx="22">
                  <c:v>Roraima</c:v>
                </c:pt>
                <c:pt idx="23">
                  <c:v>Ceará</c:v>
                </c:pt>
                <c:pt idx="24">
                  <c:v>Maranhão</c:v>
                </c:pt>
                <c:pt idx="25">
                  <c:v>Alagoas</c:v>
                </c:pt>
                <c:pt idx="26">
                  <c:v>Piauí</c:v>
                </c:pt>
              </c:strCache>
            </c:strRef>
          </c:cat>
          <c:val>
            <c:numRef>
              <c:f>RELAÇ_ESTADOS!$I$3:$I$29</c:f>
              <c:numCache>
                <c:formatCode>#,##0.00</c:formatCode>
                <c:ptCount val="27"/>
                <c:pt idx="0">
                  <c:v>32.553852908371979</c:v>
                </c:pt>
                <c:pt idx="1">
                  <c:v>42.888851929114416</c:v>
                </c:pt>
                <c:pt idx="2">
                  <c:v>49.921706065738178</c:v>
                </c:pt>
                <c:pt idx="3">
                  <c:v>45.092469199936886</c:v>
                </c:pt>
                <c:pt idx="4">
                  <c:v>50.246207503553158</c:v>
                </c:pt>
                <c:pt idx="5">
                  <c:v>48.170244558587974</c:v>
                </c:pt>
                <c:pt idx="6">
                  <c:v>52.428711649715972</c:v>
                </c:pt>
                <c:pt idx="7">
                  <c:v>67.090830837959714</c:v>
                </c:pt>
                <c:pt idx="8">
                  <c:v>65.515785446387611</c:v>
                </c:pt>
                <c:pt idx="9">
                  <c:v>64.340445896427383</c:v>
                </c:pt>
                <c:pt idx="10">
                  <c:v>65.451044350021931</c:v>
                </c:pt>
                <c:pt idx="11">
                  <c:v>61.354676118471417</c:v>
                </c:pt>
                <c:pt idx="12">
                  <c:v>57.145053874874257</c:v>
                </c:pt>
                <c:pt idx="13">
                  <c:v>53.251059702799004</c:v>
                </c:pt>
                <c:pt idx="14">
                  <c:v>74.121763185967197</c:v>
                </c:pt>
                <c:pt idx="15">
                  <c:v>82.510033291374668</c:v>
                </c:pt>
                <c:pt idx="16">
                  <c:v>60.9046418119527</c:v>
                </c:pt>
                <c:pt idx="17">
                  <c:v>75.006725529793059</c:v>
                </c:pt>
                <c:pt idx="18">
                  <c:v>101.86185844929328</c:v>
                </c:pt>
                <c:pt idx="19">
                  <c:v>74.73655490008268</c:v>
                </c:pt>
                <c:pt idx="20">
                  <c:v>85.228533013382815</c:v>
                </c:pt>
                <c:pt idx="21">
                  <c:v>81.628092778416672</c:v>
                </c:pt>
                <c:pt idx="22">
                  <c:v>70.133806089867534</c:v>
                </c:pt>
                <c:pt idx="23">
                  <c:v>98.185049616271556</c:v>
                </c:pt>
                <c:pt idx="24">
                  <c:v>103.55776849232811</c:v>
                </c:pt>
                <c:pt idx="25">
                  <c:v>127.11658016066335</c:v>
                </c:pt>
                <c:pt idx="26">
                  <c:v>123.78292293094962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E2-4C03-B430-406AE878A3A9}"/>
            </c:ext>
          </c:extLst>
        </c:ser>
        <c:ser>
          <c:idx val="1"/>
          <c:order val="1"/>
          <c:tx>
            <c:strRef>
              <c:f>RELAÇ_ESTADOS!$U$30</c:f>
              <c:strCache>
                <c:ptCount val="1"/>
                <c:pt idx="0">
                  <c:v>Veic/100hab</c:v>
                </c:pt>
              </c:strCache>
            </c:strRef>
          </c:tx>
          <c:spPr>
            <a:ln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bg1"/>
              </a:solidFill>
              <a:ln>
                <a:solidFill>
                  <a:schemeClr val="tx1">
                    <a:lumMod val="65000"/>
                    <a:lumOff val="35000"/>
                  </a:schemeClr>
                </a:solidFill>
              </a:ln>
            </c:spPr>
          </c:marker>
          <c:trendline>
            <c:trendlineType val="linear"/>
            <c:dispRSqr val="0"/>
            <c:dispEq val="0"/>
          </c:trendline>
          <c:cat>
            <c:strRef>
              <c:f>RELAÇ_ESTADOS!$P$3:$P$29</c:f>
              <c:strCache>
                <c:ptCount val="27"/>
                <c:pt idx="0">
                  <c:v>São Paulo</c:v>
                </c:pt>
                <c:pt idx="1">
                  <c:v>Rio Grande do Sul</c:v>
                </c:pt>
                <c:pt idx="2">
                  <c:v>Minas Gerais</c:v>
                </c:pt>
                <c:pt idx="3">
                  <c:v>Distrito Federal</c:v>
                </c:pt>
                <c:pt idx="4">
                  <c:v>Amazonas</c:v>
                </c:pt>
                <c:pt idx="5">
                  <c:v>Santa Catarina</c:v>
                </c:pt>
                <c:pt idx="6">
                  <c:v>Rio de Janeiro</c:v>
                </c:pt>
                <c:pt idx="7">
                  <c:v>Rondônia</c:v>
                </c:pt>
                <c:pt idx="8">
                  <c:v>Rio Grande do Norte</c:v>
                </c:pt>
                <c:pt idx="9">
                  <c:v>Mato Grosso</c:v>
                </c:pt>
                <c:pt idx="10">
                  <c:v>Paraná</c:v>
                </c:pt>
                <c:pt idx="11">
                  <c:v>Goiás</c:v>
                </c:pt>
                <c:pt idx="12">
                  <c:v>Acre</c:v>
                </c:pt>
                <c:pt idx="13">
                  <c:v>Amapá</c:v>
                </c:pt>
                <c:pt idx="14">
                  <c:v>Bahia</c:v>
                </c:pt>
                <c:pt idx="15">
                  <c:v>Espírito Santo</c:v>
                </c:pt>
                <c:pt idx="16">
                  <c:v>Mato Grosso do Sul</c:v>
                </c:pt>
                <c:pt idx="17">
                  <c:v>Tocantins</c:v>
                </c:pt>
                <c:pt idx="18">
                  <c:v>Sergipe</c:v>
                </c:pt>
                <c:pt idx="19">
                  <c:v>Pará</c:v>
                </c:pt>
                <c:pt idx="20">
                  <c:v>Pernambuco</c:v>
                </c:pt>
                <c:pt idx="21">
                  <c:v>Paraíba</c:v>
                </c:pt>
                <c:pt idx="22">
                  <c:v>Roraima</c:v>
                </c:pt>
                <c:pt idx="23">
                  <c:v>Ceará</c:v>
                </c:pt>
                <c:pt idx="24">
                  <c:v>Maranhão</c:v>
                </c:pt>
                <c:pt idx="25">
                  <c:v>Alagoas</c:v>
                </c:pt>
                <c:pt idx="26">
                  <c:v>Piauí</c:v>
                </c:pt>
              </c:strCache>
            </c:strRef>
          </c:cat>
          <c:val>
            <c:numRef>
              <c:f>RELAÇ_ESTADOS!$U$31:$U$57</c:f>
              <c:numCache>
                <c:formatCode>#,##0.00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E2-4C03-B430-406AE878A3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359040"/>
        <c:axId val="146360576"/>
      </c:lineChart>
      <c:catAx>
        <c:axId val="14635904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46360576"/>
        <c:crosses val="autoZero"/>
        <c:auto val="1"/>
        <c:lblAlgn val="ctr"/>
        <c:lblOffset val="100"/>
        <c:noMultiLvlLbl val="0"/>
      </c:catAx>
      <c:valAx>
        <c:axId val="1463605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</a:t>
                </a:r>
                <a:r>
                  <a:rPr lang="pt-BR" baseline="30000"/>
                  <a:t>9</a:t>
                </a:r>
                <a:r>
                  <a:rPr lang="pt-BR"/>
                  <a:t>km</a:t>
                </a:r>
                <a:r>
                  <a:rPr lang="pt-BR" baseline="0"/>
                  <a:t> ou Veic/100hab.</a:t>
                </a:r>
                <a:endParaRPr lang="pt-BR"/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146359040"/>
        <c:crosses val="autoZero"/>
        <c:crossBetween val="between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602" footer="0.31496062000000602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Relação</a:t>
            </a:r>
            <a:r>
              <a:rPr lang="pt-BR" baseline="0"/>
              <a:t> entre o índice de mortes/10</a:t>
            </a:r>
            <a:r>
              <a:rPr lang="pt-BR" baseline="30000"/>
              <a:t>9</a:t>
            </a:r>
            <a:r>
              <a:rPr lang="pt-BR" baseline="0"/>
              <a:t>km percorridos e o índice de motorização - 2006</a:t>
            </a:r>
            <a:endParaRPr lang="pt-BR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RELAÇ_ESTADOS!$Q$2</c:f>
              <c:strCache>
                <c:ptCount val="1"/>
                <c:pt idx="0">
                  <c:v>Mortes/109km</c:v>
                </c:pt>
              </c:strCache>
            </c:strRef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ymbol val="circle"/>
            <c:size val="5"/>
            <c:spPr>
              <a:solidFill>
                <a:sysClr val="window" lastClr="FFFFFF"/>
              </a:solidFill>
              <a:ln>
                <a:solidFill>
                  <a:schemeClr val="tx1">
                    <a:lumMod val="65000"/>
                    <a:lumOff val="35000"/>
                  </a:schemeClr>
                </a:solidFill>
              </a:ln>
            </c:spPr>
          </c:marker>
          <c:cat>
            <c:strRef>
              <c:f>RELAÇ_ESTADOS!$X$3:$X$29</c:f>
              <c:strCache>
                <c:ptCount val="27"/>
                <c:pt idx="0">
                  <c:v>São Paulo</c:v>
                </c:pt>
                <c:pt idx="1">
                  <c:v>Distrito Federal</c:v>
                </c:pt>
                <c:pt idx="2">
                  <c:v>Rio Grande do Sul</c:v>
                </c:pt>
                <c:pt idx="3">
                  <c:v>Minas Gerais</c:v>
                </c:pt>
                <c:pt idx="4">
                  <c:v>Acre</c:v>
                </c:pt>
                <c:pt idx="5">
                  <c:v>Santa Catarina</c:v>
                </c:pt>
                <c:pt idx="6">
                  <c:v>Amazonas</c:v>
                </c:pt>
                <c:pt idx="7">
                  <c:v>Goiás</c:v>
                </c:pt>
                <c:pt idx="8">
                  <c:v>Rondônia</c:v>
                </c:pt>
                <c:pt idx="9">
                  <c:v>Rio de Janeiro</c:v>
                </c:pt>
                <c:pt idx="10">
                  <c:v>Rio Grande do Norte</c:v>
                </c:pt>
                <c:pt idx="11">
                  <c:v>Bahia</c:v>
                </c:pt>
                <c:pt idx="12">
                  <c:v>Paraná</c:v>
                </c:pt>
                <c:pt idx="13">
                  <c:v>Mato Grosso</c:v>
                </c:pt>
                <c:pt idx="14">
                  <c:v>Amapá</c:v>
                </c:pt>
                <c:pt idx="15">
                  <c:v>Mato Grosso do Sul</c:v>
                </c:pt>
                <c:pt idx="16">
                  <c:v>Espírito Santo</c:v>
                </c:pt>
                <c:pt idx="17">
                  <c:v>Tocantins</c:v>
                </c:pt>
                <c:pt idx="18">
                  <c:v>Sergipe</c:v>
                </c:pt>
                <c:pt idx="19">
                  <c:v>Pernambuco</c:v>
                </c:pt>
                <c:pt idx="20">
                  <c:v>Pará</c:v>
                </c:pt>
                <c:pt idx="21">
                  <c:v>Paraíba</c:v>
                </c:pt>
                <c:pt idx="22">
                  <c:v>Roraima</c:v>
                </c:pt>
                <c:pt idx="23">
                  <c:v>Maranhão</c:v>
                </c:pt>
                <c:pt idx="24">
                  <c:v>Ceará</c:v>
                </c:pt>
                <c:pt idx="25">
                  <c:v>Alagoas</c:v>
                </c:pt>
                <c:pt idx="26">
                  <c:v>Piauí</c:v>
                </c:pt>
              </c:strCache>
            </c:strRef>
          </c:cat>
          <c:val>
            <c:numRef>
              <c:f>RELAÇ_ESTADOS!$Q$3:$Q$29</c:f>
              <c:numCache>
                <c:formatCode>#,##0.00</c:formatCode>
                <c:ptCount val="27"/>
                <c:pt idx="0">
                  <c:v>31.126948388559306</c:v>
                </c:pt>
                <c:pt idx="1">
                  <c:v>42.459912832063367</c:v>
                </c:pt>
                <c:pt idx="2">
                  <c:v>38.20562875544433</c:v>
                </c:pt>
                <c:pt idx="3">
                  <c:v>49.052265221226712</c:v>
                </c:pt>
                <c:pt idx="4">
                  <c:v>61.622473869153353</c:v>
                </c:pt>
                <c:pt idx="5">
                  <c:v>49.044680391400462</c:v>
                </c:pt>
                <c:pt idx="6">
                  <c:v>48.416360821514147</c:v>
                </c:pt>
                <c:pt idx="7">
                  <c:v>54.15946940233912</c:v>
                </c:pt>
                <c:pt idx="8">
                  <c:v>61.441338634516249</c:v>
                </c:pt>
                <c:pt idx="9">
                  <c:v>45.881403193876267</c:v>
                </c:pt>
                <c:pt idx="10">
                  <c:v>53.289581884030049</c:v>
                </c:pt>
                <c:pt idx="11">
                  <c:v>67.85183092614858</c:v>
                </c:pt>
                <c:pt idx="12">
                  <c:v>59.251472325955625</c:v>
                </c:pt>
                <c:pt idx="13">
                  <c:v>56.880851212351189</c:v>
                </c:pt>
                <c:pt idx="14">
                  <c:v>58.911619379056383</c:v>
                </c:pt>
                <c:pt idx="15">
                  <c:v>60.212796120635311</c:v>
                </c:pt>
                <c:pt idx="16">
                  <c:v>75.588369172687365</c:v>
                </c:pt>
                <c:pt idx="17">
                  <c:v>71.257133699634267</c:v>
                </c:pt>
                <c:pt idx="18">
                  <c:v>88.055675302305247</c:v>
                </c:pt>
                <c:pt idx="19">
                  <c:v>77.029086975493371</c:v>
                </c:pt>
                <c:pt idx="20">
                  <c:v>66.770543810762803</c:v>
                </c:pt>
                <c:pt idx="21">
                  <c:v>69.93364373091697</c:v>
                </c:pt>
                <c:pt idx="22">
                  <c:v>68.261468448644123</c:v>
                </c:pt>
                <c:pt idx="23">
                  <c:v>103.61290461588878</c:v>
                </c:pt>
                <c:pt idx="24">
                  <c:v>89.890178268564256</c:v>
                </c:pt>
                <c:pt idx="25">
                  <c:v>120.9491222124268</c:v>
                </c:pt>
                <c:pt idx="26">
                  <c:v>120.23241906125917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32-471A-B9E5-EE6C38B21032}"/>
            </c:ext>
          </c:extLst>
        </c:ser>
        <c:ser>
          <c:idx val="1"/>
          <c:order val="1"/>
          <c:tx>
            <c:strRef>
              <c:f>RELAÇ_ESTADOS!$U$30</c:f>
              <c:strCache>
                <c:ptCount val="1"/>
                <c:pt idx="0">
                  <c:v>Veic/100hab</c:v>
                </c:pt>
              </c:strCache>
            </c:strRef>
          </c:tx>
          <c:spPr>
            <a:ln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bg1"/>
              </a:solidFill>
              <a:ln>
                <a:solidFill>
                  <a:schemeClr val="tx1">
                    <a:lumMod val="65000"/>
                    <a:lumOff val="35000"/>
                  </a:schemeClr>
                </a:solidFill>
              </a:ln>
            </c:spPr>
          </c:marker>
          <c:trendline>
            <c:trendlineType val="linear"/>
            <c:dispRSqr val="0"/>
            <c:dispEq val="0"/>
          </c:trendline>
          <c:cat>
            <c:strRef>
              <c:f>RELAÇ_ESTADOS!$X$3:$X$29</c:f>
              <c:strCache>
                <c:ptCount val="27"/>
                <c:pt idx="0">
                  <c:v>São Paulo</c:v>
                </c:pt>
                <c:pt idx="1">
                  <c:v>Distrito Federal</c:v>
                </c:pt>
                <c:pt idx="2">
                  <c:v>Rio Grande do Sul</c:v>
                </c:pt>
                <c:pt idx="3">
                  <c:v>Minas Gerais</c:v>
                </c:pt>
                <c:pt idx="4">
                  <c:v>Acre</c:v>
                </c:pt>
                <c:pt idx="5">
                  <c:v>Santa Catarina</c:v>
                </c:pt>
                <c:pt idx="6">
                  <c:v>Amazonas</c:v>
                </c:pt>
                <c:pt idx="7">
                  <c:v>Goiás</c:v>
                </c:pt>
                <c:pt idx="8">
                  <c:v>Rondônia</c:v>
                </c:pt>
                <c:pt idx="9">
                  <c:v>Rio de Janeiro</c:v>
                </c:pt>
                <c:pt idx="10">
                  <c:v>Rio Grande do Norte</c:v>
                </c:pt>
                <c:pt idx="11">
                  <c:v>Bahia</c:v>
                </c:pt>
                <c:pt idx="12">
                  <c:v>Paraná</c:v>
                </c:pt>
                <c:pt idx="13">
                  <c:v>Mato Grosso</c:v>
                </c:pt>
                <c:pt idx="14">
                  <c:v>Amapá</c:v>
                </c:pt>
                <c:pt idx="15">
                  <c:v>Mato Grosso do Sul</c:v>
                </c:pt>
                <c:pt idx="16">
                  <c:v>Espírito Santo</c:v>
                </c:pt>
                <c:pt idx="17">
                  <c:v>Tocantins</c:v>
                </c:pt>
                <c:pt idx="18">
                  <c:v>Sergipe</c:v>
                </c:pt>
                <c:pt idx="19">
                  <c:v>Pernambuco</c:v>
                </c:pt>
                <c:pt idx="20">
                  <c:v>Pará</c:v>
                </c:pt>
                <c:pt idx="21">
                  <c:v>Paraíba</c:v>
                </c:pt>
                <c:pt idx="22">
                  <c:v>Roraima</c:v>
                </c:pt>
                <c:pt idx="23">
                  <c:v>Maranhão</c:v>
                </c:pt>
                <c:pt idx="24">
                  <c:v>Ceará</c:v>
                </c:pt>
                <c:pt idx="25">
                  <c:v>Alagoas</c:v>
                </c:pt>
                <c:pt idx="26">
                  <c:v>Piauí</c:v>
                </c:pt>
              </c:strCache>
            </c:strRef>
          </c:cat>
          <c:val>
            <c:numRef>
              <c:f>RELAÇ_ESTADOS!$U$31:$U$57</c:f>
              <c:numCache>
                <c:formatCode>#,##0.00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32-471A-B9E5-EE6C38B21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391424"/>
        <c:axId val="146392960"/>
      </c:lineChart>
      <c:catAx>
        <c:axId val="14639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46392960"/>
        <c:crosses val="autoZero"/>
        <c:auto val="1"/>
        <c:lblAlgn val="ctr"/>
        <c:lblOffset val="100"/>
        <c:noMultiLvlLbl val="0"/>
      </c:catAx>
      <c:valAx>
        <c:axId val="1463929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</a:t>
                </a:r>
                <a:r>
                  <a:rPr lang="pt-BR" baseline="30000"/>
                  <a:t>9</a:t>
                </a:r>
                <a:r>
                  <a:rPr lang="pt-BR"/>
                  <a:t>km</a:t>
                </a:r>
                <a:r>
                  <a:rPr lang="pt-BR" baseline="0"/>
                  <a:t> ou Veic./100hab.</a:t>
                </a:r>
                <a:endParaRPr lang="pt-BR"/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146391424"/>
        <c:crosses val="autoZero"/>
        <c:crossBetween val="between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602" footer="0.31496062000000602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Relação</a:t>
            </a:r>
            <a:r>
              <a:rPr lang="pt-BR" baseline="0"/>
              <a:t> entre o índice de mortes/bilhão de km percorridos e o índice de motorização - 2007</a:t>
            </a:r>
            <a:endParaRPr lang="pt-BR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Mortes por bilhão de veic.km</c:v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ymbol val="circle"/>
            <c:size val="5"/>
            <c:spPr>
              <a:solidFill>
                <a:sysClr val="window" lastClr="FFFFFF"/>
              </a:solidFill>
              <a:ln>
                <a:solidFill>
                  <a:schemeClr val="tx1">
                    <a:lumMod val="65000"/>
                    <a:lumOff val="35000"/>
                  </a:schemeClr>
                </a:solidFill>
              </a:ln>
            </c:spPr>
          </c:marker>
          <c:cat>
            <c:strRef>
              <c:f>RELAÇ_ESTADOS!$AF$3:$AF$29</c:f>
              <c:strCache>
                <c:ptCount val="27"/>
                <c:pt idx="0">
                  <c:v>São Paulo</c:v>
                </c:pt>
                <c:pt idx="1">
                  <c:v>Rio Grande do Sul</c:v>
                </c:pt>
                <c:pt idx="2">
                  <c:v>Amazonas</c:v>
                </c:pt>
                <c:pt idx="3">
                  <c:v>Minas Gerais</c:v>
                </c:pt>
                <c:pt idx="4">
                  <c:v>Distrito Federal</c:v>
                </c:pt>
                <c:pt idx="5">
                  <c:v>Rio de Janeiro</c:v>
                </c:pt>
                <c:pt idx="6">
                  <c:v>Rondônia</c:v>
                </c:pt>
                <c:pt idx="7">
                  <c:v>Santa Catarina</c:v>
                </c:pt>
                <c:pt idx="8">
                  <c:v>Rio Grande do Norte</c:v>
                </c:pt>
                <c:pt idx="9">
                  <c:v>Goiás</c:v>
                </c:pt>
                <c:pt idx="10">
                  <c:v>Amapá</c:v>
                </c:pt>
                <c:pt idx="11">
                  <c:v>Acre</c:v>
                </c:pt>
                <c:pt idx="12">
                  <c:v>Mato Grosso do Sul</c:v>
                </c:pt>
                <c:pt idx="13">
                  <c:v>Paraná</c:v>
                </c:pt>
                <c:pt idx="14">
                  <c:v>Bahia</c:v>
                </c:pt>
                <c:pt idx="15">
                  <c:v>Mato Grosso</c:v>
                </c:pt>
                <c:pt idx="16">
                  <c:v>Pará</c:v>
                </c:pt>
                <c:pt idx="17">
                  <c:v>Tocantins</c:v>
                </c:pt>
                <c:pt idx="18">
                  <c:v>Espírito Santo</c:v>
                </c:pt>
                <c:pt idx="19">
                  <c:v>Pernambuco</c:v>
                </c:pt>
                <c:pt idx="20">
                  <c:v>Paraíba</c:v>
                </c:pt>
                <c:pt idx="21">
                  <c:v>Sergipe</c:v>
                </c:pt>
                <c:pt idx="22">
                  <c:v>Ceará</c:v>
                </c:pt>
                <c:pt idx="23">
                  <c:v>Roraima</c:v>
                </c:pt>
                <c:pt idx="24">
                  <c:v>Maranhão</c:v>
                </c:pt>
                <c:pt idx="25">
                  <c:v>Alagoas</c:v>
                </c:pt>
                <c:pt idx="26">
                  <c:v>Piauí</c:v>
                </c:pt>
              </c:strCache>
            </c:strRef>
          </c:cat>
          <c:val>
            <c:numRef>
              <c:f>RELAÇ_ESTADOS!$Y$3:$Y$29</c:f>
              <c:numCache>
                <c:formatCode>#,##0.00</c:formatCode>
                <c:ptCount val="27"/>
                <c:pt idx="0">
                  <c:v>28.340955767166871</c:v>
                </c:pt>
                <c:pt idx="1">
                  <c:v>36.20662324196671</c:v>
                </c:pt>
                <c:pt idx="2">
                  <c:v>41.04470859312552</c:v>
                </c:pt>
                <c:pt idx="3">
                  <c:v>45.223968131741927</c:v>
                </c:pt>
                <c:pt idx="4">
                  <c:v>34.567971751398204</c:v>
                </c:pt>
                <c:pt idx="5">
                  <c:v>48.681519992994154</c:v>
                </c:pt>
                <c:pt idx="6">
                  <c:v>66.226425876853952</c:v>
                </c:pt>
                <c:pt idx="7">
                  <c:v>43.807245783993459</c:v>
                </c:pt>
                <c:pt idx="8">
                  <c:v>47.759013413159124</c:v>
                </c:pt>
                <c:pt idx="9">
                  <c:v>53.540938598303377</c:v>
                </c:pt>
                <c:pt idx="10">
                  <c:v>39.912310749223145</c:v>
                </c:pt>
                <c:pt idx="11">
                  <c:v>50.528436004315623</c:v>
                </c:pt>
                <c:pt idx="12">
                  <c:v>51.534074919171474</c:v>
                </c:pt>
                <c:pt idx="13">
                  <c:v>57.755266806049733</c:v>
                </c:pt>
                <c:pt idx="14">
                  <c:v>65.777244631779013</c:v>
                </c:pt>
                <c:pt idx="15">
                  <c:v>51.075241159273041</c:v>
                </c:pt>
                <c:pt idx="16">
                  <c:v>64.273818260982523</c:v>
                </c:pt>
                <c:pt idx="17">
                  <c:v>64.881143222824164</c:v>
                </c:pt>
                <c:pt idx="18">
                  <c:v>69.360389861280126</c:v>
                </c:pt>
                <c:pt idx="19">
                  <c:v>70.990937874127255</c:v>
                </c:pt>
                <c:pt idx="20">
                  <c:v>77.18054836496546</c:v>
                </c:pt>
                <c:pt idx="21">
                  <c:v>87.607658078562764</c:v>
                </c:pt>
                <c:pt idx="22">
                  <c:v>92.362812529116027</c:v>
                </c:pt>
                <c:pt idx="23">
                  <c:v>69.357024764846102</c:v>
                </c:pt>
                <c:pt idx="24">
                  <c:v>98.600961169252656</c:v>
                </c:pt>
                <c:pt idx="25">
                  <c:v>105.82312268814296</c:v>
                </c:pt>
                <c:pt idx="26">
                  <c:v>108.73951542278395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3A-43AB-9494-96E9E5590646}"/>
            </c:ext>
          </c:extLst>
        </c:ser>
        <c:ser>
          <c:idx val="1"/>
          <c:order val="1"/>
          <c:tx>
            <c:strRef>
              <c:f>RELAÇ_ESTADOS!$AC$30</c:f>
              <c:strCache>
                <c:ptCount val="1"/>
                <c:pt idx="0">
                  <c:v>Veic/200hab</c:v>
                </c:pt>
              </c:strCache>
            </c:strRef>
          </c:tx>
          <c:spPr>
            <a:ln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bg1"/>
              </a:solidFill>
              <a:ln>
                <a:solidFill>
                  <a:schemeClr val="tx1">
                    <a:lumMod val="65000"/>
                    <a:lumOff val="35000"/>
                  </a:schemeClr>
                </a:solidFill>
              </a:ln>
            </c:spPr>
          </c:marker>
          <c:trendline>
            <c:name>Regressão lienar (Veic/200 hab)</c:name>
            <c:trendlineType val="linear"/>
            <c:dispRSqr val="0"/>
            <c:dispEq val="0"/>
          </c:trendline>
          <c:cat>
            <c:strRef>
              <c:f>RELAÇ_ESTADOS!$AF$3:$AF$29</c:f>
              <c:strCache>
                <c:ptCount val="27"/>
                <c:pt idx="0">
                  <c:v>São Paulo</c:v>
                </c:pt>
                <c:pt idx="1">
                  <c:v>Rio Grande do Sul</c:v>
                </c:pt>
                <c:pt idx="2">
                  <c:v>Amazonas</c:v>
                </c:pt>
                <c:pt idx="3">
                  <c:v>Minas Gerais</c:v>
                </c:pt>
                <c:pt idx="4">
                  <c:v>Distrito Federal</c:v>
                </c:pt>
                <c:pt idx="5">
                  <c:v>Rio de Janeiro</c:v>
                </c:pt>
                <c:pt idx="6">
                  <c:v>Rondônia</c:v>
                </c:pt>
                <c:pt idx="7">
                  <c:v>Santa Catarina</c:v>
                </c:pt>
                <c:pt idx="8">
                  <c:v>Rio Grande do Norte</c:v>
                </c:pt>
                <c:pt idx="9">
                  <c:v>Goiás</c:v>
                </c:pt>
                <c:pt idx="10">
                  <c:v>Amapá</c:v>
                </c:pt>
                <c:pt idx="11">
                  <c:v>Acre</c:v>
                </c:pt>
                <c:pt idx="12">
                  <c:v>Mato Grosso do Sul</c:v>
                </c:pt>
                <c:pt idx="13">
                  <c:v>Paraná</c:v>
                </c:pt>
                <c:pt idx="14">
                  <c:v>Bahia</c:v>
                </c:pt>
                <c:pt idx="15">
                  <c:v>Mato Grosso</c:v>
                </c:pt>
                <c:pt idx="16">
                  <c:v>Pará</c:v>
                </c:pt>
                <c:pt idx="17">
                  <c:v>Tocantins</c:v>
                </c:pt>
                <c:pt idx="18">
                  <c:v>Espírito Santo</c:v>
                </c:pt>
                <c:pt idx="19">
                  <c:v>Pernambuco</c:v>
                </c:pt>
                <c:pt idx="20">
                  <c:v>Paraíba</c:v>
                </c:pt>
                <c:pt idx="21">
                  <c:v>Sergipe</c:v>
                </c:pt>
                <c:pt idx="22">
                  <c:v>Ceará</c:v>
                </c:pt>
                <c:pt idx="23">
                  <c:v>Roraima</c:v>
                </c:pt>
                <c:pt idx="24">
                  <c:v>Maranhão</c:v>
                </c:pt>
                <c:pt idx="25">
                  <c:v>Alagoas</c:v>
                </c:pt>
                <c:pt idx="26">
                  <c:v>Piauí</c:v>
                </c:pt>
              </c:strCache>
            </c:strRef>
          </c:cat>
          <c:val>
            <c:numRef>
              <c:f>RELAÇ_ESTADOS!$AC$31:$AC$57</c:f>
              <c:numCache>
                <c:formatCode>#,##0.00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3A-43AB-9494-96E9E55906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464768"/>
        <c:axId val="146466304"/>
      </c:lineChart>
      <c:catAx>
        <c:axId val="1464647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46466304"/>
        <c:crosses val="autoZero"/>
        <c:auto val="1"/>
        <c:lblAlgn val="ctr"/>
        <c:lblOffset val="100"/>
        <c:noMultiLvlLbl val="0"/>
      </c:catAx>
      <c:valAx>
        <c:axId val="1464663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Mortes/bilhão de km</a:t>
                </a:r>
                <a:r>
                  <a:rPr lang="pt-BR" baseline="0"/>
                  <a:t> ou Veic./200hab.</a:t>
                </a:r>
                <a:endParaRPr lang="pt-BR"/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46464768"/>
        <c:crosses val="autoZero"/>
        <c:crossBetween val="between"/>
      </c:valAx>
      <c:spPr>
        <a:ln w="3175">
          <a:solidFill>
            <a:schemeClr val="tx1"/>
          </a:solidFill>
        </a:ln>
      </c:spPr>
    </c:plotArea>
    <c:legend>
      <c:legendPos val="b"/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602" footer="0.31496062000000602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Relação</a:t>
            </a:r>
            <a:r>
              <a:rPr lang="pt-BR" baseline="0"/>
              <a:t> entre o índice de mortes/10</a:t>
            </a:r>
            <a:r>
              <a:rPr lang="pt-BR" baseline="30000"/>
              <a:t>9</a:t>
            </a:r>
            <a:r>
              <a:rPr lang="pt-BR" baseline="0"/>
              <a:t>km percorridos e o índice de motorização - 2008</a:t>
            </a:r>
            <a:endParaRPr lang="pt-BR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RELAÇ_ESTADOS!$AG$2</c:f>
              <c:strCache>
                <c:ptCount val="1"/>
                <c:pt idx="0">
                  <c:v>Mortes/109km</c:v>
                </c:pt>
              </c:strCache>
            </c:strRef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ymbol val="circle"/>
            <c:size val="5"/>
            <c:spPr>
              <a:solidFill>
                <a:sysClr val="window" lastClr="FFFFFF"/>
              </a:solidFill>
              <a:ln>
                <a:solidFill>
                  <a:schemeClr val="tx1">
                    <a:lumMod val="65000"/>
                    <a:lumOff val="35000"/>
                  </a:schemeClr>
                </a:solidFill>
              </a:ln>
            </c:spPr>
          </c:marker>
          <c:cat>
            <c:strRef>
              <c:f>RELAÇ_ESTADOS!$AN$3:$AN$29</c:f>
              <c:strCache>
                <c:ptCount val="27"/>
                <c:pt idx="0">
                  <c:v>São Paulo</c:v>
                </c:pt>
                <c:pt idx="1">
                  <c:v>Rio de Janeiro</c:v>
                </c:pt>
                <c:pt idx="2">
                  <c:v>Amapá</c:v>
                </c:pt>
                <c:pt idx="3">
                  <c:v>Amazonas</c:v>
                </c:pt>
                <c:pt idx="4">
                  <c:v>Rio Grande do Sul</c:v>
                </c:pt>
                <c:pt idx="5">
                  <c:v>Distrito Federal</c:v>
                </c:pt>
                <c:pt idx="6">
                  <c:v>Minas Gerais</c:v>
                </c:pt>
                <c:pt idx="7">
                  <c:v>Rio Grande do Norte</c:v>
                </c:pt>
                <c:pt idx="8">
                  <c:v>Goiás</c:v>
                </c:pt>
                <c:pt idx="9">
                  <c:v>Rondônia</c:v>
                </c:pt>
                <c:pt idx="10">
                  <c:v>Santa Catarina</c:v>
                </c:pt>
                <c:pt idx="11">
                  <c:v>Acre</c:v>
                </c:pt>
                <c:pt idx="12">
                  <c:v>Bahia</c:v>
                </c:pt>
                <c:pt idx="13">
                  <c:v>Paraná</c:v>
                </c:pt>
                <c:pt idx="14">
                  <c:v>Mato Grosso do Sul</c:v>
                </c:pt>
                <c:pt idx="15">
                  <c:v>Mato Grosso</c:v>
                </c:pt>
                <c:pt idx="16">
                  <c:v>Pernambuco</c:v>
                </c:pt>
                <c:pt idx="17">
                  <c:v>Tocantins</c:v>
                </c:pt>
                <c:pt idx="18">
                  <c:v>Pará</c:v>
                </c:pt>
                <c:pt idx="19">
                  <c:v>Espírito Santo</c:v>
                </c:pt>
                <c:pt idx="20">
                  <c:v>Roraima</c:v>
                </c:pt>
                <c:pt idx="21">
                  <c:v>Sergipe</c:v>
                </c:pt>
                <c:pt idx="22">
                  <c:v>Paraíba</c:v>
                </c:pt>
                <c:pt idx="23">
                  <c:v>Ceará</c:v>
                </c:pt>
                <c:pt idx="24">
                  <c:v>Maranhão</c:v>
                </c:pt>
                <c:pt idx="25">
                  <c:v>Alagoas</c:v>
                </c:pt>
                <c:pt idx="26">
                  <c:v>Piauí</c:v>
                </c:pt>
              </c:strCache>
            </c:strRef>
          </c:cat>
          <c:val>
            <c:numRef>
              <c:f>RELAÇ_ESTADOS!$AG$3:$AG$29</c:f>
              <c:numCache>
                <c:formatCode>#,##0.00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CD-44DD-9041-66C7BFC63B50}"/>
            </c:ext>
          </c:extLst>
        </c:ser>
        <c:ser>
          <c:idx val="1"/>
          <c:order val="1"/>
          <c:tx>
            <c:strRef>
              <c:f>RELAÇ_ESTADOS!$AK$30</c:f>
              <c:strCache>
                <c:ptCount val="1"/>
                <c:pt idx="0">
                  <c:v>Veic/100hab</c:v>
                </c:pt>
              </c:strCache>
            </c:strRef>
          </c:tx>
          <c:spPr>
            <a:ln>
              <a:solidFill>
                <a:schemeClr val="accent3">
                  <a:lumMod val="75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bg1"/>
              </a:solidFill>
              <a:ln>
                <a:solidFill>
                  <a:schemeClr val="tx1">
                    <a:lumMod val="65000"/>
                    <a:lumOff val="35000"/>
                  </a:schemeClr>
                </a:solidFill>
              </a:ln>
            </c:spPr>
          </c:marker>
          <c:trendline>
            <c:trendlineType val="linear"/>
            <c:dispRSqr val="0"/>
            <c:dispEq val="0"/>
          </c:trendline>
          <c:cat>
            <c:strRef>
              <c:f>RELAÇ_ESTADOS!$AN$3:$AN$29</c:f>
              <c:strCache>
                <c:ptCount val="27"/>
                <c:pt idx="0">
                  <c:v>São Paulo</c:v>
                </c:pt>
                <c:pt idx="1">
                  <c:v>Rio de Janeiro</c:v>
                </c:pt>
                <c:pt idx="2">
                  <c:v>Amapá</c:v>
                </c:pt>
                <c:pt idx="3">
                  <c:v>Amazonas</c:v>
                </c:pt>
                <c:pt idx="4">
                  <c:v>Rio Grande do Sul</c:v>
                </c:pt>
                <c:pt idx="5">
                  <c:v>Distrito Federal</c:v>
                </c:pt>
                <c:pt idx="6">
                  <c:v>Minas Gerais</c:v>
                </c:pt>
                <c:pt idx="7">
                  <c:v>Rio Grande do Norte</c:v>
                </c:pt>
                <c:pt idx="8">
                  <c:v>Goiás</c:v>
                </c:pt>
                <c:pt idx="9">
                  <c:v>Rondônia</c:v>
                </c:pt>
                <c:pt idx="10">
                  <c:v>Santa Catarina</c:v>
                </c:pt>
                <c:pt idx="11">
                  <c:v>Acre</c:v>
                </c:pt>
                <c:pt idx="12">
                  <c:v>Bahia</c:v>
                </c:pt>
                <c:pt idx="13">
                  <c:v>Paraná</c:v>
                </c:pt>
                <c:pt idx="14">
                  <c:v>Mato Grosso do Sul</c:v>
                </c:pt>
                <c:pt idx="15">
                  <c:v>Mato Grosso</c:v>
                </c:pt>
                <c:pt idx="16">
                  <c:v>Pernambuco</c:v>
                </c:pt>
                <c:pt idx="17">
                  <c:v>Tocantins</c:v>
                </c:pt>
                <c:pt idx="18">
                  <c:v>Pará</c:v>
                </c:pt>
                <c:pt idx="19">
                  <c:v>Espírito Santo</c:v>
                </c:pt>
                <c:pt idx="20">
                  <c:v>Roraima</c:v>
                </c:pt>
                <c:pt idx="21">
                  <c:v>Sergipe</c:v>
                </c:pt>
                <c:pt idx="22">
                  <c:v>Paraíba</c:v>
                </c:pt>
                <c:pt idx="23">
                  <c:v>Ceará</c:v>
                </c:pt>
                <c:pt idx="24">
                  <c:v>Maranhão</c:v>
                </c:pt>
                <c:pt idx="25">
                  <c:v>Alagoas</c:v>
                </c:pt>
                <c:pt idx="26">
                  <c:v>Piauí</c:v>
                </c:pt>
              </c:strCache>
            </c:strRef>
          </c:cat>
          <c:val>
            <c:numRef>
              <c:f>RELAÇ_ESTADOS!$AK$31:$AK$57</c:f>
              <c:numCache>
                <c:formatCode>#,##0.00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CD-44DD-9041-66C7BFC63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689408"/>
        <c:axId val="146719872"/>
      </c:lineChart>
      <c:catAx>
        <c:axId val="1466894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46719872"/>
        <c:crosses val="autoZero"/>
        <c:auto val="1"/>
        <c:lblAlgn val="ctr"/>
        <c:lblOffset val="100"/>
        <c:noMultiLvlLbl val="0"/>
      </c:catAx>
      <c:valAx>
        <c:axId val="14671987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</a:t>
                </a:r>
                <a:r>
                  <a:rPr lang="pt-BR" baseline="30000"/>
                  <a:t>9</a:t>
                </a:r>
                <a:r>
                  <a:rPr lang="pt-BR"/>
                  <a:t>km</a:t>
                </a:r>
                <a:r>
                  <a:rPr lang="pt-BR" baseline="0"/>
                  <a:t> ou Veic./100hab.</a:t>
                </a:r>
                <a:endParaRPr lang="pt-BR"/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146689408"/>
        <c:crosses val="autoZero"/>
        <c:crossBetween val="between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602" footer="0.31496062000000602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Relação</a:t>
            </a:r>
            <a:r>
              <a:rPr lang="pt-BR" baseline="0"/>
              <a:t> entre o índice de mortes/10</a:t>
            </a:r>
            <a:r>
              <a:rPr lang="pt-BR" baseline="30000"/>
              <a:t>9</a:t>
            </a:r>
            <a:r>
              <a:rPr lang="pt-BR" baseline="0"/>
              <a:t>km percorridos e o IDH - 2004</a:t>
            </a:r>
            <a:endParaRPr lang="pt-BR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RELAÇ_ESTADOS!$A$2</c:f>
              <c:strCache>
                <c:ptCount val="1"/>
                <c:pt idx="0">
                  <c:v>Mortes/109km</c:v>
                </c:pt>
              </c:strCache>
            </c:strRef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ymbol val="circle"/>
            <c:size val="5"/>
            <c:spPr>
              <a:solidFill>
                <a:sysClr val="window" lastClr="FFFFFF"/>
              </a:solidFill>
              <a:ln>
                <a:solidFill>
                  <a:schemeClr val="tx1">
                    <a:lumMod val="65000"/>
                    <a:lumOff val="35000"/>
                  </a:schemeClr>
                </a:solidFill>
              </a:ln>
            </c:spPr>
          </c:marker>
          <c:cat>
            <c:strRef>
              <c:f>RELAÇ_ESTADOS!$H$3:$H$29</c:f>
              <c:strCache>
                <c:ptCount val="27"/>
                <c:pt idx="0">
                  <c:v>São Paulo</c:v>
                </c:pt>
                <c:pt idx="1">
                  <c:v>Rio Grande do Sul</c:v>
                </c:pt>
                <c:pt idx="2">
                  <c:v>Distrito Federal</c:v>
                </c:pt>
                <c:pt idx="3">
                  <c:v>Minas Gerais</c:v>
                </c:pt>
                <c:pt idx="4">
                  <c:v>Amazonas</c:v>
                </c:pt>
                <c:pt idx="5">
                  <c:v>Santa Catarina</c:v>
                </c:pt>
                <c:pt idx="6">
                  <c:v>Bahia</c:v>
                </c:pt>
                <c:pt idx="7">
                  <c:v>Rio de Janeiro</c:v>
                </c:pt>
                <c:pt idx="8">
                  <c:v>Rondônia</c:v>
                </c:pt>
                <c:pt idx="9">
                  <c:v>Roraima</c:v>
                </c:pt>
                <c:pt idx="10">
                  <c:v>Rio Grande do Norte</c:v>
                </c:pt>
                <c:pt idx="11">
                  <c:v>Acre</c:v>
                </c:pt>
                <c:pt idx="12">
                  <c:v>Goiás</c:v>
                </c:pt>
                <c:pt idx="13">
                  <c:v>Mato Grosso do Sul</c:v>
                </c:pt>
                <c:pt idx="14">
                  <c:v>Mato Grosso</c:v>
                </c:pt>
                <c:pt idx="15">
                  <c:v>Paraná</c:v>
                </c:pt>
                <c:pt idx="16">
                  <c:v>Espírito Santo</c:v>
                </c:pt>
                <c:pt idx="17">
                  <c:v>Amapá</c:v>
                </c:pt>
                <c:pt idx="18">
                  <c:v>Pará</c:v>
                </c:pt>
                <c:pt idx="19">
                  <c:v>Pernambuco</c:v>
                </c:pt>
                <c:pt idx="20">
                  <c:v>Paraíba</c:v>
                </c:pt>
                <c:pt idx="21">
                  <c:v>Tocantins</c:v>
                </c:pt>
                <c:pt idx="22">
                  <c:v>Sergipe</c:v>
                </c:pt>
                <c:pt idx="23">
                  <c:v>Maranhão</c:v>
                </c:pt>
                <c:pt idx="24">
                  <c:v>Ceará</c:v>
                </c:pt>
                <c:pt idx="25">
                  <c:v>Alagoas</c:v>
                </c:pt>
                <c:pt idx="26">
                  <c:v>Piauí</c:v>
                </c:pt>
              </c:strCache>
            </c:strRef>
          </c:cat>
          <c:val>
            <c:numRef>
              <c:f>RELAÇ_ESTADOS!$A$3:$A$29</c:f>
              <c:numCache>
                <c:formatCode>#,##0.00</c:formatCode>
                <c:ptCount val="27"/>
                <c:pt idx="0">
                  <c:v>33.871336088244782</c:v>
                </c:pt>
                <c:pt idx="1">
                  <c:v>42.591906538294616</c:v>
                </c:pt>
                <c:pt idx="2">
                  <c:v>44.127427852649333</c:v>
                </c:pt>
                <c:pt idx="3">
                  <c:v>50.66836893725295</c:v>
                </c:pt>
                <c:pt idx="4">
                  <c:v>40.45893557462017</c:v>
                </c:pt>
                <c:pt idx="5">
                  <c:v>53.074054148577261</c:v>
                </c:pt>
                <c:pt idx="6">
                  <c:v>59.389401424063209</c:v>
                </c:pt>
                <c:pt idx="7">
                  <c:v>44.980154170670126</c:v>
                </c:pt>
                <c:pt idx="8">
                  <c:v>61.879304441709152</c:v>
                </c:pt>
                <c:pt idx="9">
                  <c:v>76.581625090385202</c:v>
                </c:pt>
                <c:pt idx="10">
                  <c:v>56.706595269995972</c:v>
                </c:pt>
                <c:pt idx="11">
                  <c:v>60.580812704081495</c:v>
                </c:pt>
                <c:pt idx="12">
                  <c:v>61.362279426386621</c:v>
                </c:pt>
                <c:pt idx="13">
                  <c:v>61.671773112392003</c:v>
                </c:pt>
                <c:pt idx="14">
                  <c:v>71.024828835045952</c:v>
                </c:pt>
                <c:pt idx="15">
                  <c:v>68.948812741832583</c:v>
                </c:pt>
                <c:pt idx="16">
                  <c:v>77.945784401925593</c:v>
                </c:pt>
                <c:pt idx="17">
                  <c:v>52.806405052168515</c:v>
                </c:pt>
                <c:pt idx="18">
                  <c:v>64.895170641801073</c:v>
                </c:pt>
                <c:pt idx="19">
                  <c:v>91.039666633478745</c:v>
                </c:pt>
                <c:pt idx="20">
                  <c:v>88.353209147742191</c:v>
                </c:pt>
                <c:pt idx="21">
                  <c:v>74.916719274056945</c:v>
                </c:pt>
                <c:pt idx="22">
                  <c:v>98.789356793334775</c:v>
                </c:pt>
                <c:pt idx="23">
                  <c:v>109.72309229216644</c:v>
                </c:pt>
                <c:pt idx="24">
                  <c:v>87.414276859853416</c:v>
                </c:pt>
                <c:pt idx="25">
                  <c:v>126.21656178900706</c:v>
                </c:pt>
                <c:pt idx="26">
                  <c:v>127.69799244430486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2B-4B93-BF78-85BE7B02C344}"/>
            </c:ext>
          </c:extLst>
        </c:ser>
        <c:ser>
          <c:idx val="1"/>
          <c:order val="1"/>
          <c:tx>
            <c:strRef>
              <c:f>RELAÇ_ESTADOS!$G$30</c:f>
              <c:strCache>
                <c:ptCount val="1"/>
                <c:pt idx="0">
                  <c:v>IDHx100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triangle"/>
            <c:size val="5"/>
            <c:spPr>
              <a:solidFill>
                <a:schemeClr val="bg1"/>
              </a:solidFill>
              <a:ln>
                <a:solidFill>
                  <a:schemeClr val="tx1">
                    <a:lumMod val="65000"/>
                    <a:lumOff val="35000"/>
                  </a:schemeClr>
                </a:solidFill>
              </a:ln>
            </c:spPr>
          </c:marker>
          <c:trendline>
            <c:trendlineType val="linear"/>
            <c:dispRSqr val="0"/>
            <c:dispEq val="0"/>
          </c:trendline>
          <c:cat>
            <c:strRef>
              <c:f>RELAÇ_ESTADOS!$H$3:$H$29</c:f>
              <c:strCache>
                <c:ptCount val="27"/>
                <c:pt idx="0">
                  <c:v>São Paulo</c:v>
                </c:pt>
                <c:pt idx="1">
                  <c:v>Rio Grande do Sul</c:v>
                </c:pt>
                <c:pt idx="2">
                  <c:v>Distrito Federal</c:v>
                </c:pt>
                <c:pt idx="3">
                  <c:v>Minas Gerais</c:v>
                </c:pt>
                <c:pt idx="4">
                  <c:v>Amazonas</c:v>
                </c:pt>
                <c:pt idx="5">
                  <c:v>Santa Catarina</c:v>
                </c:pt>
                <c:pt idx="6">
                  <c:v>Bahia</c:v>
                </c:pt>
                <c:pt idx="7">
                  <c:v>Rio de Janeiro</c:v>
                </c:pt>
                <c:pt idx="8">
                  <c:v>Rondônia</c:v>
                </c:pt>
                <c:pt idx="9">
                  <c:v>Roraima</c:v>
                </c:pt>
                <c:pt idx="10">
                  <c:v>Rio Grande do Norte</c:v>
                </c:pt>
                <c:pt idx="11">
                  <c:v>Acre</c:v>
                </c:pt>
                <c:pt idx="12">
                  <c:v>Goiás</c:v>
                </c:pt>
                <c:pt idx="13">
                  <c:v>Mato Grosso do Sul</c:v>
                </c:pt>
                <c:pt idx="14">
                  <c:v>Mato Grosso</c:v>
                </c:pt>
                <c:pt idx="15">
                  <c:v>Paraná</c:v>
                </c:pt>
                <c:pt idx="16">
                  <c:v>Espírito Santo</c:v>
                </c:pt>
                <c:pt idx="17">
                  <c:v>Amapá</c:v>
                </c:pt>
                <c:pt idx="18">
                  <c:v>Pará</c:v>
                </c:pt>
                <c:pt idx="19">
                  <c:v>Pernambuco</c:v>
                </c:pt>
                <c:pt idx="20">
                  <c:v>Paraíba</c:v>
                </c:pt>
                <c:pt idx="21">
                  <c:v>Tocantins</c:v>
                </c:pt>
                <c:pt idx="22">
                  <c:v>Sergipe</c:v>
                </c:pt>
                <c:pt idx="23">
                  <c:v>Maranhão</c:v>
                </c:pt>
                <c:pt idx="24">
                  <c:v>Ceará</c:v>
                </c:pt>
                <c:pt idx="25">
                  <c:v>Alagoas</c:v>
                </c:pt>
                <c:pt idx="26">
                  <c:v>Piauí</c:v>
                </c:pt>
              </c:strCache>
            </c:strRef>
          </c:cat>
          <c:val>
            <c:numRef>
              <c:f>RELAÇ_ESTADOS!$G$31:$G$57</c:f>
              <c:numCache>
                <c:formatCode>#,##0.00</c:formatCode>
                <c:ptCount val="27"/>
                <c:pt idx="0">
                  <c:v>81.399999999999991</c:v>
                </c:pt>
                <c:pt idx="1">
                  <c:v>80.900000000000006</c:v>
                </c:pt>
                <c:pt idx="2">
                  <c:v>84.6</c:v>
                </c:pt>
                <c:pt idx="3">
                  <c:v>76.8</c:v>
                </c:pt>
                <c:pt idx="4">
                  <c:v>71.7</c:v>
                </c:pt>
                <c:pt idx="5">
                  <c:v>80.600000000000009</c:v>
                </c:pt>
                <c:pt idx="6">
                  <c:v>69.599999999999994</c:v>
                </c:pt>
                <c:pt idx="7">
                  <c:v>80.2</c:v>
                </c:pt>
                <c:pt idx="8">
                  <c:v>72.899999999999991</c:v>
                </c:pt>
                <c:pt idx="9">
                  <c:v>74.900000000000006</c:v>
                </c:pt>
                <c:pt idx="10">
                  <c:v>70.199999999999989</c:v>
                </c:pt>
                <c:pt idx="11">
                  <c:v>69.199999999999989</c:v>
                </c:pt>
                <c:pt idx="12">
                  <c:v>77</c:v>
                </c:pt>
                <c:pt idx="13">
                  <c:v>76.900000000000006</c:v>
                </c:pt>
                <c:pt idx="14">
                  <c:v>76.7</c:v>
                </c:pt>
                <c:pt idx="15">
                  <c:v>80.300000000000011</c:v>
                </c:pt>
                <c:pt idx="16">
                  <c:v>78.7</c:v>
                </c:pt>
                <c:pt idx="17">
                  <c:v>73.2</c:v>
                </c:pt>
                <c:pt idx="18">
                  <c:v>72</c:v>
                </c:pt>
                <c:pt idx="19">
                  <c:v>70.5</c:v>
                </c:pt>
                <c:pt idx="20">
                  <c:v>67.800000000000011</c:v>
                </c:pt>
                <c:pt idx="21">
                  <c:v>72.099999999999994</c:v>
                </c:pt>
                <c:pt idx="22">
                  <c:v>69.3</c:v>
                </c:pt>
                <c:pt idx="23">
                  <c:v>64.7</c:v>
                </c:pt>
                <c:pt idx="24">
                  <c:v>70</c:v>
                </c:pt>
                <c:pt idx="25">
                  <c:v>64.600000000000009</c:v>
                </c:pt>
                <c:pt idx="26">
                  <c:v>67.300000000000011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2B-4B93-BF78-85BE7B02C3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738176"/>
        <c:axId val="146744064"/>
      </c:lineChart>
      <c:catAx>
        <c:axId val="1467381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46744064"/>
        <c:crosses val="autoZero"/>
        <c:auto val="1"/>
        <c:lblAlgn val="ctr"/>
        <c:lblOffset val="100"/>
        <c:noMultiLvlLbl val="0"/>
      </c:catAx>
      <c:valAx>
        <c:axId val="14674406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</a:t>
                </a:r>
                <a:r>
                  <a:rPr lang="pt-BR" baseline="30000"/>
                  <a:t>9</a:t>
                </a:r>
                <a:r>
                  <a:rPr lang="pt-BR"/>
                  <a:t>km</a:t>
                </a:r>
                <a:r>
                  <a:rPr lang="pt-BR" baseline="0"/>
                  <a:t> ou IDHx100</a:t>
                </a:r>
                <a:endParaRPr lang="pt-BR"/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146738176"/>
        <c:crosses val="autoZero"/>
        <c:crossBetween val="between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602" footer="0.31496062000000602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Relação</a:t>
            </a:r>
            <a:r>
              <a:rPr lang="pt-BR" baseline="0"/>
              <a:t> entre o índice de mortes/10</a:t>
            </a:r>
            <a:r>
              <a:rPr lang="pt-BR" baseline="30000"/>
              <a:t>9</a:t>
            </a:r>
            <a:r>
              <a:rPr lang="pt-BR" baseline="0"/>
              <a:t>km percorridos e o IDH - 2005</a:t>
            </a:r>
            <a:endParaRPr lang="pt-BR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RELAÇ_ESTADOS!$I$2</c:f>
              <c:strCache>
                <c:ptCount val="1"/>
                <c:pt idx="0">
                  <c:v>Mortes/109km</c:v>
                </c:pt>
              </c:strCache>
            </c:strRef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ymbol val="circle"/>
            <c:size val="5"/>
            <c:spPr>
              <a:solidFill>
                <a:sysClr val="window" lastClr="FFFFFF"/>
              </a:solidFill>
              <a:ln>
                <a:solidFill>
                  <a:schemeClr val="tx1">
                    <a:lumMod val="65000"/>
                    <a:lumOff val="35000"/>
                  </a:schemeClr>
                </a:solidFill>
              </a:ln>
            </c:spPr>
          </c:marker>
          <c:cat>
            <c:strRef>
              <c:f>RELAÇ_ESTADOS!$P$3:$P$29</c:f>
              <c:strCache>
                <c:ptCount val="27"/>
                <c:pt idx="0">
                  <c:v>São Paulo</c:v>
                </c:pt>
                <c:pt idx="1">
                  <c:v>Rio Grande do Sul</c:v>
                </c:pt>
                <c:pt idx="2">
                  <c:v>Minas Gerais</c:v>
                </c:pt>
                <c:pt idx="3">
                  <c:v>Distrito Federal</c:v>
                </c:pt>
                <c:pt idx="4">
                  <c:v>Amazonas</c:v>
                </c:pt>
                <c:pt idx="5">
                  <c:v>Santa Catarina</c:v>
                </c:pt>
                <c:pt idx="6">
                  <c:v>Rio de Janeiro</c:v>
                </c:pt>
                <c:pt idx="7">
                  <c:v>Rondônia</c:v>
                </c:pt>
                <c:pt idx="8">
                  <c:v>Rio Grande do Norte</c:v>
                </c:pt>
                <c:pt idx="9">
                  <c:v>Mato Grosso</c:v>
                </c:pt>
                <c:pt idx="10">
                  <c:v>Paraná</c:v>
                </c:pt>
                <c:pt idx="11">
                  <c:v>Goiás</c:v>
                </c:pt>
                <c:pt idx="12">
                  <c:v>Acre</c:v>
                </c:pt>
                <c:pt idx="13">
                  <c:v>Amapá</c:v>
                </c:pt>
                <c:pt idx="14">
                  <c:v>Bahia</c:v>
                </c:pt>
                <c:pt idx="15">
                  <c:v>Espírito Santo</c:v>
                </c:pt>
                <c:pt idx="16">
                  <c:v>Mato Grosso do Sul</c:v>
                </c:pt>
                <c:pt idx="17">
                  <c:v>Tocantins</c:v>
                </c:pt>
                <c:pt idx="18">
                  <c:v>Sergipe</c:v>
                </c:pt>
                <c:pt idx="19">
                  <c:v>Pará</c:v>
                </c:pt>
                <c:pt idx="20">
                  <c:v>Pernambuco</c:v>
                </c:pt>
                <c:pt idx="21">
                  <c:v>Paraíba</c:v>
                </c:pt>
                <c:pt idx="22">
                  <c:v>Roraima</c:v>
                </c:pt>
                <c:pt idx="23">
                  <c:v>Ceará</c:v>
                </c:pt>
                <c:pt idx="24">
                  <c:v>Maranhão</c:v>
                </c:pt>
                <c:pt idx="25">
                  <c:v>Alagoas</c:v>
                </c:pt>
                <c:pt idx="26">
                  <c:v>Piauí</c:v>
                </c:pt>
              </c:strCache>
            </c:strRef>
          </c:cat>
          <c:val>
            <c:numRef>
              <c:f>RELAÇ_ESTADOS!$I$3:$I$29</c:f>
              <c:numCache>
                <c:formatCode>#,##0.00</c:formatCode>
                <c:ptCount val="27"/>
                <c:pt idx="0">
                  <c:v>32.553852908371979</c:v>
                </c:pt>
                <c:pt idx="1">
                  <c:v>42.888851929114416</c:v>
                </c:pt>
                <c:pt idx="2">
                  <c:v>49.921706065738178</c:v>
                </c:pt>
                <c:pt idx="3">
                  <c:v>45.092469199936886</c:v>
                </c:pt>
                <c:pt idx="4">
                  <c:v>50.246207503553158</c:v>
                </c:pt>
                <c:pt idx="5">
                  <c:v>48.170244558587974</c:v>
                </c:pt>
                <c:pt idx="6">
                  <c:v>52.428711649715972</c:v>
                </c:pt>
                <c:pt idx="7">
                  <c:v>67.090830837959714</c:v>
                </c:pt>
                <c:pt idx="8">
                  <c:v>65.515785446387611</c:v>
                </c:pt>
                <c:pt idx="9">
                  <c:v>64.340445896427383</c:v>
                </c:pt>
                <c:pt idx="10">
                  <c:v>65.451044350021931</c:v>
                </c:pt>
                <c:pt idx="11">
                  <c:v>61.354676118471417</c:v>
                </c:pt>
                <c:pt idx="12">
                  <c:v>57.145053874874257</c:v>
                </c:pt>
                <c:pt idx="13">
                  <c:v>53.251059702799004</c:v>
                </c:pt>
                <c:pt idx="14">
                  <c:v>74.121763185967197</c:v>
                </c:pt>
                <c:pt idx="15">
                  <c:v>82.510033291374668</c:v>
                </c:pt>
                <c:pt idx="16">
                  <c:v>60.9046418119527</c:v>
                </c:pt>
                <c:pt idx="17">
                  <c:v>75.006725529793059</c:v>
                </c:pt>
                <c:pt idx="18">
                  <c:v>101.86185844929328</c:v>
                </c:pt>
                <c:pt idx="19">
                  <c:v>74.73655490008268</c:v>
                </c:pt>
                <c:pt idx="20">
                  <c:v>85.228533013382815</c:v>
                </c:pt>
                <c:pt idx="21">
                  <c:v>81.628092778416672</c:v>
                </c:pt>
                <c:pt idx="22">
                  <c:v>70.133806089867534</c:v>
                </c:pt>
                <c:pt idx="23">
                  <c:v>98.185049616271556</c:v>
                </c:pt>
                <c:pt idx="24">
                  <c:v>103.55776849232811</c:v>
                </c:pt>
                <c:pt idx="25">
                  <c:v>127.11658016066335</c:v>
                </c:pt>
                <c:pt idx="26">
                  <c:v>123.78292293094962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FB-4813-A83B-EB051A3803DF}"/>
            </c:ext>
          </c:extLst>
        </c:ser>
        <c:ser>
          <c:idx val="1"/>
          <c:order val="1"/>
          <c:tx>
            <c:strRef>
              <c:f>RELAÇ_ESTADOS!$W$30</c:f>
              <c:strCache>
                <c:ptCount val="1"/>
                <c:pt idx="0">
                  <c:v>IDHx100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triangle"/>
            <c:size val="5"/>
            <c:spPr>
              <a:solidFill>
                <a:schemeClr val="bg1"/>
              </a:solidFill>
              <a:ln>
                <a:solidFill>
                  <a:schemeClr val="tx1">
                    <a:lumMod val="65000"/>
                    <a:lumOff val="35000"/>
                  </a:schemeClr>
                </a:solidFill>
              </a:ln>
            </c:spPr>
          </c:marker>
          <c:trendline>
            <c:trendlineType val="linear"/>
            <c:dispRSqr val="0"/>
            <c:dispEq val="0"/>
          </c:trendline>
          <c:cat>
            <c:strRef>
              <c:f>RELAÇ_ESTADOS!$P$3:$P$29</c:f>
              <c:strCache>
                <c:ptCount val="27"/>
                <c:pt idx="0">
                  <c:v>São Paulo</c:v>
                </c:pt>
                <c:pt idx="1">
                  <c:v>Rio Grande do Sul</c:v>
                </c:pt>
                <c:pt idx="2">
                  <c:v>Minas Gerais</c:v>
                </c:pt>
                <c:pt idx="3">
                  <c:v>Distrito Federal</c:v>
                </c:pt>
                <c:pt idx="4">
                  <c:v>Amazonas</c:v>
                </c:pt>
                <c:pt idx="5">
                  <c:v>Santa Catarina</c:v>
                </c:pt>
                <c:pt idx="6">
                  <c:v>Rio de Janeiro</c:v>
                </c:pt>
                <c:pt idx="7">
                  <c:v>Rondônia</c:v>
                </c:pt>
                <c:pt idx="8">
                  <c:v>Rio Grande do Norte</c:v>
                </c:pt>
                <c:pt idx="9">
                  <c:v>Mato Grosso</c:v>
                </c:pt>
                <c:pt idx="10">
                  <c:v>Paraná</c:v>
                </c:pt>
                <c:pt idx="11">
                  <c:v>Goiás</c:v>
                </c:pt>
                <c:pt idx="12">
                  <c:v>Acre</c:v>
                </c:pt>
                <c:pt idx="13">
                  <c:v>Amapá</c:v>
                </c:pt>
                <c:pt idx="14">
                  <c:v>Bahia</c:v>
                </c:pt>
                <c:pt idx="15">
                  <c:v>Espírito Santo</c:v>
                </c:pt>
                <c:pt idx="16">
                  <c:v>Mato Grosso do Sul</c:v>
                </c:pt>
                <c:pt idx="17">
                  <c:v>Tocantins</c:v>
                </c:pt>
                <c:pt idx="18">
                  <c:v>Sergipe</c:v>
                </c:pt>
                <c:pt idx="19">
                  <c:v>Pará</c:v>
                </c:pt>
                <c:pt idx="20">
                  <c:v>Pernambuco</c:v>
                </c:pt>
                <c:pt idx="21">
                  <c:v>Paraíba</c:v>
                </c:pt>
                <c:pt idx="22">
                  <c:v>Roraima</c:v>
                </c:pt>
                <c:pt idx="23">
                  <c:v>Ceará</c:v>
                </c:pt>
                <c:pt idx="24">
                  <c:v>Maranhão</c:v>
                </c:pt>
                <c:pt idx="25">
                  <c:v>Alagoas</c:v>
                </c:pt>
                <c:pt idx="26">
                  <c:v>Piauí</c:v>
                </c:pt>
              </c:strCache>
            </c:strRef>
          </c:cat>
          <c:val>
            <c:numRef>
              <c:f>RELAÇ_ESTADOS!$W$31:$W$57</c:f>
              <c:numCache>
                <c:formatCode>#,##0.00</c:formatCode>
                <c:ptCount val="27"/>
                <c:pt idx="0">
                  <c:v>84.2</c:v>
                </c:pt>
                <c:pt idx="1">
                  <c:v>88.2</c:v>
                </c:pt>
                <c:pt idx="2">
                  <c:v>84</c:v>
                </c:pt>
                <c:pt idx="3">
                  <c:v>81.3</c:v>
                </c:pt>
                <c:pt idx="4">
                  <c:v>76.3</c:v>
                </c:pt>
                <c:pt idx="5">
                  <c:v>84.8</c:v>
                </c:pt>
                <c:pt idx="6">
                  <c:v>78.400000000000006</c:v>
                </c:pt>
                <c:pt idx="7">
                  <c:v>80.7</c:v>
                </c:pt>
                <c:pt idx="8">
                  <c:v>77.900000000000006</c:v>
                </c:pt>
                <c:pt idx="9">
                  <c:v>84.6</c:v>
                </c:pt>
                <c:pt idx="10">
                  <c:v>74.2</c:v>
                </c:pt>
                <c:pt idx="11">
                  <c:v>75.400000000000006</c:v>
                </c:pt>
                <c:pt idx="12">
                  <c:v>82.699999999999989</c:v>
                </c:pt>
                <c:pt idx="13">
                  <c:v>80.400000000000006</c:v>
                </c:pt>
                <c:pt idx="14">
                  <c:v>78.900000000000006</c:v>
                </c:pt>
                <c:pt idx="15">
                  <c:v>81.5</c:v>
                </c:pt>
                <c:pt idx="16">
                  <c:v>80.800000000000011</c:v>
                </c:pt>
                <c:pt idx="17">
                  <c:v>76.900000000000006</c:v>
                </c:pt>
                <c:pt idx="18">
                  <c:v>75.599999999999994</c:v>
                </c:pt>
                <c:pt idx="19">
                  <c:v>73.3</c:v>
                </c:pt>
                <c:pt idx="20">
                  <c:v>76.400000000000006</c:v>
                </c:pt>
                <c:pt idx="21">
                  <c:v>72.899999999999991</c:v>
                </c:pt>
                <c:pt idx="22">
                  <c:v>78.400000000000006</c:v>
                </c:pt>
                <c:pt idx="23">
                  <c:v>70.7</c:v>
                </c:pt>
                <c:pt idx="24">
                  <c:v>73.099999999999994</c:v>
                </c:pt>
                <c:pt idx="25">
                  <c:v>70</c:v>
                </c:pt>
                <c:pt idx="26">
                  <c:v>72.099999999999994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FB-4813-A83B-EB051A3803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795136"/>
        <c:axId val="146801024"/>
      </c:lineChart>
      <c:catAx>
        <c:axId val="1467951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46801024"/>
        <c:crosses val="autoZero"/>
        <c:auto val="1"/>
        <c:lblAlgn val="ctr"/>
        <c:lblOffset val="100"/>
        <c:noMultiLvlLbl val="0"/>
      </c:catAx>
      <c:valAx>
        <c:axId val="14680102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</a:t>
                </a:r>
                <a:r>
                  <a:rPr lang="pt-BR" baseline="30000"/>
                  <a:t>9</a:t>
                </a:r>
                <a:r>
                  <a:rPr lang="pt-BR"/>
                  <a:t>km</a:t>
                </a:r>
                <a:r>
                  <a:rPr lang="pt-BR" baseline="0"/>
                  <a:t> ou IDHx100</a:t>
                </a:r>
                <a:endParaRPr lang="pt-BR"/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146795136"/>
        <c:crosses val="autoZero"/>
        <c:crossBetween val="between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602" footer="0.31496062000000602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Relação</a:t>
            </a:r>
            <a:r>
              <a:rPr lang="pt-BR" baseline="0"/>
              <a:t> entre o índice de mortes/10</a:t>
            </a:r>
            <a:r>
              <a:rPr lang="pt-BR" baseline="30000"/>
              <a:t>9</a:t>
            </a:r>
            <a:r>
              <a:rPr lang="pt-BR" baseline="0"/>
              <a:t>km percorridos e o IDH - 2006</a:t>
            </a:r>
            <a:endParaRPr lang="pt-BR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RELAÇ_ESTADOS!$Q$2</c:f>
              <c:strCache>
                <c:ptCount val="1"/>
                <c:pt idx="0">
                  <c:v>Mortes/109km</c:v>
                </c:pt>
              </c:strCache>
            </c:strRef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ymbol val="circle"/>
            <c:size val="5"/>
            <c:spPr>
              <a:solidFill>
                <a:sysClr val="window" lastClr="FFFFFF"/>
              </a:solidFill>
              <a:ln>
                <a:solidFill>
                  <a:schemeClr val="tx1">
                    <a:lumMod val="65000"/>
                    <a:lumOff val="35000"/>
                  </a:schemeClr>
                </a:solidFill>
              </a:ln>
            </c:spPr>
          </c:marker>
          <c:cat>
            <c:strRef>
              <c:f>RELAÇ_ESTADOS!$X$3:$X$29</c:f>
              <c:strCache>
                <c:ptCount val="27"/>
                <c:pt idx="0">
                  <c:v>São Paulo</c:v>
                </c:pt>
                <c:pt idx="1">
                  <c:v>Distrito Federal</c:v>
                </c:pt>
                <c:pt idx="2">
                  <c:v>Rio Grande do Sul</c:v>
                </c:pt>
                <c:pt idx="3">
                  <c:v>Minas Gerais</c:v>
                </c:pt>
                <c:pt idx="4">
                  <c:v>Acre</c:v>
                </c:pt>
                <c:pt idx="5">
                  <c:v>Santa Catarina</c:v>
                </c:pt>
                <c:pt idx="6">
                  <c:v>Amazonas</c:v>
                </c:pt>
                <c:pt idx="7">
                  <c:v>Goiás</c:v>
                </c:pt>
                <c:pt idx="8">
                  <c:v>Rondônia</c:v>
                </c:pt>
                <c:pt idx="9">
                  <c:v>Rio de Janeiro</c:v>
                </c:pt>
                <c:pt idx="10">
                  <c:v>Rio Grande do Norte</c:v>
                </c:pt>
                <c:pt idx="11">
                  <c:v>Bahia</c:v>
                </c:pt>
                <c:pt idx="12">
                  <c:v>Paraná</c:v>
                </c:pt>
                <c:pt idx="13">
                  <c:v>Mato Grosso</c:v>
                </c:pt>
                <c:pt idx="14">
                  <c:v>Amapá</c:v>
                </c:pt>
                <c:pt idx="15">
                  <c:v>Mato Grosso do Sul</c:v>
                </c:pt>
                <c:pt idx="16">
                  <c:v>Espírito Santo</c:v>
                </c:pt>
                <c:pt idx="17">
                  <c:v>Tocantins</c:v>
                </c:pt>
                <c:pt idx="18">
                  <c:v>Sergipe</c:v>
                </c:pt>
                <c:pt idx="19">
                  <c:v>Pernambuco</c:v>
                </c:pt>
                <c:pt idx="20">
                  <c:v>Pará</c:v>
                </c:pt>
                <c:pt idx="21">
                  <c:v>Paraíba</c:v>
                </c:pt>
                <c:pt idx="22">
                  <c:v>Roraima</c:v>
                </c:pt>
                <c:pt idx="23">
                  <c:v>Maranhão</c:v>
                </c:pt>
                <c:pt idx="24">
                  <c:v>Ceará</c:v>
                </c:pt>
                <c:pt idx="25">
                  <c:v>Alagoas</c:v>
                </c:pt>
                <c:pt idx="26">
                  <c:v>Piauí</c:v>
                </c:pt>
              </c:strCache>
            </c:strRef>
          </c:cat>
          <c:val>
            <c:numRef>
              <c:f>RELAÇ_ESTADOS!$Q$3:$Q$29</c:f>
              <c:numCache>
                <c:formatCode>#,##0.00</c:formatCode>
                <c:ptCount val="27"/>
                <c:pt idx="0">
                  <c:v>31.126948388559306</c:v>
                </c:pt>
                <c:pt idx="1">
                  <c:v>42.459912832063367</c:v>
                </c:pt>
                <c:pt idx="2">
                  <c:v>38.20562875544433</c:v>
                </c:pt>
                <c:pt idx="3">
                  <c:v>49.052265221226712</c:v>
                </c:pt>
                <c:pt idx="4">
                  <c:v>61.622473869153353</c:v>
                </c:pt>
                <c:pt idx="5">
                  <c:v>49.044680391400462</c:v>
                </c:pt>
                <c:pt idx="6">
                  <c:v>48.416360821514147</c:v>
                </c:pt>
                <c:pt idx="7">
                  <c:v>54.15946940233912</c:v>
                </c:pt>
                <c:pt idx="8">
                  <c:v>61.441338634516249</c:v>
                </c:pt>
                <c:pt idx="9">
                  <c:v>45.881403193876267</c:v>
                </c:pt>
                <c:pt idx="10">
                  <c:v>53.289581884030049</c:v>
                </c:pt>
                <c:pt idx="11">
                  <c:v>67.85183092614858</c:v>
                </c:pt>
                <c:pt idx="12">
                  <c:v>59.251472325955625</c:v>
                </c:pt>
                <c:pt idx="13">
                  <c:v>56.880851212351189</c:v>
                </c:pt>
                <c:pt idx="14">
                  <c:v>58.911619379056383</c:v>
                </c:pt>
                <c:pt idx="15">
                  <c:v>60.212796120635311</c:v>
                </c:pt>
                <c:pt idx="16">
                  <c:v>75.588369172687365</c:v>
                </c:pt>
                <c:pt idx="17">
                  <c:v>71.257133699634267</c:v>
                </c:pt>
                <c:pt idx="18">
                  <c:v>88.055675302305247</c:v>
                </c:pt>
                <c:pt idx="19">
                  <c:v>77.029086975493371</c:v>
                </c:pt>
                <c:pt idx="20">
                  <c:v>66.770543810762803</c:v>
                </c:pt>
                <c:pt idx="21">
                  <c:v>69.93364373091697</c:v>
                </c:pt>
                <c:pt idx="22">
                  <c:v>68.261468448644123</c:v>
                </c:pt>
                <c:pt idx="23">
                  <c:v>103.61290461588878</c:v>
                </c:pt>
                <c:pt idx="24">
                  <c:v>89.890178268564256</c:v>
                </c:pt>
                <c:pt idx="25">
                  <c:v>120.9491222124268</c:v>
                </c:pt>
                <c:pt idx="26">
                  <c:v>120.23241906125917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F0-40A0-9C7D-4BB1A9FBD95D}"/>
            </c:ext>
          </c:extLst>
        </c:ser>
        <c:ser>
          <c:idx val="1"/>
          <c:order val="1"/>
          <c:tx>
            <c:strRef>
              <c:f>RELAÇ_ESTADOS!$W$30</c:f>
              <c:strCache>
                <c:ptCount val="1"/>
                <c:pt idx="0">
                  <c:v>IDHx100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triangle"/>
            <c:size val="5"/>
            <c:spPr>
              <a:solidFill>
                <a:schemeClr val="bg1"/>
              </a:solidFill>
              <a:ln>
                <a:solidFill>
                  <a:schemeClr val="tx1">
                    <a:lumMod val="65000"/>
                    <a:lumOff val="35000"/>
                  </a:schemeClr>
                </a:solidFill>
              </a:ln>
            </c:spPr>
          </c:marker>
          <c:trendline>
            <c:trendlineType val="linear"/>
            <c:dispRSqr val="0"/>
            <c:dispEq val="0"/>
          </c:trendline>
          <c:cat>
            <c:strRef>
              <c:f>RELAÇ_ESTADOS!$X$3:$X$29</c:f>
              <c:strCache>
                <c:ptCount val="27"/>
                <c:pt idx="0">
                  <c:v>São Paulo</c:v>
                </c:pt>
                <c:pt idx="1">
                  <c:v>Distrito Federal</c:v>
                </c:pt>
                <c:pt idx="2">
                  <c:v>Rio Grande do Sul</c:v>
                </c:pt>
                <c:pt idx="3">
                  <c:v>Minas Gerais</c:v>
                </c:pt>
                <c:pt idx="4">
                  <c:v>Acre</c:v>
                </c:pt>
                <c:pt idx="5">
                  <c:v>Santa Catarina</c:v>
                </c:pt>
                <c:pt idx="6">
                  <c:v>Amazonas</c:v>
                </c:pt>
                <c:pt idx="7">
                  <c:v>Goiás</c:v>
                </c:pt>
                <c:pt idx="8">
                  <c:v>Rondônia</c:v>
                </c:pt>
                <c:pt idx="9">
                  <c:v>Rio de Janeiro</c:v>
                </c:pt>
                <c:pt idx="10">
                  <c:v>Rio Grande do Norte</c:v>
                </c:pt>
                <c:pt idx="11">
                  <c:v>Bahia</c:v>
                </c:pt>
                <c:pt idx="12">
                  <c:v>Paraná</c:v>
                </c:pt>
                <c:pt idx="13">
                  <c:v>Mato Grosso</c:v>
                </c:pt>
                <c:pt idx="14">
                  <c:v>Amapá</c:v>
                </c:pt>
                <c:pt idx="15">
                  <c:v>Mato Grosso do Sul</c:v>
                </c:pt>
                <c:pt idx="16">
                  <c:v>Espírito Santo</c:v>
                </c:pt>
                <c:pt idx="17">
                  <c:v>Tocantins</c:v>
                </c:pt>
                <c:pt idx="18">
                  <c:v>Sergipe</c:v>
                </c:pt>
                <c:pt idx="19">
                  <c:v>Pernambuco</c:v>
                </c:pt>
                <c:pt idx="20">
                  <c:v>Pará</c:v>
                </c:pt>
                <c:pt idx="21">
                  <c:v>Paraíba</c:v>
                </c:pt>
                <c:pt idx="22">
                  <c:v>Roraima</c:v>
                </c:pt>
                <c:pt idx="23">
                  <c:v>Maranhão</c:v>
                </c:pt>
                <c:pt idx="24">
                  <c:v>Ceará</c:v>
                </c:pt>
                <c:pt idx="25">
                  <c:v>Alagoas</c:v>
                </c:pt>
                <c:pt idx="26">
                  <c:v>Piauí</c:v>
                </c:pt>
              </c:strCache>
            </c:strRef>
          </c:cat>
          <c:val>
            <c:numRef>
              <c:f>RELAÇ_ESTADOS!$W$31:$W$57</c:f>
              <c:numCache>
                <c:formatCode>#,##0.00</c:formatCode>
                <c:ptCount val="27"/>
                <c:pt idx="0">
                  <c:v>84.2</c:v>
                </c:pt>
                <c:pt idx="1">
                  <c:v>88.2</c:v>
                </c:pt>
                <c:pt idx="2">
                  <c:v>84</c:v>
                </c:pt>
                <c:pt idx="3">
                  <c:v>81.3</c:v>
                </c:pt>
                <c:pt idx="4">
                  <c:v>76.3</c:v>
                </c:pt>
                <c:pt idx="5">
                  <c:v>84.8</c:v>
                </c:pt>
                <c:pt idx="6">
                  <c:v>78.400000000000006</c:v>
                </c:pt>
                <c:pt idx="7">
                  <c:v>80.7</c:v>
                </c:pt>
                <c:pt idx="8">
                  <c:v>77.900000000000006</c:v>
                </c:pt>
                <c:pt idx="9">
                  <c:v>84.6</c:v>
                </c:pt>
                <c:pt idx="10">
                  <c:v>74.2</c:v>
                </c:pt>
                <c:pt idx="11">
                  <c:v>75.400000000000006</c:v>
                </c:pt>
                <c:pt idx="12">
                  <c:v>82.699999999999989</c:v>
                </c:pt>
                <c:pt idx="13">
                  <c:v>80.400000000000006</c:v>
                </c:pt>
                <c:pt idx="14">
                  <c:v>78.900000000000006</c:v>
                </c:pt>
                <c:pt idx="15">
                  <c:v>81.5</c:v>
                </c:pt>
                <c:pt idx="16">
                  <c:v>80.800000000000011</c:v>
                </c:pt>
                <c:pt idx="17">
                  <c:v>76.900000000000006</c:v>
                </c:pt>
                <c:pt idx="18">
                  <c:v>75.599999999999994</c:v>
                </c:pt>
                <c:pt idx="19">
                  <c:v>73.3</c:v>
                </c:pt>
                <c:pt idx="20">
                  <c:v>76.400000000000006</c:v>
                </c:pt>
                <c:pt idx="21">
                  <c:v>72.899999999999991</c:v>
                </c:pt>
                <c:pt idx="22">
                  <c:v>78.400000000000006</c:v>
                </c:pt>
                <c:pt idx="23">
                  <c:v>70.7</c:v>
                </c:pt>
                <c:pt idx="24">
                  <c:v>73.099999999999994</c:v>
                </c:pt>
                <c:pt idx="25">
                  <c:v>70</c:v>
                </c:pt>
                <c:pt idx="26">
                  <c:v>72.099999999999994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F0-40A0-9C7D-4BB1A9FBD9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848000"/>
        <c:axId val="146853888"/>
      </c:lineChart>
      <c:catAx>
        <c:axId val="1468480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46853888"/>
        <c:crosses val="autoZero"/>
        <c:auto val="1"/>
        <c:lblAlgn val="ctr"/>
        <c:lblOffset val="100"/>
        <c:noMultiLvlLbl val="0"/>
      </c:catAx>
      <c:valAx>
        <c:axId val="1468538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</a:t>
                </a:r>
                <a:r>
                  <a:rPr lang="pt-BR" baseline="30000"/>
                  <a:t>9</a:t>
                </a:r>
                <a:r>
                  <a:rPr lang="pt-BR"/>
                  <a:t>km</a:t>
                </a:r>
                <a:r>
                  <a:rPr lang="pt-BR" baseline="0"/>
                  <a:t> ou IDHx100</a:t>
                </a:r>
                <a:endParaRPr lang="pt-BR"/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146848000"/>
        <c:crosses val="autoZero"/>
        <c:crossBetween val="between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602" footer="0.31496062000000602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Relação</a:t>
            </a:r>
            <a:r>
              <a:rPr lang="pt-BR" baseline="0"/>
              <a:t> entre o índice de mortes/10</a:t>
            </a:r>
            <a:r>
              <a:rPr lang="pt-BR" baseline="30000"/>
              <a:t>9</a:t>
            </a:r>
            <a:r>
              <a:rPr lang="pt-BR" baseline="0"/>
              <a:t>km percorridos e o IDH - 2007</a:t>
            </a:r>
            <a:endParaRPr lang="pt-BR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RELAÇ_ESTADOS!$Y$2</c:f>
              <c:strCache>
                <c:ptCount val="1"/>
                <c:pt idx="0">
                  <c:v>Mortes/109km</c:v>
                </c:pt>
              </c:strCache>
            </c:strRef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ymbol val="circle"/>
            <c:size val="5"/>
            <c:spPr>
              <a:solidFill>
                <a:sysClr val="window" lastClr="FFFFFF"/>
              </a:solidFill>
              <a:ln>
                <a:solidFill>
                  <a:schemeClr val="tx1">
                    <a:lumMod val="65000"/>
                    <a:lumOff val="35000"/>
                  </a:schemeClr>
                </a:solidFill>
              </a:ln>
            </c:spPr>
          </c:marker>
          <c:cat>
            <c:strRef>
              <c:f>RELAÇ_ESTADOS!$AF$3:$AF$29</c:f>
              <c:strCache>
                <c:ptCount val="27"/>
                <c:pt idx="0">
                  <c:v>São Paulo</c:v>
                </c:pt>
                <c:pt idx="1">
                  <c:v>Rio Grande do Sul</c:v>
                </c:pt>
                <c:pt idx="2">
                  <c:v>Amazonas</c:v>
                </c:pt>
                <c:pt idx="3">
                  <c:v>Minas Gerais</c:v>
                </c:pt>
                <c:pt idx="4">
                  <c:v>Distrito Federal</c:v>
                </c:pt>
                <c:pt idx="5">
                  <c:v>Rio de Janeiro</c:v>
                </c:pt>
                <c:pt idx="6">
                  <c:v>Rondônia</c:v>
                </c:pt>
                <c:pt idx="7">
                  <c:v>Santa Catarina</c:v>
                </c:pt>
                <c:pt idx="8">
                  <c:v>Rio Grande do Norte</c:v>
                </c:pt>
                <c:pt idx="9">
                  <c:v>Goiás</c:v>
                </c:pt>
                <c:pt idx="10">
                  <c:v>Amapá</c:v>
                </c:pt>
                <c:pt idx="11">
                  <c:v>Acre</c:v>
                </c:pt>
                <c:pt idx="12">
                  <c:v>Mato Grosso do Sul</c:v>
                </c:pt>
                <c:pt idx="13">
                  <c:v>Paraná</c:v>
                </c:pt>
                <c:pt idx="14">
                  <c:v>Bahia</c:v>
                </c:pt>
                <c:pt idx="15">
                  <c:v>Mato Grosso</c:v>
                </c:pt>
                <c:pt idx="16">
                  <c:v>Pará</c:v>
                </c:pt>
                <c:pt idx="17">
                  <c:v>Tocantins</c:v>
                </c:pt>
                <c:pt idx="18">
                  <c:v>Espírito Santo</c:v>
                </c:pt>
                <c:pt idx="19">
                  <c:v>Pernambuco</c:v>
                </c:pt>
                <c:pt idx="20">
                  <c:v>Paraíba</c:v>
                </c:pt>
                <c:pt idx="21">
                  <c:v>Sergipe</c:v>
                </c:pt>
                <c:pt idx="22">
                  <c:v>Ceará</c:v>
                </c:pt>
                <c:pt idx="23">
                  <c:v>Roraima</c:v>
                </c:pt>
                <c:pt idx="24">
                  <c:v>Maranhão</c:v>
                </c:pt>
                <c:pt idx="25">
                  <c:v>Alagoas</c:v>
                </c:pt>
                <c:pt idx="26">
                  <c:v>Piauí</c:v>
                </c:pt>
              </c:strCache>
            </c:strRef>
          </c:cat>
          <c:val>
            <c:numRef>
              <c:f>RELAÇ_ESTADOS!$Y$3:$Y$29</c:f>
              <c:numCache>
                <c:formatCode>#,##0.00</c:formatCode>
                <c:ptCount val="27"/>
                <c:pt idx="0">
                  <c:v>28.340955767166871</c:v>
                </c:pt>
                <c:pt idx="1">
                  <c:v>36.20662324196671</c:v>
                </c:pt>
                <c:pt idx="2">
                  <c:v>41.04470859312552</c:v>
                </c:pt>
                <c:pt idx="3">
                  <c:v>45.223968131741927</c:v>
                </c:pt>
                <c:pt idx="4">
                  <c:v>34.567971751398204</c:v>
                </c:pt>
                <c:pt idx="5">
                  <c:v>48.681519992994154</c:v>
                </c:pt>
                <c:pt idx="6">
                  <c:v>66.226425876853952</c:v>
                </c:pt>
                <c:pt idx="7">
                  <c:v>43.807245783993459</c:v>
                </c:pt>
                <c:pt idx="8">
                  <c:v>47.759013413159124</c:v>
                </c:pt>
                <c:pt idx="9">
                  <c:v>53.540938598303377</c:v>
                </c:pt>
                <c:pt idx="10">
                  <c:v>39.912310749223145</c:v>
                </c:pt>
                <c:pt idx="11">
                  <c:v>50.528436004315623</c:v>
                </c:pt>
                <c:pt idx="12">
                  <c:v>51.534074919171474</c:v>
                </c:pt>
                <c:pt idx="13">
                  <c:v>57.755266806049733</c:v>
                </c:pt>
                <c:pt idx="14">
                  <c:v>65.777244631779013</c:v>
                </c:pt>
                <c:pt idx="15">
                  <c:v>51.075241159273041</c:v>
                </c:pt>
                <c:pt idx="16">
                  <c:v>64.273818260982523</c:v>
                </c:pt>
                <c:pt idx="17">
                  <c:v>64.881143222824164</c:v>
                </c:pt>
                <c:pt idx="18">
                  <c:v>69.360389861280126</c:v>
                </c:pt>
                <c:pt idx="19">
                  <c:v>70.990937874127255</c:v>
                </c:pt>
                <c:pt idx="20">
                  <c:v>77.18054836496546</c:v>
                </c:pt>
                <c:pt idx="21">
                  <c:v>87.607658078562764</c:v>
                </c:pt>
                <c:pt idx="22">
                  <c:v>92.362812529116027</c:v>
                </c:pt>
                <c:pt idx="23">
                  <c:v>69.357024764846102</c:v>
                </c:pt>
                <c:pt idx="24">
                  <c:v>98.600961169252656</c:v>
                </c:pt>
                <c:pt idx="25">
                  <c:v>105.82312268814296</c:v>
                </c:pt>
                <c:pt idx="26">
                  <c:v>108.73951542278395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FC-427B-8CBC-5FA48EA5503F}"/>
            </c:ext>
          </c:extLst>
        </c:ser>
        <c:ser>
          <c:idx val="1"/>
          <c:order val="1"/>
          <c:tx>
            <c:strRef>
              <c:f>RELAÇ_ESTADOS!$AE$30</c:f>
              <c:strCache>
                <c:ptCount val="1"/>
                <c:pt idx="0">
                  <c:v>IDHx100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triangle"/>
            <c:size val="5"/>
            <c:spPr>
              <a:solidFill>
                <a:schemeClr val="bg1"/>
              </a:solidFill>
              <a:ln>
                <a:solidFill>
                  <a:schemeClr val="tx1">
                    <a:lumMod val="65000"/>
                    <a:lumOff val="35000"/>
                  </a:schemeClr>
                </a:solidFill>
              </a:ln>
            </c:spPr>
          </c:marker>
          <c:trendline>
            <c:trendlineType val="linear"/>
            <c:dispRSqr val="0"/>
            <c:dispEq val="0"/>
          </c:trendline>
          <c:cat>
            <c:strRef>
              <c:f>RELAÇ_ESTADOS!$AF$3:$AF$29</c:f>
              <c:strCache>
                <c:ptCount val="27"/>
                <c:pt idx="0">
                  <c:v>São Paulo</c:v>
                </c:pt>
                <c:pt idx="1">
                  <c:v>Rio Grande do Sul</c:v>
                </c:pt>
                <c:pt idx="2">
                  <c:v>Amazonas</c:v>
                </c:pt>
                <c:pt idx="3">
                  <c:v>Minas Gerais</c:v>
                </c:pt>
                <c:pt idx="4">
                  <c:v>Distrito Federal</c:v>
                </c:pt>
                <c:pt idx="5">
                  <c:v>Rio de Janeiro</c:v>
                </c:pt>
                <c:pt idx="6">
                  <c:v>Rondônia</c:v>
                </c:pt>
                <c:pt idx="7">
                  <c:v>Santa Catarina</c:v>
                </c:pt>
                <c:pt idx="8">
                  <c:v>Rio Grande do Norte</c:v>
                </c:pt>
                <c:pt idx="9">
                  <c:v>Goiás</c:v>
                </c:pt>
                <c:pt idx="10">
                  <c:v>Amapá</c:v>
                </c:pt>
                <c:pt idx="11">
                  <c:v>Acre</c:v>
                </c:pt>
                <c:pt idx="12">
                  <c:v>Mato Grosso do Sul</c:v>
                </c:pt>
                <c:pt idx="13">
                  <c:v>Paraná</c:v>
                </c:pt>
                <c:pt idx="14">
                  <c:v>Bahia</c:v>
                </c:pt>
                <c:pt idx="15">
                  <c:v>Mato Grosso</c:v>
                </c:pt>
                <c:pt idx="16">
                  <c:v>Pará</c:v>
                </c:pt>
                <c:pt idx="17">
                  <c:v>Tocantins</c:v>
                </c:pt>
                <c:pt idx="18">
                  <c:v>Espírito Santo</c:v>
                </c:pt>
                <c:pt idx="19">
                  <c:v>Pernambuco</c:v>
                </c:pt>
                <c:pt idx="20">
                  <c:v>Paraíba</c:v>
                </c:pt>
                <c:pt idx="21">
                  <c:v>Sergipe</c:v>
                </c:pt>
                <c:pt idx="22">
                  <c:v>Ceará</c:v>
                </c:pt>
                <c:pt idx="23">
                  <c:v>Roraima</c:v>
                </c:pt>
                <c:pt idx="24">
                  <c:v>Maranhão</c:v>
                </c:pt>
                <c:pt idx="25">
                  <c:v>Alagoas</c:v>
                </c:pt>
                <c:pt idx="26">
                  <c:v>Piauí</c:v>
                </c:pt>
              </c:strCache>
            </c:strRef>
          </c:cat>
          <c:val>
            <c:numRef>
              <c:f>RELAÇ_ESTADOS!$AE$31:$AE$57</c:f>
              <c:numCache>
                <c:formatCode>#,##0.00</c:formatCode>
                <c:ptCount val="27"/>
                <c:pt idx="0">
                  <c:v>85.7</c:v>
                </c:pt>
                <c:pt idx="1">
                  <c:v>84.7</c:v>
                </c:pt>
                <c:pt idx="2">
                  <c:v>79.600000000000009</c:v>
                </c:pt>
                <c:pt idx="3">
                  <c:v>82.5</c:v>
                </c:pt>
                <c:pt idx="4">
                  <c:v>90</c:v>
                </c:pt>
                <c:pt idx="5">
                  <c:v>85.2</c:v>
                </c:pt>
                <c:pt idx="6">
                  <c:v>78.400000000000006</c:v>
                </c:pt>
                <c:pt idx="7">
                  <c:v>86</c:v>
                </c:pt>
                <c:pt idx="8">
                  <c:v>75.3</c:v>
                </c:pt>
                <c:pt idx="9">
                  <c:v>82.399999999999991</c:v>
                </c:pt>
                <c:pt idx="10">
                  <c:v>80</c:v>
                </c:pt>
                <c:pt idx="11">
                  <c:v>78</c:v>
                </c:pt>
                <c:pt idx="12">
                  <c:v>83</c:v>
                </c:pt>
                <c:pt idx="13">
                  <c:v>84.6</c:v>
                </c:pt>
                <c:pt idx="14">
                  <c:v>76.7</c:v>
                </c:pt>
                <c:pt idx="15">
                  <c:v>80.800000000000011</c:v>
                </c:pt>
                <c:pt idx="16">
                  <c:v>78.2</c:v>
                </c:pt>
                <c:pt idx="17">
                  <c:v>78.400000000000006</c:v>
                </c:pt>
                <c:pt idx="18">
                  <c:v>82.1</c:v>
                </c:pt>
                <c:pt idx="19">
                  <c:v>74.2</c:v>
                </c:pt>
                <c:pt idx="20">
                  <c:v>75.2</c:v>
                </c:pt>
                <c:pt idx="21">
                  <c:v>77</c:v>
                </c:pt>
                <c:pt idx="22">
                  <c:v>74.900000000000006</c:v>
                </c:pt>
                <c:pt idx="23">
                  <c:v>78.2</c:v>
                </c:pt>
                <c:pt idx="24">
                  <c:v>72.399999999999991</c:v>
                </c:pt>
                <c:pt idx="25">
                  <c:v>72.2</c:v>
                </c:pt>
                <c:pt idx="26">
                  <c:v>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FC-427B-8CBC-5FA48EA550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884480"/>
        <c:axId val="146886016"/>
      </c:lineChart>
      <c:catAx>
        <c:axId val="1468844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46886016"/>
        <c:crosses val="autoZero"/>
        <c:auto val="1"/>
        <c:lblAlgn val="ctr"/>
        <c:lblOffset val="100"/>
        <c:noMultiLvlLbl val="0"/>
      </c:catAx>
      <c:valAx>
        <c:axId val="1468860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</a:t>
                </a:r>
                <a:r>
                  <a:rPr lang="pt-BR" baseline="30000"/>
                  <a:t>9</a:t>
                </a:r>
                <a:r>
                  <a:rPr lang="pt-BR"/>
                  <a:t>km</a:t>
                </a:r>
                <a:r>
                  <a:rPr lang="pt-BR" baseline="0"/>
                  <a:t> ou IDHx100</a:t>
                </a:r>
                <a:endParaRPr lang="pt-BR"/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46884480"/>
        <c:crosses val="autoZero"/>
        <c:crossBetween val="between"/>
      </c:valAx>
      <c:spPr>
        <a:ln w="3175">
          <a:solidFill>
            <a:schemeClr val="tx1"/>
          </a:solidFill>
        </a:ln>
      </c:spPr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602" footer="0.31496062000000602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Relação</a:t>
            </a:r>
            <a:r>
              <a:rPr lang="pt-BR" baseline="0"/>
              <a:t> entre o índice de mortes/10</a:t>
            </a:r>
            <a:r>
              <a:rPr lang="pt-BR" baseline="30000"/>
              <a:t>9</a:t>
            </a:r>
            <a:r>
              <a:rPr lang="pt-BR" baseline="0"/>
              <a:t>km percorridos e o IDH - 2008</a:t>
            </a:r>
            <a:endParaRPr lang="pt-BR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RELAÇ_ESTADOS!$AG$2</c:f>
              <c:strCache>
                <c:ptCount val="1"/>
                <c:pt idx="0">
                  <c:v>Mortes/109km</c:v>
                </c:pt>
              </c:strCache>
            </c:strRef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ymbol val="circle"/>
            <c:size val="5"/>
            <c:spPr>
              <a:solidFill>
                <a:sysClr val="window" lastClr="FFFFFF"/>
              </a:solidFill>
              <a:ln>
                <a:solidFill>
                  <a:schemeClr val="tx1">
                    <a:lumMod val="65000"/>
                    <a:lumOff val="35000"/>
                  </a:schemeClr>
                </a:solidFill>
              </a:ln>
            </c:spPr>
          </c:marker>
          <c:cat>
            <c:strRef>
              <c:f>RELAÇ_ESTADOS!$AN$3:$AN$29</c:f>
              <c:strCache>
                <c:ptCount val="27"/>
                <c:pt idx="0">
                  <c:v>São Paulo</c:v>
                </c:pt>
                <c:pt idx="1">
                  <c:v>Rio de Janeiro</c:v>
                </c:pt>
                <c:pt idx="2">
                  <c:v>Amapá</c:v>
                </c:pt>
                <c:pt idx="3">
                  <c:v>Amazonas</c:v>
                </c:pt>
                <c:pt idx="4">
                  <c:v>Rio Grande do Sul</c:v>
                </c:pt>
                <c:pt idx="5">
                  <c:v>Distrito Federal</c:v>
                </c:pt>
                <c:pt idx="6">
                  <c:v>Minas Gerais</c:v>
                </c:pt>
                <c:pt idx="7">
                  <c:v>Rio Grande do Norte</c:v>
                </c:pt>
                <c:pt idx="8">
                  <c:v>Goiás</c:v>
                </c:pt>
                <c:pt idx="9">
                  <c:v>Rondônia</c:v>
                </c:pt>
                <c:pt idx="10">
                  <c:v>Santa Catarina</c:v>
                </c:pt>
                <c:pt idx="11">
                  <c:v>Acre</c:v>
                </c:pt>
                <c:pt idx="12">
                  <c:v>Bahia</c:v>
                </c:pt>
                <c:pt idx="13">
                  <c:v>Paraná</c:v>
                </c:pt>
                <c:pt idx="14">
                  <c:v>Mato Grosso do Sul</c:v>
                </c:pt>
                <c:pt idx="15">
                  <c:v>Mato Grosso</c:v>
                </c:pt>
                <c:pt idx="16">
                  <c:v>Pernambuco</c:v>
                </c:pt>
                <c:pt idx="17">
                  <c:v>Tocantins</c:v>
                </c:pt>
                <c:pt idx="18">
                  <c:v>Pará</c:v>
                </c:pt>
                <c:pt idx="19">
                  <c:v>Espírito Santo</c:v>
                </c:pt>
                <c:pt idx="20">
                  <c:v>Roraima</c:v>
                </c:pt>
                <c:pt idx="21">
                  <c:v>Sergipe</c:v>
                </c:pt>
                <c:pt idx="22">
                  <c:v>Paraíba</c:v>
                </c:pt>
                <c:pt idx="23">
                  <c:v>Ceará</c:v>
                </c:pt>
                <c:pt idx="24">
                  <c:v>Maranhão</c:v>
                </c:pt>
                <c:pt idx="25">
                  <c:v>Alagoas</c:v>
                </c:pt>
                <c:pt idx="26">
                  <c:v>Piauí</c:v>
                </c:pt>
              </c:strCache>
            </c:strRef>
          </c:cat>
          <c:val>
            <c:numRef>
              <c:f>RELAÇ_ESTADOS!$AG$3:$AG$29</c:f>
              <c:numCache>
                <c:formatCode>#,##0.00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A2-4C14-895C-1023BFDB0587}"/>
            </c:ext>
          </c:extLst>
        </c:ser>
        <c:ser>
          <c:idx val="1"/>
          <c:order val="1"/>
          <c:tx>
            <c:strRef>
              <c:f>RELAÇ_ESTADOS!$AM$30</c:f>
              <c:strCache>
                <c:ptCount val="1"/>
                <c:pt idx="0">
                  <c:v>IDHx100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triangle"/>
            <c:size val="5"/>
            <c:spPr>
              <a:solidFill>
                <a:schemeClr val="bg1"/>
              </a:solidFill>
              <a:ln>
                <a:solidFill>
                  <a:schemeClr val="tx1">
                    <a:lumMod val="65000"/>
                    <a:lumOff val="35000"/>
                  </a:schemeClr>
                </a:solidFill>
              </a:ln>
            </c:spPr>
          </c:marker>
          <c:trendline>
            <c:trendlineType val="linear"/>
            <c:dispRSqr val="0"/>
            <c:dispEq val="0"/>
          </c:trendline>
          <c:cat>
            <c:strRef>
              <c:f>RELAÇ_ESTADOS!$AN$3:$AN$29</c:f>
              <c:strCache>
                <c:ptCount val="27"/>
                <c:pt idx="0">
                  <c:v>São Paulo</c:v>
                </c:pt>
                <c:pt idx="1">
                  <c:v>Rio de Janeiro</c:v>
                </c:pt>
                <c:pt idx="2">
                  <c:v>Amapá</c:v>
                </c:pt>
                <c:pt idx="3">
                  <c:v>Amazonas</c:v>
                </c:pt>
                <c:pt idx="4">
                  <c:v>Rio Grande do Sul</c:v>
                </c:pt>
                <c:pt idx="5">
                  <c:v>Distrito Federal</c:v>
                </c:pt>
                <c:pt idx="6">
                  <c:v>Minas Gerais</c:v>
                </c:pt>
                <c:pt idx="7">
                  <c:v>Rio Grande do Norte</c:v>
                </c:pt>
                <c:pt idx="8">
                  <c:v>Goiás</c:v>
                </c:pt>
                <c:pt idx="9">
                  <c:v>Rondônia</c:v>
                </c:pt>
                <c:pt idx="10">
                  <c:v>Santa Catarina</c:v>
                </c:pt>
                <c:pt idx="11">
                  <c:v>Acre</c:v>
                </c:pt>
                <c:pt idx="12">
                  <c:v>Bahia</c:v>
                </c:pt>
                <c:pt idx="13">
                  <c:v>Paraná</c:v>
                </c:pt>
                <c:pt idx="14">
                  <c:v>Mato Grosso do Sul</c:v>
                </c:pt>
                <c:pt idx="15">
                  <c:v>Mato Grosso</c:v>
                </c:pt>
                <c:pt idx="16">
                  <c:v>Pernambuco</c:v>
                </c:pt>
                <c:pt idx="17">
                  <c:v>Tocantins</c:v>
                </c:pt>
                <c:pt idx="18">
                  <c:v>Pará</c:v>
                </c:pt>
                <c:pt idx="19">
                  <c:v>Espírito Santo</c:v>
                </c:pt>
                <c:pt idx="20">
                  <c:v>Roraima</c:v>
                </c:pt>
                <c:pt idx="21">
                  <c:v>Sergipe</c:v>
                </c:pt>
                <c:pt idx="22">
                  <c:v>Paraíba</c:v>
                </c:pt>
                <c:pt idx="23">
                  <c:v>Ceará</c:v>
                </c:pt>
                <c:pt idx="24">
                  <c:v>Maranhão</c:v>
                </c:pt>
                <c:pt idx="25">
                  <c:v>Alagoas</c:v>
                </c:pt>
                <c:pt idx="26">
                  <c:v>Piauí</c:v>
                </c:pt>
              </c:strCache>
            </c:strRef>
          </c:cat>
          <c:val>
            <c:numRef>
              <c:f>RELAÇ_ESTADOS!$AM$31:$AM$57</c:f>
              <c:numCache>
                <c:formatCode>#,##0.00</c:formatCode>
                <c:ptCount val="27"/>
                <c:pt idx="0">
                  <c:v>87.226722090261276</c:v>
                </c:pt>
                <c:pt idx="1">
                  <c:v>85.804255319148922</c:v>
                </c:pt>
                <c:pt idx="2">
                  <c:v>81.115335868187586</c:v>
                </c:pt>
                <c:pt idx="3">
                  <c:v>80.818367346938786</c:v>
                </c:pt>
                <c:pt idx="4">
                  <c:v>85.40583333333332</c:v>
                </c:pt>
                <c:pt idx="5">
                  <c:v>91.83673469387756</c:v>
                </c:pt>
                <c:pt idx="6">
                  <c:v>83.717712177121768</c:v>
                </c:pt>
                <c:pt idx="7">
                  <c:v>76.416307277628022</c:v>
                </c:pt>
                <c:pt idx="8">
                  <c:v>84.135811648079283</c:v>
                </c:pt>
                <c:pt idx="9">
                  <c:v>78.903209242618743</c:v>
                </c:pt>
                <c:pt idx="10">
                  <c:v>87.21698113207546</c:v>
                </c:pt>
                <c:pt idx="11">
                  <c:v>79.737876802096991</c:v>
                </c:pt>
                <c:pt idx="12">
                  <c:v>78.022413793103439</c:v>
                </c:pt>
                <c:pt idx="13">
                  <c:v>86.543651753325264</c:v>
                </c:pt>
                <c:pt idx="14">
                  <c:v>84.527607361963192</c:v>
                </c:pt>
                <c:pt idx="15">
                  <c:v>81.201990049751259</c:v>
                </c:pt>
                <c:pt idx="16">
                  <c:v>75.111050477489769</c:v>
                </c:pt>
                <c:pt idx="17">
                  <c:v>79.929258777633294</c:v>
                </c:pt>
                <c:pt idx="18">
                  <c:v>80.042408376963365</c:v>
                </c:pt>
                <c:pt idx="19">
                  <c:v>83.420915841584147</c:v>
                </c:pt>
                <c:pt idx="20">
                  <c:v>78.000510204081635</c:v>
                </c:pt>
                <c:pt idx="21">
                  <c:v>78.425925925925938</c:v>
                </c:pt>
                <c:pt idx="22">
                  <c:v>77.572565157750347</c:v>
                </c:pt>
                <c:pt idx="23">
                  <c:v>76.744322845417244</c:v>
                </c:pt>
                <c:pt idx="24">
                  <c:v>74.140876944837345</c:v>
                </c:pt>
                <c:pt idx="25">
                  <c:v>74.469142857142842</c:v>
                </c:pt>
                <c:pt idx="26">
                  <c:v>75.950069348127599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A2-4C14-895C-1023BFDB05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064320"/>
        <c:axId val="147065856"/>
      </c:lineChart>
      <c:catAx>
        <c:axId val="14706432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47065856"/>
        <c:crosses val="autoZero"/>
        <c:auto val="1"/>
        <c:lblAlgn val="ctr"/>
        <c:lblOffset val="100"/>
        <c:noMultiLvlLbl val="0"/>
      </c:catAx>
      <c:valAx>
        <c:axId val="14706585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</a:t>
                </a:r>
                <a:r>
                  <a:rPr lang="pt-BR" baseline="30000"/>
                  <a:t>9</a:t>
                </a:r>
                <a:r>
                  <a:rPr lang="pt-BR"/>
                  <a:t>km</a:t>
                </a:r>
                <a:r>
                  <a:rPr lang="pt-BR" baseline="0"/>
                  <a:t> ou IDHx100</a:t>
                </a:r>
                <a:endParaRPr lang="pt-BR"/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147064320"/>
        <c:crosses val="autoZero"/>
        <c:crossBetween val="between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602" footer="0.31496062000000602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Relação</a:t>
            </a:r>
            <a:r>
              <a:rPr lang="pt-BR" baseline="0"/>
              <a:t> entre o índice de mortes/10</a:t>
            </a:r>
            <a:r>
              <a:rPr lang="pt-BR" baseline="30000"/>
              <a:t>9</a:t>
            </a:r>
            <a:r>
              <a:rPr lang="pt-BR" baseline="0"/>
              <a:t>km percorridos e o PIB </a:t>
            </a:r>
            <a:r>
              <a:rPr lang="pt-BR" i="1" baseline="0"/>
              <a:t>per capta </a:t>
            </a:r>
            <a:r>
              <a:rPr lang="pt-BR" baseline="0"/>
              <a:t>- 2004</a:t>
            </a:r>
            <a:endParaRPr lang="pt-BR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RELAÇ_ESTADOS!$A$2</c:f>
              <c:strCache>
                <c:ptCount val="1"/>
                <c:pt idx="0">
                  <c:v>Mortes/109km</c:v>
                </c:pt>
              </c:strCache>
            </c:strRef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ymbol val="circle"/>
            <c:size val="5"/>
            <c:spPr>
              <a:solidFill>
                <a:sysClr val="window" lastClr="FFFFFF"/>
              </a:solidFill>
              <a:ln>
                <a:solidFill>
                  <a:schemeClr val="tx1">
                    <a:lumMod val="65000"/>
                    <a:lumOff val="35000"/>
                  </a:schemeClr>
                </a:solidFill>
              </a:ln>
            </c:spPr>
          </c:marker>
          <c:cat>
            <c:strRef>
              <c:f>RELAÇ_ESTADOS!$H$3:$H$29</c:f>
              <c:strCache>
                <c:ptCount val="27"/>
                <c:pt idx="0">
                  <c:v>São Paulo</c:v>
                </c:pt>
                <c:pt idx="1">
                  <c:v>Rio Grande do Sul</c:v>
                </c:pt>
                <c:pt idx="2">
                  <c:v>Distrito Federal</c:v>
                </c:pt>
                <c:pt idx="3">
                  <c:v>Minas Gerais</c:v>
                </c:pt>
                <c:pt idx="4">
                  <c:v>Amazonas</c:v>
                </c:pt>
                <c:pt idx="5">
                  <c:v>Santa Catarina</c:v>
                </c:pt>
                <c:pt idx="6">
                  <c:v>Bahia</c:v>
                </c:pt>
                <c:pt idx="7">
                  <c:v>Rio de Janeiro</c:v>
                </c:pt>
                <c:pt idx="8">
                  <c:v>Rondônia</c:v>
                </c:pt>
                <c:pt idx="9">
                  <c:v>Roraima</c:v>
                </c:pt>
                <c:pt idx="10">
                  <c:v>Rio Grande do Norte</c:v>
                </c:pt>
                <c:pt idx="11">
                  <c:v>Acre</c:v>
                </c:pt>
                <c:pt idx="12">
                  <c:v>Goiás</c:v>
                </c:pt>
                <c:pt idx="13">
                  <c:v>Mato Grosso do Sul</c:v>
                </c:pt>
                <c:pt idx="14">
                  <c:v>Mato Grosso</c:v>
                </c:pt>
                <c:pt idx="15">
                  <c:v>Paraná</c:v>
                </c:pt>
                <c:pt idx="16">
                  <c:v>Espírito Santo</c:v>
                </c:pt>
                <c:pt idx="17">
                  <c:v>Amapá</c:v>
                </c:pt>
                <c:pt idx="18">
                  <c:v>Pará</c:v>
                </c:pt>
                <c:pt idx="19">
                  <c:v>Pernambuco</c:v>
                </c:pt>
                <c:pt idx="20">
                  <c:v>Paraíba</c:v>
                </c:pt>
                <c:pt idx="21">
                  <c:v>Tocantins</c:v>
                </c:pt>
                <c:pt idx="22">
                  <c:v>Sergipe</c:v>
                </c:pt>
                <c:pt idx="23">
                  <c:v>Maranhão</c:v>
                </c:pt>
                <c:pt idx="24">
                  <c:v>Ceará</c:v>
                </c:pt>
                <c:pt idx="25">
                  <c:v>Alagoas</c:v>
                </c:pt>
                <c:pt idx="26">
                  <c:v>Piauí</c:v>
                </c:pt>
              </c:strCache>
            </c:strRef>
          </c:cat>
          <c:val>
            <c:numRef>
              <c:f>RELAÇ_ESTADOS!$A$3:$A$29</c:f>
              <c:numCache>
                <c:formatCode>#,##0.00</c:formatCode>
                <c:ptCount val="27"/>
                <c:pt idx="0">
                  <c:v>33.871336088244782</c:v>
                </c:pt>
                <c:pt idx="1">
                  <c:v>42.591906538294616</c:v>
                </c:pt>
                <c:pt idx="2">
                  <c:v>44.127427852649333</c:v>
                </c:pt>
                <c:pt idx="3">
                  <c:v>50.66836893725295</c:v>
                </c:pt>
                <c:pt idx="4">
                  <c:v>40.45893557462017</c:v>
                </c:pt>
                <c:pt idx="5">
                  <c:v>53.074054148577261</c:v>
                </c:pt>
                <c:pt idx="6">
                  <c:v>59.389401424063209</c:v>
                </c:pt>
                <c:pt idx="7">
                  <c:v>44.980154170670126</c:v>
                </c:pt>
                <c:pt idx="8">
                  <c:v>61.879304441709152</c:v>
                </c:pt>
                <c:pt idx="9">
                  <c:v>76.581625090385202</c:v>
                </c:pt>
                <c:pt idx="10">
                  <c:v>56.706595269995972</c:v>
                </c:pt>
                <c:pt idx="11">
                  <c:v>60.580812704081495</c:v>
                </c:pt>
                <c:pt idx="12">
                  <c:v>61.362279426386621</c:v>
                </c:pt>
                <c:pt idx="13">
                  <c:v>61.671773112392003</c:v>
                </c:pt>
                <c:pt idx="14">
                  <c:v>71.024828835045952</c:v>
                </c:pt>
                <c:pt idx="15">
                  <c:v>68.948812741832583</c:v>
                </c:pt>
                <c:pt idx="16">
                  <c:v>77.945784401925593</c:v>
                </c:pt>
                <c:pt idx="17">
                  <c:v>52.806405052168515</c:v>
                </c:pt>
                <c:pt idx="18">
                  <c:v>64.895170641801073</c:v>
                </c:pt>
                <c:pt idx="19">
                  <c:v>91.039666633478745</c:v>
                </c:pt>
                <c:pt idx="20">
                  <c:v>88.353209147742191</c:v>
                </c:pt>
                <c:pt idx="21">
                  <c:v>74.916719274056945</c:v>
                </c:pt>
                <c:pt idx="22">
                  <c:v>98.789356793334775</c:v>
                </c:pt>
                <c:pt idx="23">
                  <c:v>109.72309229216644</c:v>
                </c:pt>
                <c:pt idx="24">
                  <c:v>87.414276859853416</c:v>
                </c:pt>
                <c:pt idx="25">
                  <c:v>126.21656178900706</c:v>
                </c:pt>
                <c:pt idx="26">
                  <c:v>127.69799244430486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6-47B2-9DFE-70CF81EAFB0A}"/>
            </c:ext>
          </c:extLst>
        </c:ser>
        <c:ser>
          <c:idx val="1"/>
          <c:order val="1"/>
          <c:tx>
            <c:strRef>
              <c:f>RELAÇ_ESTADOS!$F$30</c:f>
              <c:strCache>
                <c:ptCount val="1"/>
                <c:pt idx="0">
                  <c:v>PIB per capta/100</c:v>
                </c:pt>
              </c:strCache>
            </c:strRef>
          </c:tx>
          <c:spPr>
            <a:ln>
              <a:solidFill>
                <a:srgbClr val="FF6600"/>
              </a:solidFill>
            </a:ln>
          </c:spPr>
          <c:marker>
            <c:symbol val="triangle"/>
            <c:size val="5"/>
            <c:spPr>
              <a:solidFill>
                <a:schemeClr val="bg1"/>
              </a:solidFill>
              <a:ln>
                <a:solidFill>
                  <a:schemeClr val="tx1">
                    <a:lumMod val="65000"/>
                    <a:lumOff val="35000"/>
                  </a:schemeClr>
                </a:solidFill>
              </a:ln>
            </c:spPr>
          </c:marker>
          <c:trendline>
            <c:trendlineType val="linear"/>
            <c:dispRSqr val="0"/>
            <c:dispEq val="0"/>
          </c:trendline>
          <c:cat>
            <c:strRef>
              <c:f>RELAÇ_ESTADOS!$H$3:$H$29</c:f>
              <c:strCache>
                <c:ptCount val="27"/>
                <c:pt idx="0">
                  <c:v>São Paulo</c:v>
                </c:pt>
                <c:pt idx="1">
                  <c:v>Rio Grande do Sul</c:v>
                </c:pt>
                <c:pt idx="2">
                  <c:v>Distrito Federal</c:v>
                </c:pt>
                <c:pt idx="3">
                  <c:v>Minas Gerais</c:v>
                </c:pt>
                <c:pt idx="4">
                  <c:v>Amazonas</c:v>
                </c:pt>
                <c:pt idx="5">
                  <c:v>Santa Catarina</c:v>
                </c:pt>
                <c:pt idx="6">
                  <c:v>Bahia</c:v>
                </c:pt>
                <c:pt idx="7">
                  <c:v>Rio de Janeiro</c:v>
                </c:pt>
                <c:pt idx="8">
                  <c:v>Rondônia</c:v>
                </c:pt>
                <c:pt idx="9">
                  <c:v>Roraima</c:v>
                </c:pt>
                <c:pt idx="10">
                  <c:v>Rio Grande do Norte</c:v>
                </c:pt>
                <c:pt idx="11">
                  <c:v>Acre</c:v>
                </c:pt>
                <c:pt idx="12">
                  <c:v>Goiás</c:v>
                </c:pt>
                <c:pt idx="13">
                  <c:v>Mato Grosso do Sul</c:v>
                </c:pt>
                <c:pt idx="14">
                  <c:v>Mato Grosso</c:v>
                </c:pt>
                <c:pt idx="15">
                  <c:v>Paraná</c:v>
                </c:pt>
                <c:pt idx="16">
                  <c:v>Espírito Santo</c:v>
                </c:pt>
                <c:pt idx="17">
                  <c:v>Amapá</c:v>
                </c:pt>
                <c:pt idx="18">
                  <c:v>Pará</c:v>
                </c:pt>
                <c:pt idx="19">
                  <c:v>Pernambuco</c:v>
                </c:pt>
                <c:pt idx="20">
                  <c:v>Paraíba</c:v>
                </c:pt>
                <c:pt idx="21">
                  <c:v>Tocantins</c:v>
                </c:pt>
                <c:pt idx="22">
                  <c:v>Sergipe</c:v>
                </c:pt>
                <c:pt idx="23">
                  <c:v>Maranhão</c:v>
                </c:pt>
                <c:pt idx="24">
                  <c:v>Ceará</c:v>
                </c:pt>
                <c:pt idx="25">
                  <c:v>Alagoas</c:v>
                </c:pt>
                <c:pt idx="26">
                  <c:v>Piauí</c:v>
                </c:pt>
              </c:strCache>
            </c:strRef>
          </c:cat>
          <c:val>
            <c:numRef>
              <c:f>RELAÇ_ESTADOS!$F$31:$F$57</c:f>
              <c:numCache>
                <c:formatCode>0.00</c:formatCode>
                <c:ptCount val="27"/>
                <c:pt idx="0">
                  <c:v>161.57786321470641</c:v>
                </c:pt>
                <c:pt idx="1">
                  <c:v>128.50072058969863</c:v>
                </c:pt>
                <c:pt idx="2">
                  <c:v>309.91496299239782</c:v>
                </c:pt>
                <c:pt idx="3">
                  <c:v>93.359708461572069</c:v>
                </c:pt>
                <c:pt idx="4">
                  <c:v>96.579742548466001</c:v>
                </c:pt>
                <c:pt idx="5">
                  <c:v>134.03291564203718</c:v>
                </c:pt>
                <c:pt idx="6">
                  <c:v>57.800613950999463</c:v>
                </c:pt>
                <c:pt idx="7">
                  <c:v>146.63819164048769</c:v>
                </c:pt>
                <c:pt idx="8">
                  <c:v>72.085857038599571</c:v>
                </c:pt>
                <c:pt idx="9">
                  <c:v>73.60850072250912</c:v>
                </c:pt>
                <c:pt idx="10">
                  <c:v>52.599229536491393</c:v>
                </c:pt>
                <c:pt idx="11">
                  <c:v>62.512143002923018</c:v>
                </c:pt>
                <c:pt idx="12">
                  <c:v>87.180125647535746</c:v>
                </c:pt>
                <c:pt idx="13">
                  <c:v>94.612232481103732</c:v>
                </c:pt>
                <c:pt idx="14">
                  <c:v>134.44588457402133</c:v>
                </c:pt>
                <c:pt idx="15">
                  <c:v>120.79826715677055</c:v>
                </c:pt>
                <c:pt idx="16">
                  <c:v>119.97944357415641</c:v>
                </c:pt>
                <c:pt idx="17">
                  <c:v>70.261710838753217</c:v>
                </c:pt>
                <c:pt idx="18">
                  <c:v>51.91519151869943</c:v>
                </c:pt>
                <c:pt idx="19">
                  <c:v>52.872867923541804</c:v>
                </c:pt>
                <c:pt idx="20">
                  <c:v>42.099006119720727</c:v>
                </c:pt>
                <c:pt idx="21">
                  <c:v>65.559377856698887</c:v>
                </c:pt>
                <c:pt idx="22">
                  <c:v>62.893902761838071</c:v>
                </c:pt>
                <c:pt idx="23">
                  <c:v>35.879037869469805</c:v>
                </c:pt>
                <c:pt idx="24">
                  <c:v>46.218243891120437</c:v>
                </c:pt>
                <c:pt idx="25">
                  <c:v>43.243544300744077</c:v>
                </c:pt>
                <c:pt idx="26">
                  <c:v>32.972391445571382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6-47B2-9DFE-70CF81EAF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108992"/>
        <c:axId val="147110528"/>
      </c:lineChart>
      <c:catAx>
        <c:axId val="14710899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47110528"/>
        <c:crosses val="autoZero"/>
        <c:auto val="1"/>
        <c:lblAlgn val="ctr"/>
        <c:lblOffset val="100"/>
        <c:noMultiLvlLbl val="0"/>
      </c:catAx>
      <c:valAx>
        <c:axId val="14711052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</a:t>
                </a:r>
                <a:r>
                  <a:rPr lang="pt-BR" baseline="30000"/>
                  <a:t>9</a:t>
                </a:r>
                <a:r>
                  <a:rPr lang="pt-BR"/>
                  <a:t>km</a:t>
                </a:r>
                <a:r>
                  <a:rPr lang="pt-BR" baseline="0"/>
                  <a:t> ou PIB </a:t>
                </a:r>
                <a:r>
                  <a:rPr lang="pt-BR" i="1" baseline="0"/>
                  <a:t>per capta</a:t>
                </a:r>
                <a:r>
                  <a:rPr lang="pt-BR" baseline="0"/>
                  <a:t>/100</a:t>
                </a:r>
                <a:endParaRPr lang="pt-BR"/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147108992"/>
        <c:crosses val="autoZero"/>
        <c:crossBetween val="between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602" footer="0.31496062000000602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Relação</a:t>
            </a:r>
            <a:r>
              <a:rPr lang="pt-BR" baseline="0"/>
              <a:t> entre o índice de mortes/10</a:t>
            </a:r>
            <a:r>
              <a:rPr lang="pt-BR" baseline="30000"/>
              <a:t>9</a:t>
            </a:r>
            <a:r>
              <a:rPr lang="pt-BR" baseline="0"/>
              <a:t>km percorridos e o PIB </a:t>
            </a:r>
            <a:r>
              <a:rPr lang="pt-BR" i="1" baseline="0"/>
              <a:t>per capta </a:t>
            </a:r>
            <a:r>
              <a:rPr lang="pt-BR" baseline="0"/>
              <a:t>- 2005</a:t>
            </a:r>
            <a:endParaRPr lang="pt-BR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RELAÇ_ESTADOS!$I$2</c:f>
              <c:strCache>
                <c:ptCount val="1"/>
                <c:pt idx="0">
                  <c:v>Mortes/109km</c:v>
                </c:pt>
              </c:strCache>
            </c:strRef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ymbol val="circle"/>
            <c:size val="5"/>
            <c:spPr>
              <a:solidFill>
                <a:sysClr val="window" lastClr="FFFFFF"/>
              </a:solidFill>
              <a:ln>
                <a:solidFill>
                  <a:schemeClr val="tx1">
                    <a:lumMod val="65000"/>
                    <a:lumOff val="35000"/>
                  </a:schemeClr>
                </a:solidFill>
              </a:ln>
            </c:spPr>
          </c:marker>
          <c:cat>
            <c:strRef>
              <c:f>RELAÇ_ESTADOS!$P$3:$P$29</c:f>
              <c:strCache>
                <c:ptCount val="27"/>
                <c:pt idx="0">
                  <c:v>São Paulo</c:v>
                </c:pt>
                <c:pt idx="1">
                  <c:v>Rio Grande do Sul</c:v>
                </c:pt>
                <c:pt idx="2">
                  <c:v>Minas Gerais</c:v>
                </c:pt>
                <c:pt idx="3">
                  <c:v>Distrito Federal</c:v>
                </c:pt>
                <c:pt idx="4">
                  <c:v>Amazonas</c:v>
                </c:pt>
                <c:pt idx="5">
                  <c:v>Santa Catarina</c:v>
                </c:pt>
                <c:pt idx="6">
                  <c:v>Rio de Janeiro</c:v>
                </c:pt>
                <c:pt idx="7">
                  <c:v>Rondônia</c:v>
                </c:pt>
                <c:pt idx="8">
                  <c:v>Rio Grande do Norte</c:v>
                </c:pt>
                <c:pt idx="9">
                  <c:v>Mato Grosso</c:v>
                </c:pt>
                <c:pt idx="10">
                  <c:v>Paraná</c:v>
                </c:pt>
                <c:pt idx="11">
                  <c:v>Goiás</c:v>
                </c:pt>
                <c:pt idx="12">
                  <c:v>Acre</c:v>
                </c:pt>
                <c:pt idx="13">
                  <c:v>Amapá</c:v>
                </c:pt>
                <c:pt idx="14">
                  <c:v>Bahia</c:v>
                </c:pt>
                <c:pt idx="15">
                  <c:v>Espírito Santo</c:v>
                </c:pt>
                <c:pt idx="16">
                  <c:v>Mato Grosso do Sul</c:v>
                </c:pt>
                <c:pt idx="17">
                  <c:v>Tocantins</c:v>
                </c:pt>
                <c:pt idx="18">
                  <c:v>Sergipe</c:v>
                </c:pt>
                <c:pt idx="19">
                  <c:v>Pará</c:v>
                </c:pt>
                <c:pt idx="20">
                  <c:v>Pernambuco</c:v>
                </c:pt>
                <c:pt idx="21">
                  <c:v>Paraíba</c:v>
                </c:pt>
                <c:pt idx="22">
                  <c:v>Roraima</c:v>
                </c:pt>
                <c:pt idx="23">
                  <c:v>Ceará</c:v>
                </c:pt>
                <c:pt idx="24">
                  <c:v>Maranhão</c:v>
                </c:pt>
                <c:pt idx="25">
                  <c:v>Alagoas</c:v>
                </c:pt>
                <c:pt idx="26">
                  <c:v>Piauí</c:v>
                </c:pt>
              </c:strCache>
            </c:strRef>
          </c:cat>
          <c:val>
            <c:numRef>
              <c:f>RELAÇ_ESTADOS!$I$3:$I$29</c:f>
              <c:numCache>
                <c:formatCode>#,##0.00</c:formatCode>
                <c:ptCount val="27"/>
                <c:pt idx="0">
                  <c:v>32.553852908371979</c:v>
                </c:pt>
                <c:pt idx="1">
                  <c:v>42.888851929114416</c:v>
                </c:pt>
                <c:pt idx="2">
                  <c:v>49.921706065738178</c:v>
                </c:pt>
                <c:pt idx="3">
                  <c:v>45.092469199936886</c:v>
                </c:pt>
                <c:pt idx="4">
                  <c:v>50.246207503553158</c:v>
                </c:pt>
                <c:pt idx="5">
                  <c:v>48.170244558587974</c:v>
                </c:pt>
                <c:pt idx="6">
                  <c:v>52.428711649715972</c:v>
                </c:pt>
                <c:pt idx="7">
                  <c:v>67.090830837959714</c:v>
                </c:pt>
                <c:pt idx="8">
                  <c:v>65.515785446387611</c:v>
                </c:pt>
                <c:pt idx="9">
                  <c:v>64.340445896427383</c:v>
                </c:pt>
                <c:pt idx="10">
                  <c:v>65.451044350021931</c:v>
                </c:pt>
                <c:pt idx="11">
                  <c:v>61.354676118471417</c:v>
                </c:pt>
                <c:pt idx="12">
                  <c:v>57.145053874874257</c:v>
                </c:pt>
                <c:pt idx="13">
                  <c:v>53.251059702799004</c:v>
                </c:pt>
                <c:pt idx="14">
                  <c:v>74.121763185967197</c:v>
                </c:pt>
                <c:pt idx="15">
                  <c:v>82.510033291374668</c:v>
                </c:pt>
                <c:pt idx="16">
                  <c:v>60.9046418119527</c:v>
                </c:pt>
                <c:pt idx="17">
                  <c:v>75.006725529793059</c:v>
                </c:pt>
                <c:pt idx="18">
                  <c:v>101.86185844929328</c:v>
                </c:pt>
                <c:pt idx="19">
                  <c:v>74.73655490008268</c:v>
                </c:pt>
                <c:pt idx="20">
                  <c:v>85.228533013382815</c:v>
                </c:pt>
                <c:pt idx="21">
                  <c:v>81.628092778416672</c:v>
                </c:pt>
                <c:pt idx="22">
                  <c:v>70.133806089867534</c:v>
                </c:pt>
                <c:pt idx="23">
                  <c:v>98.185049616271556</c:v>
                </c:pt>
                <c:pt idx="24">
                  <c:v>103.55776849232811</c:v>
                </c:pt>
                <c:pt idx="25">
                  <c:v>127.11658016066335</c:v>
                </c:pt>
                <c:pt idx="26">
                  <c:v>123.78292293094962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79-4B76-B43F-52CBD30E39DC}"/>
            </c:ext>
          </c:extLst>
        </c:ser>
        <c:ser>
          <c:idx val="1"/>
          <c:order val="1"/>
          <c:tx>
            <c:strRef>
              <c:f>RELAÇ_ESTADOS!$V$30</c:f>
              <c:strCache>
                <c:ptCount val="1"/>
                <c:pt idx="0">
                  <c:v>PIB per capta/100</c:v>
                </c:pt>
              </c:strCache>
            </c:strRef>
          </c:tx>
          <c:spPr>
            <a:ln>
              <a:solidFill>
                <a:srgbClr val="FF6600"/>
              </a:solidFill>
            </a:ln>
          </c:spPr>
          <c:marker>
            <c:symbol val="triangle"/>
            <c:size val="5"/>
            <c:spPr>
              <a:solidFill>
                <a:schemeClr val="bg1"/>
              </a:solidFill>
              <a:ln>
                <a:solidFill>
                  <a:schemeClr val="tx1">
                    <a:lumMod val="65000"/>
                    <a:lumOff val="35000"/>
                  </a:schemeClr>
                </a:solidFill>
              </a:ln>
            </c:spPr>
          </c:marker>
          <c:trendline>
            <c:trendlineType val="linear"/>
            <c:dispRSqr val="0"/>
            <c:dispEq val="0"/>
          </c:trendline>
          <c:cat>
            <c:strRef>
              <c:f>RELAÇ_ESTADOS!$P$3:$P$29</c:f>
              <c:strCache>
                <c:ptCount val="27"/>
                <c:pt idx="0">
                  <c:v>São Paulo</c:v>
                </c:pt>
                <c:pt idx="1">
                  <c:v>Rio Grande do Sul</c:v>
                </c:pt>
                <c:pt idx="2">
                  <c:v>Minas Gerais</c:v>
                </c:pt>
                <c:pt idx="3">
                  <c:v>Distrito Federal</c:v>
                </c:pt>
                <c:pt idx="4">
                  <c:v>Amazonas</c:v>
                </c:pt>
                <c:pt idx="5">
                  <c:v>Santa Catarina</c:v>
                </c:pt>
                <c:pt idx="6">
                  <c:v>Rio de Janeiro</c:v>
                </c:pt>
                <c:pt idx="7">
                  <c:v>Rondônia</c:v>
                </c:pt>
                <c:pt idx="8">
                  <c:v>Rio Grande do Norte</c:v>
                </c:pt>
                <c:pt idx="9">
                  <c:v>Mato Grosso</c:v>
                </c:pt>
                <c:pt idx="10">
                  <c:v>Paraná</c:v>
                </c:pt>
                <c:pt idx="11">
                  <c:v>Goiás</c:v>
                </c:pt>
                <c:pt idx="12">
                  <c:v>Acre</c:v>
                </c:pt>
                <c:pt idx="13">
                  <c:v>Amapá</c:v>
                </c:pt>
                <c:pt idx="14">
                  <c:v>Bahia</c:v>
                </c:pt>
                <c:pt idx="15">
                  <c:v>Espírito Santo</c:v>
                </c:pt>
                <c:pt idx="16">
                  <c:v>Mato Grosso do Sul</c:v>
                </c:pt>
                <c:pt idx="17">
                  <c:v>Tocantins</c:v>
                </c:pt>
                <c:pt idx="18">
                  <c:v>Sergipe</c:v>
                </c:pt>
                <c:pt idx="19">
                  <c:v>Pará</c:v>
                </c:pt>
                <c:pt idx="20">
                  <c:v>Pernambuco</c:v>
                </c:pt>
                <c:pt idx="21">
                  <c:v>Paraíba</c:v>
                </c:pt>
                <c:pt idx="22">
                  <c:v>Roraima</c:v>
                </c:pt>
                <c:pt idx="23">
                  <c:v>Ceará</c:v>
                </c:pt>
                <c:pt idx="24">
                  <c:v>Maranhão</c:v>
                </c:pt>
                <c:pt idx="25">
                  <c:v>Alagoas</c:v>
                </c:pt>
                <c:pt idx="26">
                  <c:v>Piauí</c:v>
                </c:pt>
              </c:strCache>
            </c:strRef>
          </c:cat>
          <c:val>
            <c:numRef>
              <c:f>RELAÇ_ESTADOS!$V$31:$V$57</c:f>
              <c:numCache>
                <c:formatCode>0.00</c:formatCode>
                <c:ptCount val="27"/>
                <c:pt idx="0">
                  <c:v>195.50365699760493</c:v>
                </c:pt>
                <c:pt idx="1">
                  <c:v>375.99276296173468</c:v>
                </c:pt>
                <c:pt idx="2">
                  <c:v>143.04825274705391</c:v>
                </c:pt>
                <c:pt idx="3">
                  <c:v>110.24695937721498</c:v>
                </c:pt>
                <c:pt idx="4">
                  <c:v>70.408595265403406</c:v>
                </c:pt>
                <c:pt idx="5">
                  <c:v>156.33198377044727</c:v>
                </c:pt>
                <c:pt idx="6">
                  <c:v>118.26214043787441</c:v>
                </c:pt>
                <c:pt idx="7">
                  <c:v>99.56295743205817</c:v>
                </c:pt>
                <c:pt idx="8">
                  <c:v>83.892080729590091</c:v>
                </c:pt>
                <c:pt idx="9">
                  <c:v>176.92589854586546</c:v>
                </c:pt>
                <c:pt idx="10">
                  <c:v>67.530361733778264</c:v>
                </c:pt>
                <c:pt idx="11">
                  <c:v>69.18974235381144</c:v>
                </c:pt>
                <c:pt idx="12">
                  <c:v>131.51984836409983</c:v>
                </c:pt>
                <c:pt idx="13">
                  <c:v>123.40786324018362</c:v>
                </c:pt>
                <c:pt idx="14">
                  <c:v>85.429410648245678</c:v>
                </c:pt>
                <c:pt idx="15">
                  <c:v>105.92444217919032</c:v>
                </c:pt>
                <c:pt idx="16">
                  <c:v>152.34758093902639</c:v>
                </c:pt>
                <c:pt idx="17">
                  <c:v>72.083418004449683</c:v>
                </c:pt>
                <c:pt idx="18">
                  <c:v>75.593452813064602</c:v>
                </c:pt>
                <c:pt idx="19">
                  <c:v>65.26629823052825</c:v>
                </c:pt>
                <c:pt idx="20">
                  <c:v>62.400525252185517</c:v>
                </c:pt>
                <c:pt idx="21">
                  <c:v>55.065224679450047</c:v>
                </c:pt>
                <c:pt idx="22">
                  <c:v>90.743462149707554</c:v>
                </c:pt>
                <c:pt idx="23">
                  <c:v>46.277096023896</c:v>
                </c:pt>
                <c:pt idx="24">
                  <c:v>56.349736562503018</c:v>
                </c:pt>
                <c:pt idx="25">
                  <c:v>51.621873217624461</c:v>
                </c:pt>
                <c:pt idx="26">
                  <c:v>42.118719623238611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79-4B76-B43F-52CBD30E39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157760"/>
        <c:axId val="147159296"/>
      </c:lineChart>
      <c:catAx>
        <c:axId val="14715776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47159296"/>
        <c:crosses val="autoZero"/>
        <c:auto val="1"/>
        <c:lblAlgn val="ctr"/>
        <c:lblOffset val="100"/>
        <c:noMultiLvlLbl val="0"/>
      </c:catAx>
      <c:valAx>
        <c:axId val="1471592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</a:t>
                </a:r>
                <a:r>
                  <a:rPr lang="pt-BR" baseline="30000"/>
                  <a:t>9</a:t>
                </a:r>
                <a:r>
                  <a:rPr lang="pt-BR"/>
                  <a:t>km</a:t>
                </a:r>
                <a:r>
                  <a:rPr lang="pt-BR" baseline="0"/>
                  <a:t> ou PIB </a:t>
                </a:r>
                <a:r>
                  <a:rPr lang="pt-BR" i="1" baseline="0"/>
                  <a:t>per capta</a:t>
                </a:r>
                <a:r>
                  <a:rPr lang="pt-BR" baseline="0"/>
                  <a:t>/100</a:t>
                </a:r>
                <a:endParaRPr lang="pt-BR"/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147157760"/>
        <c:crosses val="autoZero"/>
        <c:crossBetween val="between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602" footer="0.31496062000000602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Relação</a:t>
            </a:r>
            <a:r>
              <a:rPr lang="pt-BR" baseline="0"/>
              <a:t> entre o índice de mortes/10</a:t>
            </a:r>
            <a:r>
              <a:rPr lang="pt-BR" baseline="30000"/>
              <a:t>9</a:t>
            </a:r>
            <a:r>
              <a:rPr lang="pt-BR" baseline="0"/>
              <a:t>km percorridos e o PIB </a:t>
            </a:r>
            <a:r>
              <a:rPr lang="pt-BR" i="1" baseline="0"/>
              <a:t>per capta</a:t>
            </a:r>
            <a:r>
              <a:rPr lang="pt-BR" baseline="0"/>
              <a:t> - 2006</a:t>
            </a:r>
            <a:endParaRPr lang="pt-BR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RELAÇ_ESTADOS!$Q$2</c:f>
              <c:strCache>
                <c:ptCount val="1"/>
                <c:pt idx="0">
                  <c:v>Mortes/109km</c:v>
                </c:pt>
              </c:strCache>
            </c:strRef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ymbol val="circle"/>
            <c:size val="5"/>
            <c:spPr>
              <a:solidFill>
                <a:sysClr val="window" lastClr="FFFFFF"/>
              </a:solidFill>
              <a:ln>
                <a:solidFill>
                  <a:schemeClr val="tx1">
                    <a:lumMod val="65000"/>
                    <a:lumOff val="35000"/>
                  </a:schemeClr>
                </a:solidFill>
              </a:ln>
            </c:spPr>
          </c:marker>
          <c:cat>
            <c:strRef>
              <c:f>RELAÇ_ESTADOS!$X$3:$X$29</c:f>
              <c:strCache>
                <c:ptCount val="27"/>
                <c:pt idx="0">
                  <c:v>São Paulo</c:v>
                </c:pt>
                <c:pt idx="1">
                  <c:v>Distrito Federal</c:v>
                </c:pt>
                <c:pt idx="2">
                  <c:v>Rio Grande do Sul</c:v>
                </c:pt>
                <c:pt idx="3">
                  <c:v>Minas Gerais</c:v>
                </c:pt>
                <c:pt idx="4">
                  <c:v>Acre</c:v>
                </c:pt>
                <c:pt idx="5">
                  <c:v>Santa Catarina</c:v>
                </c:pt>
                <c:pt idx="6">
                  <c:v>Amazonas</c:v>
                </c:pt>
                <c:pt idx="7">
                  <c:v>Goiás</c:v>
                </c:pt>
                <c:pt idx="8">
                  <c:v>Rondônia</c:v>
                </c:pt>
                <c:pt idx="9">
                  <c:v>Rio de Janeiro</c:v>
                </c:pt>
                <c:pt idx="10">
                  <c:v>Rio Grande do Norte</c:v>
                </c:pt>
                <c:pt idx="11">
                  <c:v>Bahia</c:v>
                </c:pt>
                <c:pt idx="12">
                  <c:v>Paraná</c:v>
                </c:pt>
                <c:pt idx="13">
                  <c:v>Mato Grosso</c:v>
                </c:pt>
                <c:pt idx="14">
                  <c:v>Amapá</c:v>
                </c:pt>
                <c:pt idx="15">
                  <c:v>Mato Grosso do Sul</c:v>
                </c:pt>
                <c:pt idx="16">
                  <c:v>Espírito Santo</c:v>
                </c:pt>
                <c:pt idx="17">
                  <c:v>Tocantins</c:v>
                </c:pt>
                <c:pt idx="18">
                  <c:v>Sergipe</c:v>
                </c:pt>
                <c:pt idx="19">
                  <c:v>Pernambuco</c:v>
                </c:pt>
                <c:pt idx="20">
                  <c:v>Pará</c:v>
                </c:pt>
                <c:pt idx="21">
                  <c:v>Paraíba</c:v>
                </c:pt>
                <c:pt idx="22">
                  <c:v>Roraima</c:v>
                </c:pt>
                <c:pt idx="23">
                  <c:v>Maranhão</c:v>
                </c:pt>
                <c:pt idx="24">
                  <c:v>Ceará</c:v>
                </c:pt>
                <c:pt idx="25">
                  <c:v>Alagoas</c:v>
                </c:pt>
                <c:pt idx="26">
                  <c:v>Piauí</c:v>
                </c:pt>
              </c:strCache>
            </c:strRef>
          </c:cat>
          <c:val>
            <c:numRef>
              <c:f>RELAÇ_ESTADOS!$Q$3:$Q$29</c:f>
              <c:numCache>
                <c:formatCode>#,##0.00</c:formatCode>
                <c:ptCount val="27"/>
                <c:pt idx="0">
                  <c:v>31.126948388559306</c:v>
                </c:pt>
                <c:pt idx="1">
                  <c:v>42.459912832063367</c:v>
                </c:pt>
                <c:pt idx="2">
                  <c:v>38.20562875544433</c:v>
                </c:pt>
                <c:pt idx="3">
                  <c:v>49.052265221226712</c:v>
                </c:pt>
                <c:pt idx="4">
                  <c:v>61.622473869153353</c:v>
                </c:pt>
                <c:pt idx="5">
                  <c:v>49.044680391400462</c:v>
                </c:pt>
                <c:pt idx="6">
                  <c:v>48.416360821514147</c:v>
                </c:pt>
                <c:pt idx="7">
                  <c:v>54.15946940233912</c:v>
                </c:pt>
                <c:pt idx="8">
                  <c:v>61.441338634516249</c:v>
                </c:pt>
                <c:pt idx="9">
                  <c:v>45.881403193876267</c:v>
                </c:pt>
                <c:pt idx="10">
                  <c:v>53.289581884030049</c:v>
                </c:pt>
                <c:pt idx="11">
                  <c:v>67.85183092614858</c:v>
                </c:pt>
                <c:pt idx="12">
                  <c:v>59.251472325955625</c:v>
                </c:pt>
                <c:pt idx="13">
                  <c:v>56.880851212351189</c:v>
                </c:pt>
                <c:pt idx="14">
                  <c:v>58.911619379056383</c:v>
                </c:pt>
                <c:pt idx="15">
                  <c:v>60.212796120635311</c:v>
                </c:pt>
                <c:pt idx="16">
                  <c:v>75.588369172687365</c:v>
                </c:pt>
                <c:pt idx="17">
                  <c:v>71.257133699634267</c:v>
                </c:pt>
                <c:pt idx="18">
                  <c:v>88.055675302305247</c:v>
                </c:pt>
                <c:pt idx="19">
                  <c:v>77.029086975493371</c:v>
                </c:pt>
                <c:pt idx="20">
                  <c:v>66.770543810762803</c:v>
                </c:pt>
                <c:pt idx="21">
                  <c:v>69.93364373091697</c:v>
                </c:pt>
                <c:pt idx="22">
                  <c:v>68.261468448644123</c:v>
                </c:pt>
                <c:pt idx="23">
                  <c:v>103.61290461588878</c:v>
                </c:pt>
                <c:pt idx="24">
                  <c:v>89.890178268564256</c:v>
                </c:pt>
                <c:pt idx="25">
                  <c:v>120.9491222124268</c:v>
                </c:pt>
                <c:pt idx="26">
                  <c:v>120.23241906125917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95-451B-AA97-438F6DA58821}"/>
            </c:ext>
          </c:extLst>
        </c:ser>
        <c:ser>
          <c:idx val="1"/>
          <c:order val="1"/>
          <c:tx>
            <c:strRef>
              <c:f>RELAÇ_ESTADOS!$V$30</c:f>
              <c:strCache>
                <c:ptCount val="1"/>
                <c:pt idx="0">
                  <c:v>PIB per capta/100</c:v>
                </c:pt>
              </c:strCache>
            </c:strRef>
          </c:tx>
          <c:spPr>
            <a:ln>
              <a:solidFill>
                <a:srgbClr val="FF6600"/>
              </a:solidFill>
            </a:ln>
          </c:spPr>
          <c:marker>
            <c:symbol val="triangle"/>
            <c:size val="5"/>
            <c:spPr>
              <a:solidFill>
                <a:schemeClr val="bg1"/>
              </a:solidFill>
              <a:ln>
                <a:solidFill>
                  <a:schemeClr val="tx1">
                    <a:lumMod val="65000"/>
                    <a:lumOff val="35000"/>
                  </a:schemeClr>
                </a:solidFill>
              </a:ln>
            </c:spPr>
          </c:marker>
          <c:trendline>
            <c:trendlineType val="linear"/>
            <c:dispRSqr val="0"/>
            <c:dispEq val="0"/>
          </c:trendline>
          <c:cat>
            <c:strRef>
              <c:f>RELAÇ_ESTADOS!$X$3:$X$29</c:f>
              <c:strCache>
                <c:ptCount val="27"/>
                <c:pt idx="0">
                  <c:v>São Paulo</c:v>
                </c:pt>
                <c:pt idx="1">
                  <c:v>Distrito Federal</c:v>
                </c:pt>
                <c:pt idx="2">
                  <c:v>Rio Grande do Sul</c:v>
                </c:pt>
                <c:pt idx="3">
                  <c:v>Minas Gerais</c:v>
                </c:pt>
                <c:pt idx="4">
                  <c:v>Acre</c:v>
                </c:pt>
                <c:pt idx="5">
                  <c:v>Santa Catarina</c:v>
                </c:pt>
                <c:pt idx="6">
                  <c:v>Amazonas</c:v>
                </c:pt>
                <c:pt idx="7">
                  <c:v>Goiás</c:v>
                </c:pt>
                <c:pt idx="8">
                  <c:v>Rondônia</c:v>
                </c:pt>
                <c:pt idx="9">
                  <c:v>Rio de Janeiro</c:v>
                </c:pt>
                <c:pt idx="10">
                  <c:v>Rio Grande do Norte</c:v>
                </c:pt>
                <c:pt idx="11">
                  <c:v>Bahia</c:v>
                </c:pt>
                <c:pt idx="12">
                  <c:v>Paraná</c:v>
                </c:pt>
                <c:pt idx="13">
                  <c:v>Mato Grosso</c:v>
                </c:pt>
                <c:pt idx="14">
                  <c:v>Amapá</c:v>
                </c:pt>
                <c:pt idx="15">
                  <c:v>Mato Grosso do Sul</c:v>
                </c:pt>
                <c:pt idx="16">
                  <c:v>Espírito Santo</c:v>
                </c:pt>
                <c:pt idx="17">
                  <c:v>Tocantins</c:v>
                </c:pt>
                <c:pt idx="18">
                  <c:v>Sergipe</c:v>
                </c:pt>
                <c:pt idx="19">
                  <c:v>Pernambuco</c:v>
                </c:pt>
                <c:pt idx="20">
                  <c:v>Pará</c:v>
                </c:pt>
                <c:pt idx="21">
                  <c:v>Paraíba</c:v>
                </c:pt>
                <c:pt idx="22">
                  <c:v>Roraima</c:v>
                </c:pt>
                <c:pt idx="23">
                  <c:v>Maranhão</c:v>
                </c:pt>
                <c:pt idx="24">
                  <c:v>Ceará</c:v>
                </c:pt>
                <c:pt idx="25">
                  <c:v>Alagoas</c:v>
                </c:pt>
                <c:pt idx="26">
                  <c:v>Piauí</c:v>
                </c:pt>
              </c:strCache>
            </c:strRef>
          </c:cat>
          <c:val>
            <c:numRef>
              <c:f>RELAÇ_ESTADOS!$V$31:$V$57</c:f>
              <c:numCache>
                <c:formatCode>0.00</c:formatCode>
                <c:ptCount val="27"/>
                <c:pt idx="0">
                  <c:v>195.50365699760493</c:v>
                </c:pt>
                <c:pt idx="1">
                  <c:v>375.99276296173468</c:v>
                </c:pt>
                <c:pt idx="2">
                  <c:v>143.04825274705391</c:v>
                </c:pt>
                <c:pt idx="3">
                  <c:v>110.24695937721498</c:v>
                </c:pt>
                <c:pt idx="4">
                  <c:v>70.408595265403406</c:v>
                </c:pt>
                <c:pt idx="5">
                  <c:v>156.33198377044727</c:v>
                </c:pt>
                <c:pt idx="6">
                  <c:v>118.26214043787441</c:v>
                </c:pt>
                <c:pt idx="7">
                  <c:v>99.56295743205817</c:v>
                </c:pt>
                <c:pt idx="8">
                  <c:v>83.892080729590091</c:v>
                </c:pt>
                <c:pt idx="9">
                  <c:v>176.92589854586546</c:v>
                </c:pt>
                <c:pt idx="10">
                  <c:v>67.530361733778264</c:v>
                </c:pt>
                <c:pt idx="11">
                  <c:v>69.18974235381144</c:v>
                </c:pt>
                <c:pt idx="12">
                  <c:v>131.51984836409983</c:v>
                </c:pt>
                <c:pt idx="13">
                  <c:v>123.40786324018362</c:v>
                </c:pt>
                <c:pt idx="14">
                  <c:v>85.429410648245678</c:v>
                </c:pt>
                <c:pt idx="15">
                  <c:v>105.92444217919032</c:v>
                </c:pt>
                <c:pt idx="16">
                  <c:v>152.34758093902639</c:v>
                </c:pt>
                <c:pt idx="17">
                  <c:v>72.083418004449683</c:v>
                </c:pt>
                <c:pt idx="18">
                  <c:v>75.593452813064602</c:v>
                </c:pt>
                <c:pt idx="19">
                  <c:v>65.26629823052825</c:v>
                </c:pt>
                <c:pt idx="20">
                  <c:v>62.400525252185517</c:v>
                </c:pt>
                <c:pt idx="21">
                  <c:v>55.065224679450047</c:v>
                </c:pt>
                <c:pt idx="22">
                  <c:v>90.743462149707554</c:v>
                </c:pt>
                <c:pt idx="23">
                  <c:v>46.277096023896</c:v>
                </c:pt>
                <c:pt idx="24">
                  <c:v>56.349736562503018</c:v>
                </c:pt>
                <c:pt idx="25">
                  <c:v>51.621873217624461</c:v>
                </c:pt>
                <c:pt idx="26">
                  <c:v>42.118719623238611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95-451B-AA97-438F6DA588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202432"/>
        <c:axId val="147203968"/>
      </c:lineChart>
      <c:catAx>
        <c:axId val="1472024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47203968"/>
        <c:crosses val="autoZero"/>
        <c:auto val="1"/>
        <c:lblAlgn val="ctr"/>
        <c:lblOffset val="100"/>
        <c:noMultiLvlLbl val="0"/>
      </c:catAx>
      <c:valAx>
        <c:axId val="1472039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</a:t>
                </a:r>
                <a:r>
                  <a:rPr lang="pt-BR" baseline="30000"/>
                  <a:t>9</a:t>
                </a:r>
                <a:r>
                  <a:rPr lang="pt-BR"/>
                  <a:t>km</a:t>
                </a:r>
                <a:r>
                  <a:rPr lang="pt-BR" baseline="0"/>
                  <a:t> ou PIB </a:t>
                </a:r>
                <a:r>
                  <a:rPr lang="pt-BR" i="1" baseline="0"/>
                  <a:t>per capta</a:t>
                </a:r>
                <a:r>
                  <a:rPr lang="pt-BR" baseline="0"/>
                  <a:t>/100</a:t>
                </a:r>
                <a:endParaRPr lang="pt-BR"/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147202432"/>
        <c:crosses val="autoZero"/>
        <c:crossBetween val="between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602" footer="0.31496062000000602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Relação</a:t>
            </a:r>
            <a:r>
              <a:rPr lang="pt-BR" baseline="0"/>
              <a:t> entre o índice de mortes/bilhão de km percorridos e o PIB </a:t>
            </a:r>
            <a:r>
              <a:rPr lang="pt-BR" i="1" baseline="0"/>
              <a:t>per captia </a:t>
            </a:r>
            <a:r>
              <a:rPr lang="pt-BR" baseline="0"/>
              <a:t>- 2007</a:t>
            </a:r>
            <a:endParaRPr lang="pt-BR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Mortes/bilhão de km</c:v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ymbol val="circle"/>
            <c:size val="5"/>
            <c:spPr>
              <a:solidFill>
                <a:sysClr val="window" lastClr="FFFFFF"/>
              </a:solidFill>
              <a:ln>
                <a:solidFill>
                  <a:schemeClr val="tx1">
                    <a:lumMod val="65000"/>
                    <a:lumOff val="35000"/>
                  </a:schemeClr>
                </a:solidFill>
              </a:ln>
            </c:spPr>
          </c:marker>
          <c:cat>
            <c:strRef>
              <c:f>RELAÇ_ESTADOS!$AF$3:$AF$29</c:f>
              <c:strCache>
                <c:ptCount val="27"/>
                <c:pt idx="0">
                  <c:v>São Paulo</c:v>
                </c:pt>
                <c:pt idx="1">
                  <c:v>Rio Grande do Sul</c:v>
                </c:pt>
                <c:pt idx="2">
                  <c:v>Amazonas</c:v>
                </c:pt>
                <c:pt idx="3">
                  <c:v>Minas Gerais</c:v>
                </c:pt>
                <c:pt idx="4">
                  <c:v>Distrito Federal</c:v>
                </c:pt>
                <c:pt idx="5">
                  <c:v>Rio de Janeiro</c:v>
                </c:pt>
                <c:pt idx="6">
                  <c:v>Rondônia</c:v>
                </c:pt>
                <c:pt idx="7">
                  <c:v>Santa Catarina</c:v>
                </c:pt>
                <c:pt idx="8">
                  <c:v>Rio Grande do Norte</c:v>
                </c:pt>
                <c:pt idx="9">
                  <c:v>Goiás</c:v>
                </c:pt>
                <c:pt idx="10">
                  <c:v>Amapá</c:v>
                </c:pt>
                <c:pt idx="11">
                  <c:v>Acre</c:v>
                </c:pt>
                <c:pt idx="12">
                  <c:v>Mato Grosso do Sul</c:v>
                </c:pt>
                <c:pt idx="13">
                  <c:v>Paraná</c:v>
                </c:pt>
                <c:pt idx="14">
                  <c:v>Bahia</c:v>
                </c:pt>
                <c:pt idx="15">
                  <c:v>Mato Grosso</c:v>
                </c:pt>
                <c:pt idx="16">
                  <c:v>Pará</c:v>
                </c:pt>
                <c:pt idx="17">
                  <c:v>Tocantins</c:v>
                </c:pt>
                <c:pt idx="18">
                  <c:v>Espírito Santo</c:v>
                </c:pt>
                <c:pt idx="19">
                  <c:v>Pernambuco</c:v>
                </c:pt>
                <c:pt idx="20">
                  <c:v>Paraíba</c:v>
                </c:pt>
                <c:pt idx="21">
                  <c:v>Sergipe</c:v>
                </c:pt>
                <c:pt idx="22">
                  <c:v>Ceará</c:v>
                </c:pt>
                <c:pt idx="23">
                  <c:v>Roraima</c:v>
                </c:pt>
                <c:pt idx="24">
                  <c:v>Maranhão</c:v>
                </c:pt>
                <c:pt idx="25">
                  <c:v>Alagoas</c:v>
                </c:pt>
                <c:pt idx="26">
                  <c:v>Piauí</c:v>
                </c:pt>
              </c:strCache>
            </c:strRef>
          </c:cat>
          <c:val>
            <c:numRef>
              <c:f>RELAÇ_ESTADOS!$Y$3:$Y$29</c:f>
              <c:numCache>
                <c:formatCode>#,##0.00</c:formatCode>
                <c:ptCount val="27"/>
                <c:pt idx="0">
                  <c:v>28.340955767166871</c:v>
                </c:pt>
                <c:pt idx="1">
                  <c:v>36.20662324196671</c:v>
                </c:pt>
                <c:pt idx="2">
                  <c:v>41.04470859312552</c:v>
                </c:pt>
                <c:pt idx="3">
                  <c:v>45.223968131741927</c:v>
                </c:pt>
                <c:pt idx="4">
                  <c:v>34.567971751398204</c:v>
                </c:pt>
                <c:pt idx="5">
                  <c:v>48.681519992994154</c:v>
                </c:pt>
                <c:pt idx="6">
                  <c:v>66.226425876853952</c:v>
                </c:pt>
                <c:pt idx="7">
                  <c:v>43.807245783993459</c:v>
                </c:pt>
                <c:pt idx="8">
                  <c:v>47.759013413159124</c:v>
                </c:pt>
                <c:pt idx="9">
                  <c:v>53.540938598303377</c:v>
                </c:pt>
                <c:pt idx="10">
                  <c:v>39.912310749223145</c:v>
                </c:pt>
                <c:pt idx="11">
                  <c:v>50.528436004315623</c:v>
                </c:pt>
                <c:pt idx="12">
                  <c:v>51.534074919171474</c:v>
                </c:pt>
                <c:pt idx="13">
                  <c:v>57.755266806049733</c:v>
                </c:pt>
                <c:pt idx="14">
                  <c:v>65.777244631779013</c:v>
                </c:pt>
                <c:pt idx="15">
                  <c:v>51.075241159273041</c:v>
                </c:pt>
                <c:pt idx="16">
                  <c:v>64.273818260982523</c:v>
                </c:pt>
                <c:pt idx="17">
                  <c:v>64.881143222824164</c:v>
                </c:pt>
                <c:pt idx="18">
                  <c:v>69.360389861280126</c:v>
                </c:pt>
                <c:pt idx="19">
                  <c:v>70.990937874127255</c:v>
                </c:pt>
                <c:pt idx="20">
                  <c:v>77.18054836496546</c:v>
                </c:pt>
                <c:pt idx="21">
                  <c:v>87.607658078562764</c:v>
                </c:pt>
                <c:pt idx="22">
                  <c:v>92.362812529116027</c:v>
                </c:pt>
                <c:pt idx="23">
                  <c:v>69.357024764846102</c:v>
                </c:pt>
                <c:pt idx="24">
                  <c:v>98.600961169252656</c:v>
                </c:pt>
                <c:pt idx="25">
                  <c:v>105.82312268814296</c:v>
                </c:pt>
                <c:pt idx="26">
                  <c:v>108.73951542278395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12-4B19-BB3F-11C3AD88E4D2}"/>
            </c:ext>
          </c:extLst>
        </c:ser>
        <c:ser>
          <c:idx val="1"/>
          <c:order val="1"/>
          <c:tx>
            <c:strRef>
              <c:f>RELAÇ_ESTADOS!$AD$30</c:f>
              <c:strCache>
                <c:ptCount val="1"/>
                <c:pt idx="0">
                  <c:v>PIB per capita/500</c:v>
                </c:pt>
              </c:strCache>
            </c:strRef>
          </c:tx>
          <c:spPr>
            <a:ln>
              <a:solidFill>
                <a:srgbClr val="FF6600"/>
              </a:solidFill>
            </a:ln>
          </c:spPr>
          <c:marker>
            <c:symbol val="triangle"/>
            <c:size val="5"/>
            <c:spPr>
              <a:solidFill>
                <a:schemeClr val="bg1"/>
              </a:solidFill>
              <a:ln>
                <a:solidFill>
                  <a:schemeClr val="tx1">
                    <a:lumMod val="65000"/>
                    <a:lumOff val="35000"/>
                  </a:schemeClr>
                </a:solidFill>
              </a:ln>
            </c:spPr>
          </c:marker>
          <c:trendline>
            <c:name>Regressão linear (PIB per capita/500)</c:name>
            <c:trendlineType val="linear"/>
            <c:dispRSqr val="0"/>
            <c:dispEq val="0"/>
          </c:trendline>
          <c:cat>
            <c:strRef>
              <c:f>RELAÇ_ESTADOS!$AF$3:$AF$29</c:f>
              <c:strCache>
                <c:ptCount val="27"/>
                <c:pt idx="0">
                  <c:v>São Paulo</c:v>
                </c:pt>
                <c:pt idx="1">
                  <c:v>Rio Grande do Sul</c:v>
                </c:pt>
                <c:pt idx="2">
                  <c:v>Amazonas</c:v>
                </c:pt>
                <c:pt idx="3">
                  <c:v>Minas Gerais</c:v>
                </c:pt>
                <c:pt idx="4">
                  <c:v>Distrito Federal</c:v>
                </c:pt>
                <c:pt idx="5">
                  <c:v>Rio de Janeiro</c:v>
                </c:pt>
                <c:pt idx="6">
                  <c:v>Rondônia</c:v>
                </c:pt>
                <c:pt idx="7">
                  <c:v>Santa Catarina</c:v>
                </c:pt>
                <c:pt idx="8">
                  <c:v>Rio Grande do Norte</c:v>
                </c:pt>
                <c:pt idx="9">
                  <c:v>Goiás</c:v>
                </c:pt>
                <c:pt idx="10">
                  <c:v>Amapá</c:v>
                </c:pt>
                <c:pt idx="11">
                  <c:v>Acre</c:v>
                </c:pt>
                <c:pt idx="12">
                  <c:v>Mato Grosso do Sul</c:v>
                </c:pt>
                <c:pt idx="13">
                  <c:v>Paraná</c:v>
                </c:pt>
                <c:pt idx="14">
                  <c:v>Bahia</c:v>
                </c:pt>
                <c:pt idx="15">
                  <c:v>Mato Grosso</c:v>
                </c:pt>
                <c:pt idx="16">
                  <c:v>Pará</c:v>
                </c:pt>
                <c:pt idx="17">
                  <c:v>Tocantins</c:v>
                </c:pt>
                <c:pt idx="18">
                  <c:v>Espírito Santo</c:v>
                </c:pt>
                <c:pt idx="19">
                  <c:v>Pernambuco</c:v>
                </c:pt>
                <c:pt idx="20">
                  <c:v>Paraíba</c:v>
                </c:pt>
                <c:pt idx="21">
                  <c:v>Sergipe</c:v>
                </c:pt>
                <c:pt idx="22">
                  <c:v>Ceará</c:v>
                </c:pt>
                <c:pt idx="23">
                  <c:v>Roraima</c:v>
                </c:pt>
                <c:pt idx="24">
                  <c:v>Maranhão</c:v>
                </c:pt>
                <c:pt idx="25">
                  <c:v>Alagoas</c:v>
                </c:pt>
                <c:pt idx="26">
                  <c:v>Piauí</c:v>
                </c:pt>
              </c:strCache>
            </c:strRef>
          </c:cat>
          <c:val>
            <c:numRef>
              <c:f>RELAÇ_ESTADOS!$AD$31:$AD$57</c:f>
              <c:numCache>
                <c:formatCode>0.00</c:formatCode>
                <c:ptCount val="27"/>
                <c:pt idx="0">
                  <c:v>45.334503090038282</c:v>
                </c:pt>
                <c:pt idx="1">
                  <c:v>33.377484448152011</c:v>
                </c:pt>
                <c:pt idx="2">
                  <c:v>26.085661690633572</c:v>
                </c:pt>
                <c:pt idx="3">
                  <c:v>25.038798405892848</c:v>
                </c:pt>
                <c:pt idx="4">
                  <c:v>81.392156298517051</c:v>
                </c:pt>
                <c:pt idx="5">
                  <c:v>38.490158688975029</c:v>
                </c:pt>
                <c:pt idx="6">
                  <c:v>20.639961718091733</c:v>
                </c:pt>
                <c:pt idx="7">
                  <c:v>35.668006078377495</c:v>
                </c:pt>
                <c:pt idx="8">
                  <c:v>15.214028452381177</c:v>
                </c:pt>
                <c:pt idx="9">
                  <c:v>23.09535774366692</c:v>
                </c:pt>
                <c:pt idx="10">
                  <c:v>20.507470548730694</c:v>
                </c:pt>
                <c:pt idx="11">
                  <c:v>17.578983438483828</c:v>
                </c:pt>
                <c:pt idx="12">
                  <c:v>24.82236661868215</c:v>
                </c:pt>
                <c:pt idx="13">
                  <c:v>31.422392217389024</c:v>
                </c:pt>
                <c:pt idx="14">
                  <c:v>15.574804893078774</c:v>
                </c:pt>
                <c:pt idx="15">
                  <c:v>29.907161256883828</c:v>
                </c:pt>
                <c:pt idx="16">
                  <c:v>14.013624647103606</c:v>
                </c:pt>
                <c:pt idx="17">
                  <c:v>17.841464292578603</c:v>
                </c:pt>
                <c:pt idx="18">
                  <c:v>36.005833077518609</c:v>
                </c:pt>
                <c:pt idx="19">
                  <c:v>14.673554349434838</c:v>
                </c:pt>
                <c:pt idx="20">
                  <c:v>12.194083820601916</c:v>
                </c:pt>
                <c:pt idx="21">
                  <c:v>17.423393006721859</c:v>
                </c:pt>
                <c:pt idx="22">
                  <c:v>12.298068673122293</c:v>
                </c:pt>
                <c:pt idx="23">
                  <c:v>21.068158747991273</c:v>
                </c:pt>
                <c:pt idx="24">
                  <c:v>10.330463211272706</c:v>
                </c:pt>
                <c:pt idx="25">
                  <c:v>11.71674244736116</c:v>
                </c:pt>
                <c:pt idx="26">
                  <c:v>9.3231146988061084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12-4B19-BB3F-11C3AD88E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255296"/>
        <c:axId val="147256832"/>
      </c:lineChart>
      <c:catAx>
        <c:axId val="1472552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47256832"/>
        <c:crosses val="autoZero"/>
        <c:auto val="1"/>
        <c:lblAlgn val="ctr"/>
        <c:lblOffset val="100"/>
        <c:noMultiLvlLbl val="0"/>
      </c:catAx>
      <c:valAx>
        <c:axId val="14725683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Mortes/bilhão</a:t>
                </a:r>
                <a:r>
                  <a:rPr lang="pt-BR" baseline="0"/>
                  <a:t> de </a:t>
                </a:r>
                <a:r>
                  <a:rPr lang="pt-BR"/>
                  <a:t>km</a:t>
                </a:r>
                <a:r>
                  <a:rPr lang="pt-BR" baseline="0"/>
                  <a:t> ou PIB </a:t>
                </a:r>
                <a:r>
                  <a:rPr lang="pt-BR" i="1" baseline="0"/>
                  <a:t>per capita</a:t>
                </a:r>
                <a:r>
                  <a:rPr lang="pt-BR" baseline="0"/>
                  <a:t>/500</a:t>
                </a:r>
                <a:endParaRPr lang="pt-BR"/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47255296"/>
        <c:crosses val="autoZero"/>
        <c:crossBetween val="between"/>
      </c:valAx>
      <c:spPr>
        <a:ln w="3175">
          <a:solidFill>
            <a:schemeClr val="tx1"/>
          </a:solidFill>
        </a:ln>
      </c:spPr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602" footer="0.31496062000000602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Relação</a:t>
            </a:r>
            <a:r>
              <a:rPr lang="pt-BR" baseline="0"/>
              <a:t> entre o índice de mortes/10</a:t>
            </a:r>
            <a:r>
              <a:rPr lang="pt-BR" baseline="30000"/>
              <a:t>9</a:t>
            </a:r>
            <a:r>
              <a:rPr lang="pt-BR" baseline="0"/>
              <a:t>km percorridos e o PIB </a:t>
            </a:r>
            <a:r>
              <a:rPr lang="pt-BR" i="1" baseline="0"/>
              <a:t>per capta</a:t>
            </a:r>
            <a:r>
              <a:rPr lang="pt-BR" baseline="0"/>
              <a:t> - 2008</a:t>
            </a:r>
            <a:endParaRPr lang="pt-BR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RELAÇ_ESTADOS!$AG$2</c:f>
              <c:strCache>
                <c:ptCount val="1"/>
                <c:pt idx="0">
                  <c:v>Mortes/109km</c:v>
                </c:pt>
              </c:strCache>
            </c:strRef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ymbol val="circle"/>
            <c:size val="5"/>
            <c:spPr>
              <a:solidFill>
                <a:sysClr val="window" lastClr="FFFFFF"/>
              </a:solidFill>
              <a:ln>
                <a:solidFill>
                  <a:schemeClr val="tx1">
                    <a:lumMod val="65000"/>
                    <a:lumOff val="35000"/>
                  </a:schemeClr>
                </a:solidFill>
              </a:ln>
            </c:spPr>
          </c:marker>
          <c:cat>
            <c:strRef>
              <c:f>RELAÇ_ESTADOS!$AN$3:$AN$29</c:f>
              <c:strCache>
                <c:ptCount val="27"/>
                <c:pt idx="0">
                  <c:v>São Paulo</c:v>
                </c:pt>
                <c:pt idx="1">
                  <c:v>Rio de Janeiro</c:v>
                </c:pt>
                <c:pt idx="2">
                  <c:v>Amapá</c:v>
                </c:pt>
                <c:pt idx="3">
                  <c:v>Amazonas</c:v>
                </c:pt>
                <c:pt idx="4">
                  <c:v>Rio Grande do Sul</c:v>
                </c:pt>
                <c:pt idx="5">
                  <c:v>Distrito Federal</c:v>
                </c:pt>
                <c:pt idx="6">
                  <c:v>Minas Gerais</c:v>
                </c:pt>
                <c:pt idx="7">
                  <c:v>Rio Grande do Norte</c:v>
                </c:pt>
                <c:pt idx="8">
                  <c:v>Goiás</c:v>
                </c:pt>
                <c:pt idx="9">
                  <c:v>Rondônia</c:v>
                </c:pt>
                <c:pt idx="10">
                  <c:v>Santa Catarina</c:v>
                </c:pt>
                <c:pt idx="11">
                  <c:v>Acre</c:v>
                </c:pt>
                <c:pt idx="12">
                  <c:v>Bahia</c:v>
                </c:pt>
                <c:pt idx="13">
                  <c:v>Paraná</c:v>
                </c:pt>
                <c:pt idx="14">
                  <c:v>Mato Grosso do Sul</c:v>
                </c:pt>
                <c:pt idx="15">
                  <c:v>Mato Grosso</c:v>
                </c:pt>
                <c:pt idx="16">
                  <c:v>Pernambuco</c:v>
                </c:pt>
                <c:pt idx="17">
                  <c:v>Tocantins</c:v>
                </c:pt>
                <c:pt idx="18">
                  <c:v>Pará</c:v>
                </c:pt>
                <c:pt idx="19">
                  <c:v>Espírito Santo</c:v>
                </c:pt>
                <c:pt idx="20">
                  <c:v>Roraima</c:v>
                </c:pt>
                <c:pt idx="21">
                  <c:v>Sergipe</c:v>
                </c:pt>
                <c:pt idx="22">
                  <c:v>Paraíba</c:v>
                </c:pt>
                <c:pt idx="23">
                  <c:v>Ceará</c:v>
                </c:pt>
                <c:pt idx="24">
                  <c:v>Maranhão</c:v>
                </c:pt>
                <c:pt idx="25">
                  <c:v>Alagoas</c:v>
                </c:pt>
                <c:pt idx="26">
                  <c:v>Piauí</c:v>
                </c:pt>
              </c:strCache>
            </c:strRef>
          </c:cat>
          <c:val>
            <c:numRef>
              <c:f>RELAÇ_ESTADOS!$AG$3:$AG$29</c:f>
              <c:numCache>
                <c:formatCode>#,##0.00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37-4123-A851-C075CAF82896}"/>
            </c:ext>
          </c:extLst>
        </c:ser>
        <c:ser>
          <c:idx val="1"/>
          <c:order val="1"/>
          <c:tx>
            <c:strRef>
              <c:f>RELAÇ_ESTADOS!$AL$30</c:f>
              <c:strCache>
                <c:ptCount val="1"/>
                <c:pt idx="0">
                  <c:v>PIB per capta/100</c:v>
                </c:pt>
              </c:strCache>
            </c:strRef>
          </c:tx>
          <c:spPr>
            <a:ln>
              <a:solidFill>
                <a:srgbClr val="FF6600"/>
              </a:solidFill>
            </a:ln>
          </c:spPr>
          <c:marker>
            <c:symbol val="triangle"/>
            <c:size val="5"/>
            <c:spPr>
              <a:solidFill>
                <a:schemeClr val="bg1"/>
              </a:solidFill>
              <a:ln>
                <a:solidFill>
                  <a:schemeClr val="tx1">
                    <a:lumMod val="65000"/>
                    <a:lumOff val="35000"/>
                  </a:schemeClr>
                </a:solidFill>
              </a:ln>
            </c:spPr>
          </c:marker>
          <c:trendline>
            <c:trendlineType val="linear"/>
            <c:dispRSqr val="0"/>
            <c:dispEq val="0"/>
          </c:trendline>
          <c:cat>
            <c:strRef>
              <c:f>RELAÇ_ESTADOS!$AN$3:$AN$29</c:f>
              <c:strCache>
                <c:ptCount val="27"/>
                <c:pt idx="0">
                  <c:v>São Paulo</c:v>
                </c:pt>
                <c:pt idx="1">
                  <c:v>Rio de Janeiro</c:v>
                </c:pt>
                <c:pt idx="2">
                  <c:v>Amapá</c:v>
                </c:pt>
                <c:pt idx="3">
                  <c:v>Amazonas</c:v>
                </c:pt>
                <c:pt idx="4">
                  <c:v>Rio Grande do Sul</c:v>
                </c:pt>
                <c:pt idx="5">
                  <c:v>Distrito Federal</c:v>
                </c:pt>
                <c:pt idx="6">
                  <c:v>Minas Gerais</c:v>
                </c:pt>
                <c:pt idx="7">
                  <c:v>Rio Grande do Norte</c:v>
                </c:pt>
                <c:pt idx="8">
                  <c:v>Goiás</c:v>
                </c:pt>
                <c:pt idx="9">
                  <c:v>Rondônia</c:v>
                </c:pt>
                <c:pt idx="10">
                  <c:v>Santa Catarina</c:v>
                </c:pt>
                <c:pt idx="11">
                  <c:v>Acre</c:v>
                </c:pt>
                <c:pt idx="12">
                  <c:v>Bahia</c:v>
                </c:pt>
                <c:pt idx="13">
                  <c:v>Paraná</c:v>
                </c:pt>
                <c:pt idx="14">
                  <c:v>Mato Grosso do Sul</c:v>
                </c:pt>
                <c:pt idx="15">
                  <c:v>Mato Grosso</c:v>
                </c:pt>
                <c:pt idx="16">
                  <c:v>Pernambuco</c:v>
                </c:pt>
                <c:pt idx="17">
                  <c:v>Tocantins</c:v>
                </c:pt>
                <c:pt idx="18">
                  <c:v>Pará</c:v>
                </c:pt>
                <c:pt idx="19">
                  <c:v>Espírito Santo</c:v>
                </c:pt>
                <c:pt idx="20">
                  <c:v>Roraima</c:v>
                </c:pt>
                <c:pt idx="21">
                  <c:v>Sergipe</c:v>
                </c:pt>
                <c:pt idx="22">
                  <c:v>Paraíba</c:v>
                </c:pt>
                <c:pt idx="23">
                  <c:v>Ceará</c:v>
                </c:pt>
                <c:pt idx="24">
                  <c:v>Maranhão</c:v>
                </c:pt>
                <c:pt idx="25">
                  <c:v>Alagoas</c:v>
                </c:pt>
                <c:pt idx="26">
                  <c:v>Piauí</c:v>
                </c:pt>
              </c:strCache>
            </c:strRef>
          </c:cat>
          <c:val>
            <c:numRef>
              <c:f>RELAÇ_ESTADOS!$AL$31:$AL$57</c:f>
              <c:numCache>
                <c:formatCode>0.00</c:formatCode>
                <c:ptCount val="27"/>
                <c:pt idx="0">
                  <c:v>262.81057883815811</c:v>
                </c:pt>
                <c:pt idx="1">
                  <c:v>209.33796692269235</c:v>
                </c:pt>
                <c:pt idx="2">
                  <c:v>123.07130094771786</c:v>
                </c:pt>
                <c:pt idx="3">
                  <c:v>143.84606589199376</c:v>
                </c:pt>
                <c:pt idx="4">
                  <c:v>194.69941902341296</c:v>
                </c:pt>
                <c:pt idx="5">
                  <c:v>440.47942936048162</c:v>
                </c:pt>
                <c:pt idx="6">
                  <c:v>142.16750946069945</c:v>
                </c:pt>
                <c:pt idx="7">
                  <c:v>85.689849649541358</c:v>
                </c:pt>
                <c:pt idx="8">
                  <c:v>133.93423695553261</c:v>
                </c:pt>
                <c:pt idx="9">
                  <c:v>126.9512020739618</c:v>
                </c:pt>
                <c:pt idx="10">
                  <c:v>203.44631772140124</c:v>
                </c:pt>
                <c:pt idx="11">
                  <c:v>109.72405342190227</c:v>
                </c:pt>
                <c:pt idx="12">
                  <c:v>87.648305661058671</c:v>
                </c:pt>
                <c:pt idx="13">
                  <c:v>187.68397792134047</c:v>
                </c:pt>
                <c:pt idx="14">
                  <c:v>145.42202721963292</c:v>
                </c:pt>
                <c:pt idx="15">
                  <c:v>181.19556383219376</c:v>
                </c:pt>
                <c:pt idx="16">
                  <c:v>82.474877189030437</c:v>
                </c:pt>
                <c:pt idx="17">
                  <c:v>110.39912399954024</c:v>
                </c:pt>
                <c:pt idx="18">
                  <c:v>78.677893718142855</c:v>
                </c:pt>
                <c:pt idx="19">
                  <c:v>212.74049899830632</c:v>
                </c:pt>
                <c:pt idx="20">
                  <c:v>122.28630650500028</c:v>
                </c:pt>
                <c:pt idx="21">
                  <c:v>100.39712851104821</c:v>
                </c:pt>
                <c:pt idx="22">
                  <c:v>67.50888654748266</c:v>
                </c:pt>
                <c:pt idx="23">
                  <c:v>67.099911337240243</c:v>
                </c:pt>
                <c:pt idx="24">
                  <c:v>57.651883614495183</c:v>
                </c:pt>
                <c:pt idx="25">
                  <c:v>66.484440132116646</c:v>
                </c:pt>
                <c:pt idx="26">
                  <c:v>51.592539175346246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37-4123-A851-C075CAF828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750912"/>
        <c:axId val="147752448"/>
      </c:lineChart>
      <c:catAx>
        <c:axId val="14775091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47752448"/>
        <c:crosses val="autoZero"/>
        <c:auto val="1"/>
        <c:lblAlgn val="ctr"/>
        <c:lblOffset val="100"/>
        <c:noMultiLvlLbl val="0"/>
      </c:catAx>
      <c:valAx>
        <c:axId val="14775244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</a:t>
                </a:r>
                <a:r>
                  <a:rPr lang="pt-BR" baseline="30000"/>
                  <a:t>9</a:t>
                </a:r>
                <a:r>
                  <a:rPr lang="pt-BR"/>
                  <a:t>km</a:t>
                </a:r>
                <a:r>
                  <a:rPr lang="pt-BR" baseline="0"/>
                  <a:t> ou PIB </a:t>
                </a:r>
                <a:r>
                  <a:rPr lang="pt-BR" i="1" baseline="0"/>
                  <a:t>per capta</a:t>
                </a:r>
                <a:r>
                  <a:rPr lang="pt-BR" i="0" baseline="0"/>
                  <a:t>/100</a:t>
                </a:r>
                <a:endParaRPr lang="pt-BR"/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147750912"/>
        <c:crosses val="autoZero"/>
        <c:crossBetween val="between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702" footer="0.31496062000000702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Relação</a:t>
            </a:r>
            <a:r>
              <a:rPr lang="pt-BR" baseline="0"/>
              <a:t> entre o índice de mortes/10</a:t>
            </a:r>
            <a:r>
              <a:rPr lang="pt-BR" baseline="30000"/>
              <a:t>9</a:t>
            </a:r>
            <a:r>
              <a:rPr lang="pt-BR" baseline="0"/>
              <a:t>km percorridos e o  índice de mortes/100mil hab. - 2004</a:t>
            </a:r>
            <a:endParaRPr lang="pt-BR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RELAÇ_ESTADOS!$A$2</c:f>
              <c:strCache>
                <c:ptCount val="1"/>
                <c:pt idx="0">
                  <c:v>Mortes/109km</c:v>
                </c:pt>
              </c:strCache>
            </c:strRef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ymbol val="circle"/>
            <c:size val="5"/>
            <c:spPr>
              <a:solidFill>
                <a:sysClr val="window" lastClr="FFFFFF"/>
              </a:solidFill>
              <a:ln>
                <a:solidFill>
                  <a:schemeClr val="tx1">
                    <a:lumMod val="65000"/>
                    <a:lumOff val="35000"/>
                  </a:schemeClr>
                </a:solidFill>
              </a:ln>
            </c:spPr>
          </c:marker>
          <c:cat>
            <c:strRef>
              <c:f>RELAÇ_ESTADOS!$H$3:$H$29</c:f>
              <c:strCache>
                <c:ptCount val="27"/>
                <c:pt idx="0">
                  <c:v>São Paulo</c:v>
                </c:pt>
                <c:pt idx="1">
                  <c:v>Rio Grande do Sul</c:v>
                </c:pt>
                <c:pt idx="2">
                  <c:v>Distrito Federal</c:v>
                </c:pt>
                <c:pt idx="3">
                  <c:v>Minas Gerais</c:v>
                </c:pt>
                <c:pt idx="4">
                  <c:v>Amazonas</c:v>
                </c:pt>
                <c:pt idx="5">
                  <c:v>Santa Catarina</c:v>
                </c:pt>
                <c:pt idx="6">
                  <c:v>Bahia</c:v>
                </c:pt>
                <c:pt idx="7">
                  <c:v>Rio de Janeiro</c:v>
                </c:pt>
                <c:pt idx="8">
                  <c:v>Rondônia</c:v>
                </c:pt>
                <c:pt idx="9">
                  <c:v>Roraima</c:v>
                </c:pt>
                <c:pt idx="10">
                  <c:v>Rio Grande do Norte</c:v>
                </c:pt>
                <c:pt idx="11">
                  <c:v>Acre</c:v>
                </c:pt>
                <c:pt idx="12">
                  <c:v>Goiás</c:v>
                </c:pt>
                <c:pt idx="13">
                  <c:v>Mato Grosso do Sul</c:v>
                </c:pt>
                <c:pt idx="14">
                  <c:v>Mato Grosso</c:v>
                </c:pt>
                <c:pt idx="15">
                  <c:v>Paraná</c:v>
                </c:pt>
                <c:pt idx="16">
                  <c:v>Espírito Santo</c:v>
                </c:pt>
                <c:pt idx="17">
                  <c:v>Amapá</c:v>
                </c:pt>
                <c:pt idx="18">
                  <c:v>Pará</c:v>
                </c:pt>
                <c:pt idx="19">
                  <c:v>Pernambuco</c:v>
                </c:pt>
                <c:pt idx="20">
                  <c:v>Paraíba</c:v>
                </c:pt>
                <c:pt idx="21">
                  <c:v>Tocantins</c:v>
                </c:pt>
                <c:pt idx="22">
                  <c:v>Sergipe</c:v>
                </c:pt>
                <c:pt idx="23">
                  <c:v>Maranhão</c:v>
                </c:pt>
                <c:pt idx="24">
                  <c:v>Ceará</c:v>
                </c:pt>
                <c:pt idx="25">
                  <c:v>Alagoas</c:v>
                </c:pt>
                <c:pt idx="26">
                  <c:v>Piauí</c:v>
                </c:pt>
              </c:strCache>
            </c:strRef>
          </c:cat>
          <c:val>
            <c:numRef>
              <c:f>RELAÇ_ESTADOS!$A$3:$A$29</c:f>
              <c:numCache>
                <c:formatCode>#,##0.00</c:formatCode>
                <c:ptCount val="27"/>
                <c:pt idx="0">
                  <c:v>33.871336088244782</c:v>
                </c:pt>
                <c:pt idx="1">
                  <c:v>42.591906538294616</c:v>
                </c:pt>
                <c:pt idx="2">
                  <c:v>44.127427852649333</c:v>
                </c:pt>
                <c:pt idx="3">
                  <c:v>50.66836893725295</c:v>
                </c:pt>
                <c:pt idx="4">
                  <c:v>40.45893557462017</c:v>
                </c:pt>
                <c:pt idx="5">
                  <c:v>53.074054148577261</c:v>
                </c:pt>
                <c:pt idx="6">
                  <c:v>59.389401424063209</c:v>
                </c:pt>
                <c:pt idx="7">
                  <c:v>44.980154170670126</c:v>
                </c:pt>
                <c:pt idx="8">
                  <c:v>61.879304441709152</c:v>
                </c:pt>
                <c:pt idx="9">
                  <c:v>76.581625090385202</c:v>
                </c:pt>
                <c:pt idx="10">
                  <c:v>56.706595269995972</c:v>
                </c:pt>
                <c:pt idx="11">
                  <c:v>60.580812704081495</c:v>
                </c:pt>
                <c:pt idx="12">
                  <c:v>61.362279426386621</c:v>
                </c:pt>
                <c:pt idx="13">
                  <c:v>61.671773112392003</c:v>
                </c:pt>
                <c:pt idx="14">
                  <c:v>71.024828835045952</c:v>
                </c:pt>
                <c:pt idx="15">
                  <c:v>68.948812741832583</c:v>
                </c:pt>
                <c:pt idx="16">
                  <c:v>77.945784401925593</c:v>
                </c:pt>
                <c:pt idx="17">
                  <c:v>52.806405052168515</c:v>
                </c:pt>
                <c:pt idx="18">
                  <c:v>64.895170641801073</c:v>
                </c:pt>
                <c:pt idx="19">
                  <c:v>91.039666633478745</c:v>
                </c:pt>
                <c:pt idx="20">
                  <c:v>88.353209147742191</c:v>
                </c:pt>
                <c:pt idx="21">
                  <c:v>74.916719274056945</c:v>
                </c:pt>
                <c:pt idx="22">
                  <c:v>98.789356793334775</c:v>
                </c:pt>
                <c:pt idx="23">
                  <c:v>109.72309229216644</c:v>
                </c:pt>
                <c:pt idx="24">
                  <c:v>87.414276859853416</c:v>
                </c:pt>
                <c:pt idx="25">
                  <c:v>126.21656178900706</c:v>
                </c:pt>
                <c:pt idx="26">
                  <c:v>127.69799244430486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BF-4D9D-8E90-BFB1E33FFC66}"/>
            </c:ext>
          </c:extLst>
        </c:ser>
        <c:ser>
          <c:idx val="1"/>
          <c:order val="1"/>
          <c:tx>
            <c:strRef>
              <c:f>RELAÇ_ESTADOS!$C$2</c:f>
              <c:strCache>
                <c:ptCount val="1"/>
                <c:pt idx="0">
                  <c:v>Mortes/100mil hab</c:v>
                </c:pt>
              </c:strCache>
            </c:strRef>
          </c:tx>
          <c:spPr>
            <a:ln>
              <a:solidFill>
                <a:schemeClr val="accent1">
                  <a:lumMod val="5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bg1"/>
              </a:solidFill>
              <a:ln>
                <a:solidFill>
                  <a:schemeClr val="tx1">
                    <a:lumMod val="65000"/>
                    <a:lumOff val="35000"/>
                  </a:schemeClr>
                </a:solidFill>
              </a:ln>
            </c:spPr>
          </c:marker>
          <c:trendline>
            <c:trendlineType val="linear"/>
            <c:dispRSqr val="0"/>
            <c:dispEq val="0"/>
          </c:trendline>
          <c:cat>
            <c:strRef>
              <c:f>RELAÇ_ESTADOS!$H$3:$H$29</c:f>
              <c:strCache>
                <c:ptCount val="27"/>
                <c:pt idx="0">
                  <c:v>São Paulo</c:v>
                </c:pt>
                <c:pt idx="1">
                  <c:v>Rio Grande do Sul</c:v>
                </c:pt>
                <c:pt idx="2">
                  <c:v>Distrito Federal</c:v>
                </c:pt>
                <c:pt idx="3">
                  <c:v>Minas Gerais</c:v>
                </c:pt>
                <c:pt idx="4">
                  <c:v>Amazonas</c:v>
                </c:pt>
                <c:pt idx="5">
                  <c:v>Santa Catarina</c:v>
                </c:pt>
                <c:pt idx="6">
                  <c:v>Bahia</c:v>
                </c:pt>
                <c:pt idx="7">
                  <c:v>Rio de Janeiro</c:v>
                </c:pt>
                <c:pt idx="8">
                  <c:v>Rondônia</c:v>
                </c:pt>
                <c:pt idx="9">
                  <c:v>Roraima</c:v>
                </c:pt>
                <c:pt idx="10">
                  <c:v>Rio Grande do Norte</c:v>
                </c:pt>
                <c:pt idx="11">
                  <c:v>Acre</c:v>
                </c:pt>
                <c:pt idx="12">
                  <c:v>Goiás</c:v>
                </c:pt>
                <c:pt idx="13">
                  <c:v>Mato Grosso do Sul</c:v>
                </c:pt>
                <c:pt idx="14">
                  <c:v>Mato Grosso</c:v>
                </c:pt>
                <c:pt idx="15">
                  <c:v>Paraná</c:v>
                </c:pt>
                <c:pt idx="16">
                  <c:v>Espírito Santo</c:v>
                </c:pt>
                <c:pt idx="17">
                  <c:v>Amapá</c:v>
                </c:pt>
                <c:pt idx="18">
                  <c:v>Pará</c:v>
                </c:pt>
                <c:pt idx="19">
                  <c:v>Pernambuco</c:v>
                </c:pt>
                <c:pt idx="20">
                  <c:v>Paraíba</c:v>
                </c:pt>
                <c:pt idx="21">
                  <c:v>Tocantins</c:v>
                </c:pt>
                <c:pt idx="22">
                  <c:v>Sergipe</c:v>
                </c:pt>
                <c:pt idx="23">
                  <c:v>Maranhão</c:v>
                </c:pt>
                <c:pt idx="24">
                  <c:v>Ceará</c:v>
                </c:pt>
                <c:pt idx="25">
                  <c:v>Alagoas</c:v>
                </c:pt>
                <c:pt idx="26">
                  <c:v>Piauí</c:v>
                </c:pt>
              </c:strCache>
            </c:strRef>
          </c:cat>
          <c:val>
            <c:numRef>
              <c:f>RELAÇ_ESTADOS!$C$3:$C$29</c:f>
              <c:numCache>
                <c:formatCode>#,##0.00</c:formatCode>
                <c:ptCount val="27"/>
                <c:pt idx="0">
                  <c:v>16.33236387056871</c:v>
                </c:pt>
                <c:pt idx="1">
                  <c:v>18.132603851075523</c:v>
                </c:pt>
                <c:pt idx="2">
                  <c:v>22.095344480230036</c:v>
                </c:pt>
                <c:pt idx="3">
                  <c:v>19.282154777551916</c:v>
                </c:pt>
                <c:pt idx="4">
                  <c:v>10.75631004931105</c:v>
                </c:pt>
                <c:pt idx="5">
                  <c:v>29.614003043443514</c:v>
                </c:pt>
                <c:pt idx="6">
                  <c:v>12.508966695132365</c:v>
                </c:pt>
                <c:pt idx="7">
                  <c:v>14.265739751683688</c:v>
                </c:pt>
                <c:pt idx="8">
                  <c:v>32.448728681417983</c:v>
                </c:pt>
                <c:pt idx="9">
                  <c:v>29.893451198940916</c:v>
                </c:pt>
                <c:pt idx="10">
                  <c:v>15.967384465934016</c:v>
                </c:pt>
                <c:pt idx="11">
                  <c:v>17.217207368964754</c:v>
                </c:pt>
                <c:pt idx="12">
                  <c:v>28.297550515430519</c:v>
                </c:pt>
                <c:pt idx="13">
                  <c:v>29.696469043231449</c:v>
                </c:pt>
                <c:pt idx="14">
                  <c:v>36.812166337689163</c:v>
                </c:pt>
                <c:pt idx="15">
                  <c:v>28.812785952161978</c:v>
                </c:pt>
                <c:pt idx="16">
                  <c:v>27.472732309481763</c:v>
                </c:pt>
                <c:pt idx="17">
                  <c:v>17.07609394724285</c:v>
                </c:pt>
                <c:pt idx="18">
                  <c:v>13.59163541151233</c:v>
                </c:pt>
                <c:pt idx="19">
                  <c:v>19.749570900846031</c:v>
                </c:pt>
                <c:pt idx="20">
                  <c:v>20.530754486659518</c:v>
                </c:pt>
                <c:pt idx="21">
                  <c:v>34.828023091753266</c:v>
                </c:pt>
                <c:pt idx="22">
                  <c:v>26.438850256590527</c:v>
                </c:pt>
                <c:pt idx="23">
                  <c:v>17.417632580930345</c:v>
                </c:pt>
                <c:pt idx="24">
                  <c:v>17.723962446257786</c:v>
                </c:pt>
                <c:pt idx="25">
                  <c:v>20.880193631319148</c:v>
                </c:pt>
                <c:pt idx="26">
                  <c:v>28.71074449535859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BF-4D9D-8E90-BFB1E33FFC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196736"/>
        <c:axId val="148214912"/>
      </c:lineChart>
      <c:catAx>
        <c:axId val="1481967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48214912"/>
        <c:crosses val="autoZero"/>
        <c:auto val="1"/>
        <c:lblAlgn val="ctr"/>
        <c:lblOffset val="100"/>
        <c:noMultiLvlLbl val="0"/>
      </c:catAx>
      <c:valAx>
        <c:axId val="1482149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</a:t>
                </a:r>
                <a:r>
                  <a:rPr lang="pt-BR" baseline="30000"/>
                  <a:t>9</a:t>
                </a:r>
                <a:r>
                  <a:rPr lang="pt-BR"/>
                  <a:t>km</a:t>
                </a:r>
                <a:r>
                  <a:rPr lang="pt-BR" baseline="0"/>
                  <a:t> ou PIB </a:t>
                </a:r>
                <a:r>
                  <a:rPr lang="pt-BR" i="1" baseline="0"/>
                  <a:t>per capta</a:t>
                </a:r>
                <a:r>
                  <a:rPr lang="pt-BR" baseline="0"/>
                  <a:t>/100</a:t>
                </a:r>
                <a:endParaRPr lang="pt-BR"/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148196736"/>
        <c:crosses val="autoZero"/>
        <c:crossBetween val="between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602" footer="0.31496062000000602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Relação</a:t>
            </a:r>
            <a:r>
              <a:rPr lang="pt-BR" baseline="0"/>
              <a:t> entre o índice de mortes/10</a:t>
            </a:r>
            <a:r>
              <a:rPr lang="pt-BR" baseline="30000"/>
              <a:t>9</a:t>
            </a:r>
            <a:r>
              <a:rPr lang="pt-BR" baseline="0"/>
              <a:t>km percorridos e o PIB </a:t>
            </a:r>
            <a:r>
              <a:rPr lang="pt-BR" i="1" baseline="0"/>
              <a:t>per capta </a:t>
            </a:r>
            <a:r>
              <a:rPr lang="pt-BR" baseline="0"/>
              <a:t>- 2005</a:t>
            </a:r>
            <a:endParaRPr lang="pt-BR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RELAÇ_ESTADOS!$I$2</c:f>
              <c:strCache>
                <c:ptCount val="1"/>
                <c:pt idx="0">
                  <c:v>Mortes/109km</c:v>
                </c:pt>
              </c:strCache>
            </c:strRef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ymbol val="circle"/>
            <c:size val="5"/>
            <c:spPr>
              <a:solidFill>
                <a:sysClr val="window" lastClr="FFFFFF"/>
              </a:solidFill>
              <a:ln>
                <a:solidFill>
                  <a:schemeClr val="tx1">
                    <a:lumMod val="65000"/>
                    <a:lumOff val="35000"/>
                  </a:schemeClr>
                </a:solidFill>
              </a:ln>
            </c:spPr>
          </c:marker>
          <c:cat>
            <c:strRef>
              <c:f>RELAÇ_ESTADOS!$P$3:$P$29</c:f>
              <c:strCache>
                <c:ptCount val="27"/>
                <c:pt idx="0">
                  <c:v>São Paulo</c:v>
                </c:pt>
                <c:pt idx="1">
                  <c:v>Rio Grande do Sul</c:v>
                </c:pt>
                <c:pt idx="2">
                  <c:v>Minas Gerais</c:v>
                </c:pt>
                <c:pt idx="3">
                  <c:v>Distrito Federal</c:v>
                </c:pt>
                <c:pt idx="4">
                  <c:v>Amazonas</c:v>
                </c:pt>
                <c:pt idx="5">
                  <c:v>Santa Catarina</c:v>
                </c:pt>
                <c:pt idx="6">
                  <c:v>Rio de Janeiro</c:v>
                </c:pt>
                <c:pt idx="7">
                  <c:v>Rondônia</c:v>
                </c:pt>
                <c:pt idx="8">
                  <c:v>Rio Grande do Norte</c:v>
                </c:pt>
                <c:pt idx="9">
                  <c:v>Mato Grosso</c:v>
                </c:pt>
                <c:pt idx="10">
                  <c:v>Paraná</c:v>
                </c:pt>
                <c:pt idx="11">
                  <c:v>Goiás</c:v>
                </c:pt>
                <c:pt idx="12">
                  <c:v>Acre</c:v>
                </c:pt>
                <c:pt idx="13">
                  <c:v>Amapá</c:v>
                </c:pt>
                <c:pt idx="14">
                  <c:v>Bahia</c:v>
                </c:pt>
                <c:pt idx="15">
                  <c:v>Espírito Santo</c:v>
                </c:pt>
                <c:pt idx="16">
                  <c:v>Mato Grosso do Sul</c:v>
                </c:pt>
                <c:pt idx="17">
                  <c:v>Tocantins</c:v>
                </c:pt>
                <c:pt idx="18">
                  <c:v>Sergipe</c:v>
                </c:pt>
                <c:pt idx="19">
                  <c:v>Pará</c:v>
                </c:pt>
                <c:pt idx="20">
                  <c:v>Pernambuco</c:v>
                </c:pt>
                <c:pt idx="21">
                  <c:v>Paraíba</c:v>
                </c:pt>
                <c:pt idx="22">
                  <c:v>Roraima</c:v>
                </c:pt>
                <c:pt idx="23">
                  <c:v>Ceará</c:v>
                </c:pt>
                <c:pt idx="24">
                  <c:v>Maranhão</c:v>
                </c:pt>
                <c:pt idx="25">
                  <c:v>Alagoas</c:v>
                </c:pt>
                <c:pt idx="26">
                  <c:v>Piauí</c:v>
                </c:pt>
              </c:strCache>
            </c:strRef>
          </c:cat>
          <c:val>
            <c:numRef>
              <c:f>RELAÇ_ESTADOS!$I$3:$I$29</c:f>
              <c:numCache>
                <c:formatCode>#,##0.00</c:formatCode>
                <c:ptCount val="27"/>
                <c:pt idx="0">
                  <c:v>32.553852908371979</c:v>
                </c:pt>
                <c:pt idx="1">
                  <c:v>42.888851929114416</c:v>
                </c:pt>
                <c:pt idx="2">
                  <c:v>49.921706065738178</c:v>
                </c:pt>
                <c:pt idx="3">
                  <c:v>45.092469199936886</c:v>
                </c:pt>
                <c:pt idx="4">
                  <c:v>50.246207503553158</c:v>
                </c:pt>
                <c:pt idx="5">
                  <c:v>48.170244558587974</c:v>
                </c:pt>
                <c:pt idx="6">
                  <c:v>52.428711649715972</c:v>
                </c:pt>
                <c:pt idx="7">
                  <c:v>67.090830837959714</c:v>
                </c:pt>
                <c:pt idx="8">
                  <c:v>65.515785446387611</c:v>
                </c:pt>
                <c:pt idx="9">
                  <c:v>64.340445896427383</c:v>
                </c:pt>
                <c:pt idx="10">
                  <c:v>65.451044350021931</c:v>
                </c:pt>
                <c:pt idx="11">
                  <c:v>61.354676118471417</c:v>
                </c:pt>
                <c:pt idx="12">
                  <c:v>57.145053874874257</c:v>
                </c:pt>
                <c:pt idx="13">
                  <c:v>53.251059702799004</c:v>
                </c:pt>
                <c:pt idx="14">
                  <c:v>74.121763185967197</c:v>
                </c:pt>
                <c:pt idx="15">
                  <c:v>82.510033291374668</c:v>
                </c:pt>
                <c:pt idx="16">
                  <c:v>60.9046418119527</c:v>
                </c:pt>
                <c:pt idx="17">
                  <c:v>75.006725529793059</c:v>
                </c:pt>
                <c:pt idx="18">
                  <c:v>101.86185844929328</c:v>
                </c:pt>
                <c:pt idx="19">
                  <c:v>74.73655490008268</c:v>
                </c:pt>
                <c:pt idx="20">
                  <c:v>85.228533013382815</c:v>
                </c:pt>
                <c:pt idx="21">
                  <c:v>81.628092778416672</c:v>
                </c:pt>
                <c:pt idx="22">
                  <c:v>70.133806089867534</c:v>
                </c:pt>
                <c:pt idx="23">
                  <c:v>98.185049616271556</c:v>
                </c:pt>
                <c:pt idx="24">
                  <c:v>103.55776849232811</c:v>
                </c:pt>
                <c:pt idx="25">
                  <c:v>127.11658016066335</c:v>
                </c:pt>
                <c:pt idx="26">
                  <c:v>123.78292293094962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5D-4B0F-B815-77BEC68152DF}"/>
            </c:ext>
          </c:extLst>
        </c:ser>
        <c:ser>
          <c:idx val="1"/>
          <c:order val="1"/>
          <c:tx>
            <c:strRef>
              <c:f>RELAÇ_ESTADOS!$S$2</c:f>
              <c:strCache>
                <c:ptCount val="1"/>
                <c:pt idx="0">
                  <c:v>Mortes/100mil hab</c:v>
                </c:pt>
              </c:strCache>
            </c:strRef>
          </c:tx>
          <c:spPr>
            <a:ln>
              <a:solidFill>
                <a:schemeClr val="accent1">
                  <a:lumMod val="5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bg1"/>
              </a:solidFill>
              <a:ln>
                <a:solidFill>
                  <a:schemeClr val="tx1">
                    <a:lumMod val="65000"/>
                    <a:lumOff val="35000"/>
                  </a:schemeClr>
                </a:solidFill>
              </a:ln>
            </c:spPr>
          </c:marker>
          <c:trendline>
            <c:trendlineType val="linear"/>
            <c:dispRSqr val="0"/>
            <c:dispEq val="0"/>
          </c:trendline>
          <c:cat>
            <c:strRef>
              <c:f>RELAÇ_ESTADOS!$P$3:$P$29</c:f>
              <c:strCache>
                <c:ptCount val="27"/>
                <c:pt idx="0">
                  <c:v>São Paulo</c:v>
                </c:pt>
                <c:pt idx="1">
                  <c:v>Rio Grande do Sul</c:v>
                </c:pt>
                <c:pt idx="2">
                  <c:v>Minas Gerais</c:v>
                </c:pt>
                <c:pt idx="3">
                  <c:v>Distrito Federal</c:v>
                </c:pt>
                <c:pt idx="4">
                  <c:v>Amazonas</c:v>
                </c:pt>
                <c:pt idx="5">
                  <c:v>Santa Catarina</c:v>
                </c:pt>
                <c:pt idx="6">
                  <c:v>Rio de Janeiro</c:v>
                </c:pt>
                <c:pt idx="7">
                  <c:v>Rondônia</c:v>
                </c:pt>
                <c:pt idx="8">
                  <c:v>Rio Grande do Norte</c:v>
                </c:pt>
                <c:pt idx="9">
                  <c:v>Mato Grosso</c:v>
                </c:pt>
                <c:pt idx="10">
                  <c:v>Paraná</c:v>
                </c:pt>
                <c:pt idx="11">
                  <c:v>Goiás</c:v>
                </c:pt>
                <c:pt idx="12">
                  <c:v>Acre</c:v>
                </c:pt>
                <c:pt idx="13">
                  <c:v>Amapá</c:v>
                </c:pt>
                <c:pt idx="14">
                  <c:v>Bahia</c:v>
                </c:pt>
                <c:pt idx="15">
                  <c:v>Espírito Santo</c:v>
                </c:pt>
                <c:pt idx="16">
                  <c:v>Mato Grosso do Sul</c:v>
                </c:pt>
                <c:pt idx="17">
                  <c:v>Tocantins</c:v>
                </c:pt>
                <c:pt idx="18">
                  <c:v>Sergipe</c:v>
                </c:pt>
                <c:pt idx="19">
                  <c:v>Pará</c:v>
                </c:pt>
                <c:pt idx="20">
                  <c:v>Pernambuco</c:v>
                </c:pt>
                <c:pt idx="21">
                  <c:v>Paraíba</c:v>
                </c:pt>
                <c:pt idx="22">
                  <c:v>Roraima</c:v>
                </c:pt>
                <c:pt idx="23">
                  <c:v>Ceará</c:v>
                </c:pt>
                <c:pt idx="24">
                  <c:v>Maranhão</c:v>
                </c:pt>
                <c:pt idx="25">
                  <c:v>Alagoas</c:v>
                </c:pt>
                <c:pt idx="26">
                  <c:v>Piauí</c:v>
                </c:pt>
              </c:strCache>
            </c:strRef>
          </c:cat>
          <c:val>
            <c:numRef>
              <c:f>RELAÇ_ESTADOS!$S$3:$S$29</c:f>
              <c:numCache>
                <c:formatCode>#,##0.00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5D-4B0F-B815-77BEC68152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241408"/>
        <c:axId val="148312832"/>
      </c:lineChart>
      <c:catAx>
        <c:axId val="1482414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48312832"/>
        <c:crosses val="autoZero"/>
        <c:auto val="1"/>
        <c:lblAlgn val="ctr"/>
        <c:lblOffset val="100"/>
        <c:noMultiLvlLbl val="0"/>
      </c:catAx>
      <c:valAx>
        <c:axId val="14831283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</a:t>
                </a:r>
                <a:r>
                  <a:rPr lang="pt-BR" baseline="30000"/>
                  <a:t>9</a:t>
                </a:r>
                <a:r>
                  <a:rPr lang="pt-BR"/>
                  <a:t>km</a:t>
                </a:r>
                <a:r>
                  <a:rPr lang="pt-BR" baseline="0"/>
                  <a:t> ou PIB </a:t>
                </a:r>
                <a:r>
                  <a:rPr lang="pt-BR" i="1" baseline="0"/>
                  <a:t>per capta</a:t>
                </a:r>
                <a:r>
                  <a:rPr lang="pt-BR" baseline="0"/>
                  <a:t>/100</a:t>
                </a:r>
                <a:endParaRPr lang="pt-BR"/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148241408"/>
        <c:crosses val="autoZero"/>
        <c:crossBetween val="between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602" footer="0.31496062000000602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Relação</a:t>
            </a:r>
            <a:r>
              <a:rPr lang="pt-BR" baseline="0"/>
              <a:t> entre o índice de mortes/10</a:t>
            </a:r>
            <a:r>
              <a:rPr lang="pt-BR" baseline="30000"/>
              <a:t>9</a:t>
            </a:r>
            <a:r>
              <a:rPr lang="pt-BR" baseline="0"/>
              <a:t>km percorridos e o PIB </a:t>
            </a:r>
            <a:r>
              <a:rPr lang="pt-BR" i="1" baseline="0"/>
              <a:t>per capta</a:t>
            </a:r>
            <a:r>
              <a:rPr lang="pt-BR" baseline="0"/>
              <a:t> - 2006</a:t>
            </a:r>
            <a:endParaRPr lang="pt-BR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RELAÇ_ESTADOS!$Q$2</c:f>
              <c:strCache>
                <c:ptCount val="1"/>
                <c:pt idx="0">
                  <c:v>Mortes/109km</c:v>
                </c:pt>
              </c:strCache>
            </c:strRef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ymbol val="circle"/>
            <c:size val="5"/>
            <c:spPr>
              <a:solidFill>
                <a:sysClr val="window" lastClr="FFFFFF"/>
              </a:solidFill>
              <a:ln>
                <a:solidFill>
                  <a:schemeClr val="tx1">
                    <a:lumMod val="65000"/>
                    <a:lumOff val="35000"/>
                  </a:schemeClr>
                </a:solidFill>
              </a:ln>
            </c:spPr>
          </c:marker>
          <c:cat>
            <c:strRef>
              <c:f>RELAÇ_ESTADOS!$X$3:$X$29</c:f>
              <c:strCache>
                <c:ptCount val="27"/>
                <c:pt idx="0">
                  <c:v>São Paulo</c:v>
                </c:pt>
                <c:pt idx="1">
                  <c:v>Distrito Federal</c:v>
                </c:pt>
                <c:pt idx="2">
                  <c:v>Rio Grande do Sul</c:v>
                </c:pt>
                <c:pt idx="3">
                  <c:v>Minas Gerais</c:v>
                </c:pt>
                <c:pt idx="4">
                  <c:v>Acre</c:v>
                </c:pt>
                <c:pt idx="5">
                  <c:v>Santa Catarina</c:v>
                </c:pt>
                <c:pt idx="6">
                  <c:v>Amazonas</c:v>
                </c:pt>
                <c:pt idx="7">
                  <c:v>Goiás</c:v>
                </c:pt>
                <c:pt idx="8">
                  <c:v>Rondônia</c:v>
                </c:pt>
                <c:pt idx="9">
                  <c:v>Rio de Janeiro</c:v>
                </c:pt>
                <c:pt idx="10">
                  <c:v>Rio Grande do Norte</c:v>
                </c:pt>
                <c:pt idx="11">
                  <c:v>Bahia</c:v>
                </c:pt>
                <c:pt idx="12">
                  <c:v>Paraná</c:v>
                </c:pt>
                <c:pt idx="13">
                  <c:v>Mato Grosso</c:v>
                </c:pt>
                <c:pt idx="14">
                  <c:v>Amapá</c:v>
                </c:pt>
                <c:pt idx="15">
                  <c:v>Mato Grosso do Sul</c:v>
                </c:pt>
                <c:pt idx="16">
                  <c:v>Espírito Santo</c:v>
                </c:pt>
                <c:pt idx="17">
                  <c:v>Tocantins</c:v>
                </c:pt>
                <c:pt idx="18">
                  <c:v>Sergipe</c:v>
                </c:pt>
                <c:pt idx="19">
                  <c:v>Pernambuco</c:v>
                </c:pt>
                <c:pt idx="20">
                  <c:v>Pará</c:v>
                </c:pt>
                <c:pt idx="21">
                  <c:v>Paraíba</c:v>
                </c:pt>
                <c:pt idx="22">
                  <c:v>Roraima</c:v>
                </c:pt>
                <c:pt idx="23">
                  <c:v>Maranhão</c:v>
                </c:pt>
                <c:pt idx="24">
                  <c:v>Ceará</c:v>
                </c:pt>
                <c:pt idx="25">
                  <c:v>Alagoas</c:v>
                </c:pt>
                <c:pt idx="26">
                  <c:v>Piauí</c:v>
                </c:pt>
              </c:strCache>
            </c:strRef>
          </c:cat>
          <c:val>
            <c:numRef>
              <c:f>RELAÇ_ESTADOS!$Q$3:$Q$29</c:f>
              <c:numCache>
                <c:formatCode>#,##0.00</c:formatCode>
                <c:ptCount val="27"/>
                <c:pt idx="0">
                  <c:v>31.126948388559306</c:v>
                </c:pt>
                <c:pt idx="1">
                  <c:v>42.459912832063367</c:v>
                </c:pt>
                <c:pt idx="2">
                  <c:v>38.20562875544433</c:v>
                </c:pt>
                <c:pt idx="3">
                  <c:v>49.052265221226712</c:v>
                </c:pt>
                <c:pt idx="4">
                  <c:v>61.622473869153353</c:v>
                </c:pt>
                <c:pt idx="5">
                  <c:v>49.044680391400462</c:v>
                </c:pt>
                <c:pt idx="6">
                  <c:v>48.416360821514147</c:v>
                </c:pt>
                <c:pt idx="7">
                  <c:v>54.15946940233912</c:v>
                </c:pt>
                <c:pt idx="8">
                  <c:v>61.441338634516249</c:v>
                </c:pt>
                <c:pt idx="9">
                  <c:v>45.881403193876267</c:v>
                </c:pt>
                <c:pt idx="10">
                  <c:v>53.289581884030049</c:v>
                </c:pt>
                <c:pt idx="11">
                  <c:v>67.85183092614858</c:v>
                </c:pt>
                <c:pt idx="12">
                  <c:v>59.251472325955625</c:v>
                </c:pt>
                <c:pt idx="13">
                  <c:v>56.880851212351189</c:v>
                </c:pt>
                <c:pt idx="14">
                  <c:v>58.911619379056383</c:v>
                </c:pt>
                <c:pt idx="15">
                  <c:v>60.212796120635311</c:v>
                </c:pt>
                <c:pt idx="16">
                  <c:v>75.588369172687365</c:v>
                </c:pt>
                <c:pt idx="17">
                  <c:v>71.257133699634267</c:v>
                </c:pt>
                <c:pt idx="18">
                  <c:v>88.055675302305247</c:v>
                </c:pt>
                <c:pt idx="19">
                  <c:v>77.029086975493371</c:v>
                </c:pt>
                <c:pt idx="20">
                  <c:v>66.770543810762803</c:v>
                </c:pt>
                <c:pt idx="21">
                  <c:v>69.93364373091697</c:v>
                </c:pt>
                <c:pt idx="22">
                  <c:v>68.261468448644123</c:v>
                </c:pt>
                <c:pt idx="23">
                  <c:v>103.61290461588878</c:v>
                </c:pt>
                <c:pt idx="24">
                  <c:v>89.890178268564256</c:v>
                </c:pt>
                <c:pt idx="25">
                  <c:v>120.9491222124268</c:v>
                </c:pt>
                <c:pt idx="26">
                  <c:v>120.23241906125917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53-4AF9-894B-406E0778E095}"/>
            </c:ext>
          </c:extLst>
        </c:ser>
        <c:ser>
          <c:idx val="1"/>
          <c:order val="1"/>
          <c:tx>
            <c:strRef>
              <c:f>RELAÇ_ESTADOS!$S$2</c:f>
              <c:strCache>
                <c:ptCount val="1"/>
                <c:pt idx="0">
                  <c:v>Mortes/100mil hab</c:v>
                </c:pt>
              </c:strCache>
            </c:strRef>
          </c:tx>
          <c:spPr>
            <a:ln>
              <a:solidFill>
                <a:schemeClr val="accent1">
                  <a:lumMod val="5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bg1"/>
              </a:solidFill>
              <a:ln>
                <a:solidFill>
                  <a:schemeClr val="tx1">
                    <a:lumMod val="65000"/>
                    <a:lumOff val="35000"/>
                  </a:schemeClr>
                </a:solidFill>
              </a:ln>
            </c:spPr>
          </c:marker>
          <c:trendline>
            <c:trendlineType val="linear"/>
            <c:dispRSqr val="0"/>
            <c:dispEq val="0"/>
          </c:trendline>
          <c:cat>
            <c:strRef>
              <c:f>RELAÇ_ESTADOS!$X$3:$X$29</c:f>
              <c:strCache>
                <c:ptCount val="27"/>
                <c:pt idx="0">
                  <c:v>São Paulo</c:v>
                </c:pt>
                <c:pt idx="1">
                  <c:v>Distrito Federal</c:v>
                </c:pt>
                <c:pt idx="2">
                  <c:v>Rio Grande do Sul</c:v>
                </c:pt>
                <c:pt idx="3">
                  <c:v>Minas Gerais</c:v>
                </c:pt>
                <c:pt idx="4">
                  <c:v>Acre</c:v>
                </c:pt>
                <c:pt idx="5">
                  <c:v>Santa Catarina</c:v>
                </c:pt>
                <c:pt idx="6">
                  <c:v>Amazonas</c:v>
                </c:pt>
                <c:pt idx="7">
                  <c:v>Goiás</c:v>
                </c:pt>
                <c:pt idx="8">
                  <c:v>Rondônia</c:v>
                </c:pt>
                <c:pt idx="9">
                  <c:v>Rio de Janeiro</c:v>
                </c:pt>
                <c:pt idx="10">
                  <c:v>Rio Grande do Norte</c:v>
                </c:pt>
                <c:pt idx="11">
                  <c:v>Bahia</c:v>
                </c:pt>
                <c:pt idx="12">
                  <c:v>Paraná</c:v>
                </c:pt>
                <c:pt idx="13">
                  <c:v>Mato Grosso</c:v>
                </c:pt>
                <c:pt idx="14">
                  <c:v>Amapá</c:v>
                </c:pt>
                <c:pt idx="15">
                  <c:v>Mato Grosso do Sul</c:v>
                </c:pt>
                <c:pt idx="16">
                  <c:v>Espírito Santo</c:v>
                </c:pt>
                <c:pt idx="17">
                  <c:v>Tocantins</c:v>
                </c:pt>
                <c:pt idx="18">
                  <c:v>Sergipe</c:v>
                </c:pt>
                <c:pt idx="19">
                  <c:v>Pernambuco</c:v>
                </c:pt>
                <c:pt idx="20">
                  <c:v>Pará</c:v>
                </c:pt>
                <c:pt idx="21">
                  <c:v>Paraíba</c:v>
                </c:pt>
                <c:pt idx="22">
                  <c:v>Roraima</c:v>
                </c:pt>
                <c:pt idx="23">
                  <c:v>Maranhão</c:v>
                </c:pt>
                <c:pt idx="24">
                  <c:v>Ceará</c:v>
                </c:pt>
                <c:pt idx="25">
                  <c:v>Alagoas</c:v>
                </c:pt>
                <c:pt idx="26">
                  <c:v>Piauí</c:v>
                </c:pt>
              </c:strCache>
            </c:strRef>
          </c:cat>
          <c:val>
            <c:numRef>
              <c:f>RELAÇ_ESTADOS!$S$3:$S$29</c:f>
              <c:numCache>
                <c:formatCode>#,##0.00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53-4AF9-894B-406E0778E0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359808"/>
        <c:axId val="148369792"/>
      </c:lineChart>
      <c:catAx>
        <c:axId val="1483598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48369792"/>
        <c:crosses val="autoZero"/>
        <c:auto val="1"/>
        <c:lblAlgn val="ctr"/>
        <c:lblOffset val="100"/>
        <c:noMultiLvlLbl val="0"/>
      </c:catAx>
      <c:valAx>
        <c:axId val="1483697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</a:t>
                </a:r>
                <a:r>
                  <a:rPr lang="pt-BR" baseline="30000"/>
                  <a:t>9</a:t>
                </a:r>
                <a:r>
                  <a:rPr lang="pt-BR"/>
                  <a:t>km</a:t>
                </a:r>
                <a:r>
                  <a:rPr lang="pt-BR" baseline="0"/>
                  <a:t> ou PIB </a:t>
                </a:r>
                <a:r>
                  <a:rPr lang="pt-BR" i="1" baseline="0"/>
                  <a:t>per capta</a:t>
                </a:r>
                <a:r>
                  <a:rPr lang="pt-BR" baseline="0"/>
                  <a:t>/100</a:t>
                </a:r>
                <a:endParaRPr lang="pt-BR"/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148359808"/>
        <c:crosses val="autoZero"/>
        <c:crossBetween val="between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602" footer="0.31496062000000602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Relação</a:t>
            </a:r>
            <a:r>
              <a:rPr lang="pt-BR" baseline="0"/>
              <a:t> entre o índice de mortes/10</a:t>
            </a:r>
            <a:r>
              <a:rPr lang="pt-BR" baseline="30000"/>
              <a:t>9</a:t>
            </a:r>
            <a:r>
              <a:rPr lang="pt-BR" baseline="0"/>
              <a:t>km percorridos e o PIB </a:t>
            </a:r>
            <a:r>
              <a:rPr lang="pt-BR" i="1" baseline="0"/>
              <a:t>per capta </a:t>
            </a:r>
            <a:r>
              <a:rPr lang="pt-BR" baseline="0"/>
              <a:t>- 2007</a:t>
            </a:r>
            <a:endParaRPr lang="pt-BR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RELAÇ_ESTADOS!$Y$2</c:f>
              <c:strCache>
                <c:ptCount val="1"/>
                <c:pt idx="0">
                  <c:v>Mortes/109km</c:v>
                </c:pt>
              </c:strCache>
            </c:strRef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ymbol val="circle"/>
            <c:size val="5"/>
            <c:spPr>
              <a:solidFill>
                <a:sysClr val="window" lastClr="FFFFFF"/>
              </a:solidFill>
              <a:ln>
                <a:solidFill>
                  <a:schemeClr val="tx1">
                    <a:lumMod val="65000"/>
                    <a:lumOff val="35000"/>
                  </a:schemeClr>
                </a:solidFill>
              </a:ln>
            </c:spPr>
          </c:marker>
          <c:cat>
            <c:strRef>
              <c:f>RELAÇ_ESTADOS!$AF$3:$AF$29</c:f>
              <c:strCache>
                <c:ptCount val="27"/>
                <c:pt idx="0">
                  <c:v>São Paulo</c:v>
                </c:pt>
                <c:pt idx="1">
                  <c:v>Rio Grande do Sul</c:v>
                </c:pt>
                <c:pt idx="2">
                  <c:v>Amazonas</c:v>
                </c:pt>
                <c:pt idx="3">
                  <c:v>Minas Gerais</c:v>
                </c:pt>
                <c:pt idx="4">
                  <c:v>Distrito Federal</c:v>
                </c:pt>
                <c:pt idx="5">
                  <c:v>Rio de Janeiro</c:v>
                </c:pt>
                <c:pt idx="6">
                  <c:v>Rondônia</c:v>
                </c:pt>
                <c:pt idx="7">
                  <c:v>Santa Catarina</c:v>
                </c:pt>
                <c:pt idx="8">
                  <c:v>Rio Grande do Norte</c:v>
                </c:pt>
                <c:pt idx="9">
                  <c:v>Goiás</c:v>
                </c:pt>
                <c:pt idx="10">
                  <c:v>Amapá</c:v>
                </c:pt>
                <c:pt idx="11">
                  <c:v>Acre</c:v>
                </c:pt>
                <c:pt idx="12">
                  <c:v>Mato Grosso do Sul</c:v>
                </c:pt>
                <c:pt idx="13">
                  <c:v>Paraná</c:v>
                </c:pt>
                <c:pt idx="14">
                  <c:v>Bahia</c:v>
                </c:pt>
                <c:pt idx="15">
                  <c:v>Mato Grosso</c:v>
                </c:pt>
                <c:pt idx="16">
                  <c:v>Pará</c:v>
                </c:pt>
                <c:pt idx="17">
                  <c:v>Tocantins</c:v>
                </c:pt>
                <c:pt idx="18">
                  <c:v>Espírito Santo</c:v>
                </c:pt>
                <c:pt idx="19">
                  <c:v>Pernambuco</c:v>
                </c:pt>
                <c:pt idx="20">
                  <c:v>Paraíba</c:v>
                </c:pt>
                <c:pt idx="21">
                  <c:v>Sergipe</c:v>
                </c:pt>
                <c:pt idx="22">
                  <c:v>Ceará</c:v>
                </c:pt>
                <c:pt idx="23">
                  <c:v>Roraima</c:v>
                </c:pt>
                <c:pt idx="24">
                  <c:v>Maranhão</c:v>
                </c:pt>
                <c:pt idx="25">
                  <c:v>Alagoas</c:v>
                </c:pt>
                <c:pt idx="26">
                  <c:v>Piauí</c:v>
                </c:pt>
              </c:strCache>
            </c:strRef>
          </c:cat>
          <c:val>
            <c:numRef>
              <c:f>RELAÇ_ESTADOS!$Y$3:$Y$29</c:f>
              <c:numCache>
                <c:formatCode>#,##0.00</c:formatCode>
                <c:ptCount val="27"/>
                <c:pt idx="0">
                  <c:v>28.340955767166871</c:v>
                </c:pt>
                <c:pt idx="1">
                  <c:v>36.20662324196671</c:v>
                </c:pt>
                <c:pt idx="2">
                  <c:v>41.04470859312552</c:v>
                </c:pt>
                <c:pt idx="3">
                  <c:v>45.223968131741927</c:v>
                </c:pt>
                <c:pt idx="4">
                  <c:v>34.567971751398204</c:v>
                </c:pt>
                <c:pt idx="5">
                  <c:v>48.681519992994154</c:v>
                </c:pt>
                <c:pt idx="6">
                  <c:v>66.226425876853952</c:v>
                </c:pt>
                <c:pt idx="7">
                  <c:v>43.807245783993459</c:v>
                </c:pt>
                <c:pt idx="8">
                  <c:v>47.759013413159124</c:v>
                </c:pt>
                <c:pt idx="9">
                  <c:v>53.540938598303377</c:v>
                </c:pt>
                <c:pt idx="10">
                  <c:v>39.912310749223145</c:v>
                </c:pt>
                <c:pt idx="11">
                  <c:v>50.528436004315623</c:v>
                </c:pt>
                <c:pt idx="12">
                  <c:v>51.534074919171474</c:v>
                </c:pt>
                <c:pt idx="13">
                  <c:v>57.755266806049733</c:v>
                </c:pt>
                <c:pt idx="14">
                  <c:v>65.777244631779013</c:v>
                </c:pt>
                <c:pt idx="15">
                  <c:v>51.075241159273041</c:v>
                </c:pt>
                <c:pt idx="16">
                  <c:v>64.273818260982523</c:v>
                </c:pt>
                <c:pt idx="17">
                  <c:v>64.881143222824164</c:v>
                </c:pt>
                <c:pt idx="18">
                  <c:v>69.360389861280126</c:v>
                </c:pt>
                <c:pt idx="19">
                  <c:v>70.990937874127255</c:v>
                </c:pt>
                <c:pt idx="20">
                  <c:v>77.18054836496546</c:v>
                </c:pt>
                <c:pt idx="21">
                  <c:v>87.607658078562764</c:v>
                </c:pt>
                <c:pt idx="22">
                  <c:v>92.362812529116027</c:v>
                </c:pt>
                <c:pt idx="23">
                  <c:v>69.357024764846102</c:v>
                </c:pt>
                <c:pt idx="24">
                  <c:v>98.600961169252656</c:v>
                </c:pt>
                <c:pt idx="25">
                  <c:v>105.82312268814296</c:v>
                </c:pt>
                <c:pt idx="26">
                  <c:v>108.73951542278395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3A-4CD2-99D5-1D9841D7A991}"/>
            </c:ext>
          </c:extLst>
        </c:ser>
        <c:ser>
          <c:idx val="1"/>
          <c:order val="1"/>
          <c:tx>
            <c:strRef>
              <c:f>RELAÇ_ESTADOS!$AA$2</c:f>
              <c:strCache>
                <c:ptCount val="1"/>
                <c:pt idx="0">
                  <c:v>Mortes/100mil hab</c:v>
                </c:pt>
              </c:strCache>
            </c:strRef>
          </c:tx>
          <c:spPr>
            <a:ln>
              <a:solidFill>
                <a:schemeClr val="accent1">
                  <a:lumMod val="5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bg1"/>
              </a:solidFill>
              <a:ln>
                <a:solidFill>
                  <a:schemeClr val="tx1">
                    <a:lumMod val="65000"/>
                    <a:lumOff val="35000"/>
                  </a:schemeClr>
                </a:solidFill>
              </a:ln>
            </c:spPr>
          </c:marker>
          <c:trendline>
            <c:trendlineType val="linear"/>
            <c:dispRSqr val="0"/>
            <c:dispEq val="0"/>
          </c:trendline>
          <c:cat>
            <c:strRef>
              <c:f>RELAÇ_ESTADOS!$AF$3:$AF$29</c:f>
              <c:strCache>
                <c:ptCount val="27"/>
                <c:pt idx="0">
                  <c:v>São Paulo</c:v>
                </c:pt>
                <c:pt idx="1">
                  <c:v>Rio Grande do Sul</c:v>
                </c:pt>
                <c:pt idx="2">
                  <c:v>Amazonas</c:v>
                </c:pt>
                <c:pt idx="3">
                  <c:v>Minas Gerais</c:v>
                </c:pt>
                <c:pt idx="4">
                  <c:v>Distrito Federal</c:v>
                </c:pt>
                <c:pt idx="5">
                  <c:v>Rio de Janeiro</c:v>
                </c:pt>
                <c:pt idx="6">
                  <c:v>Rondônia</c:v>
                </c:pt>
                <c:pt idx="7">
                  <c:v>Santa Catarina</c:v>
                </c:pt>
                <c:pt idx="8">
                  <c:v>Rio Grande do Norte</c:v>
                </c:pt>
                <c:pt idx="9">
                  <c:v>Goiás</c:v>
                </c:pt>
                <c:pt idx="10">
                  <c:v>Amapá</c:v>
                </c:pt>
                <c:pt idx="11">
                  <c:v>Acre</c:v>
                </c:pt>
                <c:pt idx="12">
                  <c:v>Mato Grosso do Sul</c:v>
                </c:pt>
                <c:pt idx="13">
                  <c:v>Paraná</c:v>
                </c:pt>
                <c:pt idx="14">
                  <c:v>Bahia</c:v>
                </c:pt>
                <c:pt idx="15">
                  <c:v>Mato Grosso</c:v>
                </c:pt>
                <c:pt idx="16">
                  <c:v>Pará</c:v>
                </c:pt>
                <c:pt idx="17">
                  <c:v>Tocantins</c:v>
                </c:pt>
                <c:pt idx="18">
                  <c:v>Espírito Santo</c:v>
                </c:pt>
                <c:pt idx="19">
                  <c:v>Pernambuco</c:v>
                </c:pt>
                <c:pt idx="20">
                  <c:v>Paraíba</c:v>
                </c:pt>
                <c:pt idx="21">
                  <c:v>Sergipe</c:v>
                </c:pt>
                <c:pt idx="22">
                  <c:v>Ceará</c:v>
                </c:pt>
                <c:pt idx="23">
                  <c:v>Roraima</c:v>
                </c:pt>
                <c:pt idx="24">
                  <c:v>Maranhão</c:v>
                </c:pt>
                <c:pt idx="25">
                  <c:v>Alagoas</c:v>
                </c:pt>
                <c:pt idx="26">
                  <c:v>Piauí</c:v>
                </c:pt>
              </c:strCache>
            </c:strRef>
          </c:cat>
          <c:val>
            <c:numRef>
              <c:f>RELAÇ_ESTADOS!$AA$3:$AA$29</c:f>
              <c:numCache>
                <c:formatCode>#,##0.00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3A-4CD2-99D5-1D9841D7A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408192"/>
        <c:axId val="148409728"/>
      </c:lineChart>
      <c:catAx>
        <c:axId val="14840819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48409728"/>
        <c:crosses val="autoZero"/>
        <c:auto val="1"/>
        <c:lblAlgn val="ctr"/>
        <c:lblOffset val="100"/>
        <c:noMultiLvlLbl val="0"/>
      </c:catAx>
      <c:valAx>
        <c:axId val="14840972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</a:t>
                </a:r>
                <a:r>
                  <a:rPr lang="pt-BR" baseline="30000"/>
                  <a:t>9</a:t>
                </a:r>
                <a:r>
                  <a:rPr lang="pt-BR"/>
                  <a:t>km</a:t>
                </a:r>
                <a:r>
                  <a:rPr lang="pt-BR" baseline="0"/>
                  <a:t> ou PIB </a:t>
                </a:r>
                <a:r>
                  <a:rPr lang="pt-BR" i="1" baseline="0"/>
                  <a:t>per capta</a:t>
                </a:r>
                <a:r>
                  <a:rPr lang="pt-BR" baseline="0"/>
                  <a:t>/100</a:t>
                </a:r>
                <a:endParaRPr lang="pt-BR"/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148408192"/>
        <c:crosses val="autoZero"/>
        <c:crossBetween val="between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702" footer="0.31496062000000702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Relação</a:t>
            </a:r>
            <a:r>
              <a:rPr lang="pt-BR" baseline="0"/>
              <a:t> entre o índice de mortes/10</a:t>
            </a:r>
            <a:r>
              <a:rPr lang="pt-BR" baseline="30000"/>
              <a:t>9</a:t>
            </a:r>
            <a:r>
              <a:rPr lang="pt-BR" baseline="0"/>
              <a:t>km percorridos e o PIB </a:t>
            </a:r>
            <a:r>
              <a:rPr lang="pt-BR" i="1" baseline="0"/>
              <a:t>per capta</a:t>
            </a:r>
            <a:r>
              <a:rPr lang="pt-BR" baseline="0"/>
              <a:t> - 2008</a:t>
            </a:r>
            <a:endParaRPr lang="pt-BR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RELAÇ_ESTADOS!$AG$2</c:f>
              <c:strCache>
                <c:ptCount val="1"/>
                <c:pt idx="0">
                  <c:v>Mortes/109km</c:v>
                </c:pt>
              </c:strCache>
            </c:strRef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ymbol val="circle"/>
            <c:size val="5"/>
            <c:spPr>
              <a:solidFill>
                <a:sysClr val="window" lastClr="FFFFFF"/>
              </a:solidFill>
              <a:ln>
                <a:solidFill>
                  <a:schemeClr val="tx1">
                    <a:lumMod val="65000"/>
                    <a:lumOff val="35000"/>
                  </a:schemeClr>
                </a:solidFill>
              </a:ln>
            </c:spPr>
          </c:marker>
          <c:cat>
            <c:strRef>
              <c:f>RELAÇ_ESTADOS!$AN$3:$AN$29</c:f>
              <c:strCache>
                <c:ptCount val="27"/>
                <c:pt idx="0">
                  <c:v>São Paulo</c:v>
                </c:pt>
                <c:pt idx="1">
                  <c:v>Rio de Janeiro</c:v>
                </c:pt>
                <c:pt idx="2">
                  <c:v>Amapá</c:v>
                </c:pt>
                <c:pt idx="3">
                  <c:v>Amazonas</c:v>
                </c:pt>
                <c:pt idx="4">
                  <c:v>Rio Grande do Sul</c:v>
                </c:pt>
                <c:pt idx="5">
                  <c:v>Distrito Federal</c:v>
                </c:pt>
                <c:pt idx="6">
                  <c:v>Minas Gerais</c:v>
                </c:pt>
                <c:pt idx="7">
                  <c:v>Rio Grande do Norte</c:v>
                </c:pt>
                <c:pt idx="8">
                  <c:v>Goiás</c:v>
                </c:pt>
                <c:pt idx="9">
                  <c:v>Rondônia</c:v>
                </c:pt>
                <c:pt idx="10">
                  <c:v>Santa Catarina</c:v>
                </c:pt>
                <c:pt idx="11">
                  <c:v>Acre</c:v>
                </c:pt>
                <c:pt idx="12">
                  <c:v>Bahia</c:v>
                </c:pt>
                <c:pt idx="13">
                  <c:v>Paraná</c:v>
                </c:pt>
                <c:pt idx="14">
                  <c:v>Mato Grosso do Sul</c:v>
                </c:pt>
                <c:pt idx="15">
                  <c:v>Mato Grosso</c:v>
                </c:pt>
                <c:pt idx="16">
                  <c:v>Pernambuco</c:v>
                </c:pt>
                <c:pt idx="17">
                  <c:v>Tocantins</c:v>
                </c:pt>
                <c:pt idx="18">
                  <c:v>Pará</c:v>
                </c:pt>
                <c:pt idx="19">
                  <c:v>Espírito Santo</c:v>
                </c:pt>
                <c:pt idx="20">
                  <c:v>Roraima</c:v>
                </c:pt>
                <c:pt idx="21">
                  <c:v>Sergipe</c:v>
                </c:pt>
                <c:pt idx="22">
                  <c:v>Paraíba</c:v>
                </c:pt>
                <c:pt idx="23">
                  <c:v>Ceará</c:v>
                </c:pt>
                <c:pt idx="24">
                  <c:v>Maranhão</c:v>
                </c:pt>
                <c:pt idx="25">
                  <c:v>Alagoas</c:v>
                </c:pt>
                <c:pt idx="26">
                  <c:v>Piauí</c:v>
                </c:pt>
              </c:strCache>
            </c:strRef>
          </c:cat>
          <c:val>
            <c:numRef>
              <c:f>RELAÇ_ESTADOS!$AG$3:$AG$29</c:f>
              <c:numCache>
                <c:formatCode>#,##0.00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C5-4F17-A11A-3A5CE3A6CB51}"/>
            </c:ext>
          </c:extLst>
        </c:ser>
        <c:ser>
          <c:idx val="1"/>
          <c:order val="1"/>
          <c:tx>
            <c:strRef>
              <c:f>RELAÇ_ESTADOS!$AI$2</c:f>
              <c:strCache>
                <c:ptCount val="1"/>
                <c:pt idx="0">
                  <c:v>Mortes/100mil hab</c:v>
                </c:pt>
              </c:strCache>
            </c:strRef>
          </c:tx>
          <c:spPr>
            <a:ln>
              <a:solidFill>
                <a:schemeClr val="accent1">
                  <a:lumMod val="50000"/>
                </a:schemeClr>
              </a:solidFill>
            </a:ln>
          </c:spPr>
          <c:marker>
            <c:symbol val="triangle"/>
            <c:size val="5"/>
            <c:spPr>
              <a:solidFill>
                <a:schemeClr val="bg1"/>
              </a:solidFill>
              <a:ln>
                <a:solidFill>
                  <a:schemeClr val="tx1">
                    <a:lumMod val="65000"/>
                    <a:lumOff val="35000"/>
                  </a:schemeClr>
                </a:solidFill>
              </a:ln>
            </c:spPr>
          </c:marker>
          <c:trendline>
            <c:trendlineType val="linear"/>
            <c:dispRSqr val="0"/>
            <c:dispEq val="0"/>
          </c:trendline>
          <c:cat>
            <c:strRef>
              <c:f>RELAÇ_ESTADOS!$AN$3:$AN$29</c:f>
              <c:strCache>
                <c:ptCount val="27"/>
                <c:pt idx="0">
                  <c:v>São Paulo</c:v>
                </c:pt>
                <c:pt idx="1">
                  <c:v>Rio de Janeiro</c:v>
                </c:pt>
                <c:pt idx="2">
                  <c:v>Amapá</c:v>
                </c:pt>
                <c:pt idx="3">
                  <c:v>Amazonas</c:v>
                </c:pt>
                <c:pt idx="4">
                  <c:v>Rio Grande do Sul</c:v>
                </c:pt>
                <c:pt idx="5">
                  <c:v>Distrito Federal</c:v>
                </c:pt>
                <c:pt idx="6">
                  <c:v>Minas Gerais</c:v>
                </c:pt>
                <c:pt idx="7">
                  <c:v>Rio Grande do Norte</c:v>
                </c:pt>
                <c:pt idx="8">
                  <c:v>Goiás</c:v>
                </c:pt>
                <c:pt idx="9">
                  <c:v>Rondônia</c:v>
                </c:pt>
                <c:pt idx="10">
                  <c:v>Santa Catarina</c:v>
                </c:pt>
                <c:pt idx="11">
                  <c:v>Acre</c:v>
                </c:pt>
                <c:pt idx="12">
                  <c:v>Bahia</c:v>
                </c:pt>
                <c:pt idx="13">
                  <c:v>Paraná</c:v>
                </c:pt>
                <c:pt idx="14">
                  <c:v>Mato Grosso do Sul</c:v>
                </c:pt>
                <c:pt idx="15">
                  <c:v>Mato Grosso</c:v>
                </c:pt>
                <c:pt idx="16">
                  <c:v>Pernambuco</c:v>
                </c:pt>
                <c:pt idx="17">
                  <c:v>Tocantins</c:v>
                </c:pt>
                <c:pt idx="18">
                  <c:v>Pará</c:v>
                </c:pt>
                <c:pt idx="19">
                  <c:v>Espírito Santo</c:v>
                </c:pt>
                <c:pt idx="20">
                  <c:v>Roraima</c:v>
                </c:pt>
                <c:pt idx="21">
                  <c:v>Sergipe</c:v>
                </c:pt>
                <c:pt idx="22">
                  <c:v>Paraíba</c:v>
                </c:pt>
                <c:pt idx="23">
                  <c:v>Ceará</c:v>
                </c:pt>
                <c:pt idx="24">
                  <c:v>Maranhão</c:v>
                </c:pt>
                <c:pt idx="25">
                  <c:v>Alagoas</c:v>
                </c:pt>
                <c:pt idx="26">
                  <c:v>Piauí</c:v>
                </c:pt>
              </c:strCache>
            </c:strRef>
          </c:cat>
          <c:val>
            <c:numRef>
              <c:f>RELAÇ_ESTADOS!$AI$3:$AI$29</c:f>
              <c:numCache>
                <c:formatCode>#,##0.00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C5-4F17-A11A-3A5CE3A6C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649472"/>
        <c:axId val="148651008"/>
      </c:lineChart>
      <c:catAx>
        <c:axId val="14864947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48651008"/>
        <c:crosses val="autoZero"/>
        <c:auto val="1"/>
        <c:lblAlgn val="ctr"/>
        <c:lblOffset val="100"/>
        <c:noMultiLvlLbl val="0"/>
      </c:catAx>
      <c:valAx>
        <c:axId val="1486510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</a:t>
                </a:r>
                <a:r>
                  <a:rPr lang="pt-BR" baseline="30000"/>
                  <a:t>9</a:t>
                </a:r>
                <a:r>
                  <a:rPr lang="pt-BR"/>
                  <a:t>km</a:t>
                </a:r>
                <a:r>
                  <a:rPr lang="pt-BR" baseline="0"/>
                  <a:t> ou PIB </a:t>
                </a:r>
                <a:r>
                  <a:rPr lang="pt-BR" i="1" baseline="0"/>
                  <a:t>per capta</a:t>
                </a:r>
                <a:r>
                  <a:rPr lang="pt-BR" i="0" baseline="0"/>
                  <a:t>/100</a:t>
                </a:r>
                <a:endParaRPr lang="pt-BR"/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148649472"/>
        <c:crosses val="autoZero"/>
        <c:crossBetween val="between"/>
      </c:valAx>
      <c:spPr>
        <a:ln>
          <a:solidFill>
            <a:schemeClr val="tx1">
              <a:lumMod val="65000"/>
              <a:lumOff val="35000"/>
            </a:schemeClr>
          </a:solidFill>
        </a:ln>
      </c:spPr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702" footer="0.31496062000000702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Relação</a:t>
            </a:r>
            <a:r>
              <a:rPr lang="pt-BR" baseline="0"/>
              <a:t> entre o índice de motorização e o PIB </a:t>
            </a:r>
            <a:r>
              <a:rPr lang="pt-BR" i="1" baseline="0"/>
              <a:t>per capta </a:t>
            </a:r>
            <a:r>
              <a:rPr lang="pt-BR" baseline="0"/>
              <a:t>- 2007</a:t>
            </a:r>
            <a:endParaRPr lang="pt-BR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RELAÇ_ESTADOS!$AC$30</c:f>
              <c:strCache>
                <c:ptCount val="1"/>
                <c:pt idx="0">
                  <c:v>Veic/200hab</c:v>
                </c:pt>
              </c:strCache>
            </c:strRef>
          </c:tx>
          <c:spPr>
            <a:ln>
              <a:solidFill>
                <a:schemeClr val="accent3">
                  <a:lumMod val="75000"/>
                </a:schemeClr>
              </a:solidFill>
            </a:ln>
          </c:spPr>
          <c:marker>
            <c:symbol val="circle"/>
            <c:size val="5"/>
            <c:spPr>
              <a:solidFill>
                <a:sysClr val="window" lastClr="FFFFFF"/>
              </a:solidFill>
              <a:ln>
                <a:solidFill>
                  <a:schemeClr val="tx1">
                    <a:lumMod val="65000"/>
                    <a:lumOff val="35000"/>
                  </a:schemeClr>
                </a:solidFill>
              </a:ln>
            </c:spPr>
          </c:marker>
          <c:cat>
            <c:strRef>
              <c:f>RELAÇ_ESTADOS!$AF$3:$AF$29</c:f>
              <c:strCache>
                <c:ptCount val="27"/>
                <c:pt idx="0">
                  <c:v>São Paulo</c:v>
                </c:pt>
                <c:pt idx="1">
                  <c:v>Rio Grande do Sul</c:v>
                </c:pt>
                <c:pt idx="2">
                  <c:v>Amazonas</c:v>
                </c:pt>
                <c:pt idx="3">
                  <c:v>Minas Gerais</c:v>
                </c:pt>
                <c:pt idx="4">
                  <c:v>Distrito Federal</c:v>
                </c:pt>
                <c:pt idx="5">
                  <c:v>Rio de Janeiro</c:v>
                </c:pt>
                <c:pt idx="6">
                  <c:v>Rondônia</c:v>
                </c:pt>
                <c:pt idx="7">
                  <c:v>Santa Catarina</c:v>
                </c:pt>
                <c:pt idx="8">
                  <c:v>Rio Grande do Norte</c:v>
                </c:pt>
                <c:pt idx="9">
                  <c:v>Goiás</c:v>
                </c:pt>
                <c:pt idx="10">
                  <c:v>Amapá</c:v>
                </c:pt>
                <c:pt idx="11">
                  <c:v>Acre</c:v>
                </c:pt>
                <c:pt idx="12">
                  <c:v>Mato Grosso do Sul</c:v>
                </c:pt>
                <c:pt idx="13">
                  <c:v>Paraná</c:v>
                </c:pt>
                <c:pt idx="14">
                  <c:v>Bahia</c:v>
                </c:pt>
                <c:pt idx="15">
                  <c:v>Mato Grosso</c:v>
                </c:pt>
                <c:pt idx="16">
                  <c:v>Pará</c:v>
                </c:pt>
                <c:pt idx="17">
                  <c:v>Tocantins</c:v>
                </c:pt>
                <c:pt idx="18">
                  <c:v>Espírito Santo</c:v>
                </c:pt>
                <c:pt idx="19">
                  <c:v>Pernambuco</c:v>
                </c:pt>
                <c:pt idx="20">
                  <c:v>Paraíba</c:v>
                </c:pt>
                <c:pt idx="21">
                  <c:v>Sergipe</c:v>
                </c:pt>
                <c:pt idx="22">
                  <c:v>Ceará</c:v>
                </c:pt>
                <c:pt idx="23">
                  <c:v>Roraima</c:v>
                </c:pt>
                <c:pt idx="24">
                  <c:v>Maranhão</c:v>
                </c:pt>
                <c:pt idx="25">
                  <c:v>Alagoas</c:v>
                </c:pt>
                <c:pt idx="26">
                  <c:v>Piauí</c:v>
                </c:pt>
              </c:strCache>
            </c:strRef>
          </c:cat>
          <c:val>
            <c:numRef>
              <c:f>RELAÇ_ESTADOS!$AC$31:$AC$57</c:f>
              <c:numCache>
                <c:formatCode>#,##0.00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95-4C4B-830F-87D340E359F2}"/>
            </c:ext>
          </c:extLst>
        </c:ser>
        <c:ser>
          <c:idx val="1"/>
          <c:order val="1"/>
          <c:tx>
            <c:strRef>
              <c:f>RELAÇ_ESTADOS!$AD$30</c:f>
              <c:strCache>
                <c:ptCount val="1"/>
                <c:pt idx="0">
                  <c:v>PIB per capita/500</c:v>
                </c:pt>
              </c:strCache>
            </c:strRef>
          </c:tx>
          <c:spPr>
            <a:ln>
              <a:solidFill>
                <a:srgbClr val="FF6600"/>
              </a:solidFill>
            </a:ln>
          </c:spPr>
          <c:marker>
            <c:symbol val="triangle"/>
            <c:size val="5"/>
            <c:spPr>
              <a:solidFill>
                <a:schemeClr val="bg1"/>
              </a:solidFill>
              <a:ln>
                <a:solidFill>
                  <a:schemeClr val="tx1">
                    <a:lumMod val="65000"/>
                    <a:lumOff val="35000"/>
                  </a:schemeClr>
                </a:solidFill>
              </a:ln>
            </c:spPr>
          </c:marker>
          <c:cat>
            <c:strRef>
              <c:f>RELAÇ_ESTADOS!$AF$3:$AF$29</c:f>
              <c:strCache>
                <c:ptCount val="27"/>
                <c:pt idx="0">
                  <c:v>São Paulo</c:v>
                </c:pt>
                <c:pt idx="1">
                  <c:v>Rio Grande do Sul</c:v>
                </c:pt>
                <c:pt idx="2">
                  <c:v>Amazonas</c:v>
                </c:pt>
                <c:pt idx="3">
                  <c:v>Minas Gerais</c:v>
                </c:pt>
                <c:pt idx="4">
                  <c:v>Distrito Federal</c:v>
                </c:pt>
                <c:pt idx="5">
                  <c:v>Rio de Janeiro</c:v>
                </c:pt>
                <c:pt idx="6">
                  <c:v>Rondônia</c:v>
                </c:pt>
                <c:pt idx="7">
                  <c:v>Santa Catarina</c:v>
                </c:pt>
                <c:pt idx="8">
                  <c:v>Rio Grande do Norte</c:v>
                </c:pt>
                <c:pt idx="9">
                  <c:v>Goiás</c:v>
                </c:pt>
                <c:pt idx="10">
                  <c:v>Amapá</c:v>
                </c:pt>
                <c:pt idx="11">
                  <c:v>Acre</c:v>
                </c:pt>
                <c:pt idx="12">
                  <c:v>Mato Grosso do Sul</c:v>
                </c:pt>
                <c:pt idx="13">
                  <c:v>Paraná</c:v>
                </c:pt>
                <c:pt idx="14">
                  <c:v>Bahia</c:v>
                </c:pt>
                <c:pt idx="15">
                  <c:v>Mato Grosso</c:v>
                </c:pt>
                <c:pt idx="16">
                  <c:v>Pará</c:v>
                </c:pt>
                <c:pt idx="17">
                  <c:v>Tocantins</c:v>
                </c:pt>
                <c:pt idx="18">
                  <c:v>Espírito Santo</c:v>
                </c:pt>
                <c:pt idx="19">
                  <c:v>Pernambuco</c:v>
                </c:pt>
                <c:pt idx="20">
                  <c:v>Paraíba</c:v>
                </c:pt>
                <c:pt idx="21">
                  <c:v>Sergipe</c:v>
                </c:pt>
                <c:pt idx="22">
                  <c:v>Ceará</c:v>
                </c:pt>
                <c:pt idx="23">
                  <c:v>Roraima</c:v>
                </c:pt>
                <c:pt idx="24">
                  <c:v>Maranhão</c:v>
                </c:pt>
                <c:pt idx="25">
                  <c:v>Alagoas</c:v>
                </c:pt>
                <c:pt idx="26">
                  <c:v>Piauí</c:v>
                </c:pt>
              </c:strCache>
            </c:strRef>
          </c:cat>
          <c:val>
            <c:numRef>
              <c:f>RELAÇ_ESTADOS!$AD$31:$AD$57</c:f>
              <c:numCache>
                <c:formatCode>0.00</c:formatCode>
                <c:ptCount val="27"/>
                <c:pt idx="0">
                  <c:v>45.334503090038282</c:v>
                </c:pt>
                <c:pt idx="1">
                  <c:v>33.377484448152011</c:v>
                </c:pt>
                <c:pt idx="2">
                  <c:v>26.085661690633572</c:v>
                </c:pt>
                <c:pt idx="3">
                  <c:v>25.038798405892848</c:v>
                </c:pt>
                <c:pt idx="4">
                  <c:v>81.392156298517051</c:v>
                </c:pt>
                <c:pt idx="5">
                  <c:v>38.490158688975029</c:v>
                </c:pt>
                <c:pt idx="6">
                  <c:v>20.639961718091733</c:v>
                </c:pt>
                <c:pt idx="7">
                  <c:v>35.668006078377495</c:v>
                </c:pt>
                <c:pt idx="8">
                  <c:v>15.214028452381177</c:v>
                </c:pt>
                <c:pt idx="9">
                  <c:v>23.09535774366692</c:v>
                </c:pt>
                <c:pt idx="10">
                  <c:v>20.507470548730694</c:v>
                </c:pt>
                <c:pt idx="11">
                  <c:v>17.578983438483828</c:v>
                </c:pt>
                <c:pt idx="12">
                  <c:v>24.82236661868215</c:v>
                </c:pt>
                <c:pt idx="13">
                  <c:v>31.422392217389024</c:v>
                </c:pt>
                <c:pt idx="14">
                  <c:v>15.574804893078774</c:v>
                </c:pt>
                <c:pt idx="15">
                  <c:v>29.907161256883828</c:v>
                </c:pt>
                <c:pt idx="16">
                  <c:v>14.013624647103606</c:v>
                </c:pt>
                <c:pt idx="17">
                  <c:v>17.841464292578603</c:v>
                </c:pt>
                <c:pt idx="18">
                  <c:v>36.005833077518609</c:v>
                </c:pt>
                <c:pt idx="19">
                  <c:v>14.673554349434838</c:v>
                </c:pt>
                <c:pt idx="20">
                  <c:v>12.194083820601916</c:v>
                </c:pt>
                <c:pt idx="21">
                  <c:v>17.423393006721859</c:v>
                </c:pt>
                <c:pt idx="22">
                  <c:v>12.298068673122293</c:v>
                </c:pt>
                <c:pt idx="23">
                  <c:v>21.068158747991273</c:v>
                </c:pt>
                <c:pt idx="24">
                  <c:v>10.330463211272706</c:v>
                </c:pt>
                <c:pt idx="25">
                  <c:v>11.71674244736116</c:v>
                </c:pt>
                <c:pt idx="26">
                  <c:v>9.3231146988061084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95-4C4B-830F-87D340E359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692992"/>
        <c:axId val="148694912"/>
      </c:lineChart>
      <c:catAx>
        <c:axId val="14869299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48694912"/>
        <c:crosses val="autoZero"/>
        <c:auto val="1"/>
        <c:lblAlgn val="ctr"/>
        <c:lblOffset val="100"/>
        <c:noMultiLvlLbl val="0"/>
      </c:catAx>
      <c:valAx>
        <c:axId val="148694912"/>
        <c:scaling>
          <c:orientation val="minMax"/>
          <c:max val="60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Veic/100hab </a:t>
                </a:r>
                <a:r>
                  <a:rPr lang="pt-BR" baseline="0"/>
                  <a:t>ou PIB </a:t>
                </a:r>
                <a:r>
                  <a:rPr lang="pt-BR" i="1" baseline="0"/>
                  <a:t>per capta</a:t>
                </a:r>
                <a:r>
                  <a:rPr lang="pt-BR" baseline="0"/>
                  <a:t>/100</a:t>
                </a:r>
                <a:endParaRPr lang="pt-BR"/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48692992"/>
        <c:crosses val="autoZero"/>
        <c:crossBetween val="between"/>
      </c:valAx>
      <c:spPr>
        <a:ln w="3175">
          <a:solidFill>
            <a:schemeClr val="tx1"/>
          </a:solidFill>
        </a:ln>
      </c:spPr>
    </c:plotArea>
    <c:legend>
      <c:legendPos val="b"/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702" footer="0.31496062000000702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Relação</a:t>
            </a:r>
            <a:r>
              <a:rPr lang="pt-BR" baseline="0"/>
              <a:t> entre o índice de motorização e o PIB </a:t>
            </a:r>
            <a:r>
              <a:rPr lang="pt-BR" i="1" baseline="0"/>
              <a:t>per capta </a:t>
            </a:r>
            <a:r>
              <a:rPr lang="pt-BR" baseline="0"/>
              <a:t>- 2007</a:t>
            </a:r>
            <a:endParaRPr lang="pt-BR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Plan1!$E$5</c:f>
              <c:strCache>
                <c:ptCount val="1"/>
                <c:pt idx="0">
                  <c:v>Veic/200hab</c:v>
                </c:pt>
              </c:strCache>
            </c:strRef>
          </c:tx>
          <c:spPr>
            <a:ln>
              <a:solidFill>
                <a:schemeClr val="accent3">
                  <a:lumMod val="75000"/>
                </a:schemeClr>
              </a:solidFill>
            </a:ln>
          </c:spPr>
          <c:marker>
            <c:symbol val="circle"/>
            <c:size val="5"/>
            <c:spPr>
              <a:solidFill>
                <a:sysClr val="window" lastClr="FFFFFF"/>
              </a:solidFill>
              <a:ln>
                <a:solidFill>
                  <a:schemeClr val="tx1">
                    <a:lumMod val="65000"/>
                    <a:lumOff val="35000"/>
                  </a:schemeClr>
                </a:solidFill>
              </a:ln>
            </c:spPr>
          </c:marker>
          <c:cat>
            <c:strRef>
              <c:f>Plan1!$D$6:$D$32</c:f>
              <c:strCache>
                <c:ptCount val="27"/>
                <c:pt idx="0">
                  <c:v>Piauí</c:v>
                </c:pt>
                <c:pt idx="1">
                  <c:v>Maranhão</c:v>
                </c:pt>
                <c:pt idx="2">
                  <c:v>Alagoas</c:v>
                </c:pt>
                <c:pt idx="3">
                  <c:v>Paraíba</c:v>
                </c:pt>
                <c:pt idx="4">
                  <c:v>Ceará</c:v>
                </c:pt>
                <c:pt idx="5">
                  <c:v>Pará</c:v>
                </c:pt>
                <c:pt idx="6">
                  <c:v>Pernambuco</c:v>
                </c:pt>
                <c:pt idx="7">
                  <c:v>Rio Grande do Norte</c:v>
                </c:pt>
                <c:pt idx="8">
                  <c:v>Bahia</c:v>
                </c:pt>
                <c:pt idx="9">
                  <c:v>Sergipe</c:v>
                </c:pt>
                <c:pt idx="10">
                  <c:v>Acre</c:v>
                </c:pt>
                <c:pt idx="11">
                  <c:v>Tocantins</c:v>
                </c:pt>
                <c:pt idx="12">
                  <c:v>Amapá</c:v>
                </c:pt>
                <c:pt idx="13">
                  <c:v>Rondônia</c:v>
                </c:pt>
                <c:pt idx="14">
                  <c:v>Roraima</c:v>
                </c:pt>
                <c:pt idx="15">
                  <c:v>Goiás</c:v>
                </c:pt>
                <c:pt idx="16">
                  <c:v>Mato Grosso do Sul</c:v>
                </c:pt>
                <c:pt idx="17">
                  <c:v>Minas Gerais</c:v>
                </c:pt>
                <c:pt idx="18">
                  <c:v>Amazonas</c:v>
                </c:pt>
                <c:pt idx="19">
                  <c:v>Mato Grosso</c:v>
                </c:pt>
                <c:pt idx="20">
                  <c:v>Paraná</c:v>
                </c:pt>
                <c:pt idx="21">
                  <c:v>Rio Grande do Sul</c:v>
                </c:pt>
                <c:pt idx="22">
                  <c:v>Santa Catarina</c:v>
                </c:pt>
                <c:pt idx="23">
                  <c:v>Espírito Santo</c:v>
                </c:pt>
                <c:pt idx="24">
                  <c:v>Rio de Janeiro</c:v>
                </c:pt>
                <c:pt idx="25">
                  <c:v>São Paulo</c:v>
                </c:pt>
                <c:pt idx="26">
                  <c:v>Distrito Federal</c:v>
                </c:pt>
              </c:strCache>
            </c:strRef>
          </c:cat>
          <c:val>
            <c:numRef>
              <c:f>Plan1!$E$6:$E$32</c:f>
              <c:numCache>
                <c:formatCode>General</c:formatCode>
                <c:ptCount val="27"/>
                <c:pt idx="0">
                  <c:v>24.483801600267231</c:v>
                </c:pt>
                <c:pt idx="1">
                  <c:v>15.210797844951287</c:v>
                </c:pt>
                <c:pt idx="2">
                  <c:v>19.54566096595423</c:v>
                </c:pt>
                <c:pt idx="3">
                  <c:v>25.88721652082911</c:v>
                </c:pt>
                <c:pt idx="4">
                  <c:v>27.968548854471813</c:v>
                </c:pt>
                <c:pt idx="5">
                  <c:v>17.164883661388647</c:v>
                </c:pt>
                <c:pt idx="6">
                  <c:v>28.856408921659604</c:v>
                </c:pt>
                <c:pt idx="7">
                  <c:v>33.341071934622221</c:v>
                </c:pt>
                <c:pt idx="8">
                  <c:v>22.198529072930821</c:v>
                </c:pt>
                <c:pt idx="9">
                  <c:v>28.583526356943683</c:v>
                </c:pt>
                <c:pt idx="10">
                  <c:v>26.706773928952714</c:v>
                </c:pt>
                <c:pt idx="11">
                  <c:v>40.444657363478548</c:v>
                </c:pt>
                <c:pt idx="12">
                  <c:v>23.421272531932672</c:v>
                </c:pt>
                <c:pt idx="13">
                  <c:v>45.506522845209545</c:v>
                </c:pt>
                <c:pt idx="14">
                  <c:v>40.309573517690431</c:v>
                </c:pt>
                <c:pt idx="15">
                  <c:v>57.999674693741277</c:v>
                </c:pt>
                <c:pt idx="16">
                  <c:v>60.575152397240437</c:v>
                </c:pt>
                <c:pt idx="17">
                  <c:v>52.199002144347531</c:v>
                </c:pt>
                <c:pt idx="18">
                  <c:v>21.895316163880416</c:v>
                </c:pt>
                <c:pt idx="19">
                  <c:v>53.745874502406146</c:v>
                </c:pt>
                <c:pt idx="20">
                  <c:v>74.954225830777261</c:v>
                </c:pt>
                <c:pt idx="21">
                  <c:v>68.11417037978245</c:v>
                </c:pt>
                <c:pt idx="22">
                  <c:v>85.749029094676359</c:v>
                </c:pt>
                <c:pt idx="23">
                  <c:v>51.506430071551314</c:v>
                </c:pt>
                <c:pt idx="24">
                  <c:v>45.297173765082086</c:v>
                </c:pt>
                <c:pt idx="25">
                  <c:v>77.33748583414652</c:v>
                </c:pt>
                <c:pt idx="26">
                  <c:v>78.547743600846815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48-444D-A8B3-734EBBF8CEFF}"/>
            </c:ext>
          </c:extLst>
        </c:ser>
        <c:ser>
          <c:idx val="1"/>
          <c:order val="1"/>
          <c:tx>
            <c:strRef>
              <c:f>Plan1!$F$5</c:f>
              <c:strCache>
                <c:ptCount val="1"/>
                <c:pt idx="0">
                  <c:v>PIB per capta/100</c:v>
                </c:pt>
              </c:strCache>
            </c:strRef>
          </c:tx>
          <c:spPr>
            <a:ln>
              <a:solidFill>
                <a:srgbClr val="FF6600"/>
              </a:solidFill>
            </a:ln>
          </c:spPr>
          <c:marker>
            <c:symbol val="triangle"/>
            <c:size val="5"/>
            <c:spPr>
              <a:solidFill>
                <a:schemeClr val="bg1"/>
              </a:solidFill>
              <a:ln>
                <a:solidFill>
                  <a:schemeClr val="tx1">
                    <a:lumMod val="65000"/>
                    <a:lumOff val="35000"/>
                  </a:schemeClr>
                </a:solidFill>
              </a:ln>
            </c:spPr>
          </c:marker>
          <c:cat>
            <c:strRef>
              <c:f>Plan1!$D$6:$D$32</c:f>
              <c:strCache>
                <c:ptCount val="27"/>
                <c:pt idx="0">
                  <c:v>Piauí</c:v>
                </c:pt>
                <c:pt idx="1">
                  <c:v>Maranhão</c:v>
                </c:pt>
                <c:pt idx="2">
                  <c:v>Alagoas</c:v>
                </c:pt>
                <c:pt idx="3">
                  <c:v>Paraíba</c:v>
                </c:pt>
                <c:pt idx="4">
                  <c:v>Ceará</c:v>
                </c:pt>
                <c:pt idx="5">
                  <c:v>Pará</c:v>
                </c:pt>
                <c:pt idx="6">
                  <c:v>Pernambuco</c:v>
                </c:pt>
                <c:pt idx="7">
                  <c:v>Rio Grande do Norte</c:v>
                </c:pt>
                <c:pt idx="8">
                  <c:v>Bahia</c:v>
                </c:pt>
                <c:pt idx="9">
                  <c:v>Sergipe</c:v>
                </c:pt>
                <c:pt idx="10">
                  <c:v>Acre</c:v>
                </c:pt>
                <c:pt idx="11">
                  <c:v>Tocantins</c:v>
                </c:pt>
                <c:pt idx="12">
                  <c:v>Amapá</c:v>
                </c:pt>
                <c:pt idx="13">
                  <c:v>Rondônia</c:v>
                </c:pt>
                <c:pt idx="14">
                  <c:v>Roraima</c:v>
                </c:pt>
                <c:pt idx="15">
                  <c:v>Goiás</c:v>
                </c:pt>
                <c:pt idx="16">
                  <c:v>Mato Grosso do Sul</c:v>
                </c:pt>
                <c:pt idx="17">
                  <c:v>Minas Gerais</c:v>
                </c:pt>
                <c:pt idx="18">
                  <c:v>Amazonas</c:v>
                </c:pt>
                <c:pt idx="19">
                  <c:v>Mato Grosso</c:v>
                </c:pt>
                <c:pt idx="20">
                  <c:v>Paraná</c:v>
                </c:pt>
                <c:pt idx="21">
                  <c:v>Rio Grande do Sul</c:v>
                </c:pt>
                <c:pt idx="22">
                  <c:v>Santa Catarina</c:v>
                </c:pt>
                <c:pt idx="23">
                  <c:v>Espírito Santo</c:v>
                </c:pt>
                <c:pt idx="24">
                  <c:v>Rio de Janeiro</c:v>
                </c:pt>
                <c:pt idx="25">
                  <c:v>São Paulo</c:v>
                </c:pt>
                <c:pt idx="26">
                  <c:v>Distrito Federal</c:v>
                </c:pt>
              </c:strCache>
            </c:strRef>
          </c:cat>
          <c:val>
            <c:numRef>
              <c:f>Plan1!$F$6:$F$32</c:f>
              <c:numCache>
                <c:formatCode>General</c:formatCode>
                <c:ptCount val="27"/>
                <c:pt idx="0">
                  <c:v>46.615573494030542</c:v>
                </c:pt>
                <c:pt idx="1">
                  <c:v>51.652316056363532</c:v>
                </c:pt>
                <c:pt idx="2">
                  <c:v>58.583712236805795</c:v>
                </c:pt>
                <c:pt idx="3">
                  <c:v>60.970419103009583</c:v>
                </c:pt>
                <c:pt idx="4">
                  <c:v>61.490343365611459</c:v>
                </c:pt>
                <c:pt idx="5">
                  <c:v>70.06812323551803</c:v>
                </c:pt>
                <c:pt idx="6">
                  <c:v>73.367771747174189</c:v>
                </c:pt>
                <c:pt idx="7">
                  <c:v>76.070142261905886</c:v>
                </c:pt>
                <c:pt idx="8">
                  <c:v>77.874024465393873</c:v>
                </c:pt>
                <c:pt idx="9">
                  <c:v>87.116965033609304</c:v>
                </c:pt>
                <c:pt idx="10">
                  <c:v>87.894917192419143</c:v>
                </c:pt>
                <c:pt idx="11">
                  <c:v>89.20732146289302</c:v>
                </c:pt>
                <c:pt idx="12">
                  <c:v>102.53735274365346</c:v>
                </c:pt>
                <c:pt idx="13">
                  <c:v>103.19980859045867</c:v>
                </c:pt>
                <c:pt idx="14">
                  <c:v>105.34079373995637</c:v>
                </c:pt>
                <c:pt idx="15">
                  <c:v>115.47678871833459</c:v>
                </c:pt>
                <c:pt idx="16">
                  <c:v>124.11183309341075</c:v>
                </c:pt>
                <c:pt idx="17">
                  <c:v>125.19399202946424</c:v>
                </c:pt>
                <c:pt idx="18">
                  <c:v>130.42830845316786</c:v>
                </c:pt>
                <c:pt idx="19">
                  <c:v>149.53580628441915</c:v>
                </c:pt>
                <c:pt idx="20">
                  <c:v>157.11196108694512</c:v>
                </c:pt>
                <c:pt idx="21">
                  <c:v>166.88742224076006</c:v>
                </c:pt>
                <c:pt idx="22">
                  <c:v>178.3400303918875</c:v>
                </c:pt>
                <c:pt idx="23">
                  <c:v>180.02916538759305</c:v>
                </c:pt>
                <c:pt idx="24">
                  <c:v>192.45079344487516</c:v>
                </c:pt>
                <c:pt idx="25">
                  <c:v>226.67251545019141</c:v>
                </c:pt>
                <c:pt idx="26">
                  <c:v>406.96078149258523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48-444D-A8B3-734EBBF8CE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798464"/>
        <c:axId val="148804736"/>
      </c:lineChart>
      <c:catAx>
        <c:axId val="14879846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48804736"/>
        <c:crosses val="autoZero"/>
        <c:auto val="1"/>
        <c:lblAlgn val="ctr"/>
        <c:lblOffset val="100"/>
        <c:noMultiLvlLbl val="0"/>
      </c:catAx>
      <c:valAx>
        <c:axId val="14880473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Veic/100hab </a:t>
                </a:r>
                <a:r>
                  <a:rPr lang="pt-BR" baseline="0"/>
                  <a:t>ou PIB </a:t>
                </a:r>
                <a:r>
                  <a:rPr lang="pt-BR" i="1" baseline="0"/>
                  <a:t>per capta</a:t>
                </a:r>
                <a:r>
                  <a:rPr lang="pt-BR" baseline="0"/>
                  <a:t>/100</a:t>
                </a:r>
                <a:endParaRPr lang="pt-BR"/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48798464"/>
        <c:crosses val="autoZero"/>
        <c:crossBetween val="between"/>
      </c:valAx>
      <c:spPr>
        <a:ln w="3175">
          <a:solidFill>
            <a:schemeClr val="tx1"/>
          </a:solidFill>
        </a:ln>
      </c:spPr>
    </c:plotArea>
    <c:legend>
      <c:legendPos val="b"/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702" footer="0.31496062000000702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Brasil e regiões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GRAF_PED!$A$3</c:f>
              <c:strCache>
                <c:ptCount val="1"/>
                <c:pt idx="0">
                  <c:v>Brasil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/>
            <c:extLst>
              <c:ext xmlns:c16="http://schemas.microsoft.com/office/drawing/2014/chart" uri="{C3380CC4-5D6E-409C-BE32-E72D297353CC}">
                <c16:uniqueId val="{00000001-FD2D-44CC-89C1-8918C560EB2A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GRAF_PED!$B$3:$E$3</c:f>
              <c:numCache>
                <c:formatCode>#,##0.00</c:formatCode>
                <c:ptCount val="4"/>
                <c:pt idx="0">
                  <c:v>12.448010877492399</c:v>
                </c:pt>
                <c:pt idx="1">
                  <c:v>12.63047344090109</c:v>
                </c:pt>
                <c:pt idx="2">
                  <c:v>10.859759939704716</c:v>
                </c:pt>
                <c:pt idx="3">
                  <c:v>9.5691222585362308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2D-44CC-89C1-8918C560EB2A}"/>
            </c:ext>
          </c:extLst>
        </c:ser>
        <c:ser>
          <c:idx val="1"/>
          <c:order val="1"/>
          <c:tx>
            <c:strRef>
              <c:f>GRAF_PED!$A$4</c:f>
              <c:strCache>
                <c:ptCount val="1"/>
                <c:pt idx="0">
                  <c:v>N</c:v>
                </c:pt>
              </c:strCache>
            </c:strRef>
          </c:tx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GRAF_PED!$B$4:$E$4</c:f>
              <c:numCache>
                <c:formatCode>#,##0.00</c:formatCode>
                <c:ptCount val="4"/>
                <c:pt idx="0">
                  <c:v>14.363217438386362</c:v>
                </c:pt>
                <c:pt idx="1">
                  <c:v>17.756059757190876</c:v>
                </c:pt>
                <c:pt idx="2">
                  <c:v>16.520557781787382</c:v>
                </c:pt>
                <c:pt idx="3">
                  <c:v>14.400384525313696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2D-44CC-89C1-8918C560EB2A}"/>
            </c:ext>
          </c:extLst>
        </c:ser>
        <c:ser>
          <c:idx val="2"/>
          <c:order val="2"/>
          <c:tx>
            <c:strRef>
              <c:f>GRAF_PED!$A$12</c:f>
              <c:strCache>
                <c:ptCount val="1"/>
                <c:pt idx="0">
                  <c:v>NE</c:v>
                </c:pt>
              </c:strCache>
            </c:strRef>
          </c:tx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GRAF_PED!$B$12:$E$12</c:f>
              <c:numCache>
                <c:formatCode>#,##0.00</c:formatCode>
                <c:ptCount val="4"/>
                <c:pt idx="0">
                  <c:v>18.051703083924028</c:v>
                </c:pt>
                <c:pt idx="1">
                  <c:v>18.580666963775574</c:v>
                </c:pt>
                <c:pt idx="2">
                  <c:v>14.374381756760032</c:v>
                </c:pt>
                <c:pt idx="3">
                  <c:v>12.550423015428088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2D-44CC-89C1-8918C560EB2A}"/>
            </c:ext>
          </c:extLst>
        </c:ser>
        <c:ser>
          <c:idx val="3"/>
          <c:order val="3"/>
          <c:tx>
            <c:strRef>
              <c:f>GRAF_PED!$A$22</c:f>
              <c:strCache>
                <c:ptCount val="1"/>
                <c:pt idx="0">
                  <c:v>SE</c:v>
                </c:pt>
              </c:strCache>
            </c:strRef>
          </c:tx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GRAF_PED!$B$22:$E$22</c:f>
              <c:numCache>
                <c:formatCode>#,##0.00</c:formatCode>
                <c:ptCount val="4"/>
                <c:pt idx="0">
                  <c:v>11.077125221188792</c:v>
                </c:pt>
                <c:pt idx="1">
                  <c:v>11.047689556022133</c:v>
                </c:pt>
                <c:pt idx="2">
                  <c:v>9.8884923968510776</c:v>
                </c:pt>
                <c:pt idx="3">
                  <c:v>8.7622908606882994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D2D-44CC-89C1-8918C560EB2A}"/>
            </c:ext>
          </c:extLst>
        </c:ser>
        <c:ser>
          <c:idx val="4"/>
          <c:order val="4"/>
          <c:tx>
            <c:strRef>
              <c:f>GRAF_PED!$A$27</c:f>
              <c:strCache>
                <c:ptCount val="1"/>
                <c:pt idx="0">
                  <c:v>S</c:v>
                </c:pt>
              </c:strCache>
            </c:strRef>
          </c:tx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GRAF_PED!$B$27:$E$27</c:f>
              <c:numCache>
                <c:formatCode>#,##0.00</c:formatCode>
                <c:ptCount val="4"/>
                <c:pt idx="0">
                  <c:v>11.595478285866042</c:v>
                </c:pt>
                <c:pt idx="1">
                  <c:v>10.534905499895199</c:v>
                </c:pt>
                <c:pt idx="2">
                  <c:v>9.2008742618451222</c:v>
                </c:pt>
                <c:pt idx="3">
                  <c:v>8.1014623994738475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D2D-44CC-89C1-8918C560EB2A}"/>
            </c:ext>
          </c:extLst>
        </c:ser>
        <c:ser>
          <c:idx val="5"/>
          <c:order val="5"/>
          <c:tx>
            <c:strRef>
              <c:f>GRAF_PED!$A$31</c:f>
              <c:strCache>
                <c:ptCount val="1"/>
                <c:pt idx="0">
                  <c:v>CO</c:v>
                </c:pt>
              </c:strCache>
            </c:strRef>
          </c:tx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GRAF_PED!$B$31:$E$31</c:f>
              <c:numCache>
                <c:formatCode>#,##0.00</c:formatCode>
                <c:ptCount val="4"/>
                <c:pt idx="0">
                  <c:v>10.099367118766782</c:v>
                </c:pt>
                <c:pt idx="1">
                  <c:v>10.338544569444727</c:v>
                </c:pt>
                <c:pt idx="2">
                  <c:v>8.4860026139268783</c:v>
                </c:pt>
                <c:pt idx="3">
                  <c:v>7.0945554558493793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D2D-44CC-89C1-8918C560EB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4318464"/>
        <c:axId val="144320000"/>
      </c:barChart>
      <c:catAx>
        <c:axId val="144318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44320000"/>
        <c:crosses val="autoZero"/>
        <c:auto val="1"/>
        <c:lblAlgn val="ctr"/>
        <c:lblOffset val="100"/>
        <c:noMultiLvlLbl val="0"/>
      </c:catAx>
      <c:valAx>
        <c:axId val="144320000"/>
        <c:scaling>
          <c:orientation val="minMax"/>
          <c:max val="4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Mortes/109km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19050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44318464"/>
        <c:crosses val="autoZero"/>
        <c:crossBetween val="between"/>
        <c:majorUnit val="10"/>
      </c:valAx>
    </c:plotArea>
    <c:legend>
      <c:legendPos val="b"/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Brasil e regiões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GRAF_PED!$A$3</c:f>
              <c:strCache>
                <c:ptCount val="1"/>
                <c:pt idx="0">
                  <c:v>Brasil</c:v>
                </c:pt>
              </c:strCache>
            </c:strRef>
          </c:tx>
          <c:marker>
            <c:symbol val="circle"/>
            <c:size val="5"/>
            <c:spPr>
              <a:ln>
                <a:solidFill>
                  <a:prstClr val="black"/>
                </a:solidFill>
              </a:ln>
            </c:spPr>
          </c:marker>
          <c:cat>
            <c:numRef>
              <c:f>GRAF_PED!$B$2:$E$2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GRAF_PED!$B$3:$E$3</c:f>
              <c:numCache>
                <c:formatCode>#,##0.00</c:formatCode>
                <c:ptCount val="4"/>
                <c:pt idx="0">
                  <c:v>12.448010877492399</c:v>
                </c:pt>
                <c:pt idx="1">
                  <c:v>12.63047344090109</c:v>
                </c:pt>
                <c:pt idx="2">
                  <c:v>10.859759939704716</c:v>
                </c:pt>
                <c:pt idx="3">
                  <c:v>9.5691222585362308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DF-4597-8A4D-A9D0A832B431}"/>
            </c:ext>
          </c:extLst>
        </c:ser>
        <c:ser>
          <c:idx val="1"/>
          <c:order val="1"/>
          <c:tx>
            <c:strRef>
              <c:f>GRAF_PED!$A$4</c:f>
              <c:strCache>
                <c:ptCount val="1"/>
                <c:pt idx="0">
                  <c:v>N</c:v>
                </c:pt>
              </c:strCache>
            </c:strRef>
          </c:tx>
          <c:marker>
            <c:symbol val="circle"/>
            <c:size val="5"/>
            <c:spPr>
              <a:ln>
                <a:solidFill>
                  <a:prstClr val="black"/>
                </a:solidFill>
              </a:ln>
            </c:spPr>
          </c:marker>
          <c:cat>
            <c:numRef>
              <c:f>GRAF_PED!$B$2:$E$2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GRAF_PED!$B$4:$E$4</c:f>
              <c:numCache>
                <c:formatCode>#,##0.00</c:formatCode>
                <c:ptCount val="4"/>
                <c:pt idx="0">
                  <c:v>14.363217438386362</c:v>
                </c:pt>
                <c:pt idx="1">
                  <c:v>17.756059757190876</c:v>
                </c:pt>
                <c:pt idx="2">
                  <c:v>16.520557781787382</c:v>
                </c:pt>
                <c:pt idx="3">
                  <c:v>14.400384525313696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DF-4597-8A4D-A9D0A832B431}"/>
            </c:ext>
          </c:extLst>
        </c:ser>
        <c:ser>
          <c:idx val="2"/>
          <c:order val="2"/>
          <c:tx>
            <c:strRef>
              <c:f>GRAF_PED!$A$12</c:f>
              <c:strCache>
                <c:ptCount val="1"/>
                <c:pt idx="0">
                  <c:v>NE</c:v>
                </c:pt>
              </c:strCache>
            </c:strRef>
          </c:tx>
          <c:marker>
            <c:symbol val="circle"/>
            <c:size val="5"/>
            <c:spPr>
              <a:ln>
                <a:solidFill>
                  <a:prstClr val="black"/>
                </a:solidFill>
              </a:ln>
            </c:spPr>
          </c:marker>
          <c:cat>
            <c:numRef>
              <c:f>GRAF_PED!$B$2:$E$2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GRAF_PED!$B$12:$E$12</c:f>
              <c:numCache>
                <c:formatCode>#,##0.00</c:formatCode>
                <c:ptCount val="4"/>
                <c:pt idx="0">
                  <c:v>18.051703083924028</c:v>
                </c:pt>
                <c:pt idx="1">
                  <c:v>18.580666963775574</c:v>
                </c:pt>
                <c:pt idx="2">
                  <c:v>14.374381756760032</c:v>
                </c:pt>
                <c:pt idx="3">
                  <c:v>12.550423015428088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DF-4597-8A4D-A9D0A832B431}"/>
            </c:ext>
          </c:extLst>
        </c:ser>
        <c:ser>
          <c:idx val="3"/>
          <c:order val="3"/>
          <c:tx>
            <c:strRef>
              <c:f>GRAF_PED!$A$22</c:f>
              <c:strCache>
                <c:ptCount val="1"/>
                <c:pt idx="0">
                  <c:v>SE</c:v>
                </c:pt>
              </c:strCache>
            </c:strRef>
          </c:tx>
          <c:marker>
            <c:symbol val="circle"/>
            <c:size val="5"/>
            <c:spPr>
              <a:ln>
                <a:solidFill>
                  <a:prstClr val="black"/>
                </a:solidFill>
              </a:ln>
            </c:spPr>
          </c:marker>
          <c:cat>
            <c:numRef>
              <c:f>GRAF_PED!$B$2:$E$2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GRAF_PED!$B$22:$E$22</c:f>
              <c:numCache>
                <c:formatCode>#,##0.00</c:formatCode>
                <c:ptCount val="4"/>
                <c:pt idx="0">
                  <c:v>11.077125221188792</c:v>
                </c:pt>
                <c:pt idx="1">
                  <c:v>11.047689556022133</c:v>
                </c:pt>
                <c:pt idx="2">
                  <c:v>9.8884923968510776</c:v>
                </c:pt>
                <c:pt idx="3">
                  <c:v>8.7622908606882994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1DF-4597-8A4D-A9D0A832B431}"/>
            </c:ext>
          </c:extLst>
        </c:ser>
        <c:ser>
          <c:idx val="4"/>
          <c:order val="4"/>
          <c:tx>
            <c:strRef>
              <c:f>GRAF_PED!$A$27</c:f>
              <c:strCache>
                <c:ptCount val="1"/>
                <c:pt idx="0">
                  <c:v>S</c:v>
                </c:pt>
              </c:strCache>
            </c:strRef>
          </c:tx>
          <c:marker>
            <c:symbol val="circle"/>
            <c:size val="5"/>
            <c:spPr>
              <a:ln>
                <a:solidFill>
                  <a:prstClr val="black"/>
                </a:solidFill>
              </a:ln>
            </c:spPr>
          </c:marker>
          <c:cat>
            <c:numRef>
              <c:f>GRAF_PED!$B$2:$E$2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GRAF_PED!$B$27:$E$27</c:f>
              <c:numCache>
                <c:formatCode>#,##0.00</c:formatCode>
                <c:ptCount val="4"/>
                <c:pt idx="0">
                  <c:v>11.595478285866042</c:v>
                </c:pt>
                <c:pt idx="1">
                  <c:v>10.534905499895199</c:v>
                </c:pt>
                <c:pt idx="2">
                  <c:v>9.2008742618451222</c:v>
                </c:pt>
                <c:pt idx="3">
                  <c:v>8.1014623994738475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1DF-4597-8A4D-A9D0A832B431}"/>
            </c:ext>
          </c:extLst>
        </c:ser>
        <c:ser>
          <c:idx val="5"/>
          <c:order val="5"/>
          <c:tx>
            <c:strRef>
              <c:f>GRAF_PED!$A$31</c:f>
              <c:strCache>
                <c:ptCount val="1"/>
                <c:pt idx="0">
                  <c:v>CO</c:v>
                </c:pt>
              </c:strCache>
            </c:strRef>
          </c:tx>
          <c:marker>
            <c:symbol val="circle"/>
            <c:size val="5"/>
            <c:spPr>
              <a:ln>
                <a:solidFill>
                  <a:prstClr val="black"/>
                </a:solidFill>
              </a:ln>
            </c:spPr>
          </c:marker>
          <c:cat>
            <c:numRef>
              <c:f>GRAF_PED!$B$2:$E$2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GRAF_PED!$B$31:$E$31</c:f>
              <c:numCache>
                <c:formatCode>#,##0.00</c:formatCode>
                <c:ptCount val="4"/>
                <c:pt idx="0">
                  <c:v>10.099367118766782</c:v>
                </c:pt>
                <c:pt idx="1">
                  <c:v>10.338544569444727</c:v>
                </c:pt>
                <c:pt idx="2">
                  <c:v>8.4860026139268783</c:v>
                </c:pt>
                <c:pt idx="3">
                  <c:v>7.0945554558493793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1DF-4597-8A4D-A9D0A832B4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369152"/>
        <c:axId val="144371072"/>
      </c:lineChart>
      <c:catAx>
        <c:axId val="144369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44371072"/>
        <c:crosses val="autoZero"/>
        <c:auto val="1"/>
        <c:lblAlgn val="ctr"/>
        <c:lblOffset val="100"/>
        <c:noMultiLvlLbl val="0"/>
      </c:catAx>
      <c:valAx>
        <c:axId val="144371072"/>
        <c:scaling>
          <c:orientation val="minMax"/>
          <c:max val="12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Mortes/109km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19050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44369152"/>
        <c:crosses val="autoZero"/>
        <c:crossBetween val="between"/>
        <c:majorUnit val="20"/>
      </c:valAx>
    </c:plotArea>
    <c:legend>
      <c:legendPos val="b"/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Brasil e regiões</a:t>
            </a:r>
          </a:p>
        </c:rich>
      </c:tx>
      <c:overlay val="0"/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GRAF_PED!$A$3</c:f>
              <c:strCache>
                <c:ptCount val="1"/>
                <c:pt idx="0">
                  <c:v>Brasil</c:v>
                </c:pt>
              </c:strCache>
            </c:strRef>
          </c:tx>
          <c:marker>
            <c:symbol val="none"/>
          </c:marker>
          <c:cat>
            <c:numRef>
              <c:f>GRAF_PED!$B$2:$E$2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GRAF_PED!$B$3:$E$3</c:f>
              <c:numCache>
                <c:formatCode>#,##0.00</c:formatCode>
                <c:ptCount val="4"/>
                <c:pt idx="0">
                  <c:v>12.448010877492399</c:v>
                </c:pt>
                <c:pt idx="1">
                  <c:v>12.63047344090109</c:v>
                </c:pt>
                <c:pt idx="2">
                  <c:v>10.859759939704716</c:v>
                </c:pt>
                <c:pt idx="3">
                  <c:v>9.5691222585362308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D8-468B-A198-880BF51625F5}"/>
            </c:ext>
          </c:extLst>
        </c:ser>
        <c:ser>
          <c:idx val="1"/>
          <c:order val="1"/>
          <c:tx>
            <c:strRef>
              <c:f>GRAF_PED!$A$4</c:f>
              <c:strCache>
                <c:ptCount val="1"/>
                <c:pt idx="0">
                  <c:v>N</c:v>
                </c:pt>
              </c:strCache>
            </c:strRef>
          </c:tx>
          <c:marker>
            <c:symbol val="none"/>
          </c:marker>
          <c:cat>
            <c:numRef>
              <c:f>GRAF_PED!$B$2:$E$2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GRAF_PED!$B$4:$E$4</c:f>
              <c:numCache>
                <c:formatCode>#,##0.00</c:formatCode>
                <c:ptCount val="4"/>
                <c:pt idx="0">
                  <c:v>14.363217438386362</c:v>
                </c:pt>
                <c:pt idx="1">
                  <c:v>17.756059757190876</c:v>
                </c:pt>
                <c:pt idx="2">
                  <c:v>16.520557781787382</c:v>
                </c:pt>
                <c:pt idx="3">
                  <c:v>14.400384525313696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D8-468B-A198-880BF51625F5}"/>
            </c:ext>
          </c:extLst>
        </c:ser>
        <c:ser>
          <c:idx val="2"/>
          <c:order val="2"/>
          <c:tx>
            <c:strRef>
              <c:f>GRAF_PED!$A$12</c:f>
              <c:strCache>
                <c:ptCount val="1"/>
                <c:pt idx="0">
                  <c:v>NE</c:v>
                </c:pt>
              </c:strCache>
            </c:strRef>
          </c:tx>
          <c:marker>
            <c:symbol val="none"/>
          </c:marker>
          <c:cat>
            <c:numRef>
              <c:f>GRAF_PED!$B$2:$E$2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GRAF_PED!$B$12:$E$12</c:f>
              <c:numCache>
                <c:formatCode>#,##0.00</c:formatCode>
                <c:ptCount val="4"/>
                <c:pt idx="0">
                  <c:v>18.051703083924028</c:v>
                </c:pt>
                <c:pt idx="1">
                  <c:v>18.580666963775574</c:v>
                </c:pt>
                <c:pt idx="2">
                  <c:v>14.374381756760032</c:v>
                </c:pt>
                <c:pt idx="3">
                  <c:v>12.550423015428088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D8-468B-A198-880BF51625F5}"/>
            </c:ext>
          </c:extLst>
        </c:ser>
        <c:ser>
          <c:idx val="3"/>
          <c:order val="3"/>
          <c:tx>
            <c:strRef>
              <c:f>GRAF_PED!$A$22</c:f>
              <c:strCache>
                <c:ptCount val="1"/>
                <c:pt idx="0">
                  <c:v>SE</c:v>
                </c:pt>
              </c:strCache>
            </c:strRef>
          </c:tx>
          <c:marker>
            <c:symbol val="none"/>
          </c:marker>
          <c:cat>
            <c:numRef>
              <c:f>GRAF_PED!$B$2:$E$2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GRAF_PED!$B$22:$E$22</c:f>
              <c:numCache>
                <c:formatCode>#,##0.00</c:formatCode>
                <c:ptCount val="4"/>
                <c:pt idx="0">
                  <c:v>11.077125221188792</c:v>
                </c:pt>
                <c:pt idx="1">
                  <c:v>11.047689556022133</c:v>
                </c:pt>
                <c:pt idx="2">
                  <c:v>9.8884923968510776</c:v>
                </c:pt>
                <c:pt idx="3">
                  <c:v>8.7622908606882994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D8-468B-A198-880BF51625F5}"/>
            </c:ext>
          </c:extLst>
        </c:ser>
        <c:ser>
          <c:idx val="4"/>
          <c:order val="4"/>
          <c:tx>
            <c:strRef>
              <c:f>GRAF_PED!$A$27</c:f>
              <c:strCache>
                <c:ptCount val="1"/>
                <c:pt idx="0">
                  <c:v>S</c:v>
                </c:pt>
              </c:strCache>
            </c:strRef>
          </c:tx>
          <c:marker>
            <c:symbol val="none"/>
          </c:marker>
          <c:cat>
            <c:numRef>
              <c:f>GRAF_PED!$B$2:$E$2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GRAF_PED!$B$27:$E$27</c:f>
              <c:numCache>
                <c:formatCode>#,##0.00</c:formatCode>
                <c:ptCount val="4"/>
                <c:pt idx="0">
                  <c:v>11.595478285866042</c:v>
                </c:pt>
                <c:pt idx="1">
                  <c:v>10.534905499895199</c:v>
                </c:pt>
                <c:pt idx="2">
                  <c:v>9.2008742618451222</c:v>
                </c:pt>
                <c:pt idx="3">
                  <c:v>8.1014623994738475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2D8-468B-A198-880BF51625F5}"/>
            </c:ext>
          </c:extLst>
        </c:ser>
        <c:ser>
          <c:idx val="5"/>
          <c:order val="5"/>
          <c:tx>
            <c:strRef>
              <c:f>GRAF_PED!$A$31</c:f>
              <c:strCache>
                <c:ptCount val="1"/>
                <c:pt idx="0">
                  <c:v>CO</c:v>
                </c:pt>
              </c:strCache>
            </c:strRef>
          </c:tx>
          <c:marker>
            <c:symbol val="none"/>
          </c:marker>
          <c:cat>
            <c:numRef>
              <c:f>GRAF_PED!$B$2:$E$2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GRAF_PED!$B$31:$E$31</c:f>
              <c:numCache>
                <c:formatCode>#,##0.00</c:formatCode>
                <c:ptCount val="4"/>
                <c:pt idx="0">
                  <c:v>10.099367118766782</c:v>
                </c:pt>
                <c:pt idx="1">
                  <c:v>10.338544569444727</c:v>
                </c:pt>
                <c:pt idx="2">
                  <c:v>8.4860026139268783</c:v>
                </c:pt>
                <c:pt idx="3">
                  <c:v>7.0945554558493793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2D8-468B-A198-880BF51625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143552"/>
        <c:axId val="149145088"/>
      </c:radarChart>
      <c:catAx>
        <c:axId val="14914355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spPr>
          <a:ln w="19050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49145088"/>
        <c:crosses val="autoZero"/>
        <c:auto val="1"/>
        <c:lblAlgn val="ctr"/>
        <c:lblOffset val="100"/>
        <c:noMultiLvlLbl val="0"/>
      </c:catAx>
      <c:valAx>
        <c:axId val="149145088"/>
        <c:scaling>
          <c:orientation val="minMax"/>
          <c:max val="12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Mortes/109km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19050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49143552"/>
        <c:crosses val="autoZero"/>
        <c:crossBetween val="between"/>
        <c:majorUnit val="20"/>
      </c:valAx>
    </c:plotArea>
    <c:legend>
      <c:legendPos val="r"/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Acre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GRAF_PED!$A$5</c:f>
              <c:strCache>
                <c:ptCount val="1"/>
                <c:pt idx="0">
                  <c:v>Acre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GRAF_PED!$B$5:$E$5</c:f>
              <c:numCache>
                <c:formatCode>#,##0.00</c:formatCode>
                <c:ptCount val="4"/>
                <c:pt idx="0">
                  <c:v>2.545412298490819</c:v>
                </c:pt>
                <c:pt idx="1">
                  <c:v>2.4845675597771417</c:v>
                </c:pt>
                <c:pt idx="2">
                  <c:v>4.5366238431278543</c:v>
                </c:pt>
                <c:pt idx="3">
                  <c:v>7.7240921280482482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73-4A9B-8813-8E61E90A9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6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Mortes/109km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crossAx val="149154432"/>
        <c:crosses val="autoZero"/>
        <c:crossBetween val="between"/>
        <c:majorUnit val="1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Times New Roman" pitchFamily="18" charset="0"/>
          <a:ea typeface="+mn-ea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Amapá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GRAF_PED!$A$6</c:f>
              <c:strCache>
                <c:ptCount val="1"/>
                <c:pt idx="0">
                  <c:v>Amapá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GRAF_PED!$B$6:$E$6</c:f>
              <c:numCache>
                <c:formatCode>#,##0.00</c:formatCode>
                <c:ptCount val="4"/>
                <c:pt idx="0">
                  <c:v>0.98703560845174798</c:v>
                </c:pt>
                <c:pt idx="1">
                  <c:v>1.3202742075074134</c:v>
                </c:pt>
                <c:pt idx="2">
                  <c:v>7.8548825838741845</c:v>
                </c:pt>
                <c:pt idx="3">
                  <c:v>2.6172007048670913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94-43C6-B8FA-7052B73D7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6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Mortes/109km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crossAx val="149553920"/>
        <c:crosses val="autoZero"/>
        <c:crossBetween val="between"/>
        <c:majorUnit val="1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Times New Roman" pitchFamily="18" charset="0"/>
          <a:ea typeface="+mn-ea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Amazonas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GRAF_PED!$A$7</c:f>
              <c:strCache>
                <c:ptCount val="1"/>
                <c:pt idx="0">
                  <c:v>Amazonas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GRAF_PED!$B$7:$E$7</c:f>
              <c:numCache>
                <c:formatCode>#,##0.00</c:formatCode>
                <c:ptCount val="4"/>
                <c:pt idx="0">
                  <c:v>14.188339050825705</c:v>
                </c:pt>
                <c:pt idx="1">
                  <c:v>19.366846575245329</c:v>
                </c:pt>
                <c:pt idx="2">
                  <c:v>18.562794465165503</c:v>
                </c:pt>
                <c:pt idx="3">
                  <c:v>14.190511942481033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4C-435A-B29E-D36EF2697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76320"/>
        <c:axId val="149590400"/>
      </c:lineChart>
      <c:catAx>
        <c:axId val="149576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49590400"/>
        <c:crosses val="autoZero"/>
        <c:auto val="1"/>
        <c:lblAlgn val="ctr"/>
        <c:lblOffset val="100"/>
        <c:noMultiLvlLbl val="0"/>
      </c:catAx>
      <c:valAx>
        <c:axId val="149590400"/>
        <c:scaling>
          <c:orientation val="minMax"/>
          <c:max val="6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49576320"/>
        <c:crosses val="autoZero"/>
        <c:crossBetween val="between"/>
        <c:majorUnit val="1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GRAF_PED!$A$8</c:f>
              <c:strCache>
                <c:ptCount val="1"/>
                <c:pt idx="0">
                  <c:v>Pará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GRAF_PED!$B$8:$E$8</c:f>
              <c:numCache>
                <c:formatCode>#,##0.00</c:formatCode>
                <c:ptCount val="4"/>
                <c:pt idx="0">
                  <c:v>25.122783882122988</c:v>
                </c:pt>
                <c:pt idx="1">
                  <c:v>31.600019857081939</c:v>
                </c:pt>
                <c:pt idx="2">
                  <c:v>28.311898487588085</c:v>
                </c:pt>
                <c:pt idx="3">
                  <c:v>24.442754960360414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EE-482F-B88D-507D5A4E19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823872"/>
        <c:axId val="149825408"/>
      </c:lineChart>
      <c:catAx>
        <c:axId val="149823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49825408"/>
        <c:crosses val="autoZero"/>
        <c:auto val="1"/>
        <c:lblAlgn val="ctr"/>
        <c:lblOffset val="100"/>
        <c:noMultiLvlLbl val="0"/>
      </c:catAx>
      <c:valAx>
        <c:axId val="149825408"/>
        <c:scaling>
          <c:orientation val="minMax"/>
          <c:max val="6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49823872"/>
        <c:crosses val="autoZero"/>
        <c:crossBetween val="between"/>
        <c:majorUnit val="1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Rondônia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GRAF_PED!$A$9</c:f>
              <c:strCache>
                <c:ptCount val="1"/>
                <c:pt idx="0">
                  <c:v>Rondônia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GRAF_PED!$B$9:$E$9</c:f>
              <c:numCache>
                <c:formatCode>#,##0.00</c:formatCode>
                <c:ptCount val="4"/>
                <c:pt idx="0">
                  <c:v>6.2132908148437469</c:v>
                </c:pt>
                <c:pt idx="1">
                  <c:v>6.4056572156845961</c:v>
                </c:pt>
                <c:pt idx="2">
                  <c:v>5.1817996438748644</c:v>
                </c:pt>
                <c:pt idx="3">
                  <c:v>5.0943404520656888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0C-4D0F-8321-6A33916BC3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870848"/>
        <c:axId val="149876736"/>
      </c:lineChart>
      <c:catAx>
        <c:axId val="149870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49876736"/>
        <c:crosses val="autoZero"/>
        <c:auto val="1"/>
        <c:lblAlgn val="ctr"/>
        <c:lblOffset val="100"/>
        <c:noMultiLvlLbl val="0"/>
      </c:catAx>
      <c:valAx>
        <c:axId val="149876736"/>
        <c:scaling>
          <c:orientation val="minMax"/>
          <c:max val="6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49870848"/>
        <c:crosses val="autoZero"/>
        <c:crossBetween val="between"/>
        <c:majorUnit val="1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Roraima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GRAF_PED!$A$10</c:f>
              <c:strCache>
                <c:ptCount val="1"/>
                <c:pt idx="0">
                  <c:v>Roraima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GRAF_PED!$B$10:$E$10</c:f>
              <c:numCache>
                <c:formatCode>#,##0.00</c:formatCode>
                <c:ptCount val="4"/>
                <c:pt idx="0">
                  <c:v>5.4701160778846569</c:v>
                </c:pt>
                <c:pt idx="1">
                  <c:v>6.2878584770226063</c:v>
                </c:pt>
                <c:pt idx="2">
                  <c:v>6.1129673237591753</c:v>
                </c:pt>
                <c:pt idx="3">
                  <c:v>6.0921710942094549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5D-4A79-8020-BF725864DC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905792"/>
        <c:axId val="149907328"/>
      </c:lineChart>
      <c:catAx>
        <c:axId val="149905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49907328"/>
        <c:crosses val="autoZero"/>
        <c:auto val="1"/>
        <c:lblAlgn val="ctr"/>
        <c:lblOffset val="100"/>
        <c:noMultiLvlLbl val="0"/>
      </c:catAx>
      <c:valAx>
        <c:axId val="149907328"/>
        <c:scaling>
          <c:orientation val="minMax"/>
          <c:max val="6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49905792"/>
        <c:crosses val="autoZero"/>
        <c:crossBetween val="between"/>
        <c:majorUnit val="1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Tocantins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GRAF_PED!$A$11</c:f>
              <c:strCache>
                <c:ptCount val="1"/>
                <c:pt idx="0">
                  <c:v>Tocantins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GRAF_PED!$B$11:$E$11</c:f>
              <c:numCache>
                <c:formatCode>#,##0.00</c:formatCode>
                <c:ptCount val="4"/>
                <c:pt idx="0">
                  <c:v>8.6570431161132468</c:v>
                </c:pt>
                <c:pt idx="1">
                  <c:v>8.7483943734557883</c:v>
                </c:pt>
                <c:pt idx="2">
                  <c:v>6.342964552808354</c:v>
                </c:pt>
                <c:pt idx="3">
                  <c:v>6.6789412141142526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13-4B2D-9D29-A79834E3A4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936384"/>
        <c:axId val="150081536"/>
      </c:lineChart>
      <c:catAx>
        <c:axId val="149936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0081536"/>
        <c:crosses val="autoZero"/>
        <c:auto val="1"/>
        <c:lblAlgn val="ctr"/>
        <c:lblOffset val="100"/>
        <c:noMultiLvlLbl val="0"/>
      </c:catAx>
      <c:valAx>
        <c:axId val="150081536"/>
        <c:scaling>
          <c:orientation val="minMax"/>
          <c:max val="6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49936384"/>
        <c:crosses val="autoZero"/>
        <c:crossBetween val="between"/>
        <c:majorUnit val="1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Alagoas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GRAF_PED!$A$13</c:f>
              <c:strCache>
                <c:ptCount val="1"/>
                <c:pt idx="0">
                  <c:v>Alagoas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GRAF_PED!$B$13:$E$13</c:f>
              <c:numCache>
                <c:formatCode>#,##0.00</c:formatCode>
                <c:ptCount val="4"/>
                <c:pt idx="0">
                  <c:v>31.60202229922028</c:v>
                </c:pt>
                <c:pt idx="1">
                  <c:v>23.215416300095605</c:v>
                </c:pt>
                <c:pt idx="2">
                  <c:v>17.15690948148141</c:v>
                </c:pt>
                <c:pt idx="3">
                  <c:v>14.361709507676546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85-420F-A002-6DE35016EB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114688"/>
        <c:axId val="150116224"/>
      </c:lineChart>
      <c:catAx>
        <c:axId val="150114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0116224"/>
        <c:crosses val="autoZero"/>
        <c:auto val="1"/>
        <c:lblAlgn val="ctr"/>
        <c:lblOffset val="100"/>
        <c:noMultiLvlLbl val="0"/>
      </c:catAx>
      <c:valAx>
        <c:axId val="150116224"/>
        <c:scaling>
          <c:orientation val="minMax"/>
          <c:max val="7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0114688"/>
        <c:crosses val="autoZero"/>
        <c:crossBetween val="between"/>
        <c:majorUnit val="1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Bahia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GRAF_PED!$A$14</c:f>
              <c:strCache>
                <c:ptCount val="1"/>
                <c:pt idx="0">
                  <c:v>Bahia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GRAF_PED!$B$14:$E$14</c:f>
              <c:numCache>
                <c:formatCode>#,##0.00</c:formatCode>
                <c:ptCount val="4"/>
                <c:pt idx="0">
                  <c:v>10.606408665029312</c:v>
                </c:pt>
                <c:pt idx="1">
                  <c:v>15.388601353487998</c:v>
                </c:pt>
                <c:pt idx="2">
                  <c:v>12.171893334080089</c:v>
                </c:pt>
                <c:pt idx="3">
                  <c:v>11.2568679062854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0B-4022-812B-A10C85D8C8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345984"/>
        <c:axId val="150347776"/>
      </c:lineChart>
      <c:catAx>
        <c:axId val="150345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0347776"/>
        <c:crosses val="autoZero"/>
        <c:auto val="1"/>
        <c:lblAlgn val="ctr"/>
        <c:lblOffset val="100"/>
        <c:noMultiLvlLbl val="0"/>
      </c:catAx>
      <c:valAx>
        <c:axId val="150347776"/>
        <c:scaling>
          <c:orientation val="minMax"/>
          <c:max val="7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0345984"/>
        <c:crosses val="autoZero"/>
        <c:crossBetween val="between"/>
        <c:majorUnit val="1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Ceará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GRAF_PED!$A$15</c:f>
              <c:strCache>
                <c:ptCount val="1"/>
                <c:pt idx="0">
                  <c:v>Ceará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GRAF_PED!$B$15:$E$15</c:f>
              <c:numCache>
                <c:formatCode>#,##0.00</c:formatCode>
                <c:ptCount val="4"/>
                <c:pt idx="0">
                  <c:v>27.060921351334159</c:v>
                </c:pt>
                <c:pt idx="1">
                  <c:v>25.338077320328143</c:v>
                </c:pt>
                <c:pt idx="2">
                  <c:v>20.171338386576398</c:v>
                </c:pt>
                <c:pt idx="3">
                  <c:v>16.810565549046704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BF-46B7-97E4-C2C07059B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393216"/>
        <c:axId val="150394752"/>
      </c:lineChart>
      <c:catAx>
        <c:axId val="150393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0394752"/>
        <c:crosses val="autoZero"/>
        <c:auto val="1"/>
        <c:lblAlgn val="ctr"/>
        <c:lblOffset val="100"/>
        <c:noMultiLvlLbl val="0"/>
      </c:catAx>
      <c:valAx>
        <c:axId val="150394752"/>
        <c:scaling>
          <c:orientation val="minMax"/>
          <c:max val="7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0393216"/>
        <c:crosses val="autoZero"/>
        <c:crossBetween val="between"/>
        <c:majorUnit val="1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Maranhão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GRAF_PED!$A$16</c:f>
              <c:strCache>
                <c:ptCount val="1"/>
                <c:pt idx="0">
                  <c:v>Maranhão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GRAF_PED!$B$16:$E$16</c:f>
              <c:numCache>
                <c:formatCode>#,##0.00</c:formatCode>
                <c:ptCount val="4"/>
                <c:pt idx="0">
                  <c:v>18.699426910026563</c:v>
                </c:pt>
                <c:pt idx="1">
                  <c:v>19.00589633506257</c:v>
                </c:pt>
                <c:pt idx="2">
                  <c:v>15.580887912163726</c:v>
                </c:pt>
                <c:pt idx="3">
                  <c:v>14.563338090373879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FF-4DCE-90A1-8472FEEF75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612224"/>
        <c:axId val="150626304"/>
      </c:lineChart>
      <c:catAx>
        <c:axId val="150612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0626304"/>
        <c:crosses val="autoZero"/>
        <c:auto val="1"/>
        <c:lblAlgn val="ctr"/>
        <c:lblOffset val="100"/>
        <c:noMultiLvlLbl val="0"/>
      </c:catAx>
      <c:valAx>
        <c:axId val="150626304"/>
        <c:scaling>
          <c:orientation val="minMax"/>
          <c:max val="7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0612224"/>
        <c:crosses val="autoZero"/>
        <c:crossBetween val="between"/>
        <c:majorUnit val="1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Paraíba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GRAF_PED!$A$17</c:f>
              <c:strCache>
                <c:ptCount val="1"/>
                <c:pt idx="0">
                  <c:v>Paraíba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GRAF_PED!$B$17:$E$17</c:f>
              <c:numCache>
                <c:formatCode>#,##0.00</c:formatCode>
                <c:ptCount val="4"/>
                <c:pt idx="0">
                  <c:v>7.6481460114970634</c:v>
                </c:pt>
                <c:pt idx="1">
                  <c:v>9.354244648913852</c:v>
                </c:pt>
                <c:pt idx="2">
                  <c:v>6.5283324710446795</c:v>
                </c:pt>
                <c:pt idx="3">
                  <c:v>8.1954602903004563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19-4B05-A067-95E3BDEAE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798720"/>
        <c:axId val="150800256"/>
      </c:lineChart>
      <c:catAx>
        <c:axId val="150798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0800256"/>
        <c:crosses val="autoZero"/>
        <c:auto val="1"/>
        <c:lblAlgn val="ctr"/>
        <c:lblOffset val="100"/>
        <c:noMultiLvlLbl val="0"/>
      </c:catAx>
      <c:valAx>
        <c:axId val="150800256"/>
        <c:scaling>
          <c:orientation val="minMax"/>
          <c:max val="7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0798720"/>
        <c:crosses val="autoZero"/>
        <c:crossBetween val="between"/>
        <c:majorUnit val="1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Pernambuco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GRAF_PED!$A$18</c:f>
              <c:strCache>
                <c:ptCount val="1"/>
                <c:pt idx="0">
                  <c:v>Pernambuco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GRAF_PED!$B$18:$E$18</c:f>
              <c:numCache>
                <c:formatCode>#,##0.00</c:formatCode>
                <c:ptCount val="4"/>
                <c:pt idx="0">
                  <c:v>25.271355737913925</c:v>
                </c:pt>
                <c:pt idx="1">
                  <c:v>22.285129570802003</c:v>
                </c:pt>
                <c:pt idx="2">
                  <c:v>16.077353025141438</c:v>
                </c:pt>
                <c:pt idx="3">
                  <c:v>13.796090465772778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50-4497-A064-0C2EDF148F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829312"/>
        <c:axId val="150839296"/>
      </c:lineChart>
      <c:catAx>
        <c:axId val="150829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0839296"/>
        <c:crosses val="autoZero"/>
        <c:auto val="1"/>
        <c:lblAlgn val="ctr"/>
        <c:lblOffset val="100"/>
        <c:noMultiLvlLbl val="0"/>
      </c:catAx>
      <c:valAx>
        <c:axId val="150839296"/>
        <c:scaling>
          <c:orientation val="minMax"/>
          <c:max val="7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0829312"/>
        <c:crosses val="autoZero"/>
        <c:crossBetween val="between"/>
        <c:majorUnit val="1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Piauí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GRAF_PED!$A$19</c:f>
              <c:strCache>
                <c:ptCount val="1"/>
                <c:pt idx="0">
                  <c:v>Piauí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GRAF_PED!$B$19:$E$19</c:f>
              <c:numCache>
                <c:formatCode>#,##0.00</c:formatCode>
                <c:ptCount val="4"/>
                <c:pt idx="0">
                  <c:v>20.788045281631021</c:v>
                </c:pt>
                <c:pt idx="1">
                  <c:v>21.57901530022302</c:v>
                </c:pt>
                <c:pt idx="2">
                  <c:v>17.176059865894167</c:v>
                </c:pt>
                <c:pt idx="3">
                  <c:v>13.467320738553996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59-4E19-A639-928246225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999424"/>
        <c:axId val="151000960"/>
      </c:lineChart>
      <c:catAx>
        <c:axId val="150999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1000960"/>
        <c:crosses val="autoZero"/>
        <c:auto val="1"/>
        <c:lblAlgn val="ctr"/>
        <c:lblOffset val="100"/>
        <c:noMultiLvlLbl val="0"/>
      </c:catAx>
      <c:valAx>
        <c:axId val="151000960"/>
        <c:scaling>
          <c:orientation val="minMax"/>
          <c:max val="7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0999424"/>
        <c:crosses val="autoZero"/>
        <c:crossBetween val="between"/>
        <c:majorUnit val="1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 Grande do Norte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GRAF_PED!$A$20</c:f>
              <c:strCache>
                <c:ptCount val="1"/>
                <c:pt idx="0">
                  <c:v>Rio Grande do Norte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GRAF_PED!$B$20:$E$20</c:f>
              <c:numCache>
                <c:formatCode>#,##0.00</c:formatCode>
                <c:ptCount val="4"/>
                <c:pt idx="0">
                  <c:v>8.1494508172449311</c:v>
                </c:pt>
                <c:pt idx="1">
                  <c:v>10.700575126836805</c:v>
                </c:pt>
                <c:pt idx="2">
                  <c:v>7.4063486686279045</c:v>
                </c:pt>
                <c:pt idx="3">
                  <c:v>5.4922865425132992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0B-4ECC-9C88-B2E11724EB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034112"/>
        <c:axId val="151048192"/>
      </c:lineChart>
      <c:catAx>
        <c:axId val="151034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1048192"/>
        <c:crosses val="autoZero"/>
        <c:auto val="1"/>
        <c:lblAlgn val="ctr"/>
        <c:lblOffset val="100"/>
        <c:noMultiLvlLbl val="0"/>
      </c:catAx>
      <c:valAx>
        <c:axId val="151048192"/>
        <c:scaling>
          <c:orientation val="minMax"/>
          <c:max val="7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1034112"/>
        <c:crosses val="autoZero"/>
        <c:crossBetween val="between"/>
        <c:majorUnit val="1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Sergipe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GRAF_PED!$A$21</c:f>
              <c:strCache>
                <c:ptCount val="1"/>
                <c:pt idx="0">
                  <c:v>Sergipe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GRAF_PED!$B$21:$E$21</c:f>
              <c:numCache>
                <c:formatCode>#,##0.00</c:formatCode>
                <c:ptCount val="4"/>
                <c:pt idx="0">
                  <c:v>21.459860277203809</c:v>
                </c:pt>
                <c:pt idx="1">
                  <c:v>19.007715213026017</c:v>
                </c:pt>
                <c:pt idx="2">
                  <c:v>16.715653616708792</c:v>
                </c:pt>
                <c:pt idx="3">
                  <c:v>11.725948081284555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21-4674-8E63-C1FDEEC45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409024"/>
        <c:axId val="151410560"/>
      </c:lineChart>
      <c:catAx>
        <c:axId val="151409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1410560"/>
        <c:crosses val="autoZero"/>
        <c:auto val="1"/>
        <c:lblAlgn val="ctr"/>
        <c:lblOffset val="100"/>
        <c:noMultiLvlLbl val="0"/>
      </c:catAx>
      <c:valAx>
        <c:axId val="151410560"/>
        <c:scaling>
          <c:orientation val="minMax"/>
          <c:max val="7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1409024"/>
        <c:crosses val="autoZero"/>
        <c:crossBetween val="between"/>
        <c:majorUnit val="1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Espírito Santo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GRAF_PED!$A$23</c:f>
              <c:strCache>
                <c:ptCount val="1"/>
                <c:pt idx="0">
                  <c:v>Espírito Santo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GRAF_PED!$B$23:$E$23</c:f>
              <c:numCache>
                <c:formatCode>#,##0.00</c:formatCode>
                <c:ptCount val="4"/>
                <c:pt idx="0">
                  <c:v>16.679421505631261</c:v>
                </c:pt>
                <c:pt idx="1">
                  <c:v>16.386507049118155</c:v>
                </c:pt>
                <c:pt idx="2">
                  <c:v>14.803268139538426</c:v>
                </c:pt>
                <c:pt idx="3">
                  <c:v>11.853467641267839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9D-4167-A9E8-5E7F88587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525632"/>
        <c:axId val="151531520"/>
      </c:lineChart>
      <c:catAx>
        <c:axId val="151525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1531520"/>
        <c:crosses val="autoZero"/>
        <c:auto val="1"/>
        <c:lblAlgn val="ctr"/>
        <c:lblOffset val="100"/>
        <c:noMultiLvlLbl val="0"/>
      </c:catAx>
      <c:valAx>
        <c:axId val="151531520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1525632"/>
        <c:crosses val="autoZero"/>
        <c:crossBetween val="between"/>
        <c:majorUnit val="1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Minas Gerais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GRAF_PED!$A$24</c:f>
              <c:strCache>
                <c:ptCount val="1"/>
                <c:pt idx="0">
                  <c:v>Minas Gerais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cat>
            <c:numRef>
              <c:f>GRAF_PED!$B$2:$E$2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GRAF_PED!$B$24:$E$24</c:f>
              <c:numCache>
                <c:formatCode>#,##0.00</c:formatCode>
                <c:ptCount val="4"/>
                <c:pt idx="0">
                  <c:v>9.666732567112458</c:v>
                </c:pt>
                <c:pt idx="1">
                  <c:v>9.0269067197730024</c:v>
                </c:pt>
                <c:pt idx="2">
                  <c:v>7.7583221891447911</c:v>
                </c:pt>
                <c:pt idx="3">
                  <c:v>6.9472413493231224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2F-4BD5-A393-D796B773254A}"/>
            </c:ext>
          </c:extLst>
        </c:ser>
        <c:ser>
          <c:idx val="2"/>
          <c:order val="0"/>
          <c:tx>
            <c:strRef>
              <c:f>GRAF_PED!$A$24</c:f>
              <c:strCache>
                <c:ptCount val="1"/>
                <c:pt idx="0">
                  <c:v>Minas Gerais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GRAF_PED!$B$24:$E$24</c:f>
              <c:numCache>
                <c:formatCode>#,##0.00</c:formatCode>
                <c:ptCount val="4"/>
                <c:pt idx="0">
                  <c:v>9.666732567112458</c:v>
                </c:pt>
                <c:pt idx="1">
                  <c:v>9.0269067197730024</c:v>
                </c:pt>
                <c:pt idx="2">
                  <c:v>7.7583221891447911</c:v>
                </c:pt>
                <c:pt idx="3">
                  <c:v>6.9472413493231224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2F-4BD5-A393-D796B77325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574016"/>
        <c:axId val="151575552"/>
      </c:lineChart>
      <c:catAx>
        <c:axId val="151574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1575552"/>
        <c:crosses val="autoZero"/>
        <c:auto val="1"/>
        <c:lblAlgn val="ctr"/>
        <c:lblOffset val="100"/>
        <c:noMultiLvlLbl val="0"/>
      </c:catAx>
      <c:valAx>
        <c:axId val="151575552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1574016"/>
        <c:crosses val="autoZero"/>
        <c:crossBetween val="between"/>
        <c:majorUnit val="1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 de Janeiro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GRAF_PED!$A$25</c:f>
              <c:strCache>
                <c:ptCount val="1"/>
                <c:pt idx="0">
                  <c:v>Rio de Janeiro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rgbClr val="8064A2">
                    <a:lumMod val="75000"/>
                  </a:srgbClr>
                </a:solidFill>
              </a:ln>
            </c:spPr>
          </c:marker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GRAF_PED!$B$25:$E$25</c:f>
              <c:numCache>
                <c:formatCode>#,##0.00</c:formatCode>
                <c:ptCount val="4"/>
                <c:pt idx="0">
                  <c:v>17.566680175235444</c:v>
                </c:pt>
                <c:pt idx="1">
                  <c:v>21.720201503523196</c:v>
                </c:pt>
                <c:pt idx="2">
                  <c:v>18.172700747278654</c:v>
                </c:pt>
                <c:pt idx="3">
                  <c:v>15.636009596680276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DE-4CE9-AAA8-AF19CDD23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913600"/>
        <c:axId val="155935872"/>
      </c:lineChart>
      <c:catAx>
        <c:axId val="155913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5935872"/>
        <c:crosses val="autoZero"/>
        <c:auto val="1"/>
        <c:lblAlgn val="ctr"/>
        <c:lblOffset val="100"/>
        <c:noMultiLvlLbl val="0"/>
      </c:catAx>
      <c:valAx>
        <c:axId val="155935872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5913600"/>
        <c:crosses val="autoZero"/>
        <c:crossBetween val="between"/>
        <c:majorUnit val="1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São Paulo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GRAF_PED!$A$26</c:f>
              <c:strCache>
                <c:ptCount val="1"/>
                <c:pt idx="0">
                  <c:v>São Paulo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GRAF_PED!$B$26:$E$26</c:f>
              <c:numCache>
                <c:formatCode>#,##0.00</c:formatCode>
                <c:ptCount val="4"/>
                <c:pt idx="0">
                  <c:v>9.6266957575851784</c:v>
                </c:pt>
                <c:pt idx="1">
                  <c:v>8.8459039770935384</c:v>
                </c:pt>
                <c:pt idx="2">
                  <c:v>8.3208107453785445</c:v>
                </c:pt>
                <c:pt idx="3">
                  <c:v>7.5397248142761031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7F-492A-ABC3-A963CAF18F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969024"/>
        <c:axId val="155970560"/>
      </c:lineChart>
      <c:catAx>
        <c:axId val="155969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5970560"/>
        <c:crosses val="autoZero"/>
        <c:auto val="1"/>
        <c:lblAlgn val="ctr"/>
        <c:lblOffset val="100"/>
        <c:noMultiLvlLbl val="0"/>
      </c:catAx>
      <c:valAx>
        <c:axId val="155970560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5969024"/>
        <c:crosses val="autoZero"/>
        <c:crossBetween val="between"/>
        <c:majorUnit val="1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Paraná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GRAF_PED!$A$28</c:f>
              <c:strCache>
                <c:ptCount val="1"/>
                <c:pt idx="0">
                  <c:v>Paraná</c:v>
                </c:pt>
              </c:strCache>
            </c:strRef>
          </c:tx>
          <c:spPr>
            <a:ln w="38100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GRAF_PED!$B$28:$E$28</c:f>
              <c:numCache>
                <c:formatCode>#,##0.00</c:formatCode>
                <c:ptCount val="4"/>
                <c:pt idx="0">
                  <c:v>15.451341601774759</c:v>
                </c:pt>
                <c:pt idx="1">
                  <c:v>13.638853987932551</c:v>
                </c:pt>
                <c:pt idx="2">
                  <c:v>11.768025593262543</c:v>
                </c:pt>
                <c:pt idx="3">
                  <c:v>10.265096248731496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7B-4F51-935D-E23223A309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519808"/>
        <c:axId val="156521600"/>
      </c:lineChart>
      <c:catAx>
        <c:axId val="156519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6521600"/>
        <c:crosses val="autoZero"/>
        <c:auto val="1"/>
        <c:lblAlgn val="ctr"/>
        <c:lblOffset val="100"/>
        <c:noMultiLvlLbl val="0"/>
      </c:catAx>
      <c:valAx>
        <c:axId val="156521600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6519808"/>
        <c:crosses val="autoZero"/>
        <c:crossBetween val="between"/>
        <c:majorUnit val="1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</a:t>
            </a:r>
            <a:r>
              <a:rPr lang="pt-BR" baseline="0"/>
              <a:t> Grande do Sul</a:t>
            </a:r>
            <a:endParaRPr lang="pt-BR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GRAF_PED!$A$29</c:f>
              <c:strCache>
                <c:ptCount val="1"/>
                <c:pt idx="0">
                  <c:v>Rio Grande do Sul</c:v>
                </c:pt>
              </c:strCache>
            </c:strRef>
          </c:tx>
          <c:spPr>
            <a:ln w="38100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GRAF_PED!$B$29:$E$29</c:f>
              <c:numCache>
                <c:formatCode>#,##0.00</c:formatCode>
                <c:ptCount val="4"/>
                <c:pt idx="0">
                  <c:v>9.0822559672361436</c:v>
                </c:pt>
                <c:pt idx="1">
                  <c:v>8.849144139432136</c:v>
                </c:pt>
                <c:pt idx="2">
                  <c:v>7.5848029568547961</c:v>
                </c:pt>
                <c:pt idx="3">
                  <c:v>6.5207073896940049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C3-4F79-B943-A1ED0C2244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570752"/>
        <c:axId val="156572288"/>
      </c:lineChart>
      <c:catAx>
        <c:axId val="156570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6572288"/>
        <c:crosses val="autoZero"/>
        <c:auto val="1"/>
        <c:lblAlgn val="ctr"/>
        <c:lblOffset val="100"/>
        <c:noMultiLvlLbl val="0"/>
      </c:catAx>
      <c:valAx>
        <c:axId val="156572288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6570752"/>
        <c:crosses val="autoZero"/>
        <c:crossBetween val="between"/>
        <c:majorUnit val="1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Santa</a:t>
            </a:r>
            <a:r>
              <a:rPr lang="pt-BR" baseline="0"/>
              <a:t> Catarina</a:t>
            </a:r>
            <a:endParaRPr lang="pt-BR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GRAF_PED!$A$30</c:f>
              <c:strCache>
                <c:ptCount val="1"/>
                <c:pt idx="0">
                  <c:v>Santa Catarina</c:v>
                </c:pt>
              </c:strCache>
            </c:strRef>
          </c:tx>
          <c:spPr>
            <a:ln w="38100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GRAF_PED!$B$30:$E$30</c:f>
              <c:numCache>
                <c:formatCode>#,##0.00</c:formatCode>
                <c:ptCount val="4"/>
                <c:pt idx="0">
                  <c:v>9.9879980489320328</c:v>
                </c:pt>
                <c:pt idx="1">
                  <c:v>8.5840163327837971</c:v>
                </c:pt>
                <c:pt idx="2">
                  <c:v>7.7726506139282758</c:v>
                </c:pt>
                <c:pt idx="3">
                  <c:v>7.0694232614380983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FD-4A71-B37C-A1B6D978BE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597248"/>
        <c:axId val="156599040"/>
      </c:lineChart>
      <c:catAx>
        <c:axId val="156597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6599040"/>
        <c:crosses val="autoZero"/>
        <c:auto val="1"/>
        <c:lblAlgn val="ctr"/>
        <c:lblOffset val="100"/>
        <c:noMultiLvlLbl val="0"/>
      </c:catAx>
      <c:valAx>
        <c:axId val="156599040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6597248"/>
        <c:crosses val="autoZero"/>
        <c:crossBetween val="between"/>
        <c:majorUnit val="1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Distrito Federal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GRAF_PED!$A$32</c:f>
              <c:strCache>
                <c:ptCount val="1"/>
                <c:pt idx="0">
                  <c:v>Distrito Federal</c:v>
                </c:pt>
              </c:strCache>
            </c:strRef>
          </c:tx>
          <c:spPr>
            <a:ln w="381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GRAF_PED!$B$32:$E$32</c:f>
              <c:numCache>
                <c:formatCode>#,##0.00</c:formatCode>
                <c:ptCount val="4"/>
                <c:pt idx="0">
                  <c:v>13.943041439552394</c:v>
                </c:pt>
                <c:pt idx="1">
                  <c:v>16.661525569159071</c:v>
                </c:pt>
                <c:pt idx="2">
                  <c:v>12.651861701909677</c:v>
                </c:pt>
                <c:pt idx="3">
                  <c:v>9.5533303749318677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FA-4A89-985F-6C856BAB6F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718208"/>
        <c:axId val="156719744"/>
      </c:lineChart>
      <c:catAx>
        <c:axId val="156718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6719744"/>
        <c:crosses val="autoZero"/>
        <c:auto val="1"/>
        <c:lblAlgn val="ctr"/>
        <c:lblOffset val="100"/>
        <c:noMultiLvlLbl val="0"/>
      </c:catAx>
      <c:valAx>
        <c:axId val="156719744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6718208"/>
        <c:crosses val="autoZero"/>
        <c:crossBetween val="between"/>
        <c:majorUnit val="1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Goiás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GRAF_PED!$A$33</c:f>
              <c:strCache>
                <c:ptCount val="1"/>
                <c:pt idx="0">
                  <c:v>Goiás</c:v>
                </c:pt>
              </c:strCache>
            </c:strRef>
          </c:tx>
          <c:spPr>
            <a:ln w="381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GRAF_PED!$B$33:$E$33</c:f>
              <c:numCache>
                <c:formatCode>#,##0.00</c:formatCode>
                <c:ptCount val="4"/>
                <c:pt idx="0">
                  <c:v>9.1110361223436307</c:v>
                </c:pt>
                <c:pt idx="1">
                  <c:v>9.1250324336364148</c:v>
                </c:pt>
                <c:pt idx="2">
                  <c:v>7.4015959830858629</c:v>
                </c:pt>
                <c:pt idx="3">
                  <c:v>7.5618313279579095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F7-4C53-8907-0FE5DC5E7C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736512"/>
        <c:axId val="156750592"/>
      </c:lineChart>
      <c:catAx>
        <c:axId val="156736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6750592"/>
        <c:crosses val="autoZero"/>
        <c:auto val="1"/>
        <c:lblAlgn val="ctr"/>
        <c:lblOffset val="100"/>
        <c:noMultiLvlLbl val="0"/>
      </c:catAx>
      <c:valAx>
        <c:axId val="156750592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6736512"/>
        <c:crosses val="autoZero"/>
        <c:crossBetween val="between"/>
        <c:majorUnit val="1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Mato Grosso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GRAF_PED!$A$34</c:f>
              <c:strCache>
                <c:ptCount val="1"/>
                <c:pt idx="0">
                  <c:v>Mato Grosso</c:v>
                </c:pt>
              </c:strCache>
            </c:strRef>
          </c:tx>
          <c:spPr>
            <a:ln w="381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GRAF_PED!$B$34:$E$34</c:f>
              <c:numCache>
                <c:formatCode>#,##0.00</c:formatCode>
                <c:ptCount val="4"/>
                <c:pt idx="0">
                  <c:v>9.1914484374765362</c:v>
                </c:pt>
                <c:pt idx="1">
                  <c:v>8.4581728512982508</c:v>
                </c:pt>
                <c:pt idx="2">
                  <c:v>6.691864848511905</c:v>
                </c:pt>
                <c:pt idx="3">
                  <c:v>5.451600543684437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6B-442A-A169-1DABAE16A7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857472"/>
        <c:axId val="156859008"/>
      </c:lineChart>
      <c:catAx>
        <c:axId val="156857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6859008"/>
        <c:crosses val="autoZero"/>
        <c:auto val="1"/>
        <c:lblAlgn val="ctr"/>
        <c:lblOffset val="100"/>
        <c:noMultiLvlLbl val="0"/>
      </c:catAx>
      <c:valAx>
        <c:axId val="156859008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6857472"/>
        <c:crosses val="autoZero"/>
        <c:crossBetween val="between"/>
        <c:majorUnit val="1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Mato Grosso do Sul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GRAF_PED!$A$35</c:f>
              <c:strCache>
                <c:ptCount val="1"/>
                <c:pt idx="0">
                  <c:v>Mato Grosso do Sul</c:v>
                </c:pt>
              </c:strCache>
            </c:strRef>
          </c:tx>
          <c:spPr>
            <a:ln w="381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GRAF_PED!$B$35:$E$35</c:f>
              <c:numCache>
                <c:formatCode>#,##0.00</c:formatCode>
                <c:ptCount val="4"/>
                <c:pt idx="0">
                  <c:v>9.4135231426903623</c:v>
                </c:pt>
                <c:pt idx="1">
                  <c:v>9.0026141495816976</c:v>
                </c:pt>
                <c:pt idx="2">
                  <c:v>9.0497338548173776</c:v>
                </c:pt>
                <c:pt idx="3">
                  <c:v>5.7544252391134405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36-4EEF-960A-B6741B9D7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875776"/>
        <c:axId val="157172480"/>
      </c:lineChart>
      <c:catAx>
        <c:axId val="156875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7172480"/>
        <c:crosses val="autoZero"/>
        <c:auto val="1"/>
        <c:lblAlgn val="ctr"/>
        <c:lblOffset val="100"/>
        <c:noMultiLvlLbl val="0"/>
      </c:catAx>
      <c:valAx>
        <c:axId val="157172480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6875776"/>
        <c:crosses val="autoZero"/>
        <c:crossBetween val="between"/>
        <c:majorUnit val="1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Brasil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GRAF_PED!$A$3</c:f>
              <c:strCache>
                <c:ptCount val="1"/>
                <c:pt idx="0">
                  <c:v>Brasil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circle"/>
            <c:size val="8"/>
            <c:spPr>
              <a:solidFill>
                <a:srgbClr val="FFFF66"/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GRAF_PED!$B$3:$E$3</c:f>
              <c:numCache>
                <c:formatCode>#,##0.00</c:formatCode>
                <c:ptCount val="4"/>
                <c:pt idx="0">
                  <c:v>12.448010877492399</c:v>
                </c:pt>
                <c:pt idx="1">
                  <c:v>12.63047344090109</c:v>
                </c:pt>
                <c:pt idx="2">
                  <c:v>10.859759939704716</c:v>
                </c:pt>
                <c:pt idx="3">
                  <c:v>9.5691222585362308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90-47E6-8DB8-6794A73D0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193344"/>
        <c:axId val="157194880"/>
      </c:lineChart>
      <c:catAx>
        <c:axId val="157193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7194880"/>
        <c:crosses val="autoZero"/>
        <c:auto val="1"/>
        <c:lblAlgn val="ctr"/>
        <c:lblOffset val="100"/>
        <c:noMultiLvlLbl val="0"/>
      </c:catAx>
      <c:valAx>
        <c:axId val="157194880"/>
        <c:scaling>
          <c:orientation val="minMax"/>
          <c:max val="80"/>
          <c:min val="5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7193344"/>
        <c:crosses val="autoZero"/>
        <c:crossBetween val="between"/>
        <c:majorUnit val="1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Brasil e regiões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GRAF_CIC!$A$3</c:f>
              <c:strCache>
                <c:ptCount val="1"/>
                <c:pt idx="0">
                  <c:v>Brasil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/>
            <c:extLst>
              <c:ext xmlns:c16="http://schemas.microsoft.com/office/drawing/2014/chart" uri="{C3380CC4-5D6E-409C-BE32-E72D297353CC}">
                <c16:uniqueId val="{00000001-F68D-4948-A740-D6069D9511CE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GRAF_CIC!$B$3:$E$3</c:f>
              <c:numCache>
                <c:formatCode>#,##0.00</c:formatCode>
                <c:ptCount val="4"/>
                <c:pt idx="0">
                  <c:v>2.1929439723432869</c:v>
                </c:pt>
                <c:pt idx="1">
                  <c:v>1.9065111785470081</c:v>
                </c:pt>
                <c:pt idx="2">
                  <c:v>1.6819384296859743</c:v>
                </c:pt>
                <c:pt idx="3">
                  <c:v>1.6026389091760471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8D-4948-A740-D6069D9511CE}"/>
            </c:ext>
          </c:extLst>
        </c:ser>
        <c:ser>
          <c:idx val="1"/>
          <c:order val="1"/>
          <c:tx>
            <c:strRef>
              <c:f>GRAF_CIC!$A$4</c:f>
              <c:strCache>
                <c:ptCount val="1"/>
                <c:pt idx="0">
                  <c:v>N</c:v>
                </c:pt>
              </c:strCache>
            </c:strRef>
          </c:tx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GRAF_CIC!$B$4:$E$4</c:f>
              <c:numCache>
                <c:formatCode>#,##0.00</c:formatCode>
                <c:ptCount val="4"/>
                <c:pt idx="0">
                  <c:v>2.0551144448005645</c:v>
                </c:pt>
                <c:pt idx="1">
                  <c:v>1.6615027732207923</c:v>
                </c:pt>
                <c:pt idx="2">
                  <c:v>1.7687572901030642</c:v>
                </c:pt>
                <c:pt idx="3">
                  <c:v>1.9851377537720574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8D-4948-A740-D6069D9511CE}"/>
            </c:ext>
          </c:extLst>
        </c:ser>
        <c:ser>
          <c:idx val="2"/>
          <c:order val="2"/>
          <c:tx>
            <c:strRef>
              <c:f>GRAF_CIC!$A$12</c:f>
              <c:strCache>
                <c:ptCount val="1"/>
                <c:pt idx="0">
                  <c:v>NE</c:v>
                </c:pt>
              </c:strCache>
            </c:strRef>
          </c:tx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GRAF_CIC!$B$12:$E$12</c:f>
              <c:numCache>
                <c:formatCode>#,##0.00</c:formatCode>
                <c:ptCount val="4"/>
                <c:pt idx="0">
                  <c:v>2.6168316509865299</c:v>
                </c:pt>
                <c:pt idx="1">
                  <c:v>2.60767952887685</c:v>
                </c:pt>
                <c:pt idx="2">
                  <c:v>1.9252627615107574</c:v>
                </c:pt>
                <c:pt idx="3">
                  <c:v>1.748287744130959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8D-4948-A740-D6069D9511CE}"/>
            </c:ext>
          </c:extLst>
        </c:ser>
        <c:ser>
          <c:idx val="3"/>
          <c:order val="3"/>
          <c:tx>
            <c:strRef>
              <c:f>GRAF_CIC!$A$22</c:f>
              <c:strCache>
                <c:ptCount val="1"/>
                <c:pt idx="0">
                  <c:v>SE</c:v>
                </c:pt>
              </c:strCache>
            </c:strRef>
          </c:tx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GRAF_CIC!$B$22:$E$22</c:f>
              <c:numCache>
                <c:formatCode>#,##0.00</c:formatCode>
                <c:ptCount val="4"/>
                <c:pt idx="0">
                  <c:v>1.6755811253356148</c:v>
                </c:pt>
                <c:pt idx="1">
                  <c:v>1.4634672012262424</c:v>
                </c:pt>
                <c:pt idx="2">
                  <c:v>1.204752999717672</c:v>
                </c:pt>
                <c:pt idx="3">
                  <c:v>1.1541277572163753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8D-4948-A740-D6069D9511CE}"/>
            </c:ext>
          </c:extLst>
        </c:ser>
        <c:ser>
          <c:idx val="4"/>
          <c:order val="4"/>
          <c:tx>
            <c:strRef>
              <c:f>GRAF_CIC!$A$27</c:f>
              <c:strCache>
                <c:ptCount val="1"/>
                <c:pt idx="0">
                  <c:v>S</c:v>
                </c:pt>
              </c:strCache>
            </c:strRef>
          </c:tx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GRAF_CIC!$B$27:$E$27</c:f>
              <c:numCache>
                <c:formatCode>#,##0.00</c:formatCode>
                <c:ptCount val="4"/>
                <c:pt idx="0">
                  <c:v>2.6973652172214195</c:v>
                </c:pt>
                <c:pt idx="1">
                  <c:v>2.2376906489999917</c:v>
                </c:pt>
                <c:pt idx="2">
                  <c:v>2.0877620143241296</c:v>
                </c:pt>
                <c:pt idx="3">
                  <c:v>1.992972090655029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8D-4948-A740-D6069D9511CE}"/>
            </c:ext>
          </c:extLst>
        </c:ser>
        <c:ser>
          <c:idx val="5"/>
          <c:order val="5"/>
          <c:tx>
            <c:strRef>
              <c:f>GRAF_CIC!$A$31</c:f>
              <c:strCache>
                <c:ptCount val="1"/>
                <c:pt idx="0">
                  <c:v>CO</c:v>
                </c:pt>
              </c:strCache>
            </c:strRef>
          </c:tx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GRAF_CIC!$B$31:$E$31</c:f>
              <c:numCache>
                <c:formatCode>#,##0.00</c:formatCode>
                <c:ptCount val="4"/>
                <c:pt idx="0">
                  <c:v>3.2033234914150146</c:v>
                </c:pt>
                <c:pt idx="1">
                  <c:v>2.3695255799367554</c:v>
                </c:pt>
                <c:pt idx="2">
                  <c:v>2.7674409678895735</c:v>
                </c:pt>
                <c:pt idx="3">
                  <c:v>2.4230635556900957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68D-4948-A740-D6069D951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7669248"/>
        <c:axId val="157670784"/>
      </c:barChart>
      <c:catAx>
        <c:axId val="157669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57670784"/>
        <c:crosses val="autoZero"/>
        <c:auto val="1"/>
        <c:lblAlgn val="ctr"/>
        <c:lblOffset val="100"/>
        <c:noMultiLvlLbl val="0"/>
      </c:catAx>
      <c:valAx>
        <c:axId val="157670784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Mortes/109km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19050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57669248"/>
        <c:crosses val="autoZero"/>
        <c:crossBetween val="between"/>
        <c:majorUnit val="2"/>
      </c:valAx>
    </c:plotArea>
    <c:legend>
      <c:legendPos val="b"/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Brasil e regiões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GRAF_CIC!$A$3</c:f>
              <c:strCache>
                <c:ptCount val="1"/>
                <c:pt idx="0">
                  <c:v>Brasil</c:v>
                </c:pt>
              </c:strCache>
            </c:strRef>
          </c:tx>
          <c:marker>
            <c:symbol val="circle"/>
            <c:size val="5"/>
            <c:spPr>
              <a:ln>
                <a:solidFill>
                  <a:prstClr val="black"/>
                </a:solidFill>
              </a:ln>
            </c:spPr>
          </c:marker>
          <c:cat>
            <c:numRef>
              <c:f>GRAF_CIC!$B$2:$E$2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GRAF_CIC!$B$3:$E$3</c:f>
              <c:numCache>
                <c:formatCode>#,##0.00</c:formatCode>
                <c:ptCount val="4"/>
                <c:pt idx="0">
                  <c:v>2.1929439723432869</c:v>
                </c:pt>
                <c:pt idx="1">
                  <c:v>1.9065111785470081</c:v>
                </c:pt>
                <c:pt idx="2">
                  <c:v>1.6819384296859743</c:v>
                </c:pt>
                <c:pt idx="3">
                  <c:v>1.6026389091760471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A0-4A27-9968-6897513306D9}"/>
            </c:ext>
          </c:extLst>
        </c:ser>
        <c:ser>
          <c:idx val="1"/>
          <c:order val="1"/>
          <c:tx>
            <c:strRef>
              <c:f>GRAF_CIC!$A$4</c:f>
              <c:strCache>
                <c:ptCount val="1"/>
                <c:pt idx="0">
                  <c:v>N</c:v>
                </c:pt>
              </c:strCache>
            </c:strRef>
          </c:tx>
          <c:marker>
            <c:symbol val="circle"/>
            <c:size val="5"/>
            <c:spPr>
              <a:ln>
                <a:solidFill>
                  <a:prstClr val="black"/>
                </a:solidFill>
              </a:ln>
            </c:spPr>
          </c:marker>
          <c:cat>
            <c:numRef>
              <c:f>GRAF_CIC!$B$2:$E$2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GRAF_CIC!$B$4:$E$4</c:f>
              <c:numCache>
                <c:formatCode>#,##0.00</c:formatCode>
                <c:ptCount val="4"/>
                <c:pt idx="0">
                  <c:v>2.0551144448005645</c:v>
                </c:pt>
                <c:pt idx="1">
                  <c:v>1.6615027732207923</c:v>
                </c:pt>
                <c:pt idx="2">
                  <c:v>1.7687572901030642</c:v>
                </c:pt>
                <c:pt idx="3">
                  <c:v>1.9851377537720574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A0-4A27-9968-6897513306D9}"/>
            </c:ext>
          </c:extLst>
        </c:ser>
        <c:ser>
          <c:idx val="2"/>
          <c:order val="2"/>
          <c:tx>
            <c:strRef>
              <c:f>GRAF_CIC!$A$12</c:f>
              <c:strCache>
                <c:ptCount val="1"/>
                <c:pt idx="0">
                  <c:v>NE</c:v>
                </c:pt>
              </c:strCache>
            </c:strRef>
          </c:tx>
          <c:marker>
            <c:symbol val="circle"/>
            <c:size val="5"/>
            <c:spPr>
              <a:ln>
                <a:solidFill>
                  <a:prstClr val="black"/>
                </a:solidFill>
              </a:ln>
            </c:spPr>
          </c:marker>
          <c:cat>
            <c:numRef>
              <c:f>GRAF_CIC!$B$2:$E$2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GRAF_CIC!$B$12:$E$12</c:f>
              <c:numCache>
                <c:formatCode>#,##0.00</c:formatCode>
                <c:ptCount val="4"/>
                <c:pt idx="0">
                  <c:v>2.6168316509865299</c:v>
                </c:pt>
                <c:pt idx="1">
                  <c:v>2.60767952887685</c:v>
                </c:pt>
                <c:pt idx="2">
                  <c:v>1.9252627615107574</c:v>
                </c:pt>
                <c:pt idx="3">
                  <c:v>1.748287744130959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A0-4A27-9968-6897513306D9}"/>
            </c:ext>
          </c:extLst>
        </c:ser>
        <c:ser>
          <c:idx val="3"/>
          <c:order val="3"/>
          <c:tx>
            <c:strRef>
              <c:f>GRAF_CIC!$A$22</c:f>
              <c:strCache>
                <c:ptCount val="1"/>
                <c:pt idx="0">
                  <c:v>SE</c:v>
                </c:pt>
              </c:strCache>
            </c:strRef>
          </c:tx>
          <c:marker>
            <c:symbol val="circle"/>
            <c:size val="5"/>
            <c:spPr>
              <a:ln>
                <a:solidFill>
                  <a:prstClr val="black"/>
                </a:solidFill>
              </a:ln>
            </c:spPr>
          </c:marker>
          <c:cat>
            <c:numRef>
              <c:f>GRAF_CIC!$B$2:$E$2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GRAF_CIC!$B$22:$E$22</c:f>
              <c:numCache>
                <c:formatCode>#,##0.00</c:formatCode>
                <c:ptCount val="4"/>
                <c:pt idx="0">
                  <c:v>1.6755811253356148</c:v>
                </c:pt>
                <c:pt idx="1">
                  <c:v>1.4634672012262424</c:v>
                </c:pt>
                <c:pt idx="2">
                  <c:v>1.204752999717672</c:v>
                </c:pt>
                <c:pt idx="3">
                  <c:v>1.1541277572163753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7A0-4A27-9968-6897513306D9}"/>
            </c:ext>
          </c:extLst>
        </c:ser>
        <c:ser>
          <c:idx val="4"/>
          <c:order val="4"/>
          <c:tx>
            <c:strRef>
              <c:f>GRAF_CIC!$A$27</c:f>
              <c:strCache>
                <c:ptCount val="1"/>
                <c:pt idx="0">
                  <c:v>S</c:v>
                </c:pt>
              </c:strCache>
            </c:strRef>
          </c:tx>
          <c:marker>
            <c:symbol val="circle"/>
            <c:size val="5"/>
            <c:spPr>
              <a:ln>
                <a:solidFill>
                  <a:prstClr val="black"/>
                </a:solidFill>
              </a:ln>
            </c:spPr>
          </c:marker>
          <c:cat>
            <c:numRef>
              <c:f>GRAF_CIC!$B$2:$E$2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GRAF_CIC!$B$27:$E$27</c:f>
              <c:numCache>
                <c:formatCode>#,##0.00</c:formatCode>
                <c:ptCount val="4"/>
                <c:pt idx="0">
                  <c:v>2.6973652172214195</c:v>
                </c:pt>
                <c:pt idx="1">
                  <c:v>2.2376906489999917</c:v>
                </c:pt>
                <c:pt idx="2">
                  <c:v>2.0877620143241296</c:v>
                </c:pt>
                <c:pt idx="3">
                  <c:v>1.992972090655029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7A0-4A27-9968-6897513306D9}"/>
            </c:ext>
          </c:extLst>
        </c:ser>
        <c:ser>
          <c:idx val="5"/>
          <c:order val="5"/>
          <c:tx>
            <c:strRef>
              <c:f>GRAF_CIC!$A$31</c:f>
              <c:strCache>
                <c:ptCount val="1"/>
                <c:pt idx="0">
                  <c:v>CO</c:v>
                </c:pt>
              </c:strCache>
            </c:strRef>
          </c:tx>
          <c:marker>
            <c:symbol val="circle"/>
            <c:size val="5"/>
            <c:spPr>
              <a:ln>
                <a:solidFill>
                  <a:prstClr val="black"/>
                </a:solidFill>
              </a:ln>
            </c:spPr>
          </c:marker>
          <c:cat>
            <c:numRef>
              <c:f>GRAF_CIC!$B$2:$E$2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GRAF_CIC!$B$31:$E$31</c:f>
              <c:numCache>
                <c:formatCode>#,##0.00</c:formatCode>
                <c:ptCount val="4"/>
                <c:pt idx="0">
                  <c:v>3.2033234914150146</c:v>
                </c:pt>
                <c:pt idx="1">
                  <c:v>2.3695255799367554</c:v>
                </c:pt>
                <c:pt idx="2">
                  <c:v>2.7674409678895735</c:v>
                </c:pt>
                <c:pt idx="3">
                  <c:v>2.4230635556900957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7A0-4A27-9968-689751330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789568"/>
        <c:axId val="157795840"/>
      </c:lineChart>
      <c:catAx>
        <c:axId val="157789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57795840"/>
        <c:crosses val="autoZero"/>
        <c:auto val="1"/>
        <c:lblAlgn val="ctr"/>
        <c:lblOffset val="100"/>
        <c:noMultiLvlLbl val="0"/>
      </c:catAx>
      <c:valAx>
        <c:axId val="157795840"/>
        <c:scaling>
          <c:orientation val="minMax"/>
          <c:max val="12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Mortes/109km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19050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57789568"/>
        <c:crosses val="autoZero"/>
        <c:crossBetween val="between"/>
        <c:majorUnit val="20"/>
      </c:valAx>
    </c:plotArea>
    <c:legend>
      <c:legendPos val="b"/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Brasil e regiões</a:t>
            </a:r>
          </a:p>
        </c:rich>
      </c:tx>
      <c:overlay val="0"/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GRAF_CIC!$A$3</c:f>
              <c:strCache>
                <c:ptCount val="1"/>
                <c:pt idx="0">
                  <c:v>Brasil</c:v>
                </c:pt>
              </c:strCache>
            </c:strRef>
          </c:tx>
          <c:marker>
            <c:symbol val="none"/>
          </c:marker>
          <c:cat>
            <c:numRef>
              <c:f>GRAF_CIC!$B$2:$E$2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GRAF_CIC!$B$3:$E$3</c:f>
              <c:numCache>
                <c:formatCode>#,##0.00</c:formatCode>
                <c:ptCount val="4"/>
                <c:pt idx="0">
                  <c:v>2.1929439723432869</c:v>
                </c:pt>
                <c:pt idx="1">
                  <c:v>1.9065111785470081</c:v>
                </c:pt>
                <c:pt idx="2">
                  <c:v>1.6819384296859743</c:v>
                </c:pt>
                <c:pt idx="3">
                  <c:v>1.6026389091760471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89-46C8-8721-0F2770C0648E}"/>
            </c:ext>
          </c:extLst>
        </c:ser>
        <c:ser>
          <c:idx val="1"/>
          <c:order val="1"/>
          <c:tx>
            <c:strRef>
              <c:f>GRAF_CIC!$A$4</c:f>
              <c:strCache>
                <c:ptCount val="1"/>
                <c:pt idx="0">
                  <c:v>N</c:v>
                </c:pt>
              </c:strCache>
            </c:strRef>
          </c:tx>
          <c:marker>
            <c:symbol val="none"/>
          </c:marker>
          <c:cat>
            <c:numRef>
              <c:f>GRAF_CIC!$B$2:$E$2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GRAF_CIC!$B$4:$E$4</c:f>
              <c:numCache>
                <c:formatCode>#,##0.00</c:formatCode>
                <c:ptCount val="4"/>
                <c:pt idx="0">
                  <c:v>2.0551144448005645</c:v>
                </c:pt>
                <c:pt idx="1">
                  <c:v>1.6615027732207923</c:v>
                </c:pt>
                <c:pt idx="2">
                  <c:v>1.7687572901030642</c:v>
                </c:pt>
                <c:pt idx="3">
                  <c:v>1.9851377537720574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89-46C8-8721-0F2770C0648E}"/>
            </c:ext>
          </c:extLst>
        </c:ser>
        <c:ser>
          <c:idx val="2"/>
          <c:order val="2"/>
          <c:tx>
            <c:strRef>
              <c:f>GRAF_CIC!$A$12</c:f>
              <c:strCache>
                <c:ptCount val="1"/>
                <c:pt idx="0">
                  <c:v>NE</c:v>
                </c:pt>
              </c:strCache>
            </c:strRef>
          </c:tx>
          <c:marker>
            <c:symbol val="none"/>
          </c:marker>
          <c:cat>
            <c:numRef>
              <c:f>GRAF_CIC!$B$2:$E$2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GRAF_CIC!$B$12:$E$12</c:f>
              <c:numCache>
                <c:formatCode>#,##0.00</c:formatCode>
                <c:ptCount val="4"/>
                <c:pt idx="0">
                  <c:v>2.6168316509865299</c:v>
                </c:pt>
                <c:pt idx="1">
                  <c:v>2.60767952887685</c:v>
                </c:pt>
                <c:pt idx="2">
                  <c:v>1.9252627615107574</c:v>
                </c:pt>
                <c:pt idx="3">
                  <c:v>1.748287744130959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89-46C8-8721-0F2770C0648E}"/>
            </c:ext>
          </c:extLst>
        </c:ser>
        <c:ser>
          <c:idx val="3"/>
          <c:order val="3"/>
          <c:tx>
            <c:strRef>
              <c:f>GRAF_CIC!$A$22</c:f>
              <c:strCache>
                <c:ptCount val="1"/>
                <c:pt idx="0">
                  <c:v>SE</c:v>
                </c:pt>
              </c:strCache>
            </c:strRef>
          </c:tx>
          <c:marker>
            <c:symbol val="none"/>
          </c:marker>
          <c:cat>
            <c:numRef>
              <c:f>GRAF_CIC!$B$2:$E$2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GRAF_CIC!$B$22:$E$22</c:f>
              <c:numCache>
                <c:formatCode>#,##0.00</c:formatCode>
                <c:ptCount val="4"/>
                <c:pt idx="0">
                  <c:v>1.6755811253356148</c:v>
                </c:pt>
                <c:pt idx="1">
                  <c:v>1.4634672012262424</c:v>
                </c:pt>
                <c:pt idx="2">
                  <c:v>1.204752999717672</c:v>
                </c:pt>
                <c:pt idx="3">
                  <c:v>1.1541277572163753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89-46C8-8721-0F2770C0648E}"/>
            </c:ext>
          </c:extLst>
        </c:ser>
        <c:ser>
          <c:idx val="4"/>
          <c:order val="4"/>
          <c:tx>
            <c:strRef>
              <c:f>GRAF_CIC!$A$27</c:f>
              <c:strCache>
                <c:ptCount val="1"/>
                <c:pt idx="0">
                  <c:v>S</c:v>
                </c:pt>
              </c:strCache>
            </c:strRef>
          </c:tx>
          <c:marker>
            <c:symbol val="none"/>
          </c:marker>
          <c:cat>
            <c:numRef>
              <c:f>GRAF_CIC!$B$2:$E$2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GRAF_CIC!$B$27:$E$27</c:f>
              <c:numCache>
                <c:formatCode>#,##0.00</c:formatCode>
                <c:ptCount val="4"/>
                <c:pt idx="0">
                  <c:v>2.6973652172214195</c:v>
                </c:pt>
                <c:pt idx="1">
                  <c:v>2.2376906489999917</c:v>
                </c:pt>
                <c:pt idx="2">
                  <c:v>2.0877620143241296</c:v>
                </c:pt>
                <c:pt idx="3">
                  <c:v>1.992972090655029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089-46C8-8721-0F2770C0648E}"/>
            </c:ext>
          </c:extLst>
        </c:ser>
        <c:ser>
          <c:idx val="5"/>
          <c:order val="5"/>
          <c:tx>
            <c:strRef>
              <c:f>GRAF_CIC!$A$31</c:f>
              <c:strCache>
                <c:ptCount val="1"/>
                <c:pt idx="0">
                  <c:v>CO</c:v>
                </c:pt>
              </c:strCache>
            </c:strRef>
          </c:tx>
          <c:marker>
            <c:symbol val="none"/>
          </c:marker>
          <c:cat>
            <c:numRef>
              <c:f>GRAF_CIC!$B$2:$E$2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GRAF_CIC!$B$31:$E$31</c:f>
              <c:numCache>
                <c:formatCode>#,##0.00</c:formatCode>
                <c:ptCount val="4"/>
                <c:pt idx="0">
                  <c:v>3.2033234914150146</c:v>
                </c:pt>
                <c:pt idx="1">
                  <c:v>2.3695255799367554</c:v>
                </c:pt>
                <c:pt idx="2">
                  <c:v>2.7674409678895735</c:v>
                </c:pt>
                <c:pt idx="3">
                  <c:v>2.4230635556900957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089-46C8-8721-0F2770C06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226304"/>
        <c:axId val="158227840"/>
      </c:radarChart>
      <c:catAx>
        <c:axId val="15822630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spPr>
          <a:ln w="19050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58227840"/>
        <c:crosses val="autoZero"/>
        <c:auto val="1"/>
        <c:lblAlgn val="ctr"/>
        <c:lblOffset val="100"/>
        <c:noMultiLvlLbl val="0"/>
      </c:catAx>
      <c:valAx>
        <c:axId val="158227840"/>
        <c:scaling>
          <c:orientation val="minMax"/>
          <c:max val="12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Mortes/109km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19050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58226304"/>
        <c:crosses val="autoZero"/>
        <c:crossBetween val="between"/>
        <c:majorUnit val="20"/>
      </c:valAx>
    </c:plotArea>
    <c:legend>
      <c:legendPos val="r"/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Acre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GRAF_CIC!$A$5</c:f>
              <c:strCache>
                <c:ptCount val="1"/>
                <c:pt idx="0">
                  <c:v>Acre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GRAF_CIC!$B$5:$E$5</c:f>
              <c:numCache>
                <c:formatCode>#,##0.00</c:formatCode>
                <c:ptCount val="4"/>
                <c:pt idx="0">
                  <c:v>0.50908245969816379</c:v>
                </c:pt>
                <c:pt idx="1">
                  <c:v>0.41409459329619031</c:v>
                </c:pt>
                <c:pt idx="2">
                  <c:v>0.37805198692732117</c:v>
                </c:pt>
                <c:pt idx="3">
                  <c:v>3.2183717200201034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D1-42E7-B073-208406F249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257920"/>
        <c:axId val="158259456"/>
      </c:lineChart>
      <c:catAx>
        <c:axId val="158257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8259456"/>
        <c:crosses val="autoZero"/>
        <c:auto val="1"/>
        <c:lblAlgn val="ctr"/>
        <c:lblOffset val="100"/>
        <c:noMultiLvlLbl val="0"/>
      </c:catAx>
      <c:valAx>
        <c:axId val="158259456"/>
        <c:scaling>
          <c:orientation val="minMax"/>
          <c:max val="14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8257920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Amapá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GRAF_CIC!$A$6</c:f>
              <c:strCache>
                <c:ptCount val="1"/>
                <c:pt idx="0">
                  <c:v>Amapá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GRAF_CIC!$B$6:$E$6</c:f>
              <c:numCache>
                <c:formatCode>#,##0.00</c:formatCode>
                <c:ptCount val="4"/>
                <c:pt idx="0">
                  <c:v>0.49351780422587399</c:v>
                </c:pt>
                <c:pt idx="1">
                  <c:v>0</c:v>
                </c:pt>
                <c:pt idx="2">
                  <c:v>0</c:v>
                </c:pt>
                <c:pt idx="3">
                  <c:v>0.65430017621677283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70-40F8-8B17-DB2D5FD82E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542464"/>
        <c:axId val="158577024"/>
      </c:lineChart>
      <c:catAx>
        <c:axId val="158542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8577024"/>
        <c:crosses val="autoZero"/>
        <c:auto val="1"/>
        <c:lblAlgn val="ctr"/>
        <c:lblOffset val="100"/>
        <c:noMultiLvlLbl val="0"/>
      </c:catAx>
      <c:valAx>
        <c:axId val="158577024"/>
        <c:scaling>
          <c:orientation val="minMax"/>
          <c:max val="14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8542464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Amazonas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GRAF_CIC!$A$7</c:f>
              <c:strCache>
                <c:ptCount val="1"/>
                <c:pt idx="0">
                  <c:v>Amazonas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GRAF_CIC!$B$7:$E$7</c:f>
              <c:numCache>
                <c:formatCode>#,##0.00</c:formatCode>
                <c:ptCount val="4"/>
                <c:pt idx="0">
                  <c:v>0.11084639883457582</c:v>
                </c:pt>
                <c:pt idx="1">
                  <c:v>0.75315514459287392</c:v>
                </c:pt>
                <c:pt idx="2">
                  <c:v>0.76547606041919602</c:v>
                </c:pt>
                <c:pt idx="3">
                  <c:v>0.62869356707194446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37-43F4-B0E0-51FD514604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290688"/>
        <c:axId val="158292224"/>
      </c:lineChart>
      <c:catAx>
        <c:axId val="158290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8292224"/>
        <c:crosses val="autoZero"/>
        <c:auto val="1"/>
        <c:lblAlgn val="ctr"/>
        <c:lblOffset val="100"/>
        <c:noMultiLvlLbl val="0"/>
      </c:catAx>
      <c:valAx>
        <c:axId val="158292224"/>
        <c:scaling>
          <c:orientation val="minMax"/>
          <c:max val="14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8290688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GRAF_CIC!$A$8</c:f>
              <c:strCache>
                <c:ptCount val="1"/>
                <c:pt idx="0">
                  <c:v>Pará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GRAF_CIC!$B$8:$E$8</c:f>
              <c:numCache>
                <c:formatCode>#,##0.00</c:formatCode>
                <c:ptCount val="4"/>
                <c:pt idx="0">
                  <c:v>2.6343584121919248</c:v>
                </c:pt>
                <c:pt idx="1">
                  <c:v>1.5604948077571328</c:v>
                </c:pt>
                <c:pt idx="2">
                  <c:v>1.7323714109538164</c:v>
                </c:pt>
                <c:pt idx="3">
                  <c:v>1.9554203968288333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0E-4F2B-8060-529B0052D1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312704"/>
        <c:axId val="158322688"/>
      </c:lineChart>
      <c:catAx>
        <c:axId val="158312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8322688"/>
        <c:crosses val="autoZero"/>
        <c:auto val="1"/>
        <c:lblAlgn val="ctr"/>
        <c:lblOffset val="100"/>
        <c:noMultiLvlLbl val="0"/>
      </c:catAx>
      <c:valAx>
        <c:axId val="158322688"/>
        <c:scaling>
          <c:orientation val="minMax"/>
          <c:max val="14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8312704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Rondônia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GRAF_CIC!$A$9</c:f>
              <c:strCache>
                <c:ptCount val="1"/>
                <c:pt idx="0">
                  <c:v>Rondônia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GRAF_CIC!$B$9:$E$9</c:f>
              <c:numCache>
                <c:formatCode>#,##0.00</c:formatCode>
                <c:ptCount val="4"/>
                <c:pt idx="0">
                  <c:v>2.7896407740114784</c:v>
                </c:pt>
                <c:pt idx="1">
                  <c:v>2.2475990230472269</c:v>
                </c:pt>
                <c:pt idx="2">
                  <c:v>2.6437753285075836</c:v>
                </c:pt>
                <c:pt idx="3">
                  <c:v>1.8978915409656489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56-487D-9DC2-783D1B64C8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425472"/>
        <c:axId val="158427008"/>
      </c:lineChart>
      <c:catAx>
        <c:axId val="158425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8427008"/>
        <c:crosses val="autoZero"/>
        <c:auto val="1"/>
        <c:lblAlgn val="ctr"/>
        <c:lblOffset val="100"/>
        <c:noMultiLvlLbl val="0"/>
      </c:catAx>
      <c:valAx>
        <c:axId val="158427008"/>
        <c:scaling>
          <c:orientation val="minMax"/>
          <c:max val="14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8425472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Roraima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GRAF_CIC!$A$10</c:f>
              <c:strCache>
                <c:ptCount val="1"/>
                <c:pt idx="0">
                  <c:v>Roraima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GRAF_CIC!$B$10:$E$10</c:f>
              <c:numCache>
                <c:formatCode>#,##0.00</c:formatCode>
                <c:ptCount val="4"/>
                <c:pt idx="0">
                  <c:v>4.8623254025641396</c:v>
                </c:pt>
                <c:pt idx="1">
                  <c:v>7.2552213196414685</c:v>
                </c:pt>
                <c:pt idx="2">
                  <c:v>8.6600370419921653</c:v>
                </c:pt>
                <c:pt idx="3">
                  <c:v>8.9039423684599726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E1-40B9-B2AD-0FFE0B03A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480640"/>
        <c:axId val="158482432"/>
      </c:lineChart>
      <c:catAx>
        <c:axId val="158480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8482432"/>
        <c:crosses val="autoZero"/>
        <c:auto val="1"/>
        <c:lblAlgn val="ctr"/>
        <c:lblOffset val="100"/>
        <c:noMultiLvlLbl val="0"/>
      </c:catAx>
      <c:valAx>
        <c:axId val="158482432"/>
        <c:scaling>
          <c:orientation val="minMax"/>
          <c:max val="14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8480640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Tocantins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GRAF_CIC!$A$11</c:f>
              <c:strCache>
                <c:ptCount val="1"/>
                <c:pt idx="0">
                  <c:v>Tocantins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GRAF_CIC!$B$11:$E$11</c:f>
              <c:numCache>
                <c:formatCode>#,##0.00</c:formatCode>
                <c:ptCount val="4"/>
                <c:pt idx="0">
                  <c:v>2.8301871725754846</c:v>
                </c:pt>
                <c:pt idx="1">
                  <c:v>1.7209956144503189</c:v>
                </c:pt>
                <c:pt idx="2">
                  <c:v>1.4845236187423807</c:v>
                </c:pt>
                <c:pt idx="3">
                  <c:v>2.2660693405030501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E8-4864-BB18-733CCB9646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503296"/>
        <c:axId val="158504832"/>
      </c:lineChart>
      <c:catAx>
        <c:axId val="158503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8504832"/>
        <c:crosses val="autoZero"/>
        <c:auto val="1"/>
        <c:lblAlgn val="ctr"/>
        <c:lblOffset val="100"/>
        <c:noMultiLvlLbl val="0"/>
      </c:catAx>
      <c:valAx>
        <c:axId val="158504832"/>
        <c:scaling>
          <c:orientation val="minMax"/>
          <c:max val="14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8503296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Alagoas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GRAF_CIC!$A$13</c:f>
              <c:strCache>
                <c:ptCount val="1"/>
                <c:pt idx="0">
                  <c:v>Alagoas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GRAF_CIC!$B$13:$E$13</c:f>
              <c:numCache>
                <c:formatCode>#,##0.00</c:formatCode>
                <c:ptCount val="4"/>
                <c:pt idx="0">
                  <c:v>2.48985630236281</c:v>
                </c:pt>
                <c:pt idx="1">
                  <c:v>1.6234556853213711</c:v>
                </c:pt>
                <c:pt idx="2">
                  <c:v>1.5597190437710373</c:v>
                </c:pt>
                <c:pt idx="3">
                  <c:v>0.75587944777244975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5E-4A38-AA4E-864FE30466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607616"/>
        <c:axId val="158617600"/>
      </c:lineChart>
      <c:catAx>
        <c:axId val="158607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8617600"/>
        <c:crosses val="autoZero"/>
        <c:auto val="1"/>
        <c:lblAlgn val="ctr"/>
        <c:lblOffset val="100"/>
        <c:noMultiLvlLbl val="0"/>
      </c:catAx>
      <c:valAx>
        <c:axId val="158617600"/>
        <c:scaling>
          <c:orientation val="minMax"/>
          <c:max val="180"/>
          <c:min val="6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8607616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Bahia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GRAF_CIC!$A$14</c:f>
              <c:strCache>
                <c:ptCount val="1"/>
                <c:pt idx="0">
                  <c:v>Bahia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GRAF_CIC!$B$14:$E$14</c:f>
              <c:numCache>
                <c:formatCode>#,##0.00</c:formatCode>
                <c:ptCount val="4"/>
                <c:pt idx="0">
                  <c:v>0.77845201211224313</c:v>
                </c:pt>
                <c:pt idx="1">
                  <c:v>0.9689119370714665</c:v>
                </c:pt>
                <c:pt idx="2">
                  <c:v>0.80282700714145261</c:v>
                </c:pt>
                <c:pt idx="3">
                  <c:v>0.9748215506473954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41-459F-BA61-F29EA34072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646656"/>
        <c:axId val="158648192"/>
      </c:lineChart>
      <c:catAx>
        <c:axId val="158646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8648192"/>
        <c:crosses val="autoZero"/>
        <c:auto val="1"/>
        <c:lblAlgn val="ctr"/>
        <c:lblOffset val="100"/>
        <c:noMultiLvlLbl val="0"/>
      </c:catAx>
      <c:valAx>
        <c:axId val="158648192"/>
        <c:scaling>
          <c:orientation val="minMax"/>
          <c:max val="180"/>
          <c:min val="6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8646656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Ceará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GRAF_CIC!$A$15</c:f>
              <c:strCache>
                <c:ptCount val="1"/>
                <c:pt idx="0">
                  <c:v>Ceará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GRAF_CIC!$B$15:$E$15</c:f>
              <c:numCache>
                <c:formatCode>#,##0.00</c:formatCode>
                <c:ptCount val="4"/>
                <c:pt idx="0">
                  <c:v>2.5964636691045566</c:v>
                </c:pt>
                <c:pt idx="1">
                  <c:v>3.9956198851286686</c:v>
                </c:pt>
                <c:pt idx="2">
                  <c:v>1.4533933771987362</c:v>
                </c:pt>
                <c:pt idx="3">
                  <c:v>1.2198142802029355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F6-4250-A68E-2D7116CFF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763264"/>
        <c:axId val="158769152"/>
      </c:lineChart>
      <c:catAx>
        <c:axId val="158763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8769152"/>
        <c:crosses val="autoZero"/>
        <c:auto val="1"/>
        <c:lblAlgn val="ctr"/>
        <c:lblOffset val="100"/>
        <c:noMultiLvlLbl val="0"/>
      </c:catAx>
      <c:valAx>
        <c:axId val="158769152"/>
        <c:scaling>
          <c:orientation val="minMax"/>
          <c:max val="180"/>
          <c:min val="6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8763264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Maranhão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GRAF_CIC!$A$16</c:f>
              <c:strCache>
                <c:ptCount val="1"/>
                <c:pt idx="0">
                  <c:v>Maranhão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GRAF_CIC!$B$16:$E$16</c:f>
              <c:numCache>
                <c:formatCode>#,##0.00</c:formatCode>
                <c:ptCount val="4"/>
                <c:pt idx="0">
                  <c:v>4.5511832691069936</c:v>
                </c:pt>
                <c:pt idx="1">
                  <c:v>3.2488711683867644</c:v>
                </c:pt>
                <c:pt idx="2">
                  <c:v>3.399466453562995</c:v>
                </c:pt>
                <c:pt idx="3">
                  <c:v>3.461777087056086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FB-4450-9425-1C2DC6A03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790016"/>
        <c:axId val="158791552"/>
      </c:lineChart>
      <c:catAx>
        <c:axId val="158790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8791552"/>
        <c:crosses val="autoZero"/>
        <c:auto val="1"/>
        <c:lblAlgn val="ctr"/>
        <c:lblOffset val="100"/>
        <c:noMultiLvlLbl val="0"/>
      </c:catAx>
      <c:valAx>
        <c:axId val="158791552"/>
        <c:scaling>
          <c:orientation val="minMax"/>
          <c:max val="180"/>
          <c:min val="6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8790016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Paraíba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GRAF_CIC!$A$17</c:f>
              <c:strCache>
                <c:ptCount val="1"/>
                <c:pt idx="0">
                  <c:v>Paraíba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GRAF_CIC!$B$17:$E$17</c:f>
              <c:numCache>
                <c:formatCode>#,##0.00</c:formatCode>
                <c:ptCount val="4"/>
                <c:pt idx="0">
                  <c:v>1.8264229281187017</c:v>
                </c:pt>
                <c:pt idx="1">
                  <c:v>1.6739174634898473</c:v>
                </c:pt>
                <c:pt idx="2">
                  <c:v>1.7885842386423778</c:v>
                </c:pt>
                <c:pt idx="3">
                  <c:v>1.4322163614117303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23-4423-9B55-02A96FBD67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816512"/>
        <c:axId val="158834688"/>
      </c:lineChart>
      <c:catAx>
        <c:axId val="158816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8834688"/>
        <c:crosses val="autoZero"/>
        <c:auto val="1"/>
        <c:lblAlgn val="ctr"/>
        <c:lblOffset val="100"/>
        <c:noMultiLvlLbl val="0"/>
      </c:catAx>
      <c:valAx>
        <c:axId val="158834688"/>
        <c:scaling>
          <c:orientation val="minMax"/>
          <c:max val="180"/>
          <c:min val="6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8816512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Pernambuco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GRAF_CIC!$A$18</c:f>
              <c:strCache>
                <c:ptCount val="1"/>
                <c:pt idx="0">
                  <c:v>Pernambuco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GRAF_CIC!$B$18:$E$18</c:f>
              <c:numCache>
                <c:formatCode>#,##0.00</c:formatCode>
                <c:ptCount val="4"/>
                <c:pt idx="0">
                  <c:v>3.0869772019397965</c:v>
                </c:pt>
                <c:pt idx="1">
                  <c:v>2.197744533609665</c:v>
                </c:pt>
                <c:pt idx="2">
                  <c:v>2.0936110818980249</c:v>
                </c:pt>
                <c:pt idx="3">
                  <c:v>1.8371678258441135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79-4D33-9961-6CDCED2FA0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880128"/>
        <c:axId val="158881664"/>
      </c:lineChart>
      <c:catAx>
        <c:axId val="158880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8881664"/>
        <c:crosses val="autoZero"/>
        <c:auto val="1"/>
        <c:lblAlgn val="ctr"/>
        <c:lblOffset val="100"/>
        <c:noMultiLvlLbl val="0"/>
      </c:catAx>
      <c:valAx>
        <c:axId val="158881664"/>
        <c:scaling>
          <c:orientation val="minMax"/>
          <c:max val="180"/>
          <c:min val="6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8880128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Piauí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GRAF_CIC!$A$19</c:f>
              <c:strCache>
                <c:ptCount val="1"/>
                <c:pt idx="0">
                  <c:v>Piauí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GRAF_CIC!$B$19:$E$19</c:f>
              <c:numCache>
                <c:formatCode>#,##0.00</c:formatCode>
                <c:ptCount val="4"/>
                <c:pt idx="0">
                  <c:v>8.202085893432649</c:v>
                </c:pt>
                <c:pt idx="1">
                  <c:v>6.8768290517194233</c:v>
                </c:pt>
                <c:pt idx="2">
                  <c:v>4.5433448677526505</c:v>
                </c:pt>
                <c:pt idx="3">
                  <c:v>4.4587751093861199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04-438E-98A5-FB9BC2F9D9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910720"/>
        <c:axId val="158912512"/>
      </c:lineChart>
      <c:catAx>
        <c:axId val="158910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8912512"/>
        <c:crosses val="autoZero"/>
        <c:auto val="1"/>
        <c:lblAlgn val="ctr"/>
        <c:lblOffset val="100"/>
        <c:noMultiLvlLbl val="0"/>
      </c:catAx>
      <c:valAx>
        <c:axId val="158912512"/>
        <c:scaling>
          <c:orientation val="minMax"/>
          <c:max val="180"/>
          <c:min val="6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8910720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 Grande do Norte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GRAF_CIC!$A$20</c:f>
              <c:strCache>
                <c:ptCount val="1"/>
                <c:pt idx="0">
                  <c:v>Rio Grande do Norte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GRAF_CIC!$B$20:$E$20</c:f>
              <c:numCache>
                <c:formatCode>#,##0.00</c:formatCode>
                <c:ptCount val="4"/>
                <c:pt idx="0">
                  <c:v>1.0186813521556164</c:v>
                </c:pt>
                <c:pt idx="1">
                  <c:v>2.018976439025812</c:v>
                </c:pt>
                <c:pt idx="2">
                  <c:v>2.3483544559064087</c:v>
                </c:pt>
                <c:pt idx="3">
                  <c:v>0.79598355688598543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D4-4BC3-B1F4-D31AE88106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966144"/>
        <c:axId val="158967680"/>
      </c:lineChart>
      <c:catAx>
        <c:axId val="158966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8967680"/>
        <c:crosses val="autoZero"/>
        <c:auto val="1"/>
        <c:lblAlgn val="ctr"/>
        <c:lblOffset val="100"/>
        <c:noMultiLvlLbl val="0"/>
      </c:catAx>
      <c:valAx>
        <c:axId val="158967680"/>
        <c:scaling>
          <c:orientation val="minMax"/>
          <c:max val="180"/>
          <c:min val="6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8966144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Sergipe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GRAF_CIC!$A$21</c:f>
              <c:strCache>
                <c:ptCount val="1"/>
                <c:pt idx="0">
                  <c:v>Sergipe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GRAF_CIC!$B$21:$E$21</c:f>
              <c:numCache>
                <c:formatCode>#,##0.00</c:formatCode>
                <c:ptCount val="4"/>
                <c:pt idx="0">
                  <c:v>4.6249698873284073</c:v>
                </c:pt>
                <c:pt idx="1">
                  <c:v>5.1986913403148085</c:v>
                </c:pt>
                <c:pt idx="2">
                  <c:v>2.6864443312567703</c:v>
                </c:pt>
                <c:pt idx="3">
                  <c:v>3.0999632858568362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14-47F4-8CA1-E6AC659FA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148288"/>
        <c:axId val="159150080"/>
      </c:lineChart>
      <c:catAx>
        <c:axId val="159148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9150080"/>
        <c:crosses val="autoZero"/>
        <c:auto val="1"/>
        <c:lblAlgn val="ctr"/>
        <c:lblOffset val="100"/>
        <c:noMultiLvlLbl val="0"/>
      </c:catAx>
      <c:valAx>
        <c:axId val="159150080"/>
        <c:scaling>
          <c:orientation val="minMax"/>
          <c:max val="180"/>
          <c:min val="6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9148288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Espírito Santo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GRAF_CIC!$A$23</c:f>
              <c:strCache>
                <c:ptCount val="1"/>
                <c:pt idx="0">
                  <c:v>Espírito Santo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GRAF_CIC!$B$23:$E$23</c:f>
              <c:numCache>
                <c:formatCode>#,##0.00</c:formatCode>
                <c:ptCount val="4"/>
                <c:pt idx="0">
                  <c:v>1.5458976029609461</c:v>
                </c:pt>
                <c:pt idx="1">
                  <c:v>1.2993706030137744</c:v>
                </c:pt>
                <c:pt idx="2">
                  <c:v>0.78601423749761556</c:v>
                </c:pt>
                <c:pt idx="3">
                  <c:v>1.2909717233063982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D4-4423-9C2C-DA7019D09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187328"/>
        <c:axId val="159188864"/>
      </c:lineChart>
      <c:catAx>
        <c:axId val="159187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9188864"/>
        <c:crosses val="autoZero"/>
        <c:auto val="1"/>
        <c:lblAlgn val="ctr"/>
        <c:lblOffset val="100"/>
        <c:noMultiLvlLbl val="0"/>
      </c:catAx>
      <c:valAx>
        <c:axId val="159188864"/>
        <c:scaling>
          <c:orientation val="minMax"/>
          <c:max val="100"/>
          <c:min val="2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9187328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Minas Gerais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GRAF_CIC!$A$24</c:f>
              <c:strCache>
                <c:ptCount val="1"/>
                <c:pt idx="0">
                  <c:v>Minas Gerais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cat>
            <c:numRef>
              <c:f>GRAF_CIC!$B$2:$E$2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GRAF_CIC!$B$24:$E$24</c:f>
              <c:numCache>
                <c:formatCode>#,##0.00</c:formatCode>
                <c:ptCount val="4"/>
                <c:pt idx="0">
                  <c:v>1.416563252711188</c:v>
                </c:pt>
                <c:pt idx="1">
                  <c:v>1.4676003183114816</c:v>
                </c:pt>
                <c:pt idx="2">
                  <c:v>1.2129207929508055</c:v>
                </c:pt>
                <c:pt idx="3">
                  <c:v>1.3997404792710291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FA-4CB8-AA64-B53285F4105D}"/>
            </c:ext>
          </c:extLst>
        </c:ser>
        <c:ser>
          <c:idx val="2"/>
          <c:order val="0"/>
          <c:tx>
            <c:strRef>
              <c:f>GRAF_CIC!$A$24</c:f>
              <c:strCache>
                <c:ptCount val="1"/>
                <c:pt idx="0">
                  <c:v>Minas Gerais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GRAF_CIC!$B$24:$E$24</c:f>
              <c:numCache>
                <c:formatCode>#,##0.00</c:formatCode>
                <c:ptCount val="4"/>
                <c:pt idx="0">
                  <c:v>1.416563252711188</c:v>
                </c:pt>
                <c:pt idx="1">
                  <c:v>1.4676003183114816</c:v>
                </c:pt>
                <c:pt idx="2">
                  <c:v>1.2129207929508055</c:v>
                </c:pt>
                <c:pt idx="3">
                  <c:v>1.3997404792710291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FA-4CB8-AA64-B53285F410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198592"/>
        <c:axId val="159220864"/>
      </c:lineChart>
      <c:catAx>
        <c:axId val="159198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9220864"/>
        <c:crosses val="autoZero"/>
        <c:auto val="1"/>
        <c:lblAlgn val="ctr"/>
        <c:lblOffset val="100"/>
        <c:noMultiLvlLbl val="0"/>
      </c:catAx>
      <c:valAx>
        <c:axId val="159220864"/>
        <c:scaling>
          <c:orientation val="minMax"/>
          <c:max val="100"/>
          <c:min val="2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9198592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 de Janeiro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GRAF_CIC!$A$25</c:f>
              <c:strCache>
                <c:ptCount val="1"/>
                <c:pt idx="0">
                  <c:v>Rio de Janeiro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GRAF_CIC!$B$25:$E$25</c:f>
              <c:numCache>
                <c:formatCode>#,##0.00</c:formatCode>
                <c:ptCount val="4"/>
                <c:pt idx="0">
                  <c:v>2.5404728056114037</c:v>
                </c:pt>
                <c:pt idx="1">
                  <c:v>2.2239114167429892</c:v>
                </c:pt>
                <c:pt idx="2">
                  <c:v>1.408341887977711</c:v>
                </c:pt>
                <c:pt idx="3">
                  <c:v>1.415538850063667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CB-4131-BAD2-38779C933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254016"/>
        <c:axId val="159255552"/>
      </c:lineChart>
      <c:catAx>
        <c:axId val="159254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9255552"/>
        <c:crosses val="autoZero"/>
        <c:auto val="1"/>
        <c:lblAlgn val="ctr"/>
        <c:lblOffset val="100"/>
        <c:noMultiLvlLbl val="0"/>
      </c:catAx>
      <c:valAx>
        <c:axId val="159255552"/>
        <c:scaling>
          <c:orientation val="minMax"/>
          <c:max val="100"/>
          <c:min val="2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9254016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São Paulo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GRAF_CIC!$A$26</c:f>
              <c:strCache>
                <c:ptCount val="1"/>
                <c:pt idx="0">
                  <c:v>São Paulo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GRAF_CIC!$B$26:$E$26</c:f>
              <c:numCache>
                <c:formatCode>#,##0.00</c:formatCode>
                <c:ptCount val="4"/>
                <c:pt idx="0">
                  <c:v>1.56352372533398</c:v>
                </c:pt>
                <c:pt idx="1">
                  <c:v>1.2828876448455027</c:v>
                </c:pt>
                <c:pt idx="2">
                  <c:v>1.1788886939614116</c:v>
                </c:pt>
                <c:pt idx="3">
                  <c:v>0.98111235964883126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5A-433C-B986-1AD4601B9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276416"/>
        <c:axId val="159298688"/>
      </c:lineChart>
      <c:catAx>
        <c:axId val="15927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9298688"/>
        <c:crosses val="autoZero"/>
        <c:auto val="1"/>
        <c:lblAlgn val="ctr"/>
        <c:lblOffset val="100"/>
        <c:noMultiLvlLbl val="0"/>
      </c:catAx>
      <c:valAx>
        <c:axId val="159298688"/>
        <c:scaling>
          <c:orientation val="minMax"/>
          <c:max val="100"/>
          <c:min val="2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9276416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Paraná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GRAF_CIC!$A$28</c:f>
              <c:strCache>
                <c:ptCount val="1"/>
                <c:pt idx="0">
                  <c:v>Paraná</c:v>
                </c:pt>
              </c:strCache>
            </c:strRef>
          </c:tx>
          <c:spPr>
            <a:ln w="38100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GRAF_CIC!$B$28:$E$28</c:f>
              <c:numCache>
                <c:formatCode>#,##0.00</c:formatCode>
                <c:ptCount val="4"/>
                <c:pt idx="0">
                  <c:v>3.4485602995265401</c:v>
                </c:pt>
                <c:pt idx="1">
                  <c:v>2.7432255896408249</c:v>
                </c:pt>
                <c:pt idx="2">
                  <c:v>2.2892207840997041</c:v>
                </c:pt>
                <c:pt idx="3">
                  <c:v>2.1754913556966278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14-42B0-B8F2-A9FC27EB3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532544"/>
        <c:axId val="159534080"/>
      </c:lineChart>
      <c:catAx>
        <c:axId val="159532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9534080"/>
        <c:crosses val="autoZero"/>
        <c:auto val="1"/>
        <c:lblAlgn val="ctr"/>
        <c:lblOffset val="100"/>
        <c:noMultiLvlLbl val="0"/>
      </c:catAx>
      <c:valAx>
        <c:axId val="159534080"/>
        <c:scaling>
          <c:orientation val="minMax"/>
          <c:max val="10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9532544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</a:t>
            </a:r>
            <a:r>
              <a:rPr lang="pt-BR" baseline="0"/>
              <a:t> Grande do Sul</a:t>
            </a:r>
            <a:endParaRPr lang="pt-BR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GRAF_CIC!$A$29</c:f>
              <c:strCache>
                <c:ptCount val="1"/>
                <c:pt idx="0">
                  <c:v>Rio Grande do Sul</c:v>
                </c:pt>
              </c:strCache>
            </c:strRef>
          </c:tx>
          <c:spPr>
            <a:ln w="38100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GRAF_CIC!$B$29:$E$29</c:f>
              <c:numCache>
                <c:formatCode>#,##0.00</c:formatCode>
                <c:ptCount val="4"/>
                <c:pt idx="0">
                  <c:v>1.3774037485855761</c:v>
                </c:pt>
                <c:pt idx="1">
                  <c:v>1.1208915909947372</c:v>
                </c:pt>
                <c:pt idx="2">
                  <c:v>1.5582639738092774</c:v>
                </c:pt>
                <c:pt idx="3">
                  <c:v>1.3533543638987557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87-4734-A2C9-9AC893872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579136"/>
        <c:axId val="159646464"/>
      </c:lineChart>
      <c:catAx>
        <c:axId val="159579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9646464"/>
        <c:crosses val="autoZero"/>
        <c:auto val="1"/>
        <c:lblAlgn val="ctr"/>
        <c:lblOffset val="100"/>
        <c:noMultiLvlLbl val="0"/>
      </c:catAx>
      <c:valAx>
        <c:axId val="159646464"/>
        <c:scaling>
          <c:orientation val="minMax"/>
          <c:max val="10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9579136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Santa</a:t>
            </a:r>
            <a:r>
              <a:rPr lang="pt-BR" baseline="0"/>
              <a:t> Catarina</a:t>
            </a:r>
            <a:endParaRPr lang="pt-BR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GRAF_CIC!$A$30</c:f>
              <c:strCache>
                <c:ptCount val="1"/>
                <c:pt idx="0">
                  <c:v>Santa Catarina</c:v>
                </c:pt>
              </c:strCache>
            </c:strRef>
          </c:tx>
          <c:spPr>
            <a:ln w="38100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GRAF_CIC!$B$30:$E$30</c:f>
              <c:numCache>
                <c:formatCode>#,##0.00</c:formatCode>
                <c:ptCount val="4"/>
                <c:pt idx="0">
                  <c:v>3.5148380230845868</c:v>
                </c:pt>
                <c:pt idx="1">
                  <c:v>3.0450944789080134</c:v>
                </c:pt>
                <c:pt idx="2">
                  <c:v>2.5081077060918715</c:v>
                </c:pt>
                <c:pt idx="3">
                  <c:v>2.5728064984250127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78-4D53-B389-27469E755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679616"/>
        <c:axId val="159681152"/>
      </c:lineChart>
      <c:catAx>
        <c:axId val="159679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9681152"/>
        <c:crosses val="autoZero"/>
        <c:auto val="1"/>
        <c:lblAlgn val="ctr"/>
        <c:lblOffset val="100"/>
        <c:noMultiLvlLbl val="0"/>
      </c:catAx>
      <c:valAx>
        <c:axId val="159681152"/>
        <c:scaling>
          <c:orientation val="minMax"/>
          <c:max val="10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9679616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Distrito Federal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GRAF_CIC!$A$32</c:f>
              <c:strCache>
                <c:ptCount val="1"/>
                <c:pt idx="0">
                  <c:v>Distrito Federal</c:v>
                </c:pt>
              </c:strCache>
            </c:strRef>
          </c:tx>
          <c:spPr>
            <a:ln w="381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GRAF_CIC!$B$32:$E$32</c:f>
              <c:numCache>
                <c:formatCode>#,##0.00</c:formatCode>
                <c:ptCount val="4"/>
                <c:pt idx="0">
                  <c:v>2.9111844763900598</c:v>
                </c:pt>
                <c:pt idx="1">
                  <c:v>1.9852030465381021</c:v>
                </c:pt>
                <c:pt idx="2">
                  <c:v>2.9145649993928053</c:v>
                </c:pt>
                <c:pt idx="3">
                  <c:v>2.3254817360031521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73-4290-8A02-AE4E6CCAE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710208"/>
        <c:axId val="159777536"/>
      </c:lineChart>
      <c:catAx>
        <c:axId val="159710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9777536"/>
        <c:crosses val="autoZero"/>
        <c:auto val="1"/>
        <c:lblAlgn val="ctr"/>
        <c:lblOffset val="100"/>
        <c:noMultiLvlLbl val="0"/>
      </c:catAx>
      <c:valAx>
        <c:axId val="159777536"/>
        <c:scaling>
          <c:orientation val="minMax"/>
          <c:max val="100"/>
          <c:min val="2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9710208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Goiás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GRAF_CIC!$A$33</c:f>
              <c:strCache>
                <c:ptCount val="1"/>
                <c:pt idx="0">
                  <c:v>Goiás</c:v>
                </c:pt>
              </c:strCache>
            </c:strRef>
          </c:tx>
          <c:spPr>
            <a:ln w="381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GRAF_CIC!$B$33:$E$33</c:f>
              <c:numCache>
                <c:formatCode>#,##0.00</c:formatCode>
                <c:ptCount val="4"/>
                <c:pt idx="0">
                  <c:v>2.2686114039570486</c:v>
                </c:pt>
                <c:pt idx="1">
                  <c:v>1.786719637355382</c:v>
                </c:pt>
                <c:pt idx="2">
                  <c:v>1.6051653939222352</c:v>
                </c:pt>
                <c:pt idx="3">
                  <c:v>1.7979179381158665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99-432A-8DB9-B45AAAD87D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822976"/>
        <c:axId val="159824512"/>
      </c:lineChart>
      <c:catAx>
        <c:axId val="159822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9824512"/>
        <c:crosses val="autoZero"/>
        <c:auto val="1"/>
        <c:lblAlgn val="ctr"/>
        <c:lblOffset val="100"/>
        <c:noMultiLvlLbl val="0"/>
      </c:catAx>
      <c:valAx>
        <c:axId val="159824512"/>
        <c:scaling>
          <c:orientation val="minMax"/>
          <c:max val="100"/>
          <c:min val="2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9822976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Mato Grosso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GRAF_CIC!$A$34</c:f>
              <c:strCache>
                <c:ptCount val="1"/>
                <c:pt idx="0">
                  <c:v>Mato Grosso</c:v>
                </c:pt>
              </c:strCache>
            </c:strRef>
          </c:tx>
          <c:spPr>
            <a:ln w="381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GRAF_CIC!$B$34:$E$34</c:f>
              <c:numCache>
                <c:formatCode>#,##0.00</c:formatCode>
                <c:ptCount val="4"/>
                <c:pt idx="0">
                  <c:v>3.2780690231559673</c:v>
                </c:pt>
                <c:pt idx="1">
                  <c:v>2.2749568358664263</c:v>
                </c:pt>
                <c:pt idx="2">
                  <c:v>2.8679420779336735</c:v>
                </c:pt>
                <c:pt idx="3">
                  <c:v>2.0555215164711811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B2-464F-8AFF-A6839F576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837184"/>
        <c:axId val="159863552"/>
      </c:lineChart>
      <c:catAx>
        <c:axId val="159837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9863552"/>
        <c:crosses val="autoZero"/>
        <c:auto val="1"/>
        <c:lblAlgn val="ctr"/>
        <c:lblOffset val="100"/>
        <c:noMultiLvlLbl val="0"/>
      </c:catAx>
      <c:valAx>
        <c:axId val="159863552"/>
        <c:scaling>
          <c:orientation val="minMax"/>
          <c:max val="100"/>
          <c:min val="2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9837184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Mato Grosso do Sul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GRAF_CIC!$A$35</c:f>
              <c:strCache>
                <c:ptCount val="1"/>
                <c:pt idx="0">
                  <c:v>Mato Grosso do Sul</c:v>
                </c:pt>
              </c:strCache>
            </c:strRef>
          </c:tx>
          <c:spPr>
            <a:ln w="381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GRAF_CIC!$B$35:$E$35</c:f>
              <c:numCache>
                <c:formatCode>#,##0.00</c:formatCode>
                <c:ptCount val="4"/>
                <c:pt idx="0">
                  <c:v>5.718495367054893</c:v>
                </c:pt>
                <c:pt idx="1">
                  <c:v>4.3838816728397827</c:v>
                </c:pt>
                <c:pt idx="2">
                  <c:v>5.27307326973611</c:v>
                </c:pt>
                <c:pt idx="3">
                  <c:v>4.5396021330783807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D7-42F8-BF14-F7375BBE4F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896704"/>
        <c:axId val="159898240"/>
      </c:lineChart>
      <c:catAx>
        <c:axId val="159896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9898240"/>
        <c:crosses val="autoZero"/>
        <c:auto val="1"/>
        <c:lblAlgn val="ctr"/>
        <c:lblOffset val="100"/>
        <c:noMultiLvlLbl val="0"/>
      </c:catAx>
      <c:valAx>
        <c:axId val="159898240"/>
        <c:scaling>
          <c:orientation val="minMax"/>
          <c:max val="100"/>
          <c:min val="2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9896704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Brasil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GRAF_CIC!$A$3</c:f>
              <c:strCache>
                <c:ptCount val="1"/>
                <c:pt idx="0">
                  <c:v>Brasil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circle"/>
            <c:size val="8"/>
            <c:spPr>
              <a:solidFill>
                <a:srgbClr val="FFFF66"/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GRAF_CIC!$B$3:$E$3</c:f>
              <c:numCache>
                <c:formatCode>#,##0.00</c:formatCode>
                <c:ptCount val="4"/>
                <c:pt idx="0">
                  <c:v>2.1929439723432869</c:v>
                </c:pt>
                <c:pt idx="1">
                  <c:v>1.9065111785470081</c:v>
                </c:pt>
                <c:pt idx="2">
                  <c:v>1.6819384296859743</c:v>
                </c:pt>
                <c:pt idx="3">
                  <c:v>1.6026389091760471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49-452B-9636-9AC4C0C88B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992832"/>
        <c:axId val="160031488"/>
      </c:lineChart>
      <c:catAx>
        <c:axId val="159992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0031488"/>
        <c:crosses val="autoZero"/>
        <c:auto val="1"/>
        <c:lblAlgn val="ctr"/>
        <c:lblOffset val="100"/>
        <c:noMultiLvlLbl val="0"/>
      </c:catAx>
      <c:valAx>
        <c:axId val="160031488"/>
        <c:scaling>
          <c:orientation val="minMax"/>
          <c:max val="80"/>
          <c:min val="5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59992832"/>
        <c:crosses val="autoZero"/>
        <c:crossBetween val="between"/>
        <c:majorUnit val="1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Brasil e regiões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GRAF_MOT!$A$3</c:f>
              <c:strCache>
                <c:ptCount val="1"/>
                <c:pt idx="0">
                  <c:v>Brasil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/>
            <c:extLst>
              <c:ext xmlns:c16="http://schemas.microsoft.com/office/drawing/2014/chart" uri="{C3380CC4-5D6E-409C-BE32-E72D297353CC}">
                <c16:uniqueId val="{00000001-9D8B-4FEB-A222-E0E36BEABD7A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GRAF_MOT!$B$3:$E$3</c:f>
              <c:numCache>
                <c:formatCode>#,##0.00</c:formatCode>
                <c:ptCount val="4"/>
                <c:pt idx="0">
                  <c:v>53.012285762139051</c:v>
                </c:pt>
                <c:pt idx="1">
                  <c:v>52.778348655386225</c:v>
                </c:pt>
                <c:pt idx="2">
                  <c:v>47.852936805183298</c:v>
                </c:pt>
                <c:pt idx="3">
                  <c:v>46.471973836125557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8B-4FEB-A222-E0E36BEABD7A}"/>
            </c:ext>
          </c:extLst>
        </c:ser>
        <c:ser>
          <c:idx val="1"/>
          <c:order val="1"/>
          <c:tx>
            <c:strRef>
              <c:f>GRAF_MOT!$A$4</c:f>
              <c:strCache>
                <c:ptCount val="1"/>
                <c:pt idx="0">
                  <c:v>N</c:v>
                </c:pt>
              </c:strCache>
            </c:strRef>
          </c:tx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GRAF_MOT!$B$4:$E$4</c:f>
              <c:numCache>
                <c:formatCode>#,##0.00</c:formatCode>
                <c:ptCount val="4"/>
                <c:pt idx="0">
                  <c:v>51.692822980237018</c:v>
                </c:pt>
                <c:pt idx="1">
                  <c:v>53.144602977922965</c:v>
                </c:pt>
                <c:pt idx="2">
                  <c:v>51.961946744137116</c:v>
                </c:pt>
                <c:pt idx="3">
                  <c:v>50.302466690985149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8B-4FEB-A222-E0E36BEABD7A}"/>
            </c:ext>
          </c:extLst>
        </c:ser>
        <c:ser>
          <c:idx val="2"/>
          <c:order val="2"/>
          <c:tx>
            <c:strRef>
              <c:f>GRAF_MOT!$A$12</c:f>
              <c:strCache>
                <c:ptCount val="1"/>
                <c:pt idx="0">
                  <c:v>NE</c:v>
                </c:pt>
              </c:strCache>
            </c:strRef>
          </c:tx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GRAF_MOT!$B$12:$E$12</c:f>
              <c:numCache>
                <c:formatCode>#,##0.00</c:formatCode>
                <c:ptCount val="4"/>
                <c:pt idx="0">
                  <c:v>71.453386819014099</c:v>
                </c:pt>
                <c:pt idx="1">
                  <c:v>72.182882070353841</c:v>
                </c:pt>
                <c:pt idx="2">
                  <c:v>66.79803925756363</c:v>
                </c:pt>
                <c:pt idx="3">
                  <c:v>67.243453450712451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D8B-4FEB-A222-E0E36BEABD7A}"/>
            </c:ext>
          </c:extLst>
        </c:ser>
        <c:ser>
          <c:idx val="3"/>
          <c:order val="3"/>
          <c:tx>
            <c:strRef>
              <c:f>GRAF_MOT!$A$22</c:f>
              <c:strCache>
                <c:ptCount val="1"/>
                <c:pt idx="0">
                  <c:v>SE</c:v>
                </c:pt>
              </c:strCache>
            </c:strRef>
          </c:tx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GRAF_MOT!$B$22:$E$22</c:f>
              <c:numCache>
                <c:formatCode>#,##0.00</c:formatCode>
                <c:ptCount val="4"/>
                <c:pt idx="0">
                  <c:v>40.376303162306741</c:v>
                </c:pt>
                <c:pt idx="1">
                  <c:v>39.021474720777782</c:v>
                </c:pt>
                <c:pt idx="2">
                  <c:v>35.157446160712198</c:v>
                </c:pt>
                <c:pt idx="3">
                  <c:v>31.157789512090336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D8B-4FEB-A222-E0E36BEABD7A}"/>
            </c:ext>
          </c:extLst>
        </c:ser>
        <c:ser>
          <c:idx val="4"/>
          <c:order val="4"/>
          <c:tx>
            <c:strRef>
              <c:f>GRAF_MOT!$A$27</c:f>
              <c:strCache>
                <c:ptCount val="1"/>
                <c:pt idx="0">
                  <c:v>S</c:v>
                </c:pt>
              </c:strCache>
            </c:strRef>
          </c:tx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GRAF_MOT!$B$27:$E$27</c:f>
              <c:numCache>
                <c:formatCode>#,##0.00</c:formatCode>
                <c:ptCount val="4"/>
                <c:pt idx="0">
                  <c:v>51.216650053732629</c:v>
                </c:pt>
                <c:pt idx="1">
                  <c:v>48.674657925505535</c:v>
                </c:pt>
                <c:pt idx="2">
                  <c:v>45.543183669060284</c:v>
                </c:pt>
                <c:pt idx="3">
                  <c:v>44.578258197096048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D8B-4FEB-A222-E0E36BEABD7A}"/>
            </c:ext>
          </c:extLst>
        </c:ser>
        <c:ser>
          <c:idx val="5"/>
          <c:order val="5"/>
          <c:tx>
            <c:strRef>
              <c:f>GRAF_MOT!$A$31</c:f>
              <c:strCache>
                <c:ptCount val="1"/>
                <c:pt idx="0">
                  <c:v>CO</c:v>
                </c:pt>
              </c:strCache>
            </c:strRef>
          </c:tx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GRAF_MOT!$B$31:$E$31</c:f>
              <c:numCache>
                <c:formatCode>#,##0.00</c:formatCode>
                <c:ptCount val="4"/>
                <c:pt idx="0">
                  <c:v>62.977866706986767</c:v>
                </c:pt>
                <c:pt idx="1">
                  <c:v>63.363673594630988</c:v>
                </c:pt>
                <c:pt idx="2">
                  <c:v>51.811184266889896</c:v>
                </c:pt>
                <c:pt idx="3">
                  <c:v>50.42673095046014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D8B-4FEB-A222-E0E36BEABD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0161792"/>
        <c:axId val="160163328"/>
      </c:barChart>
      <c:catAx>
        <c:axId val="160161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60163328"/>
        <c:crosses val="autoZero"/>
        <c:auto val="1"/>
        <c:lblAlgn val="ctr"/>
        <c:lblOffset val="100"/>
        <c:noMultiLvlLbl val="0"/>
      </c:catAx>
      <c:valAx>
        <c:axId val="160163328"/>
        <c:scaling>
          <c:orientation val="minMax"/>
          <c:max val="100"/>
          <c:min val="2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Mortes/109km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19050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60161792"/>
        <c:crosses val="autoZero"/>
        <c:crossBetween val="between"/>
        <c:majorUnit val="20"/>
      </c:valAx>
    </c:plotArea>
    <c:legend>
      <c:legendPos val="b"/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Brasil e regiões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GRAF_MOT!$A$3</c:f>
              <c:strCache>
                <c:ptCount val="1"/>
                <c:pt idx="0">
                  <c:v>Brasil</c:v>
                </c:pt>
              </c:strCache>
            </c:strRef>
          </c:tx>
          <c:marker>
            <c:symbol val="circle"/>
            <c:size val="5"/>
            <c:spPr>
              <a:ln>
                <a:solidFill>
                  <a:prstClr val="black"/>
                </a:solidFill>
              </a:ln>
            </c:spPr>
          </c:marker>
          <c:cat>
            <c:numRef>
              <c:f>GRAF_MOT!$B$2:$E$2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GRAF_MOT!$B$3:$E$3</c:f>
              <c:numCache>
                <c:formatCode>#,##0.00</c:formatCode>
                <c:ptCount val="4"/>
                <c:pt idx="0">
                  <c:v>53.012285762139051</c:v>
                </c:pt>
                <c:pt idx="1">
                  <c:v>52.778348655386225</c:v>
                </c:pt>
                <c:pt idx="2">
                  <c:v>47.852936805183298</c:v>
                </c:pt>
                <c:pt idx="3">
                  <c:v>46.471973836125557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62-4BAE-AFB7-E8602214F0E0}"/>
            </c:ext>
          </c:extLst>
        </c:ser>
        <c:ser>
          <c:idx val="1"/>
          <c:order val="1"/>
          <c:tx>
            <c:strRef>
              <c:f>GRAF_MOT!$A$4</c:f>
              <c:strCache>
                <c:ptCount val="1"/>
                <c:pt idx="0">
                  <c:v>N</c:v>
                </c:pt>
              </c:strCache>
            </c:strRef>
          </c:tx>
          <c:marker>
            <c:symbol val="circle"/>
            <c:size val="5"/>
            <c:spPr>
              <a:ln>
                <a:solidFill>
                  <a:prstClr val="black"/>
                </a:solidFill>
              </a:ln>
            </c:spPr>
          </c:marker>
          <c:cat>
            <c:numRef>
              <c:f>GRAF_MOT!$B$2:$E$2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GRAF_MOT!$B$4:$E$4</c:f>
              <c:numCache>
                <c:formatCode>#,##0.00</c:formatCode>
                <c:ptCount val="4"/>
                <c:pt idx="0">
                  <c:v>51.692822980237018</c:v>
                </c:pt>
                <c:pt idx="1">
                  <c:v>53.144602977922965</c:v>
                </c:pt>
                <c:pt idx="2">
                  <c:v>51.961946744137116</c:v>
                </c:pt>
                <c:pt idx="3">
                  <c:v>50.302466690985149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62-4BAE-AFB7-E8602214F0E0}"/>
            </c:ext>
          </c:extLst>
        </c:ser>
        <c:ser>
          <c:idx val="2"/>
          <c:order val="2"/>
          <c:tx>
            <c:strRef>
              <c:f>GRAF_MOT!$A$12</c:f>
              <c:strCache>
                <c:ptCount val="1"/>
                <c:pt idx="0">
                  <c:v>NE</c:v>
                </c:pt>
              </c:strCache>
            </c:strRef>
          </c:tx>
          <c:marker>
            <c:symbol val="circle"/>
            <c:size val="5"/>
            <c:spPr>
              <a:ln>
                <a:solidFill>
                  <a:prstClr val="black"/>
                </a:solidFill>
              </a:ln>
            </c:spPr>
          </c:marker>
          <c:cat>
            <c:numRef>
              <c:f>GRAF_MOT!$B$2:$E$2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GRAF_MOT!$B$12:$E$12</c:f>
              <c:numCache>
                <c:formatCode>#,##0.00</c:formatCode>
                <c:ptCount val="4"/>
                <c:pt idx="0">
                  <c:v>71.453386819014099</c:v>
                </c:pt>
                <c:pt idx="1">
                  <c:v>72.182882070353841</c:v>
                </c:pt>
                <c:pt idx="2">
                  <c:v>66.79803925756363</c:v>
                </c:pt>
                <c:pt idx="3">
                  <c:v>67.243453450712451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62-4BAE-AFB7-E8602214F0E0}"/>
            </c:ext>
          </c:extLst>
        </c:ser>
        <c:ser>
          <c:idx val="3"/>
          <c:order val="3"/>
          <c:tx>
            <c:strRef>
              <c:f>GRAF_MOT!$A$22</c:f>
              <c:strCache>
                <c:ptCount val="1"/>
                <c:pt idx="0">
                  <c:v>SE</c:v>
                </c:pt>
              </c:strCache>
            </c:strRef>
          </c:tx>
          <c:marker>
            <c:symbol val="circle"/>
            <c:size val="5"/>
            <c:spPr>
              <a:ln>
                <a:solidFill>
                  <a:prstClr val="black"/>
                </a:solidFill>
              </a:ln>
            </c:spPr>
          </c:marker>
          <c:cat>
            <c:numRef>
              <c:f>GRAF_MOT!$B$2:$E$2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GRAF_MOT!$B$22:$E$22</c:f>
              <c:numCache>
                <c:formatCode>#,##0.00</c:formatCode>
                <c:ptCount val="4"/>
                <c:pt idx="0">
                  <c:v>40.376303162306741</c:v>
                </c:pt>
                <c:pt idx="1">
                  <c:v>39.021474720777782</c:v>
                </c:pt>
                <c:pt idx="2">
                  <c:v>35.157446160712198</c:v>
                </c:pt>
                <c:pt idx="3">
                  <c:v>31.157789512090336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62-4BAE-AFB7-E8602214F0E0}"/>
            </c:ext>
          </c:extLst>
        </c:ser>
        <c:ser>
          <c:idx val="4"/>
          <c:order val="4"/>
          <c:tx>
            <c:strRef>
              <c:f>GRAF_MOT!$A$27</c:f>
              <c:strCache>
                <c:ptCount val="1"/>
                <c:pt idx="0">
                  <c:v>S</c:v>
                </c:pt>
              </c:strCache>
            </c:strRef>
          </c:tx>
          <c:marker>
            <c:symbol val="circle"/>
            <c:size val="5"/>
            <c:spPr>
              <a:ln>
                <a:solidFill>
                  <a:prstClr val="black"/>
                </a:solidFill>
              </a:ln>
            </c:spPr>
          </c:marker>
          <c:cat>
            <c:numRef>
              <c:f>GRAF_MOT!$B$2:$E$2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GRAF_MOT!$B$27:$E$27</c:f>
              <c:numCache>
                <c:formatCode>#,##0.00</c:formatCode>
                <c:ptCount val="4"/>
                <c:pt idx="0">
                  <c:v>51.216650053732629</c:v>
                </c:pt>
                <c:pt idx="1">
                  <c:v>48.674657925505535</c:v>
                </c:pt>
                <c:pt idx="2">
                  <c:v>45.543183669060284</c:v>
                </c:pt>
                <c:pt idx="3">
                  <c:v>44.578258197096048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B62-4BAE-AFB7-E8602214F0E0}"/>
            </c:ext>
          </c:extLst>
        </c:ser>
        <c:ser>
          <c:idx val="5"/>
          <c:order val="5"/>
          <c:tx>
            <c:strRef>
              <c:f>GRAF_MOT!$A$31</c:f>
              <c:strCache>
                <c:ptCount val="1"/>
                <c:pt idx="0">
                  <c:v>CO</c:v>
                </c:pt>
              </c:strCache>
            </c:strRef>
          </c:tx>
          <c:marker>
            <c:symbol val="circle"/>
            <c:size val="5"/>
            <c:spPr>
              <a:ln>
                <a:solidFill>
                  <a:prstClr val="black"/>
                </a:solidFill>
              </a:ln>
            </c:spPr>
          </c:marker>
          <c:cat>
            <c:numRef>
              <c:f>GRAF_MOT!$B$2:$E$2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GRAF_MOT!$B$31:$E$31</c:f>
              <c:numCache>
                <c:formatCode>#,##0.00</c:formatCode>
                <c:ptCount val="4"/>
                <c:pt idx="0">
                  <c:v>62.977866706986767</c:v>
                </c:pt>
                <c:pt idx="1">
                  <c:v>63.363673594630988</c:v>
                </c:pt>
                <c:pt idx="2">
                  <c:v>51.811184266889896</c:v>
                </c:pt>
                <c:pt idx="3">
                  <c:v>50.42673095046014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B62-4BAE-AFB7-E8602214F0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200192"/>
        <c:axId val="160202112"/>
      </c:lineChart>
      <c:catAx>
        <c:axId val="160200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60202112"/>
        <c:crosses val="autoZero"/>
        <c:auto val="1"/>
        <c:lblAlgn val="ctr"/>
        <c:lblOffset val="100"/>
        <c:noMultiLvlLbl val="0"/>
      </c:catAx>
      <c:valAx>
        <c:axId val="160202112"/>
        <c:scaling>
          <c:orientation val="minMax"/>
          <c:max val="12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Mortes/109km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19050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60200192"/>
        <c:crosses val="autoZero"/>
        <c:crossBetween val="between"/>
        <c:majorUnit val="20"/>
      </c:valAx>
    </c:plotArea>
    <c:legend>
      <c:legendPos val="b"/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Brasil e regiões</a:t>
            </a:r>
          </a:p>
        </c:rich>
      </c:tx>
      <c:overlay val="0"/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GRAF_MOT!$A$3</c:f>
              <c:strCache>
                <c:ptCount val="1"/>
                <c:pt idx="0">
                  <c:v>Brasil</c:v>
                </c:pt>
              </c:strCache>
            </c:strRef>
          </c:tx>
          <c:marker>
            <c:symbol val="none"/>
          </c:marker>
          <c:cat>
            <c:numRef>
              <c:f>GRAF_MOT!$B$2:$E$2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GRAF_MOT!$B$3:$E$3</c:f>
              <c:numCache>
                <c:formatCode>#,##0.00</c:formatCode>
                <c:ptCount val="4"/>
                <c:pt idx="0">
                  <c:v>53.012285762139051</c:v>
                </c:pt>
                <c:pt idx="1">
                  <c:v>52.778348655386225</c:v>
                </c:pt>
                <c:pt idx="2">
                  <c:v>47.852936805183298</c:v>
                </c:pt>
                <c:pt idx="3">
                  <c:v>46.471973836125557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6A-4280-B4ED-743CC8738159}"/>
            </c:ext>
          </c:extLst>
        </c:ser>
        <c:ser>
          <c:idx val="1"/>
          <c:order val="1"/>
          <c:tx>
            <c:strRef>
              <c:f>GRAF_MOT!$A$4</c:f>
              <c:strCache>
                <c:ptCount val="1"/>
                <c:pt idx="0">
                  <c:v>N</c:v>
                </c:pt>
              </c:strCache>
            </c:strRef>
          </c:tx>
          <c:marker>
            <c:symbol val="none"/>
          </c:marker>
          <c:cat>
            <c:numRef>
              <c:f>GRAF_MOT!$B$2:$E$2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GRAF_MOT!$B$4:$E$4</c:f>
              <c:numCache>
                <c:formatCode>#,##0.00</c:formatCode>
                <c:ptCount val="4"/>
                <c:pt idx="0">
                  <c:v>51.692822980237018</c:v>
                </c:pt>
                <c:pt idx="1">
                  <c:v>53.144602977922965</c:v>
                </c:pt>
                <c:pt idx="2">
                  <c:v>51.961946744137116</c:v>
                </c:pt>
                <c:pt idx="3">
                  <c:v>50.302466690985149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6A-4280-B4ED-743CC8738159}"/>
            </c:ext>
          </c:extLst>
        </c:ser>
        <c:ser>
          <c:idx val="2"/>
          <c:order val="2"/>
          <c:tx>
            <c:strRef>
              <c:f>GRAF_MOT!$A$12</c:f>
              <c:strCache>
                <c:ptCount val="1"/>
                <c:pt idx="0">
                  <c:v>NE</c:v>
                </c:pt>
              </c:strCache>
            </c:strRef>
          </c:tx>
          <c:marker>
            <c:symbol val="none"/>
          </c:marker>
          <c:cat>
            <c:numRef>
              <c:f>GRAF_MOT!$B$2:$E$2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GRAF_MOT!$B$12:$E$12</c:f>
              <c:numCache>
                <c:formatCode>#,##0.00</c:formatCode>
                <c:ptCount val="4"/>
                <c:pt idx="0">
                  <c:v>71.453386819014099</c:v>
                </c:pt>
                <c:pt idx="1">
                  <c:v>72.182882070353841</c:v>
                </c:pt>
                <c:pt idx="2">
                  <c:v>66.79803925756363</c:v>
                </c:pt>
                <c:pt idx="3">
                  <c:v>67.243453450712451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6A-4280-B4ED-743CC8738159}"/>
            </c:ext>
          </c:extLst>
        </c:ser>
        <c:ser>
          <c:idx val="3"/>
          <c:order val="3"/>
          <c:tx>
            <c:strRef>
              <c:f>GRAF_MOT!$A$22</c:f>
              <c:strCache>
                <c:ptCount val="1"/>
                <c:pt idx="0">
                  <c:v>SE</c:v>
                </c:pt>
              </c:strCache>
            </c:strRef>
          </c:tx>
          <c:marker>
            <c:symbol val="none"/>
          </c:marker>
          <c:cat>
            <c:numRef>
              <c:f>GRAF_MOT!$B$2:$E$2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GRAF_MOT!$B$22:$E$22</c:f>
              <c:numCache>
                <c:formatCode>#,##0.00</c:formatCode>
                <c:ptCount val="4"/>
                <c:pt idx="0">
                  <c:v>40.376303162306741</c:v>
                </c:pt>
                <c:pt idx="1">
                  <c:v>39.021474720777782</c:v>
                </c:pt>
                <c:pt idx="2">
                  <c:v>35.157446160712198</c:v>
                </c:pt>
                <c:pt idx="3">
                  <c:v>31.157789512090336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6A-4280-B4ED-743CC8738159}"/>
            </c:ext>
          </c:extLst>
        </c:ser>
        <c:ser>
          <c:idx val="4"/>
          <c:order val="4"/>
          <c:tx>
            <c:strRef>
              <c:f>GRAF_MOT!$A$27</c:f>
              <c:strCache>
                <c:ptCount val="1"/>
                <c:pt idx="0">
                  <c:v>S</c:v>
                </c:pt>
              </c:strCache>
            </c:strRef>
          </c:tx>
          <c:marker>
            <c:symbol val="none"/>
          </c:marker>
          <c:cat>
            <c:numRef>
              <c:f>GRAF_MOT!$B$2:$E$2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GRAF_MOT!$B$27:$E$27</c:f>
              <c:numCache>
                <c:formatCode>#,##0.00</c:formatCode>
                <c:ptCount val="4"/>
                <c:pt idx="0">
                  <c:v>51.216650053732629</c:v>
                </c:pt>
                <c:pt idx="1">
                  <c:v>48.674657925505535</c:v>
                </c:pt>
                <c:pt idx="2">
                  <c:v>45.543183669060284</c:v>
                </c:pt>
                <c:pt idx="3">
                  <c:v>44.578258197096048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76A-4280-B4ED-743CC8738159}"/>
            </c:ext>
          </c:extLst>
        </c:ser>
        <c:ser>
          <c:idx val="5"/>
          <c:order val="5"/>
          <c:tx>
            <c:strRef>
              <c:f>GRAF_MOT!$A$31</c:f>
              <c:strCache>
                <c:ptCount val="1"/>
                <c:pt idx="0">
                  <c:v>CO</c:v>
                </c:pt>
              </c:strCache>
            </c:strRef>
          </c:tx>
          <c:marker>
            <c:symbol val="none"/>
          </c:marker>
          <c:cat>
            <c:numRef>
              <c:f>GRAF_MOT!$B$2:$E$2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GRAF_MOT!$B$31:$E$31</c:f>
              <c:numCache>
                <c:formatCode>#,##0.00</c:formatCode>
                <c:ptCount val="4"/>
                <c:pt idx="0">
                  <c:v>62.977866706986767</c:v>
                </c:pt>
                <c:pt idx="1">
                  <c:v>63.363673594630988</c:v>
                </c:pt>
                <c:pt idx="2">
                  <c:v>51.811184266889896</c:v>
                </c:pt>
                <c:pt idx="3">
                  <c:v>50.42673095046014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76A-4280-B4ED-743CC8738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329728"/>
        <c:axId val="160331264"/>
      </c:radarChart>
      <c:catAx>
        <c:axId val="16032972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spPr>
          <a:ln w="19050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60331264"/>
        <c:crosses val="autoZero"/>
        <c:auto val="1"/>
        <c:lblAlgn val="ctr"/>
        <c:lblOffset val="100"/>
        <c:noMultiLvlLbl val="0"/>
      </c:catAx>
      <c:valAx>
        <c:axId val="160331264"/>
        <c:scaling>
          <c:orientation val="minMax"/>
          <c:max val="12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Mortes/109km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19050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60329728"/>
        <c:crosses val="autoZero"/>
        <c:crossBetween val="between"/>
        <c:majorUnit val="20"/>
      </c:valAx>
    </c:plotArea>
    <c:legend>
      <c:legendPos val="r"/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Acre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GRAF_MOT!$A$5</c:f>
              <c:strCache>
                <c:ptCount val="1"/>
                <c:pt idx="0">
                  <c:v>Acre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GRAF_MOT!$B$5:$E$5</c:f>
              <c:numCache>
                <c:formatCode>#,##0.00</c:formatCode>
                <c:ptCount val="4"/>
                <c:pt idx="0">
                  <c:v>8.5973974715051948</c:v>
                </c:pt>
                <c:pt idx="1">
                  <c:v>15.512210914056421</c:v>
                </c:pt>
                <c:pt idx="2">
                  <c:v>12.445068363481287</c:v>
                </c:pt>
                <c:pt idx="3">
                  <c:v>35.160780446245091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E3-4E80-885B-2AE980972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643712"/>
        <c:axId val="160645504"/>
      </c:lineChart>
      <c:catAx>
        <c:axId val="160643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0645504"/>
        <c:crosses val="autoZero"/>
        <c:auto val="1"/>
        <c:lblAlgn val="ctr"/>
        <c:lblOffset val="100"/>
        <c:noMultiLvlLbl val="0"/>
      </c:catAx>
      <c:valAx>
        <c:axId val="160645504"/>
        <c:scaling>
          <c:orientation val="minMax"/>
          <c:max val="14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0643712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Amapá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GRAF_MOT!$A$6</c:f>
              <c:strCache>
                <c:ptCount val="1"/>
                <c:pt idx="0">
                  <c:v>Amapá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GRAF_MOT!$B$6:$E$6</c:f>
              <c:numCache>
                <c:formatCode>#,##0.00</c:formatCode>
                <c:ptCount val="4"/>
                <c:pt idx="0">
                  <c:v>22.732931711685911</c:v>
                </c:pt>
                <c:pt idx="1">
                  <c:v>8.7693349869970749</c:v>
                </c:pt>
                <c:pt idx="2">
                  <c:v>6.0092271663595556</c:v>
                </c:pt>
                <c:pt idx="3">
                  <c:v>6.1173228982425805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67-4795-8086-626AC511DC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662272"/>
        <c:axId val="160663808"/>
      </c:lineChart>
      <c:catAx>
        <c:axId val="160662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0663808"/>
        <c:crosses val="autoZero"/>
        <c:auto val="1"/>
        <c:lblAlgn val="ctr"/>
        <c:lblOffset val="100"/>
        <c:noMultiLvlLbl val="0"/>
      </c:catAx>
      <c:valAx>
        <c:axId val="160663808"/>
        <c:scaling>
          <c:orientation val="minMax"/>
          <c:max val="14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0662272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Amazonas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GRAF_MOT!$A$7</c:f>
              <c:strCache>
                <c:ptCount val="1"/>
                <c:pt idx="0">
                  <c:v>Amazonas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GRAF_MOT!$B$7:$E$7</c:f>
              <c:numCache>
                <c:formatCode>#,##0.00</c:formatCode>
                <c:ptCount val="4"/>
                <c:pt idx="0">
                  <c:v>53.075695037706645</c:v>
                </c:pt>
                <c:pt idx="1">
                  <c:v>44.904818045480845</c:v>
                </c:pt>
                <c:pt idx="2">
                  <c:v>47.220491012381665</c:v>
                </c:pt>
                <c:pt idx="3">
                  <c:v>45.262693745410829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0C-4C0E-A10D-3B87B5228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689152"/>
        <c:axId val="160383360"/>
      </c:lineChart>
      <c:catAx>
        <c:axId val="160689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0383360"/>
        <c:crosses val="autoZero"/>
        <c:auto val="1"/>
        <c:lblAlgn val="ctr"/>
        <c:lblOffset val="100"/>
        <c:noMultiLvlLbl val="0"/>
      </c:catAx>
      <c:valAx>
        <c:axId val="160383360"/>
        <c:scaling>
          <c:orientation val="minMax"/>
          <c:max val="14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0689152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GRAF_MOT!$A$8</c:f>
              <c:strCache>
                <c:ptCount val="1"/>
                <c:pt idx="0">
                  <c:v>Pará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GRAF_MOT!$B$8:$E$8</c:f>
              <c:numCache>
                <c:formatCode>#,##0.00</c:formatCode>
                <c:ptCount val="4"/>
                <c:pt idx="0">
                  <c:v>58.990698907278535</c:v>
                </c:pt>
                <c:pt idx="1">
                  <c:v>69.29972668944221</c:v>
                </c:pt>
                <c:pt idx="2">
                  <c:v>64.69856543722166</c:v>
                </c:pt>
                <c:pt idx="3">
                  <c:v>56.696878553731892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C0-44F0-AC92-E57F9B217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12032"/>
        <c:axId val="160413568"/>
      </c:lineChart>
      <c:catAx>
        <c:axId val="160412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0413568"/>
        <c:crosses val="autoZero"/>
        <c:auto val="1"/>
        <c:lblAlgn val="ctr"/>
        <c:lblOffset val="100"/>
        <c:noMultiLvlLbl val="0"/>
      </c:catAx>
      <c:valAx>
        <c:axId val="160413568"/>
        <c:scaling>
          <c:orientation val="minMax"/>
          <c:max val="14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0412032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Rondônia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GRAF_MOT!$A$9</c:f>
              <c:strCache>
                <c:ptCount val="1"/>
                <c:pt idx="0">
                  <c:v>Rondônia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GRAF_MOT!$B$9:$E$9</c:f>
              <c:numCache>
                <c:formatCode>#,##0.00</c:formatCode>
                <c:ptCount val="4"/>
                <c:pt idx="0">
                  <c:v>47.291431287801423</c:v>
                </c:pt>
                <c:pt idx="1">
                  <c:v>39.824104461492404</c:v>
                </c:pt>
                <c:pt idx="2">
                  <c:v>41.429312835685728</c:v>
                </c:pt>
                <c:pt idx="3">
                  <c:v>42.255847399262329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CA-4065-BE82-1190958D1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8528"/>
        <c:axId val="160477184"/>
      </c:lineChart>
      <c:catAx>
        <c:axId val="160438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0477184"/>
        <c:crosses val="autoZero"/>
        <c:auto val="1"/>
        <c:lblAlgn val="ctr"/>
        <c:lblOffset val="100"/>
        <c:noMultiLvlLbl val="0"/>
      </c:catAx>
      <c:valAx>
        <c:axId val="160477184"/>
        <c:scaling>
          <c:orientation val="minMax"/>
          <c:max val="14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0438528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Roraima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GRAF_MOT!$A$10</c:f>
              <c:strCache>
                <c:ptCount val="1"/>
                <c:pt idx="0">
                  <c:v>Roraima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GRAF_MOT!$B$10:$E$10</c:f>
              <c:numCache>
                <c:formatCode>#,##0.00</c:formatCode>
                <c:ptCount val="4"/>
                <c:pt idx="0">
                  <c:v>43.412327283853429</c:v>
                </c:pt>
                <c:pt idx="1">
                  <c:v>75.633867709450698</c:v>
                </c:pt>
                <c:pt idx="2">
                  <c:v>65.477101820043941</c:v>
                </c:pt>
                <c:pt idx="3">
                  <c:v>89.572107080769698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4E-486D-89FF-61A073C6DC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571776"/>
        <c:axId val="160573312"/>
      </c:lineChart>
      <c:catAx>
        <c:axId val="160571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0573312"/>
        <c:crosses val="autoZero"/>
        <c:auto val="1"/>
        <c:lblAlgn val="ctr"/>
        <c:lblOffset val="100"/>
        <c:noMultiLvlLbl val="0"/>
      </c:catAx>
      <c:valAx>
        <c:axId val="160573312"/>
        <c:scaling>
          <c:orientation val="minMax"/>
          <c:max val="14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0571776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Tocantins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GRAF_MOT!$A$11</c:f>
              <c:strCache>
                <c:ptCount val="1"/>
                <c:pt idx="0">
                  <c:v>Tocantins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GRAF_MOT!$B$11:$E$11</c:f>
              <c:numCache>
                <c:formatCode>#,##0.00</c:formatCode>
                <c:ptCount val="4"/>
                <c:pt idx="0">
                  <c:v>70.045597444590214</c:v>
                </c:pt>
                <c:pt idx="1">
                  <c:v>63.004204438196268</c:v>
                </c:pt>
                <c:pt idx="2">
                  <c:v>67.340003749002008</c:v>
                </c:pt>
                <c:pt idx="3">
                  <c:v>59.01175286796181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C4-4E7E-8B96-95C9EE3EE4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614656"/>
        <c:axId val="160620544"/>
      </c:lineChart>
      <c:catAx>
        <c:axId val="160614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0620544"/>
        <c:crosses val="autoZero"/>
        <c:auto val="1"/>
        <c:lblAlgn val="ctr"/>
        <c:lblOffset val="100"/>
        <c:noMultiLvlLbl val="0"/>
      </c:catAx>
      <c:valAx>
        <c:axId val="160620544"/>
        <c:scaling>
          <c:orientation val="minMax"/>
          <c:max val="14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0614656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Alagoas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GRAF_MOT!$A$13</c:f>
              <c:strCache>
                <c:ptCount val="1"/>
                <c:pt idx="0">
                  <c:v>Alagoas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GRAF_MOT!$B$13:$E$13</c:f>
              <c:numCache>
                <c:formatCode>#,##0.00</c:formatCode>
                <c:ptCount val="4"/>
                <c:pt idx="0">
                  <c:v>71.230408398969772</c:v>
                </c:pt>
                <c:pt idx="1">
                  <c:v>58.402927313633008</c:v>
                </c:pt>
                <c:pt idx="2">
                  <c:v>46.463779640062477</c:v>
                </c:pt>
                <c:pt idx="3">
                  <c:v>41.176389259762423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9F-496B-A6D3-5B1D503A7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711040"/>
        <c:axId val="160712576"/>
      </c:lineChart>
      <c:catAx>
        <c:axId val="160711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0712576"/>
        <c:crosses val="autoZero"/>
        <c:auto val="1"/>
        <c:lblAlgn val="ctr"/>
        <c:lblOffset val="100"/>
        <c:noMultiLvlLbl val="0"/>
      </c:catAx>
      <c:valAx>
        <c:axId val="160712576"/>
        <c:scaling>
          <c:orientation val="minMax"/>
          <c:max val="180"/>
          <c:min val="6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0711040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Bahia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GRAF_MOT!$A$14</c:f>
              <c:strCache>
                <c:ptCount val="1"/>
                <c:pt idx="0">
                  <c:v>Bahia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GRAF_MOT!$B$14:$E$14</c:f>
              <c:numCache>
                <c:formatCode>#,##0.00</c:formatCode>
                <c:ptCount val="4"/>
                <c:pt idx="0">
                  <c:v>36.902184544541193</c:v>
                </c:pt>
                <c:pt idx="1">
                  <c:v>46.215152803562241</c:v>
                </c:pt>
                <c:pt idx="2">
                  <c:v>36.705448582682635</c:v>
                </c:pt>
                <c:pt idx="3">
                  <c:v>40.149169311371857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9C-4033-A672-F6DB6A237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749824"/>
        <c:axId val="160755712"/>
      </c:lineChart>
      <c:catAx>
        <c:axId val="160749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0755712"/>
        <c:crosses val="autoZero"/>
        <c:auto val="1"/>
        <c:lblAlgn val="ctr"/>
        <c:lblOffset val="100"/>
        <c:noMultiLvlLbl val="0"/>
      </c:catAx>
      <c:valAx>
        <c:axId val="160755712"/>
        <c:scaling>
          <c:orientation val="minMax"/>
          <c:max val="180"/>
          <c:min val="6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0749824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Ceará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GRAF_MOT!$A$15</c:f>
              <c:strCache>
                <c:ptCount val="1"/>
                <c:pt idx="0">
                  <c:v>Ceará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GRAF_MOT!$B$15:$E$15</c:f>
              <c:numCache>
                <c:formatCode>#,##0.00</c:formatCode>
                <c:ptCount val="4"/>
                <c:pt idx="0">
                  <c:v>70.47596053144143</c:v>
                </c:pt>
                <c:pt idx="1">
                  <c:v>75.901548670507168</c:v>
                </c:pt>
                <c:pt idx="2">
                  <c:v>64.490160115725942</c:v>
                </c:pt>
                <c:pt idx="3">
                  <c:v>64.183963676334102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34-4097-95D9-45B363921C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866688"/>
        <c:axId val="160868224"/>
      </c:lineChart>
      <c:catAx>
        <c:axId val="160866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0868224"/>
        <c:crosses val="autoZero"/>
        <c:auto val="1"/>
        <c:lblAlgn val="ctr"/>
        <c:lblOffset val="100"/>
        <c:noMultiLvlLbl val="0"/>
      </c:catAx>
      <c:valAx>
        <c:axId val="160868224"/>
        <c:scaling>
          <c:orientation val="minMax"/>
          <c:max val="180"/>
          <c:min val="6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0866688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Maranhão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GRAF_MOT!$A$16</c:f>
              <c:strCache>
                <c:ptCount val="1"/>
                <c:pt idx="0">
                  <c:v>Maranhão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GRAF_MOT!$B$16:$E$16</c:f>
              <c:numCache>
                <c:formatCode>#,##0.00</c:formatCode>
                <c:ptCount val="4"/>
                <c:pt idx="0">
                  <c:v>64.985264045586646</c:v>
                </c:pt>
                <c:pt idx="1">
                  <c:v>62.544172030833607</c:v>
                </c:pt>
                <c:pt idx="2">
                  <c:v>71.898555520710161</c:v>
                </c:pt>
                <c:pt idx="3">
                  <c:v>71.821929523620753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46-4CCF-A511-6E9C1C7AA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229056"/>
        <c:axId val="161230848"/>
      </c:lineChart>
      <c:catAx>
        <c:axId val="161229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1230848"/>
        <c:crosses val="autoZero"/>
        <c:auto val="1"/>
        <c:lblAlgn val="ctr"/>
        <c:lblOffset val="100"/>
        <c:noMultiLvlLbl val="0"/>
      </c:catAx>
      <c:valAx>
        <c:axId val="161230848"/>
        <c:scaling>
          <c:orientation val="minMax"/>
          <c:max val="180"/>
          <c:min val="6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1229056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Paraíba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GRAF_MOT!$A$17</c:f>
              <c:strCache>
                <c:ptCount val="1"/>
                <c:pt idx="0">
                  <c:v>Paraíba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GRAF_MOT!$B$17:$E$17</c:f>
              <c:numCache>
                <c:formatCode>#,##0.00</c:formatCode>
                <c:ptCount val="4"/>
                <c:pt idx="0">
                  <c:v>63.848168545255952</c:v>
                </c:pt>
                <c:pt idx="1">
                  <c:v>52.769738622380352</c:v>
                </c:pt>
                <c:pt idx="2">
                  <c:v>51.788734896987528</c:v>
                </c:pt>
                <c:pt idx="3">
                  <c:v>59.94631116806341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38-4586-9B59-82A6525E9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255808"/>
        <c:axId val="161257344"/>
      </c:lineChart>
      <c:catAx>
        <c:axId val="161255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1257344"/>
        <c:crosses val="autoZero"/>
        <c:auto val="1"/>
        <c:lblAlgn val="ctr"/>
        <c:lblOffset val="100"/>
        <c:noMultiLvlLbl val="0"/>
      </c:catAx>
      <c:valAx>
        <c:axId val="161257344"/>
        <c:scaling>
          <c:orientation val="minMax"/>
          <c:max val="180"/>
          <c:min val="6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1255808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Pernambuco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GRAF_MOT!$A$18</c:f>
              <c:strCache>
                <c:ptCount val="1"/>
                <c:pt idx="0">
                  <c:v>Pernambuco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GRAF_MOT!$B$18:$E$18</c:f>
              <c:numCache>
                <c:formatCode>#,##0.00</c:formatCode>
                <c:ptCount val="4"/>
                <c:pt idx="0">
                  <c:v>81.051258880217091</c:v>
                </c:pt>
                <c:pt idx="1">
                  <c:v>78.604285313758695</c:v>
                </c:pt>
                <c:pt idx="2">
                  <c:v>82.552222725385391</c:v>
                </c:pt>
                <c:pt idx="3">
                  <c:v>76.356247204262587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67-493F-B600-D13F18B684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966912"/>
        <c:axId val="160980992"/>
      </c:lineChart>
      <c:catAx>
        <c:axId val="160966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0980992"/>
        <c:crosses val="autoZero"/>
        <c:auto val="1"/>
        <c:lblAlgn val="ctr"/>
        <c:lblOffset val="100"/>
        <c:noMultiLvlLbl val="0"/>
      </c:catAx>
      <c:valAx>
        <c:axId val="160980992"/>
        <c:scaling>
          <c:orientation val="minMax"/>
          <c:max val="180"/>
          <c:min val="6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0966912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Piauí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GRAF_MOT!$A$19</c:f>
              <c:strCache>
                <c:ptCount val="1"/>
                <c:pt idx="0">
                  <c:v>Piauí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GRAF_MOT!$B$19:$E$19</c:f>
              <c:numCache>
                <c:formatCode>#,##0.00</c:formatCode>
                <c:ptCount val="4"/>
                <c:pt idx="0">
                  <c:v>121.49024670638245</c:v>
                </c:pt>
                <c:pt idx="1">
                  <c:v>126.3439347971275</c:v>
                </c:pt>
                <c:pt idx="2">
                  <c:v>121.26550446117439</c:v>
                </c:pt>
                <c:pt idx="3">
                  <c:v>113.43560672788473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C5-4B4D-88D9-22A71A0125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022336"/>
        <c:axId val="161023872"/>
      </c:lineChart>
      <c:catAx>
        <c:axId val="161022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1023872"/>
        <c:crosses val="autoZero"/>
        <c:auto val="1"/>
        <c:lblAlgn val="ctr"/>
        <c:lblOffset val="100"/>
        <c:noMultiLvlLbl val="0"/>
      </c:catAx>
      <c:valAx>
        <c:axId val="161023872"/>
        <c:scaling>
          <c:orientation val="minMax"/>
          <c:max val="180"/>
          <c:min val="6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1022336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 Grande do Norte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GRAF_MOT!$A$20</c:f>
              <c:strCache>
                <c:ptCount val="1"/>
                <c:pt idx="0">
                  <c:v>Rio Grande do Norte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GRAF_MOT!$B$20:$E$20</c:f>
              <c:numCache>
                <c:formatCode>#,##0.00</c:formatCode>
                <c:ptCount val="4"/>
                <c:pt idx="0">
                  <c:v>69.956878101451679</c:v>
                </c:pt>
                <c:pt idx="1">
                  <c:v>71.000749851687857</c:v>
                </c:pt>
                <c:pt idx="2">
                  <c:v>55.02093865269822</c:v>
                </c:pt>
                <c:pt idx="3">
                  <c:v>52.161881108150247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F3-4087-9866-77DFA3394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065216"/>
        <c:axId val="161067008"/>
      </c:lineChart>
      <c:catAx>
        <c:axId val="161065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1067008"/>
        <c:crosses val="autoZero"/>
        <c:auto val="1"/>
        <c:lblAlgn val="ctr"/>
        <c:lblOffset val="100"/>
        <c:noMultiLvlLbl val="0"/>
      </c:catAx>
      <c:valAx>
        <c:axId val="161067008"/>
        <c:scaling>
          <c:orientation val="minMax"/>
          <c:max val="180"/>
          <c:min val="6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1065216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Sergipe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GRAF_MOT!$A$21</c:f>
              <c:strCache>
                <c:ptCount val="1"/>
                <c:pt idx="0">
                  <c:v>Sergipe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GRAF_MOT!$B$21:$E$21</c:f>
              <c:numCache>
                <c:formatCode>#,##0.00</c:formatCode>
                <c:ptCount val="4"/>
                <c:pt idx="0">
                  <c:v>146.73754396014567</c:v>
                </c:pt>
                <c:pt idx="1">
                  <c:v>131.06072682059016</c:v>
                </c:pt>
                <c:pt idx="2">
                  <c:v>120.89867040064151</c:v>
                </c:pt>
                <c:pt idx="3">
                  <c:v>137.9772372848085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F9-4988-9B35-4C8A9276F9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165696"/>
        <c:axId val="161167232"/>
      </c:lineChart>
      <c:catAx>
        <c:axId val="161165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1167232"/>
        <c:crosses val="autoZero"/>
        <c:auto val="1"/>
        <c:lblAlgn val="ctr"/>
        <c:lblOffset val="100"/>
        <c:noMultiLvlLbl val="0"/>
      </c:catAx>
      <c:valAx>
        <c:axId val="161167232"/>
        <c:scaling>
          <c:orientation val="minMax"/>
          <c:max val="180"/>
          <c:min val="6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1165696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Espírito Santo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GRAF_MOT!$A$23</c:f>
              <c:strCache>
                <c:ptCount val="1"/>
                <c:pt idx="0">
                  <c:v>Espírito Santo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GRAF_MOT!$B$23:$E$23</c:f>
              <c:numCache>
                <c:formatCode>#,##0.00</c:formatCode>
                <c:ptCount val="4"/>
                <c:pt idx="0">
                  <c:v>73.000466581870725</c:v>
                </c:pt>
                <c:pt idx="1">
                  <c:v>74.707426836270457</c:v>
                </c:pt>
                <c:pt idx="2">
                  <c:v>74.677763181027899</c:v>
                </c:pt>
                <c:pt idx="3">
                  <c:v>64.541702366677129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EE-484F-A24C-417BA368D5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192192"/>
        <c:axId val="161193984"/>
      </c:lineChart>
      <c:catAx>
        <c:axId val="161192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1193984"/>
        <c:crosses val="autoZero"/>
        <c:auto val="1"/>
        <c:lblAlgn val="ctr"/>
        <c:lblOffset val="100"/>
        <c:noMultiLvlLbl val="0"/>
      </c:catAx>
      <c:valAx>
        <c:axId val="161193984"/>
        <c:scaling>
          <c:orientation val="minMax"/>
          <c:max val="100"/>
          <c:min val="2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1192192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Minas Gerais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GRAF_MOT!$A$24</c:f>
              <c:strCache>
                <c:ptCount val="1"/>
                <c:pt idx="0">
                  <c:v>Minas Gerais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cat>
            <c:numRef>
              <c:f>GRAF_MOT!$B$2:$E$2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GRAF_MOT!$B$24:$E$24</c:f>
              <c:numCache>
                <c:formatCode>#,##0.00</c:formatCode>
                <c:ptCount val="4"/>
                <c:pt idx="0">
                  <c:v>31.892887582979771</c:v>
                </c:pt>
                <c:pt idx="1">
                  <c:v>29.780426529744958</c:v>
                </c:pt>
                <c:pt idx="2">
                  <c:v>31.71642376983807</c:v>
                </c:pt>
                <c:pt idx="3">
                  <c:v>28.473493901063886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B3-4E37-950F-CFDFA9277B36}"/>
            </c:ext>
          </c:extLst>
        </c:ser>
        <c:ser>
          <c:idx val="2"/>
          <c:order val="0"/>
          <c:tx>
            <c:strRef>
              <c:f>GRAF_MOT!$A$24</c:f>
              <c:strCache>
                <c:ptCount val="1"/>
                <c:pt idx="0">
                  <c:v>Minas Gerais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GRAF_MOT!$B$24:$E$24</c:f>
              <c:numCache>
                <c:formatCode>#,##0.00</c:formatCode>
                <c:ptCount val="4"/>
                <c:pt idx="0">
                  <c:v>31.892887582979771</c:v>
                </c:pt>
                <c:pt idx="1">
                  <c:v>29.780426529744958</c:v>
                </c:pt>
                <c:pt idx="2">
                  <c:v>31.71642376983807</c:v>
                </c:pt>
                <c:pt idx="3">
                  <c:v>28.473493901063886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B3-4E37-950F-CFDFA9277B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310208"/>
        <c:axId val="161311744"/>
      </c:lineChart>
      <c:catAx>
        <c:axId val="161310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1311744"/>
        <c:crosses val="autoZero"/>
        <c:auto val="1"/>
        <c:lblAlgn val="ctr"/>
        <c:lblOffset val="100"/>
        <c:noMultiLvlLbl val="0"/>
      </c:catAx>
      <c:valAx>
        <c:axId val="161311744"/>
        <c:scaling>
          <c:orientation val="minMax"/>
          <c:max val="100"/>
          <c:min val="2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1310208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 de Janeiro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GRAF_MOT!$A$25</c:f>
              <c:strCache>
                <c:ptCount val="1"/>
                <c:pt idx="0">
                  <c:v>Rio de Janeiro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GRAF_MOT!$B$25:$E$25</c:f>
              <c:numCache>
                <c:formatCode>#,##0.00</c:formatCode>
                <c:ptCount val="4"/>
                <c:pt idx="0">
                  <c:v>68.783702168845366</c:v>
                </c:pt>
                <c:pt idx="1">
                  <c:v>60.847139124178575</c:v>
                </c:pt>
                <c:pt idx="2">
                  <c:v>44.722386687586997</c:v>
                </c:pt>
                <c:pt idx="3">
                  <c:v>36.827111975124133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36-4BEC-8AA6-3F9A4A1298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336704"/>
        <c:axId val="161342592"/>
      </c:lineChart>
      <c:catAx>
        <c:axId val="161336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1342592"/>
        <c:crosses val="autoZero"/>
        <c:auto val="1"/>
        <c:lblAlgn val="ctr"/>
        <c:lblOffset val="100"/>
        <c:noMultiLvlLbl val="0"/>
      </c:catAx>
      <c:valAx>
        <c:axId val="161342592"/>
        <c:scaling>
          <c:orientation val="minMax"/>
          <c:max val="100"/>
          <c:min val="2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1336704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São Paulo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GRAF_MOT!$A$26</c:f>
              <c:strCache>
                <c:ptCount val="1"/>
                <c:pt idx="0">
                  <c:v>São Paulo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GRAF_MOT!$B$26:$E$26</c:f>
              <c:numCache>
                <c:formatCode>#,##0.00</c:formatCode>
                <c:ptCount val="4"/>
                <c:pt idx="0">
                  <c:v>36.308543781445692</c:v>
                </c:pt>
                <c:pt idx="1">
                  <c:v>36.323022698847751</c:v>
                </c:pt>
                <c:pt idx="2">
                  <c:v>31.676597520481785</c:v>
                </c:pt>
                <c:pt idx="3">
                  <c:v>28.328556294863912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23-4A3B-97DA-B198E4B9E4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383936"/>
        <c:axId val="161385472"/>
      </c:lineChart>
      <c:catAx>
        <c:axId val="161383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1385472"/>
        <c:crosses val="autoZero"/>
        <c:auto val="1"/>
        <c:lblAlgn val="ctr"/>
        <c:lblOffset val="100"/>
        <c:noMultiLvlLbl val="0"/>
      </c:catAx>
      <c:valAx>
        <c:axId val="161385472"/>
        <c:scaling>
          <c:orientation val="minMax"/>
          <c:max val="100"/>
          <c:min val="2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1383936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Paraná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GRAF_MOT!$A$28</c:f>
              <c:strCache>
                <c:ptCount val="1"/>
                <c:pt idx="0">
                  <c:v>Paraná</c:v>
                </c:pt>
              </c:strCache>
            </c:strRef>
          </c:tx>
          <c:spPr>
            <a:ln w="38100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GRAF_MOT!$B$28:$E$28</c:f>
              <c:numCache>
                <c:formatCode>#,##0.00</c:formatCode>
                <c:ptCount val="4"/>
                <c:pt idx="0">
                  <c:v>67.698845071340841</c:v>
                </c:pt>
                <c:pt idx="1">
                  <c:v>68.067853839807327</c:v>
                </c:pt>
                <c:pt idx="2">
                  <c:v>57.001323976040467</c:v>
                </c:pt>
                <c:pt idx="3">
                  <c:v>57.603956647782475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04-4CA1-85F8-F4F3F9F5D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402240"/>
        <c:axId val="161498240"/>
      </c:lineChart>
      <c:catAx>
        <c:axId val="161402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1498240"/>
        <c:crosses val="autoZero"/>
        <c:auto val="1"/>
        <c:lblAlgn val="ctr"/>
        <c:lblOffset val="100"/>
        <c:noMultiLvlLbl val="0"/>
      </c:catAx>
      <c:valAx>
        <c:axId val="161498240"/>
        <c:scaling>
          <c:orientation val="minMax"/>
          <c:max val="10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1402240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</a:t>
            </a:r>
            <a:r>
              <a:rPr lang="pt-BR" baseline="0"/>
              <a:t> Grande do Sul</a:t>
            </a:r>
            <a:endParaRPr lang="pt-BR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GRAF_MOT!$A$29</c:f>
              <c:strCache>
                <c:ptCount val="1"/>
                <c:pt idx="0">
                  <c:v>Rio Grande do Sul</c:v>
                </c:pt>
              </c:strCache>
            </c:strRef>
          </c:tx>
          <c:spPr>
            <a:ln w="38100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GRAF_MOT!$B$29:$E$29</c:f>
              <c:numCache>
                <c:formatCode>#,##0.00</c:formatCode>
                <c:ptCount val="4"/>
                <c:pt idx="0">
                  <c:v>30.487369570050372</c:v>
                </c:pt>
                <c:pt idx="1">
                  <c:v>29.916718645234116</c:v>
                </c:pt>
                <c:pt idx="2">
                  <c:v>28.904753318006101</c:v>
                </c:pt>
                <c:pt idx="3">
                  <c:v>29.870383284258253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89-4546-8BB9-82FF531D1A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539200"/>
        <c:axId val="161540736"/>
      </c:lineChart>
      <c:catAx>
        <c:axId val="161539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1540736"/>
        <c:crosses val="autoZero"/>
        <c:auto val="1"/>
        <c:lblAlgn val="ctr"/>
        <c:lblOffset val="100"/>
        <c:noMultiLvlLbl val="0"/>
      </c:catAx>
      <c:valAx>
        <c:axId val="161540736"/>
        <c:scaling>
          <c:orientation val="minMax"/>
          <c:max val="10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1539200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Santa</a:t>
            </a:r>
            <a:r>
              <a:rPr lang="pt-BR" baseline="0"/>
              <a:t> Catarina</a:t>
            </a:r>
            <a:endParaRPr lang="pt-BR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GRAF_MOT!$A$30</c:f>
              <c:strCache>
                <c:ptCount val="1"/>
                <c:pt idx="0">
                  <c:v>Santa Catarina</c:v>
                </c:pt>
              </c:strCache>
            </c:strRef>
          </c:tx>
          <c:spPr>
            <a:ln w="38100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GRAF_MOT!$B$30:$E$30</c:f>
              <c:numCache>
                <c:formatCode>#,##0.00</c:formatCode>
                <c:ptCount val="4"/>
                <c:pt idx="0">
                  <c:v>59.10066713841654</c:v>
                </c:pt>
                <c:pt idx="1">
                  <c:v>50.443998300094478</c:v>
                </c:pt>
                <c:pt idx="2">
                  <c:v>51.42470971803322</c:v>
                </c:pt>
                <c:pt idx="3">
                  <c:v>45.692486183393569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38-4DB6-A35E-CAC00A53C9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643520"/>
        <c:axId val="161645312"/>
      </c:lineChart>
      <c:catAx>
        <c:axId val="161643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1645312"/>
        <c:crosses val="autoZero"/>
        <c:auto val="1"/>
        <c:lblAlgn val="ctr"/>
        <c:lblOffset val="100"/>
        <c:noMultiLvlLbl val="0"/>
      </c:catAx>
      <c:valAx>
        <c:axId val="161645312"/>
        <c:scaling>
          <c:orientation val="minMax"/>
          <c:max val="10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1643520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Distrito Federal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GRAF_MOT!$A$32</c:f>
              <c:strCache>
                <c:ptCount val="1"/>
                <c:pt idx="0">
                  <c:v>Distrito Federal</c:v>
                </c:pt>
              </c:strCache>
            </c:strRef>
          </c:tx>
          <c:spPr>
            <a:ln w="381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GRAF_MOT!$B$32:$E$32</c:f>
              <c:numCache>
                <c:formatCode>#,##0.00</c:formatCode>
                <c:ptCount val="4"/>
                <c:pt idx="0">
                  <c:v>85.023695231835461</c:v>
                </c:pt>
                <c:pt idx="1">
                  <c:v>81.834005264330273</c:v>
                </c:pt>
                <c:pt idx="2">
                  <c:v>64.891559502008562</c:v>
                </c:pt>
                <c:pt idx="3">
                  <c:v>59.193733887881052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3E-44E5-8239-CD4B1EABEC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674368"/>
        <c:axId val="161675904"/>
      </c:lineChart>
      <c:catAx>
        <c:axId val="161674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1675904"/>
        <c:crosses val="autoZero"/>
        <c:auto val="1"/>
        <c:lblAlgn val="ctr"/>
        <c:lblOffset val="100"/>
        <c:noMultiLvlLbl val="0"/>
      </c:catAx>
      <c:valAx>
        <c:axId val="161675904"/>
        <c:scaling>
          <c:orientation val="minMax"/>
          <c:max val="100"/>
          <c:min val="2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1674368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Goiás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GRAF_MOT!$A$33</c:f>
              <c:strCache>
                <c:ptCount val="1"/>
                <c:pt idx="0">
                  <c:v>Goiás</c:v>
                </c:pt>
              </c:strCache>
            </c:strRef>
          </c:tx>
          <c:spPr>
            <a:ln w="381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GRAF_MOT!$B$33:$E$33</c:f>
              <c:numCache>
                <c:formatCode>#,##0.00</c:formatCode>
                <c:ptCount val="4"/>
                <c:pt idx="0">
                  <c:v>49.975232634192466</c:v>
                </c:pt>
                <c:pt idx="1">
                  <c:v>55.428615701853893</c:v>
                </c:pt>
                <c:pt idx="2">
                  <c:v>42.977164307219766</c:v>
                </c:pt>
                <c:pt idx="3">
                  <c:v>44.595207616904588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9F-4CF6-9E64-C99DC9FC4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725440"/>
        <c:axId val="161731328"/>
      </c:lineChart>
      <c:catAx>
        <c:axId val="161725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1731328"/>
        <c:crosses val="autoZero"/>
        <c:auto val="1"/>
        <c:lblAlgn val="ctr"/>
        <c:lblOffset val="100"/>
        <c:noMultiLvlLbl val="0"/>
      </c:catAx>
      <c:valAx>
        <c:axId val="161731328"/>
        <c:scaling>
          <c:orientation val="minMax"/>
          <c:max val="100"/>
          <c:min val="2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1725440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Mato Grosso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GRAF_MOT!$A$34</c:f>
              <c:strCache>
                <c:ptCount val="1"/>
                <c:pt idx="0">
                  <c:v>Mato Grosso</c:v>
                </c:pt>
              </c:strCache>
            </c:strRef>
          </c:tx>
          <c:spPr>
            <a:ln w="381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GRAF_MOT!$B$34:$E$34</c:f>
              <c:numCache>
                <c:formatCode>#,##0.00</c:formatCode>
                <c:ptCount val="4"/>
                <c:pt idx="0">
                  <c:v>72.524281270676966</c:v>
                </c:pt>
                <c:pt idx="1">
                  <c:v>66.765306545945947</c:v>
                </c:pt>
                <c:pt idx="2">
                  <c:v>52.94918790296007</c:v>
                </c:pt>
                <c:pt idx="3">
                  <c:v>49.923132009483972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65-460B-B935-8D4DC620F8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768576"/>
        <c:axId val="161770112"/>
      </c:lineChart>
      <c:catAx>
        <c:axId val="161768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1770112"/>
        <c:crosses val="autoZero"/>
        <c:auto val="1"/>
        <c:lblAlgn val="ctr"/>
        <c:lblOffset val="100"/>
        <c:noMultiLvlLbl val="0"/>
      </c:catAx>
      <c:valAx>
        <c:axId val="161770112"/>
        <c:scaling>
          <c:orientation val="minMax"/>
          <c:max val="100"/>
          <c:min val="2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1768576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Mato Grosso do Sul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GRAF_MOT!$A$35</c:f>
              <c:strCache>
                <c:ptCount val="1"/>
                <c:pt idx="0">
                  <c:v>Mato Grosso do Sul</c:v>
                </c:pt>
              </c:strCache>
            </c:strRef>
          </c:tx>
          <c:spPr>
            <a:ln w="381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GRAF_MOT!$B$35:$E$35</c:f>
              <c:numCache>
                <c:formatCode>#,##0.00</c:formatCode>
                <c:ptCount val="4"/>
                <c:pt idx="0">
                  <c:v>69.817654023972793</c:v>
                </c:pt>
                <c:pt idx="1">
                  <c:v>71.50502586664588</c:v>
                </c:pt>
                <c:pt idx="2">
                  <c:v>65.813417208047881</c:v>
                </c:pt>
                <c:pt idx="3">
                  <c:v>58.750406607227795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68-4C92-A48F-98F921E5FA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778688"/>
        <c:axId val="161805056"/>
      </c:lineChart>
      <c:catAx>
        <c:axId val="161778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1805056"/>
        <c:crosses val="autoZero"/>
        <c:auto val="1"/>
        <c:lblAlgn val="ctr"/>
        <c:lblOffset val="100"/>
        <c:noMultiLvlLbl val="0"/>
      </c:catAx>
      <c:valAx>
        <c:axId val="161805056"/>
        <c:scaling>
          <c:orientation val="minMax"/>
          <c:max val="100"/>
          <c:min val="2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1778688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Brasil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GRAF_MOT!$A$3</c:f>
              <c:strCache>
                <c:ptCount val="1"/>
                <c:pt idx="0">
                  <c:v>Brasil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circle"/>
            <c:size val="8"/>
            <c:spPr>
              <a:solidFill>
                <a:srgbClr val="FFFF66"/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GRAF_MOT!$B$3:$E$3</c:f>
              <c:numCache>
                <c:formatCode>#,##0.00</c:formatCode>
                <c:ptCount val="4"/>
                <c:pt idx="0">
                  <c:v>53.012285762139051</c:v>
                </c:pt>
                <c:pt idx="1">
                  <c:v>52.778348655386225</c:v>
                </c:pt>
                <c:pt idx="2">
                  <c:v>47.852936805183298</c:v>
                </c:pt>
                <c:pt idx="3">
                  <c:v>46.471973836125557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B2-492E-963A-4B54E631F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899648"/>
        <c:axId val="161901184"/>
      </c:lineChart>
      <c:catAx>
        <c:axId val="161899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1901184"/>
        <c:crosses val="autoZero"/>
        <c:auto val="1"/>
        <c:lblAlgn val="ctr"/>
        <c:lblOffset val="100"/>
        <c:noMultiLvlLbl val="0"/>
      </c:catAx>
      <c:valAx>
        <c:axId val="161901184"/>
        <c:scaling>
          <c:orientation val="minMax"/>
          <c:max val="80"/>
          <c:min val="5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1899648"/>
        <c:crosses val="autoZero"/>
        <c:crossBetween val="between"/>
        <c:majorUnit val="1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Brasil e regiões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GRAF_VL!$A$3</c:f>
              <c:strCache>
                <c:ptCount val="1"/>
                <c:pt idx="0">
                  <c:v>Brasil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/>
            <c:extLst>
              <c:ext xmlns:c16="http://schemas.microsoft.com/office/drawing/2014/chart" uri="{C3380CC4-5D6E-409C-BE32-E72D297353CC}">
                <c16:uniqueId val="{00000001-E5C6-4402-B2E1-141CA174DA66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GRAF_VL!$B$3:$E$3</c:f>
              <c:numCache>
                <c:formatCode>#,##0.00</c:formatCode>
                <c:ptCount val="4"/>
                <c:pt idx="0">
                  <c:v>22.424121597079743</c:v>
                </c:pt>
                <c:pt idx="1">
                  <c:v>22.785333971754262</c:v>
                </c:pt>
                <c:pt idx="2">
                  <c:v>23.222511229167232</c:v>
                </c:pt>
                <c:pt idx="3">
                  <c:v>22.595763363240579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C6-4402-B2E1-141CA174DA66}"/>
            </c:ext>
          </c:extLst>
        </c:ser>
        <c:ser>
          <c:idx val="1"/>
          <c:order val="1"/>
          <c:tx>
            <c:strRef>
              <c:f>GRAF_VL!$A$4</c:f>
              <c:strCache>
                <c:ptCount val="1"/>
                <c:pt idx="0">
                  <c:v>N</c:v>
                </c:pt>
              </c:strCache>
            </c:strRef>
          </c:tx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GRAF_VL!$B$4:$E$4</c:f>
              <c:numCache>
                <c:formatCode>#,##0.00</c:formatCode>
                <c:ptCount val="4"/>
                <c:pt idx="0">
                  <c:v>22.194283320358792</c:v>
                </c:pt>
                <c:pt idx="1">
                  <c:v>24.573176697365756</c:v>
                </c:pt>
                <c:pt idx="2">
                  <c:v>21.495473003836317</c:v>
                </c:pt>
                <c:pt idx="3">
                  <c:v>23.685427464384954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C6-4402-B2E1-141CA174DA66}"/>
            </c:ext>
          </c:extLst>
        </c:ser>
        <c:ser>
          <c:idx val="2"/>
          <c:order val="2"/>
          <c:tx>
            <c:strRef>
              <c:f>GRAF_VL!$A$12</c:f>
              <c:strCache>
                <c:ptCount val="1"/>
                <c:pt idx="0">
                  <c:v>NE</c:v>
                </c:pt>
              </c:strCache>
            </c:strRef>
          </c:tx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GRAF_VL!$B$12:$E$12</c:f>
              <c:numCache>
                <c:formatCode>#,##0.00</c:formatCode>
                <c:ptCount val="4"/>
                <c:pt idx="0">
                  <c:v>37.280984568068902</c:v>
                </c:pt>
                <c:pt idx="1">
                  <c:v>35.74778984290959</c:v>
                </c:pt>
                <c:pt idx="2">
                  <c:v>37.877780867370419</c:v>
                </c:pt>
                <c:pt idx="3">
                  <c:v>37.138063087790982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5C6-4402-B2E1-141CA174DA66}"/>
            </c:ext>
          </c:extLst>
        </c:ser>
        <c:ser>
          <c:idx val="3"/>
          <c:order val="3"/>
          <c:tx>
            <c:strRef>
              <c:f>GRAF_VL!$A$22</c:f>
              <c:strCache>
                <c:ptCount val="1"/>
                <c:pt idx="0">
                  <c:v>SE</c:v>
                </c:pt>
              </c:strCache>
            </c:strRef>
          </c:tx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GRAF_VL!$B$22:$E$22</c:f>
              <c:numCache>
                <c:formatCode>#,##0.00</c:formatCode>
                <c:ptCount val="4"/>
                <c:pt idx="0">
                  <c:v>16.333154364423471</c:v>
                </c:pt>
                <c:pt idx="1">
                  <c:v>17.070687498680307</c:v>
                </c:pt>
                <c:pt idx="2">
                  <c:v>17.485904207319944</c:v>
                </c:pt>
                <c:pt idx="3">
                  <c:v>16.551652198510364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5C6-4402-B2E1-141CA174DA66}"/>
            </c:ext>
          </c:extLst>
        </c:ser>
        <c:ser>
          <c:idx val="4"/>
          <c:order val="4"/>
          <c:tx>
            <c:strRef>
              <c:f>GRAF_VL!$A$27</c:f>
              <c:strCache>
                <c:ptCount val="1"/>
                <c:pt idx="0">
                  <c:v>S</c:v>
                </c:pt>
              </c:strCache>
            </c:strRef>
          </c:tx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GRAF_VL!$B$27:$E$27</c:f>
              <c:numCache>
                <c:formatCode>#,##0.00</c:formatCode>
                <c:ptCount val="4"/>
                <c:pt idx="0">
                  <c:v>25.480564725786667</c:v>
                </c:pt>
                <c:pt idx="1">
                  <c:v>25.727835907928387</c:v>
                </c:pt>
                <c:pt idx="2">
                  <c:v>25.592861980915544</c:v>
                </c:pt>
                <c:pt idx="3">
                  <c:v>24.842239492742959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5C6-4402-B2E1-141CA174DA66}"/>
            </c:ext>
          </c:extLst>
        </c:ser>
        <c:ser>
          <c:idx val="5"/>
          <c:order val="5"/>
          <c:tx>
            <c:strRef>
              <c:f>GRAF_VL!$A$31</c:f>
              <c:strCache>
                <c:ptCount val="1"/>
                <c:pt idx="0">
                  <c:v>CO</c:v>
                </c:pt>
              </c:strCache>
            </c:strRef>
          </c:tx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GRAF_VL!$B$31:$E$31</c:f>
              <c:numCache>
                <c:formatCode>#,##0.00</c:formatCode>
                <c:ptCount val="4"/>
                <c:pt idx="0">
                  <c:v>30.684113826116992</c:v>
                </c:pt>
                <c:pt idx="1">
                  <c:v>29.36890542282211</c:v>
                </c:pt>
                <c:pt idx="2">
                  <c:v>29.762633899232103</c:v>
                </c:pt>
                <c:pt idx="3">
                  <c:v>27.650098852316042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5C6-4402-B2E1-141CA174D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011008"/>
        <c:axId val="162012544"/>
      </c:barChart>
      <c:catAx>
        <c:axId val="162011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62012544"/>
        <c:crosses val="autoZero"/>
        <c:auto val="1"/>
        <c:lblAlgn val="ctr"/>
        <c:lblOffset val="100"/>
        <c:noMultiLvlLbl val="0"/>
      </c:catAx>
      <c:valAx>
        <c:axId val="162012544"/>
        <c:scaling>
          <c:orientation val="minMax"/>
          <c:max val="10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Mortes/109km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19050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62011008"/>
        <c:crosses val="autoZero"/>
        <c:crossBetween val="between"/>
        <c:majorUnit val="20"/>
      </c:valAx>
    </c:plotArea>
    <c:legend>
      <c:legendPos val="b"/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Brasil e regiões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GRAF_VL!$A$3</c:f>
              <c:strCache>
                <c:ptCount val="1"/>
                <c:pt idx="0">
                  <c:v>Brasil</c:v>
                </c:pt>
              </c:strCache>
            </c:strRef>
          </c:tx>
          <c:marker>
            <c:symbol val="circle"/>
            <c:size val="5"/>
            <c:spPr>
              <a:ln>
                <a:solidFill>
                  <a:prstClr val="black"/>
                </a:solidFill>
              </a:ln>
            </c:spPr>
          </c:marker>
          <c:cat>
            <c:numRef>
              <c:f>GRAF_VL!$B$2:$E$2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GRAF_VL!$B$3:$E$3</c:f>
              <c:numCache>
                <c:formatCode>#,##0.00</c:formatCode>
                <c:ptCount val="4"/>
                <c:pt idx="0">
                  <c:v>22.424121597079743</c:v>
                </c:pt>
                <c:pt idx="1">
                  <c:v>22.785333971754262</c:v>
                </c:pt>
                <c:pt idx="2">
                  <c:v>23.222511229167232</c:v>
                </c:pt>
                <c:pt idx="3">
                  <c:v>22.595763363240579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67-4C4C-8642-9B80B25AB14A}"/>
            </c:ext>
          </c:extLst>
        </c:ser>
        <c:ser>
          <c:idx val="1"/>
          <c:order val="1"/>
          <c:tx>
            <c:strRef>
              <c:f>GRAF_VL!$A$4</c:f>
              <c:strCache>
                <c:ptCount val="1"/>
                <c:pt idx="0">
                  <c:v>N</c:v>
                </c:pt>
              </c:strCache>
            </c:strRef>
          </c:tx>
          <c:marker>
            <c:symbol val="circle"/>
            <c:size val="5"/>
            <c:spPr>
              <a:ln>
                <a:solidFill>
                  <a:prstClr val="black"/>
                </a:solidFill>
              </a:ln>
            </c:spPr>
          </c:marker>
          <c:cat>
            <c:numRef>
              <c:f>GRAF_VL!$B$2:$E$2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GRAF_VL!$B$4:$E$4</c:f>
              <c:numCache>
                <c:formatCode>#,##0.00</c:formatCode>
                <c:ptCount val="4"/>
                <c:pt idx="0">
                  <c:v>22.194283320358792</c:v>
                </c:pt>
                <c:pt idx="1">
                  <c:v>24.573176697365756</c:v>
                </c:pt>
                <c:pt idx="2">
                  <c:v>21.495473003836317</c:v>
                </c:pt>
                <c:pt idx="3">
                  <c:v>23.685427464384954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67-4C4C-8642-9B80B25AB14A}"/>
            </c:ext>
          </c:extLst>
        </c:ser>
        <c:ser>
          <c:idx val="2"/>
          <c:order val="2"/>
          <c:tx>
            <c:strRef>
              <c:f>GRAF_VL!$A$12</c:f>
              <c:strCache>
                <c:ptCount val="1"/>
                <c:pt idx="0">
                  <c:v>NE</c:v>
                </c:pt>
              </c:strCache>
            </c:strRef>
          </c:tx>
          <c:marker>
            <c:symbol val="circle"/>
            <c:size val="5"/>
            <c:spPr>
              <a:ln>
                <a:solidFill>
                  <a:prstClr val="black"/>
                </a:solidFill>
              </a:ln>
            </c:spPr>
          </c:marker>
          <c:cat>
            <c:numRef>
              <c:f>GRAF_VL!$B$2:$E$2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GRAF_VL!$B$12:$E$12</c:f>
              <c:numCache>
                <c:formatCode>#,##0.00</c:formatCode>
                <c:ptCount val="4"/>
                <c:pt idx="0">
                  <c:v>37.280984568068902</c:v>
                </c:pt>
                <c:pt idx="1">
                  <c:v>35.74778984290959</c:v>
                </c:pt>
                <c:pt idx="2">
                  <c:v>37.877780867370419</c:v>
                </c:pt>
                <c:pt idx="3">
                  <c:v>37.138063087790982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67-4C4C-8642-9B80B25AB14A}"/>
            </c:ext>
          </c:extLst>
        </c:ser>
        <c:ser>
          <c:idx val="3"/>
          <c:order val="3"/>
          <c:tx>
            <c:strRef>
              <c:f>GRAF_VL!$A$22</c:f>
              <c:strCache>
                <c:ptCount val="1"/>
                <c:pt idx="0">
                  <c:v>SE</c:v>
                </c:pt>
              </c:strCache>
            </c:strRef>
          </c:tx>
          <c:marker>
            <c:symbol val="circle"/>
            <c:size val="5"/>
            <c:spPr>
              <a:ln>
                <a:solidFill>
                  <a:prstClr val="black"/>
                </a:solidFill>
              </a:ln>
            </c:spPr>
          </c:marker>
          <c:cat>
            <c:numRef>
              <c:f>GRAF_VL!$B$2:$E$2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GRAF_VL!$B$22:$E$22</c:f>
              <c:numCache>
                <c:formatCode>#,##0.00</c:formatCode>
                <c:ptCount val="4"/>
                <c:pt idx="0">
                  <c:v>16.333154364423471</c:v>
                </c:pt>
                <c:pt idx="1">
                  <c:v>17.070687498680307</c:v>
                </c:pt>
                <c:pt idx="2">
                  <c:v>17.485904207319944</c:v>
                </c:pt>
                <c:pt idx="3">
                  <c:v>16.551652198510364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867-4C4C-8642-9B80B25AB14A}"/>
            </c:ext>
          </c:extLst>
        </c:ser>
        <c:ser>
          <c:idx val="4"/>
          <c:order val="4"/>
          <c:tx>
            <c:strRef>
              <c:f>GRAF_VL!$A$27</c:f>
              <c:strCache>
                <c:ptCount val="1"/>
                <c:pt idx="0">
                  <c:v>S</c:v>
                </c:pt>
              </c:strCache>
            </c:strRef>
          </c:tx>
          <c:marker>
            <c:symbol val="circle"/>
            <c:size val="5"/>
            <c:spPr>
              <a:ln>
                <a:solidFill>
                  <a:prstClr val="black"/>
                </a:solidFill>
              </a:ln>
            </c:spPr>
          </c:marker>
          <c:cat>
            <c:numRef>
              <c:f>GRAF_VL!$B$2:$E$2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GRAF_VL!$B$27:$E$27</c:f>
              <c:numCache>
                <c:formatCode>#,##0.00</c:formatCode>
                <c:ptCount val="4"/>
                <c:pt idx="0">
                  <c:v>25.480564725786667</c:v>
                </c:pt>
                <c:pt idx="1">
                  <c:v>25.727835907928387</c:v>
                </c:pt>
                <c:pt idx="2">
                  <c:v>25.592861980915544</c:v>
                </c:pt>
                <c:pt idx="3">
                  <c:v>24.842239492742959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867-4C4C-8642-9B80B25AB14A}"/>
            </c:ext>
          </c:extLst>
        </c:ser>
        <c:ser>
          <c:idx val="5"/>
          <c:order val="5"/>
          <c:tx>
            <c:strRef>
              <c:f>GRAF_VL!$A$31</c:f>
              <c:strCache>
                <c:ptCount val="1"/>
                <c:pt idx="0">
                  <c:v>CO</c:v>
                </c:pt>
              </c:strCache>
            </c:strRef>
          </c:tx>
          <c:marker>
            <c:symbol val="circle"/>
            <c:size val="5"/>
            <c:spPr>
              <a:ln>
                <a:solidFill>
                  <a:prstClr val="black"/>
                </a:solidFill>
              </a:ln>
            </c:spPr>
          </c:marker>
          <c:cat>
            <c:numRef>
              <c:f>GRAF_VL!$B$2:$E$2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GRAF_VL!$B$31:$E$31</c:f>
              <c:numCache>
                <c:formatCode>#,##0.00</c:formatCode>
                <c:ptCount val="4"/>
                <c:pt idx="0">
                  <c:v>30.684113826116992</c:v>
                </c:pt>
                <c:pt idx="1">
                  <c:v>29.36890542282211</c:v>
                </c:pt>
                <c:pt idx="2">
                  <c:v>29.762633899232103</c:v>
                </c:pt>
                <c:pt idx="3">
                  <c:v>27.650098852316042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867-4C4C-8642-9B80B25AB1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061696"/>
        <c:axId val="162080256"/>
      </c:lineChart>
      <c:catAx>
        <c:axId val="162061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62080256"/>
        <c:crosses val="autoZero"/>
        <c:auto val="1"/>
        <c:lblAlgn val="ctr"/>
        <c:lblOffset val="100"/>
        <c:noMultiLvlLbl val="0"/>
      </c:catAx>
      <c:valAx>
        <c:axId val="162080256"/>
        <c:scaling>
          <c:orientation val="minMax"/>
          <c:max val="12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Mortes/109km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19050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62061696"/>
        <c:crosses val="autoZero"/>
        <c:crossBetween val="between"/>
        <c:majorUnit val="20"/>
      </c:valAx>
    </c:plotArea>
    <c:legend>
      <c:legendPos val="b"/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Brasil e regiões</a:t>
            </a:r>
          </a:p>
        </c:rich>
      </c:tx>
      <c:overlay val="0"/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GRAF_VL!$A$3</c:f>
              <c:strCache>
                <c:ptCount val="1"/>
                <c:pt idx="0">
                  <c:v>Brasil</c:v>
                </c:pt>
              </c:strCache>
            </c:strRef>
          </c:tx>
          <c:marker>
            <c:symbol val="none"/>
          </c:marker>
          <c:cat>
            <c:numRef>
              <c:f>GRAF_VL!$B$2:$E$2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GRAF_VL!$B$3:$E$3</c:f>
              <c:numCache>
                <c:formatCode>#,##0.00</c:formatCode>
                <c:ptCount val="4"/>
                <c:pt idx="0">
                  <c:v>22.424121597079743</c:v>
                </c:pt>
                <c:pt idx="1">
                  <c:v>22.785333971754262</c:v>
                </c:pt>
                <c:pt idx="2">
                  <c:v>23.222511229167232</c:v>
                </c:pt>
                <c:pt idx="3">
                  <c:v>22.595763363240579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E2-4573-A82C-B84FD4BD0D82}"/>
            </c:ext>
          </c:extLst>
        </c:ser>
        <c:ser>
          <c:idx val="1"/>
          <c:order val="1"/>
          <c:tx>
            <c:strRef>
              <c:f>GRAF_VL!$A$4</c:f>
              <c:strCache>
                <c:ptCount val="1"/>
                <c:pt idx="0">
                  <c:v>N</c:v>
                </c:pt>
              </c:strCache>
            </c:strRef>
          </c:tx>
          <c:marker>
            <c:symbol val="none"/>
          </c:marker>
          <c:cat>
            <c:numRef>
              <c:f>GRAF_VL!$B$2:$E$2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GRAF_VL!$B$4:$E$4</c:f>
              <c:numCache>
                <c:formatCode>#,##0.00</c:formatCode>
                <c:ptCount val="4"/>
                <c:pt idx="0">
                  <c:v>22.194283320358792</c:v>
                </c:pt>
                <c:pt idx="1">
                  <c:v>24.573176697365756</c:v>
                </c:pt>
                <c:pt idx="2">
                  <c:v>21.495473003836317</c:v>
                </c:pt>
                <c:pt idx="3">
                  <c:v>23.685427464384954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E2-4573-A82C-B84FD4BD0D82}"/>
            </c:ext>
          </c:extLst>
        </c:ser>
        <c:ser>
          <c:idx val="2"/>
          <c:order val="2"/>
          <c:tx>
            <c:strRef>
              <c:f>GRAF_VL!$A$12</c:f>
              <c:strCache>
                <c:ptCount val="1"/>
                <c:pt idx="0">
                  <c:v>NE</c:v>
                </c:pt>
              </c:strCache>
            </c:strRef>
          </c:tx>
          <c:marker>
            <c:symbol val="none"/>
          </c:marker>
          <c:cat>
            <c:numRef>
              <c:f>GRAF_VL!$B$2:$E$2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GRAF_VL!$B$12:$E$12</c:f>
              <c:numCache>
                <c:formatCode>#,##0.00</c:formatCode>
                <c:ptCount val="4"/>
                <c:pt idx="0">
                  <c:v>37.280984568068902</c:v>
                </c:pt>
                <c:pt idx="1">
                  <c:v>35.74778984290959</c:v>
                </c:pt>
                <c:pt idx="2">
                  <c:v>37.877780867370419</c:v>
                </c:pt>
                <c:pt idx="3">
                  <c:v>37.138063087790982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E2-4573-A82C-B84FD4BD0D82}"/>
            </c:ext>
          </c:extLst>
        </c:ser>
        <c:ser>
          <c:idx val="3"/>
          <c:order val="3"/>
          <c:tx>
            <c:strRef>
              <c:f>GRAF_VL!$A$22</c:f>
              <c:strCache>
                <c:ptCount val="1"/>
                <c:pt idx="0">
                  <c:v>SE</c:v>
                </c:pt>
              </c:strCache>
            </c:strRef>
          </c:tx>
          <c:marker>
            <c:symbol val="none"/>
          </c:marker>
          <c:cat>
            <c:numRef>
              <c:f>GRAF_VL!$B$2:$E$2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GRAF_VL!$B$22:$E$22</c:f>
              <c:numCache>
                <c:formatCode>#,##0.00</c:formatCode>
                <c:ptCount val="4"/>
                <c:pt idx="0">
                  <c:v>16.333154364423471</c:v>
                </c:pt>
                <c:pt idx="1">
                  <c:v>17.070687498680307</c:v>
                </c:pt>
                <c:pt idx="2">
                  <c:v>17.485904207319944</c:v>
                </c:pt>
                <c:pt idx="3">
                  <c:v>16.551652198510364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E2-4573-A82C-B84FD4BD0D82}"/>
            </c:ext>
          </c:extLst>
        </c:ser>
        <c:ser>
          <c:idx val="4"/>
          <c:order val="4"/>
          <c:tx>
            <c:strRef>
              <c:f>GRAF_VL!$A$27</c:f>
              <c:strCache>
                <c:ptCount val="1"/>
                <c:pt idx="0">
                  <c:v>S</c:v>
                </c:pt>
              </c:strCache>
            </c:strRef>
          </c:tx>
          <c:marker>
            <c:symbol val="none"/>
          </c:marker>
          <c:cat>
            <c:numRef>
              <c:f>GRAF_VL!$B$2:$E$2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GRAF_VL!$B$27:$E$27</c:f>
              <c:numCache>
                <c:formatCode>#,##0.00</c:formatCode>
                <c:ptCount val="4"/>
                <c:pt idx="0">
                  <c:v>25.480564725786667</c:v>
                </c:pt>
                <c:pt idx="1">
                  <c:v>25.727835907928387</c:v>
                </c:pt>
                <c:pt idx="2">
                  <c:v>25.592861980915544</c:v>
                </c:pt>
                <c:pt idx="3">
                  <c:v>24.842239492742959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7E2-4573-A82C-B84FD4BD0D82}"/>
            </c:ext>
          </c:extLst>
        </c:ser>
        <c:ser>
          <c:idx val="5"/>
          <c:order val="5"/>
          <c:tx>
            <c:strRef>
              <c:f>GRAF_VL!$A$31</c:f>
              <c:strCache>
                <c:ptCount val="1"/>
                <c:pt idx="0">
                  <c:v>CO</c:v>
                </c:pt>
              </c:strCache>
            </c:strRef>
          </c:tx>
          <c:marker>
            <c:symbol val="none"/>
          </c:marker>
          <c:cat>
            <c:numRef>
              <c:f>GRAF_VL!$B$2:$E$2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GRAF_VL!$B$31:$E$31</c:f>
              <c:numCache>
                <c:formatCode>#,##0.00</c:formatCode>
                <c:ptCount val="4"/>
                <c:pt idx="0">
                  <c:v>30.684113826116992</c:v>
                </c:pt>
                <c:pt idx="1">
                  <c:v>29.36890542282211</c:v>
                </c:pt>
                <c:pt idx="2">
                  <c:v>29.762633899232103</c:v>
                </c:pt>
                <c:pt idx="3">
                  <c:v>27.650098852316042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7E2-4573-A82C-B84FD4BD0D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129792"/>
        <c:axId val="162131328"/>
      </c:radarChart>
      <c:catAx>
        <c:axId val="16212979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spPr>
          <a:ln w="19050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62131328"/>
        <c:crosses val="autoZero"/>
        <c:auto val="1"/>
        <c:lblAlgn val="ctr"/>
        <c:lblOffset val="100"/>
        <c:noMultiLvlLbl val="0"/>
      </c:catAx>
      <c:valAx>
        <c:axId val="162131328"/>
        <c:scaling>
          <c:orientation val="minMax"/>
          <c:max val="12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Mortes/109km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19050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62129792"/>
        <c:crosses val="autoZero"/>
        <c:crossBetween val="between"/>
        <c:majorUnit val="20"/>
      </c:valAx>
    </c:plotArea>
    <c:legend>
      <c:legendPos val="r"/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Acre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GRAF_VL!$A$5</c:f>
              <c:strCache>
                <c:ptCount val="1"/>
                <c:pt idx="0">
                  <c:v>Acre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GRAF_VL!$B$5:$E$5</c:f>
              <c:numCache>
                <c:formatCode>#,##0.00</c:formatCode>
                <c:ptCount val="4"/>
                <c:pt idx="0">
                  <c:v>6.3569180082086225</c:v>
                </c:pt>
                <c:pt idx="1">
                  <c:v>3.190848781204044</c:v>
                </c:pt>
                <c:pt idx="2">
                  <c:v>11.803504854155864</c:v>
                </c:pt>
                <c:pt idx="3">
                  <c:v>12.206239395909385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2E-44CC-8630-2DE463430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235136"/>
        <c:axId val="162236672"/>
      </c:lineChart>
      <c:catAx>
        <c:axId val="162235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2236672"/>
        <c:crosses val="autoZero"/>
        <c:auto val="1"/>
        <c:lblAlgn val="ctr"/>
        <c:lblOffset val="100"/>
        <c:noMultiLvlLbl val="0"/>
      </c:catAx>
      <c:valAx>
        <c:axId val="162236672"/>
        <c:scaling>
          <c:orientation val="minMax"/>
          <c:max val="14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2235136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Amapá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GRAF_VL!$A$6</c:f>
              <c:strCache>
                <c:ptCount val="1"/>
                <c:pt idx="0">
                  <c:v>Amapá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GRAF_VL!$B$6:$E$6</c:f>
              <c:numCache>
                <c:formatCode>#,##0.00</c:formatCode>
                <c:ptCount val="4"/>
                <c:pt idx="0">
                  <c:v>5.2159371266875603</c:v>
                </c:pt>
                <c:pt idx="1">
                  <c:v>0</c:v>
                </c:pt>
                <c:pt idx="2">
                  <c:v>0.84779902025112308</c:v>
                </c:pt>
                <c:pt idx="3">
                  <c:v>4.3870134381172683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FA-476A-9D6F-92A1B6D66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265728"/>
        <c:axId val="162271616"/>
      </c:lineChart>
      <c:catAx>
        <c:axId val="162265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2271616"/>
        <c:crosses val="autoZero"/>
        <c:auto val="1"/>
        <c:lblAlgn val="ctr"/>
        <c:lblOffset val="100"/>
        <c:noMultiLvlLbl val="0"/>
      </c:catAx>
      <c:valAx>
        <c:axId val="162271616"/>
        <c:scaling>
          <c:orientation val="minMax"/>
          <c:max val="14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2265728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Amazonas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GRAF_VL!$A$7</c:f>
              <c:strCache>
                <c:ptCount val="1"/>
                <c:pt idx="0">
                  <c:v>Amazonas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GRAF_VL!$B$7:$E$7</c:f>
              <c:numCache>
                <c:formatCode>#,##0.00</c:formatCode>
                <c:ptCount val="4"/>
                <c:pt idx="0">
                  <c:v>11.572441768016597</c:v>
                </c:pt>
                <c:pt idx="1">
                  <c:v>12.832918661472778</c:v>
                </c:pt>
                <c:pt idx="2">
                  <c:v>8.339506556497982</c:v>
                </c:pt>
                <c:pt idx="3">
                  <c:v>9.3180077487908424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15-4BA5-BCAF-E6054EBCB6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308864"/>
        <c:axId val="162310400"/>
      </c:lineChart>
      <c:catAx>
        <c:axId val="162308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2310400"/>
        <c:crosses val="autoZero"/>
        <c:auto val="1"/>
        <c:lblAlgn val="ctr"/>
        <c:lblOffset val="100"/>
        <c:noMultiLvlLbl val="0"/>
      </c:catAx>
      <c:valAx>
        <c:axId val="162310400"/>
        <c:scaling>
          <c:orientation val="minMax"/>
          <c:max val="14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2308864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GRAF_VL!$A$8</c:f>
              <c:strCache>
                <c:ptCount val="1"/>
                <c:pt idx="0">
                  <c:v>Pará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GRAF_VL!$B$8:$E$8</c:f>
              <c:numCache>
                <c:formatCode>#,##0.00</c:formatCode>
                <c:ptCount val="4"/>
                <c:pt idx="0">
                  <c:v>19.588144868504092</c:v>
                </c:pt>
                <c:pt idx="1">
                  <c:v>21.048639779697062</c:v>
                </c:pt>
                <c:pt idx="2">
                  <c:v>17.772107066917602</c:v>
                </c:pt>
                <c:pt idx="3">
                  <c:v>21.275292508225235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99-4533-9F8B-F5A7E6AEC6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343168"/>
        <c:axId val="162344960"/>
      </c:lineChart>
      <c:catAx>
        <c:axId val="1623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2344960"/>
        <c:crosses val="autoZero"/>
        <c:auto val="1"/>
        <c:lblAlgn val="ctr"/>
        <c:lblOffset val="100"/>
        <c:noMultiLvlLbl val="0"/>
      </c:catAx>
      <c:valAx>
        <c:axId val="162344960"/>
        <c:scaling>
          <c:orientation val="minMax"/>
          <c:max val="14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2343168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Rondônia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GRAF_VL!$A$9</c:f>
              <c:strCache>
                <c:ptCount val="1"/>
                <c:pt idx="0">
                  <c:v>Rondônia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GRAF_VL!$B$9:$E$9</c:f>
              <c:numCache>
                <c:formatCode>#,##0.00</c:formatCode>
                <c:ptCount val="4"/>
                <c:pt idx="0">
                  <c:v>17.721319849053344</c:v>
                </c:pt>
                <c:pt idx="1">
                  <c:v>32.644714872171527</c:v>
                </c:pt>
                <c:pt idx="2">
                  <c:v>25.384610210214756</c:v>
                </c:pt>
                <c:pt idx="3">
                  <c:v>37.211986295320287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01-4FAD-992D-542994F579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382208"/>
        <c:axId val="162383744"/>
      </c:lineChart>
      <c:catAx>
        <c:axId val="162382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2383744"/>
        <c:crosses val="autoZero"/>
        <c:auto val="1"/>
        <c:lblAlgn val="ctr"/>
        <c:lblOffset val="100"/>
        <c:noMultiLvlLbl val="0"/>
      </c:catAx>
      <c:valAx>
        <c:axId val="162383744"/>
        <c:scaling>
          <c:orientation val="minMax"/>
          <c:max val="14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2382208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Roraima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GRAF_VL!$A$10</c:f>
              <c:strCache>
                <c:ptCount val="1"/>
                <c:pt idx="0">
                  <c:v>Roraima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GRAF_VL!$B$10:$E$10</c:f>
              <c:numCache>
                <c:formatCode>#,##0.00</c:formatCode>
                <c:ptCount val="4"/>
                <c:pt idx="0">
                  <c:v>25.084519201211876</c:v>
                </c:pt>
                <c:pt idx="1">
                  <c:v>38.794611250832233</c:v>
                </c:pt>
                <c:pt idx="2">
                  <c:v>29.439809020060945</c:v>
                </c:pt>
                <c:pt idx="3">
                  <c:v>21.266364601703273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BD-4CEA-88B5-216F38B393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404608"/>
        <c:axId val="162430976"/>
      </c:lineChart>
      <c:catAx>
        <c:axId val="162404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2430976"/>
        <c:crosses val="autoZero"/>
        <c:auto val="1"/>
        <c:lblAlgn val="ctr"/>
        <c:lblOffset val="100"/>
        <c:noMultiLvlLbl val="0"/>
      </c:catAx>
      <c:valAx>
        <c:axId val="162430976"/>
        <c:scaling>
          <c:orientation val="minMax"/>
          <c:max val="14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2404608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Tocantins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GRAF_VL!$A$11</c:f>
              <c:strCache>
                <c:ptCount val="1"/>
                <c:pt idx="0">
                  <c:v>Tocantins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GRAF_VL!$B$11:$E$11</c:f>
              <c:numCache>
                <c:formatCode>#,##0.00</c:formatCode>
                <c:ptCount val="4"/>
                <c:pt idx="0">
                  <c:v>71.836339434437804</c:v>
                </c:pt>
                <c:pt idx="1">
                  <c:v>64.882401432341084</c:v>
                </c:pt>
                <c:pt idx="2">
                  <c:v>67.73745650971415</c:v>
                </c:pt>
                <c:pt idx="3">
                  <c:v>59.845586633858758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2D-49DE-965B-280754ED37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595200"/>
        <c:axId val="162596736"/>
      </c:lineChart>
      <c:catAx>
        <c:axId val="162595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2596736"/>
        <c:crosses val="autoZero"/>
        <c:auto val="1"/>
        <c:lblAlgn val="ctr"/>
        <c:lblOffset val="100"/>
        <c:noMultiLvlLbl val="0"/>
      </c:catAx>
      <c:valAx>
        <c:axId val="162596736"/>
        <c:scaling>
          <c:orientation val="minMax"/>
          <c:max val="14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2595200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Alagoas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GRAF_VL!$A$13</c:f>
              <c:strCache>
                <c:ptCount val="1"/>
                <c:pt idx="0">
                  <c:v>Alagoas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GRAF_VL!$B$13:$E$13</c:f>
              <c:numCache>
                <c:formatCode>#,##0.00</c:formatCode>
                <c:ptCount val="4"/>
                <c:pt idx="0">
                  <c:v>14.561365232804876</c:v>
                </c:pt>
                <c:pt idx="1">
                  <c:v>4.4685644860713696</c:v>
                </c:pt>
                <c:pt idx="2">
                  <c:v>8.6306685394904878</c:v>
                </c:pt>
                <c:pt idx="3">
                  <c:v>4.9600190615702671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09-43E5-9591-C690BA7F92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38080"/>
        <c:axId val="162643968"/>
      </c:lineChart>
      <c:catAx>
        <c:axId val="16263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2643968"/>
        <c:crosses val="autoZero"/>
        <c:auto val="1"/>
        <c:lblAlgn val="ctr"/>
        <c:lblOffset val="100"/>
        <c:noMultiLvlLbl val="0"/>
      </c:catAx>
      <c:valAx>
        <c:axId val="162643968"/>
        <c:scaling>
          <c:orientation val="minMax"/>
          <c:max val="180"/>
          <c:min val="6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2638080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Bahia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GRAF_VL!$A$14</c:f>
              <c:strCache>
                <c:ptCount val="1"/>
                <c:pt idx="0">
                  <c:v>Bahia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GRAF_VL!$B$14:$E$14</c:f>
              <c:numCache>
                <c:formatCode>#,##0.00</c:formatCode>
                <c:ptCount val="4"/>
                <c:pt idx="0">
                  <c:v>51.978146397417049</c:v>
                </c:pt>
                <c:pt idx="1">
                  <c:v>52.276989468736843</c:v>
                </c:pt>
                <c:pt idx="2">
                  <c:v>57.92142401925279</c:v>
                </c:pt>
                <c:pt idx="3">
                  <c:v>55.449822031885788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71-4D70-8A6A-545CC03CF7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64832"/>
        <c:axId val="162666368"/>
      </c:lineChart>
      <c:catAx>
        <c:axId val="162664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2666368"/>
        <c:crosses val="autoZero"/>
        <c:auto val="1"/>
        <c:lblAlgn val="ctr"/>
        <c:lblOffset val="100"/>
        <c:noMultiLvlLbl val="0"/>
      </c:catAx>
      <c:valAx>
        <c:axId val="162666368"/>
        <c:scaling>
          <c:orientation val="minMax"/>
          <c:max val="180"/>
          <c:min val="6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2664832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Ceará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GRAF_VL!$A$15</c:f>
              <c:strCache>
                <c:ptCount val="1"/>
                <c:pt idx="0">
                  <c:v>Ceará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GRAF_VL!$B$15:$E$15</c:f>
              <c:numCache>
                <c:formatCode>#,##0.00</c:formatCode>
                <c:ptCount val="4"/>
                <c:pt idx="0">
                  <c:v>38.83404430396849</c:v>
                </c:pt>
                <c:pt idx="1">
                  <c:v>23.466536179365828</c:v>
                </c:pt>
                <c:pt idx="2">
                  <c:v>32.423188304648619</c:v>
                </c:pt>
                <c:pt idx="3">
                  <c:v>32.9317303716551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3-4034-AED0-513D7C0B24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95424"/>
        <c:axId val="162709504"/>
      </c:lineChart>
      <c:catAx>
        <c:axId val="162695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2709504"/>
        <c:crosses val="autoZero"/>
        <c:auto val="1"/>
        <c:lblAlgn val="ctr"/>
        <c:lblOffset val="100"/>
        <c:noMultiLvlLbl val="0"/>
      </c:catAx>
      <c:valAx>
        <c:axId val="162709504"/>
        <c:scaling>
          <c:orientation val="minMax"/>
          <c:max val="180"/>
          <c:min val="6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2695424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Maranhão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GRAF_VL!$A$16</c:f>
              <c:strCache>
                <c:ptCount val="1"/>
                <c:pt idx="0">
                  <c:v>Maranhão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GRAF_VL!$B$16:$E$16</c:f>
              <c:numCache>
                <c:formatCode>#,##0.00</c:formatCode>
                <c:ptCount val="4"/>
                <c:pt idx="0">
                  <c:v>47.469338807020172</c:v>
                </c:pt>
                <c:pt idx="1">
                  <c:v>48.123445055399593</c:v>
                </c:pt>
                <c:pt idx="2">
                  <c:v>47.284973635182475</c:v>
                </c:pt>
                <c:pt idx="3">
                  <c:v>42.803765911892825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47-466E-A655-D1D2216AF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746752"/>
        <c:axId val="162748288"/>
      </c:lineChart>
      <c:catAx>
        <c:axId val="162746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2748288"/>
        <c:crosses val="autoZero"/>
        <c:auto val="1"/>
        <c:lblAlgn val="ctr"/>
        <c:lblOffset val="100"/>
        <c:noMultiLvlLbl val="0"/>
      </c:catAx>
      <c:valAx>
        <c:axId val="162748288"/>
        <c:scaling>
          <c:orientation val="minMax"/>
          <c:max val="180"/>
          <c:min val="6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2746752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Paraíba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GRAF_VL!$A$17</c:f>
              <c:strCache>
                <c:ptCount val="1"/>
                <c:pt idx="0">
                  <c:v>Paraíba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GRAF_VL!$B$17:$E$17</c:f>
              <c:numCache>
                <c:formatCode>#,##0.00</c:formatCode>
                <c:ptCount val="4"/>
                <c:pt idx="0">
                  <c:v>16.459675175899527</c:v>
                </c:pt>
                <c:pt idx="1">
                  <c:v>16.235341012519559</c:v>
                </c:pt>
                <c:pt idx="2">
                  <c:v>14.909761501363977</c:v>
                </c:pt>
                <c:pt idx="3">
                  <c:v>25.327307085059758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84-4A32-A1A4-C18271E8D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785536"/>
        <c:axId val="162856960"/>
      </c:lineChart>
      <c:catAx>
        <c:axId val="162785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2856960"/>
        <c:crosses val="autoZero"/>
        <c:auto val="1"/>
        <c:lblAlgn val="ctr"/>
        <c:lblOffset val="100"/>
        <c:noMultiLvlLbl val="0"/>
      </c:catAx>
      <c:valAx>
        <c:axId val="162856960"/>
        <c:scaling>
          <c:orientation val="minMax"/>
          <c:max val="180"/>
          <c:min val="6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2785536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Pernambuco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GRAF_VL!$A$18</c:f>
              <c:strCache>
                <c:ptCount val="1"/>
                <c:pt idx="0">
                  <c:v>Pernambuco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GRAF_VL!$B$18:$E$18</c:f>
              <c:numCache>
                <c:formatCode>#,##0.00</c:formatCode>
                <c:ptCount val="4"/>
                <c:pt idx="0">
                  <c:v>32.305721441366948</c:v>
                </c:pt>
                <c:pt idx="1">
                  <c:v>31.410910456157318</c:v>
                </c:pt>
                <c:pt idx="2">
                  <c:v>29.468994305252544</c:v>
                </c:pt>
                <c:pt idx="3">
                  <c:v>31.629834309437431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1B-4330-9A45-04B541FFC9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902400"/>
        <c:axId val="162903936"/>
      </c:lineChart>
      <c:catAx>
        <c:axId val="162902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2903936"/>
        <c:crosses val="autoZero"/>
        <c:auto val="1"/>
        <c:lblAlgn val="ctr"/>
        <c:lblOffset val="100"/>
        <c:noMultiLvlLbl val="0"/>
      </c:catAx>
      <c:valAx>
        <c:axId val="162903936"/>
        <c:scaling>
          <c:orientation val="minMax"/>
          <c:max val="180"/>
          <c:min val="6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2902400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Piauí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GRAF_VL!$A$19</c:f>
              <c:strCache>
                <c:ptCount val="1"/>
                <c:pt idx="0">
                  <c:v>Piauí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GRAF_VL!$B$19:$E$19</c:f>
              <c:numCache>
                <c:formatCode>#,##0.00</c:formatCode>
                <c:ptCount val="4"/>
                <c:pt idx="0">
                  <c:v>42.024081383834009</c:v>
                </c:pt>
                <c:pt idx="1">
                  <c:v>47.294133187329209</c:v>
                </c:pt>
                <c:pt idx="2">
                  <c:v>50.847743373640071</c:v>
                </c:pt>
                <c:pt idx="3">
                  <c:v>49.218788156435181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A3-43A5-A4E7-19572A5B48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916608"/>
        <c:axId val="162942976"/>
      </c:lineChart>
      <c:catAx>
        <c:axId val="162916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2942976"/>
        <c:crosses val="autoZero"/>
        <c:auto val="1"/>
        <c:lblAlgn val="ctr"/>
        <c:lblOffset val="100"/>
        <c:noMultiLvlLbl val="0"/>
      </c:catAx>
      <c:valAx>
        <c:axId val="162942976"/>
        <c:scaling>
          <c:orientation val="minMax"/>
          <c:max val="180"/>
          <c:min val="6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2916608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 Grande do Norte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GRAF_VL!$A$20</c:f>
              <c:strCache>
                <c:ptCount val="1"/>
                <c:pt idx="0">
                  <c:v>Rio Grande do Norte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GRAF_VL!$B$20:$E$20</c:f>
              <c:numCache>
                <c:formatCode>#,##0.00</c:formatCode>
                <c:ptCount val="4"/>
                <c:pt idx="0">
                  <c:v>23.683107423684838</c:v>
                </c:pt>
                <c:pt idx="1">
                  <c:v>28.612645919563604</c:v>
                </c:pt>
                <c:pt idx="2">
                  <c:v>24.327784613633742</c:v>
                </c:pt>
                <c:pt idx="3">
                  <c:v>21.117480620357895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3C-4E69-9705-A92E73304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984320"/>
        <c:axId val="162985856"/>
      </c:lineChart>
      <c:catAx>
        <c:axId val="162984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2985856"/>
        <c:crosses val="autoZero"/>
        <c:auto val="1"/>
        <c:lblAlgn val="ctr"/>
        <c:lblOffset val="100"/>
        <c:noMultiLvlLbl val="0"/>
      </c:catAx>
      <c:valAx>
        <c:axId val="162985856"/>
        <c:scaling>
          <c:orientation val="minMax"/>
          <c:max val="180"/>
          <c:min val="6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2984320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Sergipe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GRAF_VL!$A$21</c:f>
              <c:strCache>
                <c:ptCount val="1"/>
                <c:pt idx="0">
                  <c:v>Sergipe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GRAF_VL!$B$21:$E$21</c:f>
              <c:numCache>
                <c:formatCode>#,##0.00</c:formatCode>
                <c:ptCount val="4"/>
                <c:pt idx="0">
                  <c:v>31.372539702841507</c:v>
                </c:pt>
                <c:pt idx="1">
                  <c:v>44.663295393898714</c:v>
                </c:pt>
                <c:pt idx="2">
                  <c:v>41.025476939914761</c:v>
                </c:pt>
                <c:pt idx="3">
                  <c:v>29.820622242647861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2A-4676-9C02-DCF7DAC89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014912"/>
        <c:axId val="163024896"/>
      </c:lineChart>
      <c:catAx>
        <c:axId val="163014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3024896"/>
        <c:crosses val="autoZero"/>
        <c:auto val="1"/>
        <c:lblAlgn val="ctr"/>
        <c:lblOffset val="100"/>
        <c:noMultiLvlLbl val="0"/>
      </c:catAx>
      <c:valAx>
        <c:axId val="163024896"/>
        <c:scaling>
          <c:orientation val="minMax"/>
          <c:max val="180"/>
          <c:min val="6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3014912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Espírito Santo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GRAF_VL!$A$23</c:f>
              <c:strCache>
                <c:ptCount val="1"/>
                <c:pt idx="0">
                  <c:v>Espírito Santo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GRAF_VL!$B$23:$E$23</c:f>
              <c:numCache>
                <c:formatCode>#,##0.00</c:formatCode>
                <c:ptCount val="4"/>
                <c:pt idx="0">
                  <c:v>41.459207379184683</c:v>
                </c:pt>
                <c:pt idx="1">
                  <c:v>47.852110117845505</c:v>
                </c:pt>
                <c:pt idx="2">
                  <c:v>53.424521877604654</c:v>
                </c:pt>
                <c:pt idx="3">
                  <c:v>49.95846025267705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13-4E74-88CD-3C2CE55D4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049856"/>
        <c:axId val="163051392"/>
      </c:lineChart>
      <c:catAx>
        <c:axId val="163049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3051392"/>
        <c:crosses val="autoZero"/>
        <c:auto val="1"/>
        <c:lblAlgn val="ctr"/>
        <c:lblOffset val="100"/>
        <c:noMultiLvlLbl val="0"/>
      </c:catAx>
      <c:valAx>
        <c:axId val="163051392"/>
        <c:scaling>
          <c:orientation val="minMax"/>
          <c:max val="100"/>
          <c:min val="2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3049856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Minas Gerais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GRAF_VL!$A$24</c:f>
              <c:strCache>
                <c:ptCount val="1"/>
                <c:pt idx="0">
                  <c:v>Minas Gerais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cat>
            <c:numRef>
              <c:f>GRAF_VL!$B$2:$E$2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GRAF_VL!$B$24:$E$24</c:f>
              <c:numCache>
                <c:formatCode>#,##0.00</c:formatCode>
                <c:ptCount val="4"/>
                <c:pt idx="0">
                  <c:v>36.976306211499129</c:v>
                </c:pt>
                <c:pt idx="1">
                  <c:v>40.236301402360176</c:v>
                </c:pt>
                <c:pt idx="2">
                  <c:v>40.576227213050636</c:v>
                </c:pt>
                <c:pt idx="3">
                  <c:v>37.179709923057004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18-4AE0-90C3-04CF5D7A3DC5}"/>
            </c:ext>
          </c:extLst>
        </c:ser>
        <c:ser>
          <c:idx val="2"/>
          <c:order val="0"/>
          <c:tx>
            <c:strRef>
              <c:f>GRAF_VL!$A$24</c:f>
              <c:strCache>
                <c:ptCount val="1"/>
                <c:pt idx="0">
                  <c:v>Minas Gerais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GRAF_VL!$B$24:$E$24</c:f>
              <c:numCache>
                <c:formatCode>#,##0.00</c:formatCode>
                <c:ptCount val="4"/>
                <c:pt idx="0">
                  <c:v>36.976306211499129</c:v>
                </c:pt>
                <c:pt idx="1">
                  <c:v>40.236301402360176</c:v>
                </c:pt>
                <c:pt idx="2">
                  <c:v>40.576227213050636</c:v>
                </c:pt>
                <c:pt idx="3">
                  <c:v>37.179709923057004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18-4AE0-90C3-04CF5D7A3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102080"/>
        <c:axId val="163103872"/>
      </c:lineChart>
      <c:catAx>
        <c:axId val="163102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3103872"/>
        <c:crosses val="autoZero"/>
        <c:auto val="1"/>
        <c:lblAlgn val="ctr"/>
        <c:lblOffset val="100"/>
        <c:noMultiLvlLbl val="0"/>
      </c:catAx>
      <c:valAx>
        <c:axId val="163103872"/>
        <c:scaling>
          <c:orientation val="minMax"/>
          <c:max val="100"/>
          <c:min val="2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3102080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 de Janeiro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GRAF_VL!$A$25</c:f>
              <c:strCache>
                <c:ptCount val="1"/>
                <c:pt idx="0">
                  <c:v>Rio de Janeiro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GRAF_VL!$B$25:$E$25</c:f>
              <c:numCache>
                <c:formatCode>#,##0.00</c:formatCode>
                <c:ptCount val="4"/>
                <c:pt idx="0">
                  <c:v>10.604877646389243</c:v>
                </c:pt>
                <c:pt idx="1">
                  <c:v>10.552915399019275</c:v>
                </c:pt>
                <c:pt idx="2">
                  <c:v>11.780043335527539</c:v>
                </c:pt>
                <c:pt idx="3">
                  <c:v>12.984222709744317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F5-4F5E-A174-3AD8B860FF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333632"/>
        <c:axId val="163335168"/>
      </c:lineChart>
      <c:catAx>
        <c:axId val="163333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3335168"/>
        <c:crosses val="autoZero"/>
        <c:auto val="1"/>
        <c:lblAlgn val="ctr"/>
        <c:lblOffset val="100"/>
        <c:noMultiLvlLbl val="0"/>
      </c:catAx>
      <c:valAx>
        <c:axId val="163335168"/>
        <c:scaling>
          <c:orientation val="minMax"/>
          <c:max val="100"/>
          <c:min val="2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3333632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São Paulo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GRAF_VL!$A$26</c:f>
              <c:strCache>
                <c:ptCount val="1"/>
                <c:pt idx="0">
                  <c:v>São Paulo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GRAF_VL!$B$26:$E$26</c:f>
              <c:numCache>
                <c:formatCode>#,##0.00</c:formatCode>
                <c:ptCount val="4"/>
                <c:pt idx="0">
                  <c:v>10.747009315870129</c:v>
                </c:pt>
                <c:pt idx="1">
                  <c:v>10.397689651018521</c:v>
                </c:pt>
                <c:pt idx="2">
                  <c:v>10.2799780629613</c:v>
                </c:pt>
                <c:pt idx="3">
                  <c:v>9.2174906610511247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4D-4C92-B8B7-E068642E50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360128"/>
        <c:axId val="163390592"/>
      </c:lineChart>
      <c:catAx>
        <c:axId val="163360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3390592"/>
        <c:crosses val="autoZero"/>
        <c:auto val="1"/>
        <c:lblAlgn val="ctr"/>
        <c:lblOffset val="100"/>
        <c:noMultiLvlLbl val="0"/>
      </c:catAx>
      <c:valAx>
        <c:axId val="163390592"/>
        <c:scaling>
          <c:orientation val="minMax"/>
          <c:max val="100"/>
          <c:min val="2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3360128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Paraná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GRAF_VL!$A$28</c:f>
              <c:strCache>
                <c:ptCount val="1"/>
                <c:pt idx="0">
                  <c:v>Paraná</c:v>
                </c:pt>
              </c:strCache>
            </c:strRef>
          </c:tx>
          <c:spPr>
            <a:ln w="38100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GRAF_VL!$B$28:$E$28</c:f>
              <c:numCache>
                <c:formatCode>#,##0.00</c:formatCode>
                <c:ptCount val="4"/>
                <c:pt idx="0">
                  <c:v>36.111808405103503</c:v>
                </c:pt>
                <c:pt idx="1">
                  <c:v>32.556782554292965</c:v>
                </c:pt>
                <c:pt idx="2">
                  <c:v>30.044134651761457</c:v>
                </c:pt>
                <c:pt idx="3">
                  <c:v>30.395047017089023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69-4ABA-99F8-0B3232FC3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415552"/>
        <c:axId val="163417088"/>
      </c:lineChart>
      <c:catAx>
        <c:axId val="163415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3417088"/>
        <c:crosses val="autoZero"/>
        <c:auto val="1"/>
        <c:lblAlgn val="ctr"/>
        <c:lblOffset val="100"/>
        <c:noMultiLvlLbl val="0"/>
      </c:catAx>
      <c:valAx>
        <c:axId val="163417088"/>
        <c:scaling>
          <c:orientation val="minMax"/>
          <c:max val="10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3415552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</a:t>
            </a:r>
            <a:r>
              <a:rPr lang="pt-BR" baseline="0"/>
              <a:t> Grande do Sul</a:t>
            </a:r>
            <a:endParaRPr lang="pt-BR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GRAF_VL!$A$29</c:f>
              <c:strCache>
                <c:ptCount val="1"/>
                <c:pt idx="0">
                  <c:v>Rio Grande do Sul</c:v>
                </c:pt>
              </c:strCache>
            </c:strRef>
          </c:tx>
          <c:spPr>
            <a:ln w="38100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GRAF_VL!$B$29:$E$29</c:f>
              <c:numCache>
                <c:formatCode>#,##0.00</c:formatCode>
                <c:ptCount val="4"/>
                <c:pt idx="0">
                  <c:v>16.858844404195164</c:v>
                </c:pt>
                <c:pt idx="1">
                  <c:v>17.537513651076523</c:v>
                </c:pt>
                <c:pt idx="2">
                  <c:v>17.349105055621276</c:v>
                </c:pt>
                <c:pt idx="3">
                  <c:v>18.147876619988022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FA-418B-9F40-5901EA5E6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437568"/>
        <c:axId val="163541760"/>
      </c:lineChart>
      <c:catAx>
        <c:axId val="163437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3541760"/>
        <c:crosses val="autoZero"/>
        <c:auto val="1"/>
        <c:lblAlgn val="ctr"/>
        <c:lblOffset val="100"/>
        <c:noMultiLvlLbl val="0"/>
      </c:catAx>
      <c:valAx>
        <c:axId val="163541760"/>
        <c:scaling>
          <c:orientation val="minMax"/>
          <c:max val="10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3437568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Santa</a:t>
            </a:r>
            <a:r>
              <a:rPr lang="pt-BR" baseline="0"/>
              <a:t> Catarina</a:t>
            </a:r>
            <a:endParaRPr lang="pt-BR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GRAF_VL!$A$30</c:f>
              <c:strCache>
                <c:ptCount val="1"/>
                <c:pt idx="0">
                  <c:v>Santa Catarina</c:v>
                </c:pt>
              </c:strCache>
            </c:strRef>
          </c:tx>
          <c:spPr>
            <a:ln w="38100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GRAF_VL!$B$30:$E$30</c:f>
              <c:numCache>
                <c:formatCode>#,##0.00</c:formatCode>
                <c:ptCount val="4"/>
                <c:pt idx="0">
                  <c:v>23.420685022234146</c:v>
                </c:pt>
                <c:pt idx="1">
                  <c:v>27.284658519986749</c:v>
                </c:pt>
                <c:pt idx="2">
                  <c:v>30.664655300296705</c:v>
                </c:pt>
                <c:pt idx="3">
                  <c:v>25.961802641853577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0C-4824-AFD7-378F1692F6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570816"/>
        <c:axId val="163572352"/>
      </c:lineChart>
      <c:catAx>
        <c:axId val="163570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3572352"/>
        <c:crosses val="autoZero"/>
        <c:auto val="1"/>
        <c:lblAlgn val="ctr"/>
        <c:lblOffset val="100"/>
        <c:noMultiLvlLbl val="0"/>
      </c:catAx>
      <c:valAx>
        <c:axId val="163572352"/>
        <c:scaling>
          <c:orientation val="minMax"/>
          <c:max val="10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3570816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Distrito Federal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GRAF_VL!$A$32</c:f>
              <c:strCache>
                <c:ptCount val="1"/>
                <c:pt idx="0">
                  <c:v>Distrito Federal</c:v>
                </c:pt>
              </c:strCache>
            </c:strRef>
          </c:tx>
          <c:spPr>
            <a:ln w="381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GRAF_VL!$B$32:$E$32</c:f>
              <c:numCache>
                <c:formatCode>#,##0.00</c:formatCode>
                <c:ptCount val="4"/>
                <c:pt idx="0">
                  <c:v>20.012462613600345</c:v>
                </c:pt>
                <c:pt idx="1">
                  <c:v>19.803852861653461</c:v>
                </c:pt>
                <c:pt idx="2">
                  <c:v>22.200689141246112</c:v>
                </c:pt>
                <c:pt idx="3">
                  <c:v>18.260254567617107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E9-4870-AEA0-AFBBD25B72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605504"/>
        <c:axId val="163607296"/>
      </c:lineChart>
      <c:catAx>
        <c:axId val="163605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3607296"/>
        <c:crosses val="autoZero"/>
        <c:auto val="1"/>
        <c:lblAlgn val="ctr"/>
        <c:lblOffset val="100"/>
        <c:noMultiLvlLbl val="0"/>
      </c:catAx>
      <c:valAx>
        <c:axId val="163607296"/>
        <c:scaling>
          <c:orientation val="minMax"/>
          <c:max val="100"/>
          <c:min val="2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3605504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Goiás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GRAF_VL!$A$33</c:f>
              <c:strCache>
                <c:ptCount val="1"/>
                <c:pt idx="0">
                  <c:v>Goiás</c:v>
                </c:pt>
              </c:strCache>
            </c:strRef>
          </c:tx>
          <c:spPr>
            <a:ln w="381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GRAF_VL!$B$33:$E$33</c:f>
              <c:numCache>
                <c:formatCode>#,##0.00</c:formatCode>
                <c:ptCount val="4"/>
                <c:pt idx="0">
                  <c:v>27.596394887383042</c:v>
                </c:pt>
                <c:pt idx="1">
                  <c:v>24.554799071637227</c:v>
                </c:pt>
                <c:pt idx="2">
                  <c:v>25.993782534171231</c:v>
                </c:pt>
                <c:pt idx="3">
                  <c:v>25.672937065958518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46-4A24-BE38-689078C71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644544"/>
        <c:axId val="163646080"/>
      </c:lineChart>
      <c:catAx>
        <c:axId val="163644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3646080"/>
        <c:crosses val="autoZero"/>
        <c:auto val="1"/>
        <c:lblAlgn val="ctr"/>
        <c:lblOffset val="100"/>
        <c:noMultiLvlLbl val="0"/>
      </c:catAx>
      <c:valAx>
        <c:axId val="163646080"/>
        <c:scaling>
          <c:orientation val="minMax"/>
          <c:max val="100"/>
          <c:min val="2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3644544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Mato Grosso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GRAF_VL!$A$34</c:f>
              <c:strCache>
                <c:ptCount val="1"/>
                <c:pt idx="0">
                  <c:v>Mato Grosso</c:v>
                </c:pt>
              </c:strCache>
            </c:strRef>
          </c:tx>
          <c:spPr>
            <a:ln w="381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GRAF_VL!$B$34:$E$34</c:f>
              <c:numCache>
                <c:formatCode>#,##0.00</c:formatCode>
                <c:ptCount val="4"/>
                <c:pt idx="0">
                  <c:v>45.654637631906887</c:v>
                </c:pt>
                <c:pt idx="1">
                  <c:v>46.592160736345683</c:v>
                </c:pt>
                <c:pt idx="2">
                  <c:v>40.842651676122557</c:v>
                </c:pt>
                <c:pt idx="3">
                  <c:v>39.070035198934072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78-4D3B-94FE-3E313E5F98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695616"/>
        <c:axId val="163701504"/>
      </c:lineChart>
      <c:catAx>
        <c:axId val="163695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3701504"/>
        <c:crosses val="autoZero"/>
        <c:auto val="1"/>
        <c:lblAlgn val="ctr"/>
        <c:lblOffset val="100"/>
        <c:noMultiLvlLbl val="0"/>
      </c:catAx>
      <c:valAx>
        <c:axId val="163701504"/>
        <c:scaling>
          <c:orientation val="minMax"/>
          <c:max val="100"/>
          <c:min val="2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3695616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Mato Grosso do Sul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GRAF_VL!$A$35</c:f>
              <c:strCache>
                <c:ptCount val="1"/>
                <c:pt idx="0">
                  <c:v>Mato Grosso do Sul</c:v>
                </c:pt>
              </c:strCache>
            </c:strRef>
          </c:tx>
          <c:spPr>
            <a:ln w="381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GRAF_VL!$B$35:$E$35</c:f>
              <c:numCache>
                <c:formatCode>#,##0.00</c:formatCode>
                <c:ptCount val="4"/>
                <c:pt idx="0">
                  <c:v>42.629523581492521</c:v>
                </c:pt>
                <c:pt idx="1">
                  <c:v>40.947736290223801</c:v>
                </c:pt>
                <c:pt idx="2">
                  <c:v>41.316982123930082</c:v>
                </c:pt>
                <c:pt idx="3">
                  <c:v>35.924396963060339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49-4157-BB01-9228D74BA4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726464"/>
        <c:axId val="163728000"/>
      </c:lineChart>
      <c:catAx>
        <c:axId val="163726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3728000"/>
        <c:crosses val="autoZero"/>
        <c:auto val="1"/>
        <c:lblAlgn val="ctr"/>
        <c:lblOffset val="100"/>
        <c:noMultiLvlLbl val="0"/>
      </c:catAx>
      <c:valAx>
        <c:axId val="163728000"/>
        <c:scaling>
          <c:orientation val="minMax"/>
          <c:max val="100"/>
          <c:min val="2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3726464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Brasil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GRAF_VL!$A$3</c:f>
              <c:strCache>
                <c:ptCount val="1"/>
                <c:pt idx="0">
                  <c:v>Brasil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circle"/>
            <c:size val="8"/>
            <c:spPr>
              <a:solidFill>
                <a:srgbClr val="FFFF66"/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GRAF_VL!$B$3:$E$3</c:f>
              <c:numCache>
                <c:formatCode>#,##0.00</c:formatCode>
                <c:ptCount val="4"/>
                <c:pt idx="0">
                  <c:v>22.424121597079743</c:v>
                </c:pt>
                <c:pt idx="1">
                  <c:v>22.785333971754262</c:v>
                </c:pt>
                <c:pt idx="2">
                  <c:v>23.222511229167232</c:v>
                </c:pt>
                <c:pt idx="3">
                  <c:v>22.595763363240579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9E-4A92-9F19-3AD3ECD90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757056"/>
        <c:axId val="163767040"/>
      </c:lineChart>
      <c:catAx>
        <c:axId val="163757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3767040"/>
        <c:crosses val="autoZero"/>
        <c:auto val="1"/>
        <c:lblAlgn val="ctr"/>
        <c:lblOffset val="100"/>
        <c:noMultiLvlLbl val="0"/>
      </c:catAx>
      <c:valAx>
        <c:axId val="163767040"/>
        <c:scaling>
          <c:orientation val="minMax"/>
          <c:max val="80"/>
          <c:min val="5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3757056"/>
        <c:crosses val="autoZero"/>
        <c:crossBetween val="between"/>
        <c:majorUnit val="1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Brasil e regiões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GRAF_CAM!$A$3</c:f>
              <c:strCache>
                <c:ptCount val="1"/>
                <c:pt idx="0">
                  <c:v>Brasil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/>
            <c:extLst>
              <c:ext xmlns:c16="http://schemas.microsoft.com/office/drawing/2014/chart" uri="{C3380CC4-5D6E-409C-BE32-E72D297353CC}">
                <c16:uniqueId val="{00000001-AEDC-4F51-B526-5BF646CAF871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GRAF_CAM!$B$3:$E$3</c:f>
              <c:numCache>
                <c:formatCode>#,##0.00</c:formatCode>
                <c:ptCount val="4"/>
                <c:pt idx="0">
                  <c:v>8.7813474401433531</c:v>
                </c:pt>
                <c:pt idx="1">
                  <c:v>8.353098180900945</c:v>
                </c:pt>
                <c:pt idx="2">
                  <c:v>8.6370697200089062</c:v>
                </c:pt>
                <c:pt idx="3">
                  <c:v>8.3544738123573996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DC-4F51-B526-5BF646CAF871}"/>
            </c:ext>
          </c:extLst>
        </c:ser>
        <c:ser>
          <c:idx val="1"/>
          <c:order val="1"/>
          <c:tx>
            <c:strRef>
              <c:f>GRAF_CAM!$A$4</c:f>
              <c:strCache>
                <c:ptCount val="1"/>
                <c:pt idx="0">
                  <c:v>N</c:v>
                </c:pt>
              </c:strCache>
            </c:strRef>
          </c:tx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GRAF_CAM!$B$4:$E$4</c:f>
              <c:numCache>
                <c:formatCode>#,##0.00</c:formatCode>
                <c:ptCount val="4"/>
                <c:pt idx="0">
                  <c:v>4.216572906118973</c:v>
                </c:pt>
                <c:pt idx="1">
                  <c:v>4.5992178450028112</c:v>
                </c:pt>
                <c:pt idx="2">
                  <c:v>3.4894567554856453</c:v>
                </c:pt>
                <c:pt idx="3">
                  <c:v>4.1961620757630618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EDC-4F51-B526-5BF646CAF871}"/>
            </c:ext>
          </c:extLst>
        </c:ser>
        <c:ser>
          <c:idx val="2"/>
          <c:order val="2"/>
          <c:tx>
            <c:strRef>
              <c:f>GRAF_CAM!$A$12</c:f>
              <c:strCache>
                <c:ptCount val="1"/>
                <c:pt idx="0">
                  <c:v>NE</c:v>
                </c:pt>
              </c:strCache>
            </c:strRef>
          </c:tx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GRAF_CAM!$B$12:$E$12</c:f>
              <c:numCache>
                <c:formatCode>#,##0.00</c:formatCode>
                <c:ptCount val="4"/>
                <c:pt idx="0">
                  <c:v>11.867687081511786</c:v>
                </c:pt>
                <c:pt idx="1">
                  <c:v>14.7143267486888</c:v>
                </c:pt>
                <c:pt idx="2">
                  <c:v>10.134508596254102</c:v>
                </c:pt>
                <c:pt idx="3">
                  <c:v>10.821372358511869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EDC-4F51-B526-5BF646CAF871}"/>
            </c:ext>
          </c:extLst>
        </c:ser>
        <c:ser>
          <c:idx val="3"/>
          <c:order val="3"/>
          <c:tx>
            <c:strRef>
              <c:f>GRAF_CAM!$A$22</c:f>
              <c:strCache>
                <c:ptCount val="1"/>
                <c:pt idx="0">
                  <c:v>SE</c:v>
                </c:pt>
              </c:strCache>
            </c:strRef>
          </c:tx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GRAF_CAM!$B$22:$E$22</c:f>
              <c:numCache>
                <c:formatCode>#,##0.00</c:formatCode>
                <c:ptCount val="4"/>
                <c:pt idx="0">
                  <c:v>7.9495119633214992</c:v>
                </c:pt>
                <c:pt idx="1">
                  <c:v>8.034539641633291</c:v>
                </c:pt>
                <c:pt idx="2">
                  <c:v>8.2889762042012549</c:v>
                </c:pt>
                <c:pt idx="3">
                  <c:v>7.4943989930833137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EDC-4F51-B526-5BF646CAF871}"/>
            </c:ext>
          </c:extLst>
        </c:ser>
        <c:ser>
          <c:idx val="4"/>
          <c:order val="4"/>
          <c:tx>
            <c:strRef>
              <c:f>GRAF_CAM!$A$27</c:f>
              <c:strCache>
                <c:ptCount val="1"/>
                <c:pt idx="0">
                  <c:v>S</c:v>
                </c:pt>
              </c:strCache>
            </c:strRef>
          </c:tx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GRAF_CAM!$B$27:$E$27</c:f>
              <c:numCache>
                <c:formatCode>#,##0.00</c:formatCode>
                <c:ptCount val="4"/>
                <c:pt idx="0">
                  <c:v>9.3728727184229381</c:v>
                </c:pt>
                <c:pt idx="1">
                  <c:v>6.729533281672305</c:v>
                </c:pt>
                <c:pt idx="2">
                  <c:v>9.7352429074181064</c:v>
                </c:pt>
                <c:pt idx="3">
                  <c:v>10.29129359829675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EDC-4F51-B526-5BF646CAF871}"/>
            </c:ext>
          </c:extLst>
        </c:ser>
        <c:ser>
          <c:idx val="5"/>
          <c:order val="5"/>
          <c:tx>
            <c:strRef>
              <c:f>GRAF_CAM!$A$31</c:f>
              <c:strCache>
                <c:ptCount val="1"/>
                <c:pt idx="0">
                  <c:v>CO</c:v>
                </c:pt>
              </c:strCache>
            </c:strRef>
          </c:tx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GRAF_CAM!$B$31:$E$31</c:f>
              <c:numCache>
                <c:formatCode>#,##0.00</c:formatCode>
                <c:ptCount val="4"/>
                <c:pt idx="0">
                  <c:v>11.547548652274713</c:v>
                </c:pt>
                <c:pt idx="1">
                  <c:v>9.3517902973497762</c:v>
                </c:pt>
                <c:pt idx="2">
                  <c:v>11.163897095241913</c:v>
                </c:pt>
                <c:pt idx="3">
                  <c:v>9.1025218592835166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EDC-4F51-B526-5BF646CAF8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3975168"/>
        <c:axId val="163976704"/>
      </c:barChart>
      <c:catAx>
        <c:axId val="163975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63976704"/>
        <c:crosses val="autoZero"/>
        <c:auto val="1"/>
        <c:lblAlgn val="ctr"/>
        <c:lblOffset val="100"/>
        <c:noMultiLvlLbl val="0"/>
      </c:catAx>
      <c:valAx>
        <c:axId val="163976704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Mortes/109km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19050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63975168"/>
        <c:crosses val="autoZero"/>
        <c:crossBetween val="between"/>
        <c:majorUnit val="5"/>
      </c:valAx>
    </c:plotArea>
    <c:legend>
      <c:legendPos val="b"/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Brasil e regiões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GRAF_CAM!$A$3</c:f>
              <c:strCache>
                <c:ptCount val="1"/>
                <c:pt idx="0">
                  <c:v>Brasil</c:v>
                </c:pt>
              </c:strCache>
            </c:strRef>
          </c:tx>
          <c:marker>
            <c:symbol val="circle"/>
            <c:size val="5"/>
            <c:spPr>
              <a:ln>
                <a:solidFill>
                  <a:prstClr val="black"/>
                </a:solidFill>
              </a:ln>
            </c:spPr>
          </c:marker>
          <c:cat>
            <c:numRef>
              <c:f>GRAF_CAM!$B$2:$E$2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GRAF_CAM!$B$3:$E$3</c:f>
              <c:numCache>
                <c:formatCode>#,##0.00</c:formatCode>
                <c:ptCount val="4"/>
                <c:pt idx="0">
                  <c:v>8.7813474401433531</c:v>
                </c:pt>
                <c:pt idx="1">
                  <c:v>8.353098180900945</c:v>
                </c:pt>
                <c:pt idx="2">
                  <c:v>8.6370697200089062</c:v>
                </c:pt>
                <c:pt idx="3">
                  <c:v>8.3544738123573996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18-48B7-B456-11C7CE046791}"/>
            </c:ext>
          </c:extLst>
        </c:ser>
        <c:ser>
          <c:idx val="1"/>
          <c:order val="1"/>
          <c:tx>
            <c:strRef>
              <c:f>GRAF_CAM!$A$4</c:f>
              <c:strCache>
                <c:ptCount val="1"/>
                <c:pt idx="0">
                  <c:v>N</c:v>
                </c:pt>
              </c:strCache>
            </c:strRef>
          </c:tx>
          <c:marker>
            <c:symbol val="circle"/>
            <c:size val="5"/>
            <c:spPr>
              <a:ln>
                <a:solidFill>
                  <a:prstClr val="black"/>
                </a:solidFill>
              </a:ln>
            </c:spPr>
          </c:marker>
          <c:cat>
            <c:numRef>
              <c:f>GRAF_CAM!$B$2:$E$2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GRAF_CAM!$B$4:$E$4</c:f>
              <c:numCache>
                <c:formatCode>#,##0.00</c:formatCode>
                <c:ptCount val="4"/>
                <c:pt idx="0">
                  <c:v>4.216572906118973</c:v>
                </c:pt>
                <c:pt idx="1">
                  <c:v>4.5992178450028112</c:v>
                </c:pt>
                <c:pt idx="2">
                  <c:v>3.4894567554856453</c:v>
                </c:pt>
                <c:pt idx="3">
                  <c:v>4.1961620757630618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18-48B7-B456-11C7CE046791}"/>
            </c:ext>
          </c:extLst>
        </c:ser>
        <c:ser>
          <c:idx val="2"/>
          <c:order val="2"/>
          <c:tx>
            <c:strRef>
              <c:f>GRAF_CAM!$A$12</c:f>
              <c:strCache>
                <c:ptCount val="1"/>
                <c:pt idx="0">
                  <c:v>NE</c:v>
                </c:pt>
              </c:strCache>
            </c:strRef>
          </c:tx>
          <c:marker>
            <c:symbol val="circle"/>
            <c:size val="5"/>
            <c:spPr>
              <a:ln>
                <a:solidFill>
                  <a:prstClr val="black"/>
                </a:solidFill>
              </a:ln>
            </c:spPr>
          </c:marker>
          <c:cat>
            <c:numRef>
              <c:f>GRAF_CAM!$B$2:$E$2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GRAF_CAM!$B$12:$E$12</c:f>
              <c:numCache>
                <c:formatCode>#,##0.00</c:formatCode>
                <c:ptCount val="4"/>
                <c:pt idx="0">
                  <c:v>11.867687081511786</c:v>
                </c:pt>
                <c:pt idx="1">
                  <c:v>14.7143267486888</c:v>
                </c:pt>
                <c:pt idx="2">
                  <c:v>10.134508596254102</c:v>
                </c:pt>
                <c:pt idx="3">
                  <c:v>10.821372358511869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18-48B7-B456-11C7CE046791}"/>
            </c:ext>
          </c:extLst>
        </c:ser>
        <c:ser>
          <c:idx val="3"/>
          <c:order val="3"/>
          <c:tx>
            <c:strRef>
              <c:f>GRAF_CAM!$A$22</c:f>
              <c:strCache>
                <c:ptCount val="1"/>
                <c:pt idx="0">
                  <c:v>SE</c:v>
                </c:pt>
              </c:strCache>
            </c:strRef>
          </c:tx>
          <c:marker>
            <c:symbol val="circle"/>
            <c:size val="5"/>
            <c:spPr>
              <a:ln>
                <a:solidFill>
                  <a:prstClr val="black"/>
                </a:solidFill>
              </a:ln>
            </c:spPr>
          </c:marker>
          <c:cat>
            <c:numRef>
              <c:f>GRAF_CAM!$B$2:$E$2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GRAF_CAM!$B$22:$E$22</c:f>
              <c:numCache>
                <c:formatCode>#,##0.00</c:formatCode>
                <c:ptCount val="4"/>
                <c:pt idx="0">
                  <c:v>7.9495119633214992</c:v>
                </c:pt>
                <c:pt idx="1">
                  <c:v>8.034539641633291</c:v>
                </c:pt>
                <c:pt idx="2">
                  <c:v>8.2889762042012549</c:v>
                </c:pt>
                <c:pt idx="3">
                  <c:v>7.4943989930833137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18-48B7-B456-11C7CE046791}"/>
            </c:ext>
          </c:extLst>
        </c:ser>
        <c:ser>
          <c:idx val="4"/>
          <c:order val="4"/>
          <c:tx>
            <c:strRef>
              <c:f>GRAF_CAM!$A$27</c:f>
              <c:strCache>
                <c:ptCount val="1"/>
                <c:pt idx="0">
                  <c:v>S</c:v>
                </c:pt>
              </c:strCache>
            </c:strRef>
          </c:tx>
          <c:marker>
            <c:symbol val="circle"/>
            <c:size val="5"/>
            <c:spPr>
              <a:ln>
                <a:solidFill>
                  <a:prstClr val="black"/>
                </a:solidFill>
              </a:ln>
            </c:spPr>
          </c:marker>
          <c:cat>
            <c:numRef>
              <c:f>GRAF_CAM!$B$2:$E$2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GRAF_CAM!$B$27:$E$27</c:f>
              <c:numCache>
                <c:formatCode>#,##0.00</c:formatCode>
                <c:ptCount val="4"/>
                <c:pt idx="0">
                  <c:v>9.3728727184229381</c:v>
                </c:pt>
                <c:pt idx="1">
                  <c:v>6.729533281672305</c:v>
                </c:pt>
                <c:pt idx="2">
                  <c:v>9.7352429074181064</c:v>
                </c:pt>
                <c:pt idx="3">
                  <c:v>10.29129359829675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D18-48B7-B456-11C7CE046791}"/>
            </c:ext>
          </c:extLst>
        </c:ser>
        <c:ser>
          <c:idx val="5"/>
          <c:order val="5"/>
          <c:tx>
            <c:strRef>
              <c:f>GRAF_CAM!$A$31</c:f>
              <c:strCache>
                <c:ptCount val="1"/>
                <c:pt idx="0">
                  <c:v>CO</c:v>
                </c:pt>
              </c:strCache>
            </c:strRef>
          </c:tx>
          <c:marker>
            <c:symbol val="circle"/>
            <c:size val="5"/>
            <c:spPr>
              <a:ln>
                <a:solidFill>
                  <a:prstClr val="black"/>
                </a:solidFill>
              </a:ln>
            </c:spPr>
          </c:marker>
          <c:cat>
            <c:numRef>
              <c:f>GRAF_CAM!$B$2:$E$2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GRAF_CAM!$B$31:$E$31</c:f>
              <c:numCache>
                <c:formatCode>#,##0.00</c:formatCode>
                <c:ptCount val="4"/>
                <c:pt idx="0">
                  <c:v>11.547548652274713</c:v>
                </c:pt>
                <c:pt idx="1">
                  <c:v>9.3517902973497762</c:v>
                </c:pt>
                <c:pt idx="2">
                  <c:v>11.163897095241913</c:v>
                </c:pt>
                <c:pt idx="3">
                  <c:v>9.1025218592835166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D18-48B7-B456-11C7CE0467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34048"/>
        <c:axId val="164035968"/>
      </c:lineChart>
      <c:catAx>
        <c:axId val="164034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64035968"/>
        <c:crosses val="autoZero"/>
        <c:auto val="1"/>
        <c:lblAlgn val="ctr"/>
        <c:lblOffset val="100"/>
        <c:noMultiLvlLbl val="0"/>
      </c:catAx>
      <c:valAx>
        <c:axId val="164035968"/>
        <c:scaling>
          <c:orientation val="minMax"/>
          <c:max val="12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Mortes/109km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19050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64034048"/>
        <c:crosses val="autoZero"/>
        <c:crossBetween val="between"/>
        <c:majorUnit val="20"/>
      </c:valAx>
    </c:plotArea>
    <c:legend>
      <c:legendPos val="b"/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Brasil e regiões</a:t>
            </a:r>
          </a:p>
        </c:rich>
      </c:tx>
      <c:overlay val="0"/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GRAF_CAM!$A$3</c:f>
              <c:strCache>
                <c:ptCount val="1"/>
                <c:pt idx="0">
                  <c:v>Brasil</c:v>
                </c:pt>
              </c:strCache>
            </c:strRef>
          </c:tx>
          <c:marker>
            <c:symbol val="none"/>
          </c:marker>
          <c:cat>
            <c:numRef>
              <c:f>GRAF_CAM!$B$2:$E$2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GRAF_CAM!$B$3:$E$3</c:f>
              <c:numCache>
                <c:formatCode>#,##0.00</c:formatCode>
                <c:ptCount val="4"/>
                <c:pt idx="0">
                  <c:v>8.7813474401433531</c:v>
                </c:pt>
                <c:pt idx="1">
                  <c:v>8.353098180900945</c:v>
                </c:pt>
                <c:pt idx="2">
                  <c:v>8.6370697200089062</c:v>
                </c:pt>
                <c:pt idx="3">
                  <c:v>8.3544738123573996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DC-4033-9DE5-7CEEB1F8EC40}"/>
            </c:ext>
          </c:extLst>
        </c:ser>
        <c:ser>
          <c:idx val="1"/>
          <c:order val="1"/>
          <c:tx>
            <c:strRef>
              <c:f>GRAF_CAM!$A$4</c:f>
              <c:strCache>
                <c:ptCount val="1"/>
                <c:pt idx="0">
                  <c:v>N</c:v>
                </c:pt>
              </c:strCache>
            </c:strRef>
          </c:tx>
          <c:marker>
            <c:symbol val="none"/>
          </c:marker>
          <c:cat>
            <c:numRef>
              <c:f>GRAF_CAM!$B$2:$E$2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GRAF_CAM!$B$4:$E$4</c:f>
              <c:numCache>
                <c:formatCode>#,##0.00</c:formatCode>
                <c:ptCount val="4"/>
                <c:pt idx="0">
                  <c:v>4.216572906118973</c:v>
                </c:pt>
                <c:pt idx="1">
                  <c:v>4.5992178450028112</c:v>
                </c:pt>
                <c:pt idx="2">
                  <c:v>3.4894567554856453</c:v>
                </c:pt>
                <c:pt idx="3">
                  <c:v>4.1961620757630618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DC-4033-9DE5-7CEEB1F8EC40}"/>
            </c:ext>
          </c:extLst>
        </c:ser>
        <c:ser>
          <c:idx val="2"/>
          <c:order val="2"/>
          <c:tx>
            <c:strRef>
              <c:f>GRAF_CAM!$A$12</c:f>
              <c:strCache>
                <c:ptCount val="1"/>
                <c:pt idx="0">
                  <c:v>NE</c:v>
                </c:pt>
              </c:strCache>
            </c:strRef>
          </c:tx>
          <c:marker>
            <c:symbol val="none"/>
          </c:marker>
          <c:cat>
            <c:numRef>
              <c:f>GRAF_CAM!$B$2:$E$2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GRAF_CAM!$B$12:$E$12</c:f>
              <c:numCache>
                <c:formatCode>#,##0.00</c:formatCode>
                <c:ptCount val="4"/>
                <c:pt idx="0">
                  <c:v>11.867687081511786</c:v>
                </c:pt>
                <c:pt idx="1">
                  <c:v>14.7143267486888</c:v>
                </c:pt>
                <c:pt idx="2">
                  <c:v>10.134508596254102</c:v>
                </c:pt>
                <c:pt idx="3">
                  <c:v>10.821372358511869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DC-4033-9DE5-7CEEB1F8EC40}"/>
            </c:ext>
          </c:extLst>
        </c:ser>
        <c:ser>
          <c:idx val="3"/>
          <c:order val="3"/>
          <c:tx>
            <c:strRef>
              <c:f>GRAF_CAM!$A$22</c:f>
              <c:strCache>
                <c:ptCount val="1"/>
                <c:pt idx="0">
                  <c:v>SE</c:v>
                </c:pt>
              </c:strCache>
            </c:strRef>
          </c:tx>
          <c:marker>
            <c:symbol val="none"/>
          </c:marker>
          <c:cat>
            <c:numRef>
              <c:f>GRAF_CAM!$B$2:$E$2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GRAF_CAM!$B$22:$E$22</c:f>
              <c:numCache>
                <c:formatCode>#,##0.00</c:formatCode>
                <c:ptCount val="4"/>
                <c:pt idx="0">
                  <c:v>7.9495119633214992</c:v>
                </c:pt>
                <c:pt idx="1">
                  <c:v>8.034539641633291</c:v>
                </c:pt>
                <c:pt idx="2">
                  <c:v>8.2889762042012549</c:v>
                </c:pt>
                <c:pt idx="3">
                  <c:v>7.4943989930833137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DC-4033-9DE5-7CEEB1F8EC40}"/>
            </c:ext>
          </c:extLst>
        </c:ser>
        <c:ser>
          <c:idx val="4"/>
          <c:order val="4"/>
          <c:tx>
            <c:strRef>
              <c:f>GRAF_CAM!$A$27</c:f>
              <c:strCache>
                <c:ptCount val="1"/>
                <c:pt idx="0">
                  <c:v>S</c:v>
                </c:pt>
              </c:strCache>
            </c:strRef>
          </c:tx>
          <c:marker>
            <c:symbol val="none"/>
          </c:marker>
          <c:cat>
            <c:numRef>
              <c:f>GRAF_CAM!$B$2:$E$2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GRAF_CAM!$B$27:$E$27</c:f>
              <c:numCache>
                <c:formatCode>#,##0.00</c:formatCode>
                <c:ptCount val="4"/>
                <c:pt idx="0">
                  <c:v>9.3728727184229381</c:v>
                </c:pt>
                <c:pt idx="1">
                  <c:v>6.729533281672305</c:v>
                </c:pt>
                <c:pt idx="2">
                  <c:v>9.7352429074181064</c:v>
                </c:pt>
                <c:pt idx="3">
                  <c:v>10.29129359829675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4DC-4033-9DE5-7CEEB1F8EC40}"/>
            </c:ext>
          </c:extLst>
        </c:ser>
        <c:ser>
          <c:idx val="5"/>
          <c:order val="5"/>
          <c:tx>
            <c:strRef>
              <c:f>GRAF_CAM!$A$31</c:f>
              <c:strCache>
                <c:ptCount val="1"/>
                <c:pt idx="0">
                  <c:v>CO</c:v>
                </c:pt>
              </c:strCache>
            </c:strRef>
          </c:tx>
          <c:marker>
            <c:symbol val="none"/>
          </c:marker>
          <c:cat>
            <c:numRef>
              <c:f>GRAF_CAM!$B$2:$E$2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GRAF_CAM!$B$31:$E$31</c:f>
              <c:numCache>
                <c:formatCode>#,##0.00</c:formatCode>
                <c:ptCount val="4"/>
                <c:pt idx="0">
                  <c:v>11.547548652274713</c:v>
                </c:pt>
                <c:pt idx="1">
                  <c:v>9.3517902973497762</c:v>
                </c:pt>
                <c:pt idx="2">
                  <c:v>11.163897095241913</c:v>
                </c:pt>
                <c:pt idx="3">
                  <c:v>9.1025218592835166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4DC-4033-9DE5-7CEEB1F8E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69376"/>
        <c:axId val="164070912"/>
      </c:radarChart>
      <c:catAx>
        <c:axId val="16406937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spPr>
          <a:ln w="19050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64070912"/>
        <c:crosses val="autoZero"/>
        <c:auto val="1"/>
        <c:lblAlgn val="ctr"/>
        <c:lblOffset val="100"/>
        <c:noMultiLvlLbl val="0"/>
      </c:catAx>
      <c:valAx>
        <c:axId val="164070912"/>
        <c:scaling>
          <c:orientation val="minMax"/>
          <c:max val="12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Mortes/109km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19050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64069376"/>
        <c:crosses val="autoZero"/>
        <c:crossBetween val="between"/>
        <c:majorUnit val="20"/>
      </c:valAx>
    </c:plotArea>
    <c:legend>
      <c:legendPos val="r"/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Acre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GRAF_CAM!$A$5</c:f>
              <c:strCache>
                <c:ptCount val="1"/>
                <c:pt idx="0">
                  <c:v>Acre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GRAF_CAM!$B$5:$E$5</c:f>
              <c:numCache>
                <c:formatCode>#,##0.00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1.4869536383069082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42-417F-B45E-0537466CB5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244096"/>
        <c:axId val="164254080"/>
      </c:lineChart>
      <c:catAx>
        <c:axId val="164244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4254080"/>
        <c:crosses val="autoZero"/>
        <c:auto val="1"/>
        <c:lblAlgn val="ctr"/>
        <c:lblOffset val="100"/>
        <c:noMultiLvlLbl val="0"/>
      </c:catAx>
      <c:valAx>
        <c:axId val="164254080"/>
        <c:scaling>
          <c:orientation val="minMax"/>
          <c:max val="14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4244096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Amapá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GRAF_CAM!$A$6</c:f>
              <c:strCache>
                <c:ptCount val="1"/>
                <c:pt idx="0">
                  <c:v>Amapá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GRAF_CAM!$B$6:$E$6</c:f>
              <c:numCache>
                <c:formatCode>#,##0.00</c:formatCode>
                <c:ptCount val="4"/>
                <c:pt idx="0">
                  <c:v>4.4359263228889763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93-42F7-BA06-A53326150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291328"/>
        <c:axId val="164292864"/>
      </c:lineChart>
      <c:catAx>
        <c:axId val="164291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4292864"/>
        <c:crosses val="autoZero"/>
        <c:auto val="1"/>
        <c:lblAlgn val="ctr"/>
        <c:lblOffset val="100"/>
        <c:noMultiLvlLbl val="0"/>
      </c:catAx>
      <c:valAx>
        <c:axId val="164292864"/>
        <c:scaling>
          <c:orientation val="minMax"/>
          <c:max val="14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4291328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Amazonas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GRAF_CAM!$A$7</c:f>
              <c:strCache>
                <c:ptCount val="1"/>
                <c:pt idx="0">
                  <c:v>Amazonas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GRAF_CAM!$B$7:$E$7</c:f>
              <c:numCache>
                <c:formatCode>#,##0.00</c:formatCode>
                <c:ptCount val="4"/>
                <c:pt idx="0">
                  <c:v>1.1802372422121237</c:v>
                </c:pt>
                <c:pt idx="1">
                  <c:v>3.4944406704480611</c:v>
                </c:pt>
                <c:pt idx="2">
                  <c:v>2.3910549123182077</c:v>
                </c:pt>
                <c:pt idx="3">
                  <c:v>4.446165029903911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2E-4B57-94B3-194E7DBCF9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387456"/>
        <c:axId val="164389248"/>
      </c:lineChart>
      <c:catAx>
        <c:axId val="164387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4389248"/>
        <c:crosses val="autoZero"/>
        <c:auto val="1"/>
        <c:lblAlgn val="ctr"/>
        <c:lblOffset val="100"/>
        <c:noMultiLvlLbl val="0"/>
      </c:catAx>
      <c:valAx>
        <c:axId val="164389248"/>
        <c:scaling>
          <c:orientation val="minMax"/>
          <c:max val="14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4387456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GRAF_CAM!$A$8</c:f>
              <c:strCache>
                <c:ptCount val="1"/>
                <c:pt idx="0">
                  <c:v>Pará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GRAF_CAM!$B$8:$E$8</c:f>
              <c:numCache>
                <c:formatCode>#,##0.00</c:formatCode>
                <c:ptCount val="4"/>
                <c:pt idx="0">
                  <c:v>4.5588564177965409</c:v>
                </c:pt>
                <c:pt idx="1">
                  <c:v>3.6008610172954238</c:v>
                </c:pt>
                <c:pt idx="2">
                  <c:v>3.7612506321611883</c:v>
                </c:pt>
                <c:pt idx="3">
                  <c:v>4.4545108421354342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60-4416-988E-96A86E0B6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438400"/>
        <c:axId val="164439936"/>
      </c:lineChart>
      <c:catAx>
        <c:axId val="164438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4439936"/>
        <c:crosses val="autoZero"/>
        <c:auto val="1"/>
        <c:lblAlgn val="ctr"/>
        <c:lblOffset val="100"/>
        <c:noMultiLvlLbl val="0"/>
      </c:catAx>
      <c:valAx>
        <c:axId val="164439936"/>
        <c:scaling>
          <c:orientation val="minMax"/>
          <c:max val="14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4438400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Rondônia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GRAF_CAM!$A$9</c:f>
              <c:strCache>
                <c:ptCount val="1"/>
                <c:pt idx="0">
                  <c:v>Rondônia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GRAF_CAM!$B$9:$E$9</c:f>
              <c:numCache>
                <c:formatCode>#,##0.00</c:formatCode>
                <c:ptCount val="4"/>
                <c:pt idx="0">
                  <c:v>4.0945801424900292</c:v>
                </c:pt>
                <c:pt idx="1">
                  <c:v>5.1161374006732698</c:v>
                </c:pt>
                <c:pt idx="2">
                  <c:v>4.7361325874612268</c:v>
                </c:pt>
                <c:pt idx="3">
                  <c:v>7.1300199537917379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44-43AA-97A2-B74956056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468992"/>
        <c:axId val="164478976"/>
      </c:lineChart>
      <c:catAx>
        <c:axId val="164468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4478976"/>
        <c:crosses val="autoZero"/>
        <c:auto val="1"/>
        <c:lblAlgn val="ctr"/>
        <c:lblOffset val="100"/>
        <c:noMultiLvlLbl val="0"/>
      </c:catAx>
      <c:valAx>
        <c:axId val="164478976"/>
        <c:scaling>
          <c:orientation val="minMax"/>
          <c:max val="14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4468992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Roraima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GRAF_CAM!$A$10</c:f>
              <c:strCache>
                <c:ptCount val="1"/>
                <c:pt idx="0">
                  <c:v>Roraima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GRAF_CAM!$B$10:$E$10</c:f>
              <c:numCache>
                <c:formatCode>#,##0.00</c:formatCode>
                <c:ptCount val="4"/>
                <c:pt idx="0">
                  <c:v>17.664479804987149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1D-4E2A-8DB2-6981200D9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970880"/>
        <c:axId val="164972416"/>
      </c:lineChart>
      <c:catAx>
        <c:axId val="164970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4972416"/>
        <c:crosses val="autoZero"/>
        <c:auto val="1"/>
        <c:lblAlgn val="ctr"/>
        <c:lblOffset val="100"/>
        <c:noMultiLvlLbl val="0"/>
      </c:catAx>
      <c:valAx>
        <c:axId val="164972416"/>
        <c:scaling>
          <c:orientation val="minMax"/>
          <c:max val="14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4970880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Tocantins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GRAF_CAM!$A$11</c:f>
              <c:strCache>
                <c:ptCount val="1"/>
                <c:pt idx="0">
                  <c:v>Tocantins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GRAF_CAM!$B$11:$E$11</c:f>
              <c:numCache>
                <c:formatCode>#,##0.00</c:formatCode>
                <c:ptCount val="4"/>
                <c:pt idx="0">
                  <c:v>6.0453745778104091</c:v>
                </c:pt>
                <c:pt idx="1">
                  <c:v>10.31116985586578</c:v>
                </c:pt>
                <c:pt idx="2">
                  <c:v>4.7643480610699909</c:v>
                </c:pt>
                <c:pt idx="3">
                  <c:v>2.910841217247107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39-4FC2-A103-22D81EC92C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985088"/>
        <c:axId val="165003264"/>
      </c:lineChart>
      <c:catAx>
        <c:axId val="16498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5003264"/>
        <c:crosses val="autoZero"/>
        <c:auto val="1"/>
        <c:lblAlgn val="ctr"/>
        <c:lblOffset val="100"/>
        <c:noMultiLvlLbl val="0"/>
      </c:catAx>
      <c:valAx>
        <c:axId val="165003264"/>
        <c:scaling>
          <c:orientation val="minMax"/>
          <c:max val="14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4985088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Alagoas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GRAF_CAM!$A$13</c:f>
              <c:strCache>
                <c:ptCount val="1"/>
                <c:pt idx="0">
                  <c:v>Alagoas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GRAF_CAM!$B$13:$E$13</c:f>
              <c:numCache>
                <c:formatCode>#,##0.00</c:formatCode>
                <c:ptCount val="4"/>
                <c:pt idx="0">
                  <c:v>10.216597748635476</c:v>
                </c:pt>
                <c:pt idx="1">
                  <c:v>4.6343272073196848</c:v>
                </c:pt>
                <c:pt idx="2">
                  <c:v>2.0664741861280569</c:v>
                </c:pt>
                <c:pt idx="3">
                  <c:v>4.2102192055054353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12-44A7-AA77-CD64D474F3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37792"/>
        <c:axId val="164738944"/>
      </c:lineChart>
      <c:catAx>
        <c:axId val="164737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4738944"/>
        <c:crosses val="autoZero"/>
        <c:auto val="1"/>
        <c:lblAlgn val="ctr"/>
        <c:lblOffset val="100"/>
        <c:noMultiLvlLbl val="0"/>
      </c:catAx>
      <c:valAx>
        <c:axId val="164738944"/>
        <c:scaling>
          <c:orientation val="minMax"/>
          <c:max val="180"/>
          <c:min val="6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4737792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Bahia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GRAF_CAM!$A$14</c:f>
              <c:strCache>
                <c:ptCount val="1"/>
                <c:pt idx="0">
                  <c:v>Bahia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GRAF_CAM!$B$14:$E$14</c:f>
              <c:numCache>
                <c:formatCode>#,##0.00</c:formatCode>
                <c:ptCount val="4"/>
                <c:pt idx="0">
                  <c:v>6.0717948947903579</c:v>
                </c:pt>
                <c:pt idx="1">
                  <c:v>10.130522292041471</c:v>
                </c:pt>
                <c:pt idx="2">
                  <c:v>5.6765344071351267</c:v>
                </c:pt>
                <c:pt idx="3">
                  <c:v>8.110802082149668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53-4EF7-9A83-D40A57FDCF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63904"/>
        <c:axId val="164777984"/>
      </c:lineChart>
      <c:catAx>
        <c:axId val="164763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4777984"/>
        <c:crosses val="autoZero"/>
        <c:auto val="1"/>
        <c:lblAlgn val="ctr"/>
        <c:lblOffset val="100"/>
        <c:noMultiLvlLbl val="0"/>
      </c:catAx>
      <c:valAx>
        <c:axId val="164777984"/>
        <c:scaling>
          <c:orientation val="minMax"/>
          <c:max val="180"/>
          <c:min val="6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4763904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Ceará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GRAF_CAM!$A$15</c:f>
              <c:strCache>
                <c:ptCount val="1"/>
                <c:pt idx="0">
                  <c:v>Ceará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GRAF_CAM!$B$15:$E$15</c:f>
              <c:numCache>
                <c:formatCode>#,##0.00</c:formatCode>
                <c:ptCount val="4"/>
                <c:pt idx="0">
                  <c:v>14.40545574311979</c:v>
                </c:pt>
                <c:pt idx="1">
                  <c:v>5.1739503892178318</c:v>
                </c:pt>
                <c:pt idx="2">
                  <c:v>6.1954317967503689</c:v>
                </c:pt>
                <c:pt idx="3">
                  <c:v>4.4532177101839547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42-4003-8041-E767C32FB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11136"/>
        <c:axId val="164812672"/>
      </c:lineChart>
      <c:catAx>
        <c:axId val="164811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4812672"/>
        <c:crosses val="autoZero"/>
        <c:auto val="1"/>
        <c:lblAlgn val="ctr"/>
        <c:lblOffset val="100"/>
        <c:noMultiLvlLbl val="0"/>
      </c:catAx>
      <c:valAx>
        <c:axId val="164812672"/>
        <c:scaling>
          <c:orientation val="minMax"/>
          <c:max val="180"/>
          <c:min val="6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4811136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Maranhão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GRAF_CAM!$A$16</c:f>
              <c:strCache>
                <c:ptCount val="1"/>
                <c:pt idx="0">
                  <c:v>Maranhão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GRAF_CAM!$B$16:$E$16</c:f>
              <c:numCache>
                <c:formatCode>#,##0.00</c:formatCode>
                <c:ptCount val="4"/>
                <c:pt idx="0">
                  <c:v>15.632544369756097</c:v>
                </c:pt>
                <c:pt idx="1">
                  <c:v>38.605851905522805</c:v>
                </c:pt>
                <c:pt idx="2">
                  <c:v>26.001961465719166</c:v>
                </c:pt>
                <c:pt idx="3">
                  <c:v>20.657068565349139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C9-4E3A-8281-90E359C4F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54016"/>
        <c:axId val="164855808"/>
      </c:lineChart>
      <c:catAx>
        <c:axId val="164854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4855808"/>
        <c:crosses val="autoZero"/>
        <c:auto val="1"/>
        <c:lblAlgn val="ctr"/>
        <c:lblOffset val="100"/>
        <c:noMultiLvlLbl val="0"/>
      </c:catAx>
      <c:valAx>
        <c:axId val="164855808"/>
        <c:scaling>
          <c:orientation val="minMax"/>
          <c:max val="180"/>
          <c:min val="6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4854016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Paraíba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GRAF_CAM!$A$17</c:f>
              <c:strCache>
                <c:ptCount val="1"/>
                <c:pt idx="0">
                  <c:v>Paraíba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GRAF_CAM!$B$17:$E$17</c:f>
              <c:numCache>
                <c:formatCode>#,##0.00</c:formatCode>
                <c:ptCount val="4"/>
                <c:pt idx="0">
                  <c:v>9.0860522743179679</c:v>
                </c:pt>
                <c:pt idx="1">
                  <c:v>2.864998420149881</c:v>
                </c:pt>
                <c:pt idx="2">
                  <c:v>4.136836668423908</c:v>
                </c:pt>
                <c:pt idx="3">
                  <c:v>16.958944271185491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9A-4BDB-AA98-1245D70A12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028224"/>
        <c:axId val="165029760"/>
      </c:lineChart>
      <c:catAx>
        <c:axId val="165028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5029760"/>
        <c:crosses val="autoZero"/>
        <c:auto val="1"/>
        <c:lblAlgn val="ctr"/>
        <c:lblOffset val="100"/>
        <c:noMultiLvlLbl val="0"/>
      </c:catAx>
      <c:valAx>
        <c:axId val="165029760"/>
        <c:scaling>
          <c:orientation val="minMax"/>
          <c:max val="180"/>
          <c:min val="6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5028224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Pernambuco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GRAF_CAM!$A$18</c:f>
              <c:strCache>
                <c:ptCount val="1"/>
                <c:pt idx="0">
                  <c:v>Pernambuco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GRAF_CAM!$B$18:$E$18</c:f>
              <c:numCache>
                <c:formatCode>#,##0.00</c:formatCode>
                <c:ptCount val="4"/>
                <c:pt idx="0">
                  <c:v>13.62997202401054</c:v>
                </c:pt>
                <c:pt idx="1">
                  <c:v>15.156156215082543</c:v>
                </c:pt>
                <c:pt idx="2">
                  <c:v>10.343431481094774</c:v>
                </c:pt>
                <c:pt idx="3">
                  <c:v>10.435093460580246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F8-4A32-93DC-E1DDCE74A0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054720"/>
        <c:axId val="165060608"/>
      </c:lineChart>
      <c:catAx>
        <c:axId val="165054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5060608"/>
        <c:crosses val="autoZero"/>
        <c:auto val="1"/>
        <c:lblAlgn val="ctr"/>
        <c:lblOffset val="100"/>
        <c:noMultiLvlLbl val="0"/>
      </c:catAx>
      <c:valAx>
        <c:axId val="165060608"/>
        <c:scaling>
          <c:orientation val="minMax"/>
          <c:max val="180"/>
          <c:min val="6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5054720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Piauí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GRAF_CAM!$A$19</c:f>
              <c:strCache>
                <c:ptCount val="1"/>
                <c:pt idx="0">
                  <c:v>Piauí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GRAF_CAM!$B$19:$E$19</c:f>
              <c:numCache>
                <c:formatCode>#,##0.00</c:formatCode>
                <c:ptCount val="4"/>
                <c:pt idx="0">
                  <c:v>32.586521404667252</c:v>
                </c:pt>
                <c:pt idx="1">
                  <c:v>25.197011105364496</c:v>
                </c:pt>
                <c:pt idx="2">
                  <c:v>32.400160790594462</c:v>
                </c:pt>
                <c:pt idx="3">
                  <c:v>17.746721371877403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30-40A3-8D73-18C6CA010E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110144"/>
        <c:axId val="165111680"/>
      </c:lineChart>
      <c:catAx>
        <c:axId val="165110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5111680"/>
        <c:crosses val="autoZero"/>
        <c:auto val="1"/>
        <c:lblAlgn val="ctr"/>
        <c:lblOffset val="100"/>
        <c:noMultiLvlLbl val="0"/>
      </c:catAx>
      <c:valAx>
        <c:axId val="165111680"/>
        <c:scaling>
          <c:orientation val="minMax"/>
          <c:max val="180"/>
          <c:min val="6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5110144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 Grande do Norte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GRAF_CAM!$A$20</c:f>
              <c:strCache>
                <c:ptCount val="1"/>
                <c:pt idx="0">
                  <c:v>Rio Grande do Norte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GRAF_CAM!$B$20:$E$20</c:f>
              <c:numCache>
                <c:formatCode>#,##0.00</c:formatCode>
                <c:ptCount val="4"/>
                <c:pt idx="0">
                  <c:v>1.3946526107349377</c:v>
                </c:pt>
                <c:pt idx="1">
                  <c:v>4.0914689789531025</c:v>
                </c:pt>
                <c:pt idx="2">
                  <c:v>2.5762635195170072</c:v>
                </c:pt>
                <c:pt idx="3">
                  <c:v>4.429649249353961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2C-4E82-9089-5231CD45D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120256"/>
        <c:axId val="165150720"/>
      </c:lineChart>
      <c:catAx>
        <c:axId val="165120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5150720"/>
        <c:crosses val="autoZero"/>
        <c:auto val="1"/>
        <c:lblAlgn val="ctr"/>
        <c:lblOffset val="100"/>
        <c:noMultiLvlLbl val="0"/>
      </c:catAx>
      <c:valAx>
        <c:axId val="165150720"/>
        <c:scaling>
          <c:orientation val="minMax"/>
          <c:max val="180"/>
          <c:min val="6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5120256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Sergipe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GRAF_CAM!$A$21</c:f>
              <c:strCache>
                <c:ptCount val="1"/>
                <c:pt idx="0">
                  <c:v>Sergipe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GRAF_CAM!$B$21:$E$21</c:f>
              <c:numCache>
                <c:formatCode>#,##0.00</c:formatCode>
                <c:ptCount val="4"/>
                <c:pt idx="0">
                  <c:v>29.116588161738466</c:v>
                </c:pt>
                <c:pt idx="1">
                  <c:v>63.888977644055871</c:v>
                </c:pt>
                <c:pt idx="2">
                  <c:v>26.641221311815166</c:v>
                </c:pt>
                <c:pt idx="3">
                  <c:v>36.308941195226538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C4-4064-A039-DC16560735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183872"/>
        <c:axId val="165185408"/>
      </c:lineChart>
      <c:catAx>
        <c:axId val="165183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5185408"/>
        <c:crosses val="autoZero"/>
        <c:auto val="1"/>
        <c:lblAlgn val="ctr"/>
        <c:lblOffset val="100"/>
        <c:noMultiLvlLbl val="0"/>
      </c:catAx>
      <c:valAx>
        <c:axId val="165185408"/>
        <c:scaling>
          <c:orientation val="minMax"/>
          <c:max val="180"/>
          <c:min val="6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5183872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Espírito Santo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GRAF_CAM!$A$23</c:f>
              <c:strCache>
                <c:ptCount val="1"/>
                <c:pt idx="0">
                  <c:v>Espírito Santo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GRAF_CAM!$B$23:$E$23</c:f>
              <c:numCache>
                <c:formatCode>#,##0.00</c:formatCode>
                <c:ptCount val="4"/>
                <c:pt idx="0">
                  <c:v>10.181400427193497</c:v>
                </c:pt>
                <c:pt idx="1">
                  <c:v>8.9014644093393205</c:v>
                </c:pt>
                <c:pt idx="2">
                  <c:v>13.732305084565164</c:v>
                </c:pt>
                <c:pt idx="3">
                  <c:v>15.691611973532497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BF-4A93-962A-8300A684E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214464"/>
        <c:axId val="165220352"/>
      </c:lineChart>
      <c:catAx>
        <c:axId val="165214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5220352"/>
        <c:crosses val="autoZero"/>
        <c:auto val="1"/>
        <c:lblAlgn val="ctr"/>
        <c:lblOffset val="100"/>
        <c:noMultiLvlLbl val="0"/>
      </c:catAx>
      <c:valAx>
        <c:axId val="165220352"/>
        <c:scaling>
          <c:orientation val="minMax"/>
          <c:max val="100"/>
          <c:min val="2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5214464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Minas Gerais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GRAF_CAM!$A$24</c:f>
              <c:strCache>
                <c:ptCount val="1"/>
                <c:pt idx="0">
                  <c:v>Minas Gerais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cat>
            <c:numRef>
              <c:f>GRAF_CAM!$B$2:$E$2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GRAF_CAM!$B$24:$E$24</c:f>
              <c:numCache>
                <c:formatCode>#,##0.00</c:formatCode>
                <c:ptCount val="4"/>
                <c:pt idx="0">
                  <c:v>7.2482041540370599</c:v>
                </c:pt>
                <c:pt idx="1">
                  <c:v>7.9706634512727117</c:v>
                </c:pt>
                <c:pt idx="2">
                  <c:v>9.2298424678486519</c:v>
                </c:pt>
                <c:pt idx="3">
                  <c:v>7.0633689801576329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E6-4CA9-8FE1-88E615B49B18}"/>
            </c:ext>
          </c:extLst>
        </c:ser>
        <c:ser>
          <c:idx val="2"/>
          <c:order val="0"/>
          <c:tx>
            <c:strRef>
              <c:f>GRAF_CAM!$A$24</c:f>
              <c:strCache>
                <c:ptCount val="1"/>
                <c:pt idx="0">
                  <c:v>Minas Gerais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GRAF_CAM!$B$24:$E$24</c:f>
              <c:numCache>
                <c:formatCode>#,##0.00</c:formatCode>
                <c:ptCount val="4"/>
                <c:pt idx="0">
                  <c:v>7.2482041540370599</c:v>
                </c:pt>
                <c:pt idx="1">
                  <c:v>7.9706634512727117</c:v>
                </c:pt>
                <c:pt idx="2">
                  <c:v>9.2298424678486519</c:v>
                </c:pt>
                <c:pt idx="3">
                  <c:v>7.0633689801576329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E6-4CA9-8FE1-88E615B49B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271040"/>
        <c:axId val="165272576"/>
      </c:lineChart>
      <c:catAx>
        <c:axId val="165271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5272576"/>
        <c:crosses val="autoZero"/>
        <c:auto val="1"/>
        <c:lblAlgn val="ctr"/>
        <c:lblOffset val="100"/>
        <c:noMultiLvlLbl val="0"/>
      </c:catAx>
      <c:valAx>
        <c:axId val="165272576"/>
        <c:scaling>
          <c:orientation val="minMax"/>
          <c:max val="100"/>
          <c:min val="2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5271040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 de Janeiro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GRAF_CAM!$A$25</c:f>
              <c:strCache>
                <c:ptCount val="1"/>
                <c:pt idx="0">
                  <c:v>Rio de Janeiro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GRAF_CAM!$B$25:$E$25</c:f>
              <c:numCache>
                <c:formatCode>#,##0.00</c:formatCode>
                <c:ptCount val="4"/>
                <c:pt idx="0">
                  <c:v>25.453738286296701</c:v>
                </c:pt>
                <c:pt idx="1">
                  <c:v>11.486678355942864</c:v>
                </c:pt>
                <c:pt idx="2">
                  <c:v>16.906191594878745</c:v>
                </c:pt>
                <c:pt idx="3">
                  <c:v>16.498230634430872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2B-4A6B-98E7-8A9F5DE159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28608"/>
        <c:axId val="165438592"/>
      </c:lineChart>
      <c:catAx>
        <c:axId val="165428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5438592"/>
        <c:crosses val="autoZero"/>
        <c:auto val="1"/>
        <c:lblAlgn val="ctr"/>
        <c:lblOffset val="100"/>
        <c:noMultiLvlLbl val="0"/>
      </c:catAx>
      <c:valAx>
        <c:axId val="165438592"/>
        <c:scaling>
          <c:orientation val="minMax"/>
          <c:max val="100"/>
          <c:min val="2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5428608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São Paulo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GRAF_CAM!$A$26</c:f>
              <c:strCache>
                <c:ptCount val="1"/>
                <c:pt idx="0">
                  <c:v>São Paulo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GRAF_CAM!$B$26:$E$26</c:f>
              <c:numCache>
                <c:formatCode>#,##0.00</c:formatCode>
                <c:ptCount val="4"/>
                <c:pt idx="0">
                  <c:v>5.5832657771970791</c:v>
                </c:pt>
                <c:pt idx="1">
                  <c:v>7.4746731295288793</c:v>
                </c:pt>
                <c:pt idx="2">
                  <c:v>5.8645577320068867</c:v>
                </c:pt>
                <c:pt idx="3">
                  <c:v>5.8183245940396455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1F-45C9-83A7-03A9CFDA9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79936"/>
        <c:axId val="165481472"/>
      </c:lineChart>
      <c:catAx>
        <c:axId val="165479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5481472"/>
        <c:crosses val="autoZero"/>
        <c:auto val="1"/>
        <c:lblAlgn val="ctr"/>
        <c:lblOffset val="100"/>
        <c:noMultiLvlLbl val="0"/>
      </c:catAx>
      <c:valAx>
        <c:axId val="165481472"/>
        <c:scaling>
          <c:orientation val="minMax"/>
          <c:max val="100"/>
          <c:min val="2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5479936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Paraná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GRAF_CAM!$A$28</c:f>
              <c:strCache>
                <c:ptCount val="1"/>
                <c:pt idx="0">
                  <c:v>Paraná</c:v>
                </c:pt>
              </c:strCache>
            </c:strRef>
          </c:tx>
          <c:spPr>
            <a:ln w="38100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GRAF_CAM!$B$28:$E$28</c:f>
              <c:numCache>
                <c:formatCode>#,##0.00</c:formatCode>
                <c:ptCount val="4"/>
                <c:pt idx="0">
                  <c:v>10.110259090490239</c:v>
                </c:pt>
                <c:pt idx="1">
                  <c:v>7.1167869204854535</c:v>
                </c:pt>
                <c:pt idx="2">
                  <c:v>9.6599848901697953</c:v>
                </c:pt>
                <c:pt idx="3">
                  <c:v>10.388701575052327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C6-4753-BECD-EC90C30403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98240"/>
        <c:axId val="165516416"/>
      </c:lineChart>
      <c:catAx>
        <c:axId val="165498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5516416"/>
        <c:crosses val="autoZero"/>
        <c:auto val="1"/>
        <c:lblAlgn val="ctr"/>
        <c:lblOffset val="100"/>
        <c:noMultiLvlLbl val="0"/>
      </c:catAx>
      <c:valAx>
        <c:axId val="165516416"/>
        <c:scaling>
          <c:orientation val="minMax"/>
          <c:max val="10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5498240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</a:t>
            </a:r>
            <a:r>
              <a:rPr lang="pt-BR" baseline="0"/>
              <a:t> Grande do Sul</a:t>
            </a:r>
            <a:endParaRPr lang="pt-BR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GRAF_CAM!$A$29</c:f>
              <c:strCache>
                <c:ptCount val="1"/>
                <c:pt idx="0">
                  <c:v>Rio Grande do Sul</c:v>
                </c:pt>
              </c:strCache>
            </c:strRef>
          </c:tx>
          <c:spPr>
            <a:ln w="38100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GRAF_CAM!$B$29:$E$29</c:f>
              <c:numCache>
                <c:formatCode>#,##0.00</c:formatCode>
                <c:ptCount val="4"/>
                <c:pt idx="0">
                  <c:v>6.5525254472057455</c:v>
                </c:pt>
                <c:pt idx="1">
                  <c:v>5.5492925885556019</c:v>
                </c:pt>
                <c:pt idx="2">
                  <c:v>9.5230822770513868</c:v>
                </c:pt>
                <c:pt idx="3">
                  <c:v>8.7530263814059808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E3-4747-9F05-56D86D7F5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549184"/>
        <c:axId val="165550720"/>
      </c:lineChart>
      <c:catAx>
        <c:axId val="165549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5550720"/>
        <c:crosses val="autoZero"/>
        <c:auto val="1"/>
        <c:lblAlgn val="ctr"/>
        <c:lblOffset val="100"/>
        <c:noMultiLvlLbl val="0"/>
      </c:catAx>
      <c:valAx>
        <c:axId val="165550720"/>
        <c:scaling>
          <c:orientation val="minMax"/>
          <c:max val="10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5549184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Santa</a:t>
            </a:r>
            <a:r>
              <a:rPr lang="pt-BR" baseline="0"/>
              <a:t> Catarina</a:t>
            </a:r>
            <a:endParaRPr lang="pt-BR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GRAF_CAM!$A$30</c:f>
              <c:strCache>
                <c:ptCount val="1"/>
                <c:pt idx="0">
                  <c:v>Santa Catarina</c:v>
                </c:pt>
              </c:strCache>
            </c:strRef>
          </c:tx>
          <c:spPr>
            <a:ln w="38100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GRAF_CAM!$B$30:$E$30</c:f>
              <c:numCache>
                <c:formatCode>#,##0.00</c:formatCode>
                <c:ptCount val="4"/>
                <c:pt idx="0">
                  <c:v>12.169958661414773</c:v>
                </c:pt>
                <c:pt idx="1">
                  <c:v>7.7426194661856966</c:v>
                </c:pt>
                <c:pt idx="2">
                  <c:v>10.136960441396862</c:v>
                </c:pt>
                <c:pt idx="3">
                  <c:v>12.121502817835342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AA-4AE7-BC2C-9DCF6B567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579776"/>
        <c:axId val="165606144"/>
      </c:lineChart>
      <c:catAx>
        <c:axId val="165579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5606144"/>
        <c:crosses val="autoZero"/>
        <c:auto val="1"/>
        <c:lblAlgn val="ctr"/>
        <c:lblOffset val="100"/>
        <c:noMultiLvlLbl val="0"/>
      </c:catAx>
      <c:valAx>
        <c:axId val="165606144"/>
        <c:scaling>
          <c:orientation val="minMax"/>
          <c:max val="10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5579776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Distrito Federal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GRAF_CAM!$A$32</c:f>
              <c:strCache>
                <c:ptCount val="1"/>
                <c:pt idx="0">
                  <c:v>Distrito Federal</c:v>
                </c:pt>
              </c:strCache>
            </c:strRef>
          </c:tx>
          <c:spPr>
            <a:ln w="381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GRAF_CAM!$B$32:$E$32</c:f>
              <c:numCache>
                <c:formatCode>#,##0.00</c:formatCode>
                <c:ptCount val="4"/>
                <c:pt idx="0">
                  <c:v>3.9822158421032481</c:v>
                </c:pt>
                <c:pt idx="1">
                  <c:v>4.8423580170761076</c:v>
                </c:pt>
                <c:pt idx="2">
                  <c:v>8.4400298430442025</c:v>
                </c:pt>
                <c:pt idx="3">
                  <c:v>4.4604530023393609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C0-42B0-8972-C1EB8C9BE7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631104"/>
        <c:axId val="165632640"/>
      </c:lineChart>
      <c:catAx>
        <c:axId val="165631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5632640"/>
        <c:crosses val="autoZero"/>
        <c:auto val="1"/>
        <c:lblAlgn val="ctr"/>
        <c:lblOffset val="100"/>
        <c:noMultiLvlLbl val="0"/>
      </c:catAx>
      <c:valAx>
        <c:axId val="165632640"/>
        <c:scaling>
          <c:orientation val="minMax"/>
          <c:max val="100"/>
          <c:min val="2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5631104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Goiás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GRAF_CAM!$A$33</c:f>
              <c:strCache>
                <c:ptCount val="1"/>
                <c:pt idx="0">
                  <c:v>Goiás</c:v>
                </c:pt>
              </c:strCache>
            </c:strRef>
          </c:tx>
          <c:spPr>
            <a:ln w="381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GRAF_CAM!$B$33:$E$33</c:f>
              <c:numCache>
                <c:formatCode>#,##0.00</c:formatCode>
                <c:ptCount val="4"/>
                <c:pt idx="0">
                  <c:v>8.6563757791279645</c:v>
                </c:pt>
                <c:pt idx="1">
                  <c:v>8.6423223361472363</c:v>
                </c:pt>
                <c:pt idx="2">
                  <c:v>9.1547256867310161</c:v>
                </c:pt>
                <c:pt idx="3">
                  <c:v>7.1189129357679599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36-4127-8804-D8A865B63B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669888"/>
        <c:axId val="165741312"/>
      </c:lineChart>
      <c:catAx>
        <c:axId val="165669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5741312"/>
        <c:crosses val="autoZero"/>
        <c:auto val="1"/>
        <c:lblAlgn val="ctr"/>
        <c:lblOffset val="100"/>
        <c:noMultiLvlLbl val="0"/>
      </c:catAx>
      <c:valAx>
        <c:axId val="165741312"/>
        <c:scaling>
          <c:orientation val="minMax"/>
          <c:max val="100"/>
          <c:min val="2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5669888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Mato Grosso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GRAF_CAM!$A$34</c:f>
              <c:strCache>
                <c:ptCount val="1"/>
                <c:pt idx="0">
                  <c:v>Mato Grosso</c:v>
                </c:pt>
              </c:strCache>
            </c:strRef>
          </c:tx>
          <c:spPr>
            <a:ln w="381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GRAF_CAM!$B$34:$E$34</c:f>
              <c:numCache>
                <c:formatCode>#,##0.00</c:formatCode>
                <c:ptCount val="4"/>
                <c:pt idx="0">
                  <c:v>13.55467702595397</c:v>
                </c:pt>
                <c:pt idx="1">
                  <c:v>9.726239501713021</c:v>
                </c:pt>
                <c:pt idx="2">
                  <c:v>12.11878846082535</c:v>
                </c:pt>
                <c:pt idx="3">
                  <c:v>10.004062009280952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1E-487A-AAAB-D0D81F7B53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770368"/>
        <c:axId val="165771904"/>
      </c:lineChart>
      <c:catAx>
        <c:axId val="165770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5771904"/>
        <c:crosses val="autoZero"/>
        <c:auto val="1"/>
        <c:lblAlgn val="ctr"/>
        <c:lblOffset val="100"/>
        <c:noMultiLvlLbl val="0"/>
      </c:catAx>
      <c:valAx>
        <c:axId val="165771904"/>
        <c:scaling>
          <c:orientation val="minMax"/>
          <c:max val="100"/>
          <c:min val="2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5770368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Mato Grosso do Sul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GRAF_CAM!$A$35</c:f>
              <c:strCache>
                <c:ptCount val="1"/>
                <c:pt idx="0">
                  <c:v>Mato Grosso do Sul</c:v>
                </c:pt>
              </c:strCache>
            </c:strRef>
          </c:tx>
          <c:spPr>
            <a:ln w="381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GRAF_CAM!$B$35:$E$35</c:f>
              <c:numCache>
                <c:formatCode>#,##0.00</c:formatCode>
                <c:ptCount val="4"/>
                <c:pt idx="0">
                  <c:v>16.196078435228216</c:v>
                </c:pt>
                <c:pt idx="1">
                  <c:v>11.473006409416737</c:v>
                </c:pt>
                <c:pt idx="2">
                  <c:v>14.042886430721031</c:v>
                </c:pt>
                <c:pt idx="3">
                  <c:v>12.778051203360816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27-46A4-BFD6-6253073C12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821440"/>
        <c:axId val="165827328"/>
      </c:lineChart>
      <c:catAx>
        <c:axId val="165821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5827328"/>
        <c:crosses val="autoZero"/>
        <c:auto val="1"/>
        <c:lblAlgn val="ctr"/>
        <c:lblOffset val="100"/>
        <c:noMultiLvlLbl val="0"/>
      </c:catAx>
      <c:valAx>
        <c:axId val="165827328"/>
        <c:scaling>
          <c:orientation val="minMax"/>
          <c:max val="100"/>
          <c:min val="2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5821440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Brasil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GRAF_CAM!$A$3</c:f>
              <c:strCache>
                <c:ptCount val="1"/>
                <c:pt idx="0">
                  <c:v>Brasil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circle"/>
            <c:size val="8"/>
            <c:spPr>
              <a:solidFill>
                <a:srgbClr val="FFFF66"/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GRAF_CAM!$B$3:$E$3</c:f>
              <c:numCache>
                <c:formatCode>#,##0.00</c:formatCode>
                <c:ptCount val="4"/>
                <c:pt idx="0">
                  <c:v>8.7813474401433531</c:v>
                </c:pt>
                <c:pt idx="1">
                  <c:v>8.353098180900945</c:v>
                </c:pt>
                <c:pt idx="2">
                  <c:v>8.6370697200089062</c:v>
                </c:pt>
                <c:pt idx="3">
                  <c:v>8.3544738123573996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4F-414C-B220-81DB69B80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860480"/>
        <c:axId val="165862016"/>
      </c:lineChart>
      <c:catAx>
        <c:axId val="165860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5862016"/>
        <c:crosses val="autoZero"/>
        <c:auto val="1"/>
        <c:lblAlgn val="ctr"/>
        <c:lblOffset val="100"/>
        <c:noMultiLvlLbl val="0"/>
      </c:catAx>
      <c:valAx>
        <c:axId val="165862016"/>
        <c:scaling>
          <c:orientation val="minMax"/>
          <c:max val="80"/>
          <c:min val="5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5860480"/>
        <c:crosses val="autoZero"/>
        <c:crossBetween val="between"/>
        <c:majorUnit val="1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Brasil e regiões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GRAF_ONI!$A$3</c:f>
              <c:strCache>
                <c:ptCount val="1"/>
                <c:pt idx="0">
                  <c:v>Brasil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/>
            <c:extLst>
              <c:ext xmlns:c16="http://schemas.microsoft.com/office/drawing/2014/chart" uri="{C3380CC4-5D6E-409C-BE32-E72D297353CC}">
                <c16:uniqueId val="{00000001-16E5-4A15-85AB-3576D55AE48E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GRAF_ONI!$B$3:$E$3</c:f>
              <c:numCache>
                <c:formatCode>#,##0.00</c:formatCode>
                <c:ptCount val="4"/>
                <c:pt idx="0">
                  <c:v>3.484834084290783</c:v>
                </c:pt>
                <c:pt idx="1">
                  <c:v>2.8959430755123665</c:v>
                </c:pt>
                <c:pt idx="2">
                  <c:v>3.3420183626525932</c:v>
                </c:pt>
                <c:pt idx="3">
                  <c:v>3.1382194124861824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E5-4A15-85AB-3576D55AE48E}"/>
            </c:ext>
          </c:extLst>
        </c:ser>
        <c:ser>
          <c:idx val="1"/>
          <c:order val="1"/>
          <c:tx>
            <c:strRef>
              <c:f>GRAF_ONI!$A$4</c:f>
              <c:strCache>
                <c:ptCount val="1"/>
                <c:pt idx="0">
                  <c:v>N</c:v>
                </c:pt>
              </c:strCache>
            </c:strRef>
          </c:tx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GRAF_ONI!$B$4:$E$4</c:f>
              <c:numCache>
                <c:formatCode>#,##0.00</c:formatCode>
                <c:ptCount val="4"/>
                <c:pt idx="0">
                  <c:v>2.450078532647689</c:v>
                </c:pt>
                <c:pt idx="1">
                  <c:v>4.2168893748822178</c:v>
                </c:pt>
                <c:pt idx="2">
                  <c:v>3.0484568034920407</c:v>
                </c:pt>
                <c:pt idx="3">
                  <c:v>5.0506817787036375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E5-4A15-85AB-3576D55AE48E}"/>
            </c:ext>
          </c:extLst>
        </c:ser>
        <c:ser>
          <c:idx val="2"/>
          <c:order val="2"/>
          <c:tx>
            <c:strRef>
              <c:f>GRAF_ONI!$A$12</c:f>
              <c:strCache>
                <c:ptCount val="1"/>
                <c:pt idx="0">
                  <c:v>NE</c:v>
                </c:pt>
              </c:strCache>
            </c:strRef>
          </c:tx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GRAF_ONI!$B$12:$E$12</c:f>
              <c:numCache>
                <c:formatCode>#,##0.00</c:formatCode>
                <c:ptCount val="4"/>
                <c:pt idx="0">
                  <c:v>5.0744491661239364</c:v>
                </c:pt>
                <c:pt idx="1">
                  <c:v>3.2414854486462237</c:v>
                </c:pt>
                <c:pt idx="2">
                  <c:v>3.685207022002265</c:v>
                </c:pt>
                <c:pt idx="3">
                  <c:v>3.2605613702621841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6E5-4A15-85AB-3576D55AE48E}"/>
            </c:ext>
          </c:extLst>
        </c:ser>
        <c:ser>
          <c:idx val="3"/>
          <c:order val="3"/>
          <c:tx>
            <c:strRef>
              <c:f>GRAF_ONI!$A$22</c:f>
              <c:strCache>
                <c:ptCount val="1"/>
                <c:pt idx="0">
                  <c:v>SE</c:v>
                </c:pt>
              </c:strCache>
            </c:strRef>
          </c:tx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GRAF_ONI!$B$22:$E$22</c:f>
              <c:numCache>
                <c:formatCode>#,##0.00</c:formatCode>
                <c:ptCount val="4"/>
                <c:pt idx="0">
                  <c:v>2.1682115398025146</c:v>
                </c:pt>
                <c:pt idx="1">
                  <c:v>2.1315292637467582</c:v>
                </c:pt>
                <c:pt idx="2">
                  <c:v>2.5050362821880703</c:v>
                </c:pt>
                <c:pt idx="3">
                  <c:v>2.55513639783352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6E5-4A15-85AB-3576D55AE48E}"/>
            </c:ext>
          </c:extLst>
        </c:ser>
        <c:ser>
          <c:idx val="4"/>
          <c:order val="4"/>
          <c:tx>
            <c:strRef>
              <c:f>GRAF_ONI!$A$27</c:f>
              <c:strCache>
                <c:ptCount val="1"/>
                <c:pt idx="0">
                  <c:v>S</c:v>
                </c:pt>
              </c:strCache>
            </c:strRef>
          </c:tx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GRAF_ONI!$B$27:$E$27</c:f>
              <c:numCache>
                <c:formatCode>#,##0.00</c:formatCode>
                <c:ptCount val="4"/>
                <c:pt idx="0">
                  <c:v>5.9736155075715303</c:v>
                </c:pt>
                <c:pt idx="1">
                  <c:v>2.3187598270204539</c:v>
                </c:pt>
                <c:pt idx="2">
                  <c:v>4.9220350125319099</c:v>
                </c:pt>
                <c:pt idx="3">
                  <c:v>4.5578242788220482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6E5-4A15-85AB-3576D55AE48E}"/>
            </c:ext>
          </c:extLst>
        </c:ser>
        <c:ser>
          <c:idx val="5"/>
          <c:order val="5"/>
          <c:tx>
            <c:strRef>
              <c:f>GRAF_ONI!$A$31</c:f>
              <c:strCache>
                <c:ptCount val="1"/>
                <c:pt idx="0">
                  <c:v>CO</c:v>
                </c:pt>
              </c:strCache>
            </c:strRef>
          </c:tx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GRAF_ONI!$B$31:$E$31</c:f>
              <c:numCache>
                <c:formatCode>#,##0.00</c:formatCode>
                <c:ptCount val="4"/>
                <c:pt idx="0">
                  <c:v>4.2346002477422626</c:v>
                </c:pt>
                <c:pt idx="1">
                  <c:v>7.5314730465512403</c:v>
                </c:pt>
                <c:pt idx="2">
                  <c:v>5.1799302554824438</c:v>
                </c:pt>
                <c:pt idx="3">
                  <c:v>1.9842498760182121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6E5-4A15-85AB-3576D55AE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6111104"/>
        <c:axId val="166112640"/>
      </c:barChart>
      <c:catAx>
        <c:axId val="166111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66112640"/>
        <c:crosses val="autoZero"/>
        <c:auto val="1"/>
        <c:lblAlgn val="ctr"/>
        <c:lblOffset val="100"/>
        <c:noMultiLvlLbl val="0"/>
      </c:catAx>
      <c:valAx>
        <c:axId val="166112640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Mortes/109km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19050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66111104"/>
        <c:crosses val="autoZero"/>
        <c:crossBetween val="between"/>
        <c:majorUnit val="5"/>
      </c:valAx>
    </c:plotArea>
    <c:legend>
      <c:legendPos val="b"/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Brasil e regiões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GRAF_ONI!$A$3</c:f>
              <c:strCache>
                <c:ptCount val="1"/>
                <c:pt idx="0">
                  <c:v>Brasil</c:v>
                </c:pt>
              </c:strCache>
            </c:strRef>
          </c:tx>
          <c:marker>
            <c:symbol val="circle"/>
            <c:size val="5"/>
            <c:spPr>
              <a:ln>
                <a:solidFill>
                  <a:prstClr val="black"/>
                </a:solidFill>
              </a:ln>
            </c:spPr>
          </c:marker>
          <c:cat>
            <c:numRef>
              <c:f>GRAF_ONI!$B$2:$E$2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GRAF_ONI!$B$3:$E$3</c:f>
              <c:numCache>
                <c:formatCode>#,##0.00</c:formatCode>
                <c:ptCount val="4"/>
                <c:pt idx="0">
                  <c:v>3.484834084290783</c:v>
                </c:pt>
                <c:pt idx="1">
                  <c:v>2.8959430755123665</c:v>
                </c:pt>
                <c:pt idx="2">
                  <c:v>3.3420183626525932</c:v>
                </c:pt>
                <c:pt idx="3">
                  <c:v>3.1382194124861824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FE-49A3-8CA5-BE49123B9C91}"/>
            </c:ext>
          </c:extLst>
        </c:ser>
        <c:ser>
          <c:idx val="1"/>
          <c:order val="1"/>
          <c:tx>
            <c:strRef>
              <c:f>GRAF_ONI!$A$4</c:f>
              <c:strCache>
                <c:ptCount val="1"/>
                <c:pt idx="0">
                  <c:v>N</c:v>
                </c:pt>
              </c:strCache>
            </c:strRef>
          </c:tx>
          <c:marker>
            <c:symbol val="circle"/>
            <c:size val="5"/>
            <c:spPr>
              <a:ln>
                <a:solidFill>
                  <a:prstClr val="black"/>
                </a:solidFill>
              </a:ln>
            </c:spPr>
          </c:marker>
          <c:cat>
            <c:numRef>
              <c:f>GRAF_ONI!$B$2:$E$2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GRAF_ONI!$B$4:$E$4</c:f>
              <c:numCache>
                <c:formatCode>#,##0.00</c:formatCode>
                <c:ptCount val="4"/>
                <c:pt idx="0">
                  <c:v>2.450078532647689</c:v>
                </c:pt>
                <c:pt idx="1">
                  <c:v>4.2168893748822178</c:v>
                </c:pt>
                <c:pt idx="2">
                  <c:v>3.0484568034920407</c:v>
                </c:pt>
                <c:pt idx="3">
                  <c:v>5.0506817787036375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FE-49A3-8CA5-BE49123B9C91}"/>
            </c:ext>
          </c:extLst>
        </c:ser>
        <c:ser>
          <c:idx val="2"/>
          <c:order val="2"/>
          <c:tx>
            <c:strRef>
              <c:f>GRAF_ONI!$A$12</c:f>
              <c:strCache>
                <c:ptCount val="1"/>
                <c:pt idx="0">
                  <c:v>NE</c:v>
                </c:pt>
              </c:strCache>
            </c:strRef>
          </c:tx>
          <c:marker>
            <c:symbol val="circle"/>
            <c:size val="5"/>
            <c:spPr>
              <a:ln>
                <a:solidFill>
                  <a:prstClr val="black"/>
                </a:solidFill>
              </a:ln>
            </c:spPr>
          </c:marker>
          <c:cat>
            <c:numRef>
              <c:f>GRAF_ONI!$B$2:$E$2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GRAF_ONI!$B$12:$E$12</c:f>
              <c:numCache>
                <c:formatCode>#,##0.00</c:formatCode>
                <c:ptCount val="4"/>
                <c:pt idx="0">
                  <c:v>5.0744491661239364</c:v>
                </c:pt>
                <c:pt idx="1">
                  <c:v>3.2414854486462237</c:v>
                </c:pt>
                <c:pt idx="2">
                  <c:v>3.685207022002265</c:v>
                </c:pt>
                <c:pt idx="3">
                  <c:v>3.2605613702621841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FE-49A3-8CA5-BE49123B9C91}"/>
            </c:ext>
          </c:extLst>
        </c:ser>
        <c:ser>
          <c:idx val="3"/>
          <c:order val="3"/>
          <c:tx>
            <c:strRef>
              <c:f>GRAF_ONI!$A$22</c:f>
              <c:strCache>
                <c:ptCount val="1"/>
                <c:pt idx="0">
                  <c:v>SE</c:v>
                </c:pt>
              </c:strCache>
            </c:strRef>
          </c:tx>
          <c:marker>
            <c:symbol val="circle"/>
            <c:size val="5"/>
            <c:spPr>
              <a:ln>
                <a:solidFill>
                  <a:prstClr val="black"/>
                </a:solidFill>
              </a:ln>
            </c:spPr>
          </c:marker>
          <c:cat>
            <c:numRef>
              <c:f>GRAF_ONI!$B$2:$E$2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GRAF_ONI!$B$22:$E$22</c:f>
              <c:numCache>
                <c:formatCode>#,##0.00</c:formatCode>
                <c:ptCount val="4"/>
                <c:pt idx="0">
                  <c:v>2.1682115398025146</c:v>
                </c:pt>
                <c:pt idx="1">
                  <c:v>2.1315292637467582</c:v>
                </c:pt>
                <c:pt idx="2">
                  <c:v>2.5050362821880703</c:v>
                </c:pt>
                <c:pt idx="3">
                  <c:v>2.55513639783352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7FE-49A3-8CA5-BE49123B9C91}"/>
            </c:ext>
          </c:extLst>
        </c:ser>
        <c:ser>
          <c:idx val="4"/>
          <c:order val="4"/>
          <c:tx>
            <c:strRef>
              <c:f>GRAF_ONI!$A$27</c:f>
              <c:strCache>
                <c:ptCount val="1"/>
                <c:pt idx="0">
                  <c:v>S</c:v>
                </c:pt>
              </c:strCache>
            </c:strRef>
          </c:tx>
          <c:marker>
            <c:symbol val="circle"/>
            <c:size val="5"/>
            <c:spPr>
              <a:ln>
                <a:solidFill>
                  <a:prstClr val="black"/>
                </a:solidFill>
              </a:ln>
            </c:spPr>
          </c:marker>
          <c:cat>
            <c:numRef>
              <c:f>GRAF_ONI!$B$2:$E$2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GRAF_ONI!$B$27:$E$27</c:f>
              <c:numCache>
                <c:formatCode>#,##0.00</c:formatCode>
                <c:ptCount val="4"/>
                <c:pt idx="0">
                  <c:v>5.9736155075715303</c:v>
                </c:pt>
                <c:pt idx="1">
                  <c:v>2.3187598270204539</c:v>
                </c:pt>
                <c:pt idx="2">
                  <c:v>4.9220350125319099</c:v>
                </c:pt>
                <c:pt idx="3">
                  <c:v>4.5578242788220482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7FE-49A3-8CA5-BE49123B9C91}"/>
            </c:ext>
          </c:extLst>
        </c:ser>
        <c:ser>
          <c:idx val="5"/>
          <c:order val="5"/>
          <c:tx>
            <c:strRef>
              <c:f>GRAF_ONI!$A$31</c:f>
              <c:strCache>
                <c:ptCount val="1"/>
                <c:pt idx="0">
                  <c:v>CO</c:v>
                </c:pt>
              </c:strCache>
            </c:strRef>
          </c:tx>
          <c:marker>
            <c:symbol val="circle"/>
            <c:size val="5"/>
            <c:spPr>
              <a:ln>
                <a:solidFill>
                  <a:prstClr val="black"/>
                </a:solidFill>
              </a:ln>
            </c:spPr>
          </c:marker>
          <c:cat>
            <c:numRef>
              <c:f>GRAF_ONI!$B$2:$E$2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GRAF_ONI!$B$31:$E$31</c:f>
              <c:numCache>
                <c:formatCode>#,##0.00</c:formatCode>
                <c:ptCount val="4"/>
                <c:pt idx="0">
                  <c:v>4.2346002477422626</c:v>
                </c:pt>
                <c:pt idx="1">
                  <c:v>7.5314730465512403</c:v>
                </c:pt>
                <c:pt idx="2">
                  <c:v>5.1799302554824438</c:v>
                </c:pt>
                <c:pt idx="3">
                  <c:v>1.9842498760182121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7FE-49A3-8CA5-BE49123B9C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145408"/>
        <c:axId val="166163968"/>
      </c:lineChart>
      <c:catAx>
        <c:axId val="166145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66163968"/>
        <c:crosses val="autoZero"/>
        <c:auto val="1"/>
        <c:lblAlgn val="ctr"/>
        <c:lblOffset val="100"/>
        <c:noMultiLvlLbl val="0"/>
      </c:catAx>
      <c:valAx>
        <c:axId val="166163968"/>
        <c:scaling>
          <c:orientation val="minMax"/>
          <c:max val="12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Mortes/109km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19050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66145408"/>
        <c:crosses val="autoZero"/>
        <c:crossBetween val="between"/>
        <c:majorUnit val="20"/>
      </c:valAx>
    </c:plotArea>
    <c:legend>
      <c:legendPos val="b"/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Brasil e regiões</a:t>
            </a:r>
          </a:p>
        </c:rich>
      </c:tx>
      <c:overlay val="0"/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GRAF_ONI!$A$3</c:f>
              <c:strCache>
                <c:ptCount val="1"/>
                <c:pt idx="0">
                  <c:v>Brasil</c:v>
                </c:pt>
              </c:strCache>
            </c:strRef>
          </c:tx>
          <c:marker>
            <c:symbol val="none"/>
          </c:marker>
          <c:cat>
            <c:numRef>
              <c:f>GRAF_ONI!$B$2:$E$2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GRAF_ONI!$B$3:$E$3</c:f>
              <c:numCache>
                <c:formatCode>#,##0.00</c:formatCode>
                <c:ptCount val="4"/>
                <c:pt idx="0">
                  <c:v>3.484834084290783</c:v>
                </c:pt>
                <c:pt idx="1">
                  <c:v>2.8959430755123665</c:v>
                </c:pt>
                <c:pt idx="2">
                  <c:v>3.3420183626525932</c:v>
                </c:pt>
                <c:pt idx="3">
                  <c:v>3.1382194124861824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3E-438A-9165-D88C294B95BF}"/>
            </c:ext>
          </c:extLst>
        </c:ser>
        <c:ser>
          <c:idx val="1"/>
          <c:order val="1"/>
          <c:tx>
            <c:strRef>
              <c:f>GRAF_ONI!$A$4</c:f>
              <c:strCache>
                <c:ptCount val="1"/>
                <c:pt idx="0">
                  <c:v>N</c:v>
                </c:pt>
              </c:strCache>
            </c:strRef>
          </c:tx>
          <c:marker>
            <c:symbol val="none"/>
          </c:marker>
          <c:cat>
            <c:numRef>
              <c:f>GRAF_ONI!$B$2:$E$2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GRAF_ONI!$B$4:$E$4</c:f>
              <c:numCache>
                <c:formatCode>#,##0.00</c:formatCode>
                <c:ptCount val="4"/>
                <c:pt idx="0">
                  <c:v>2.450078532647689</c:v>
                </c:pt>
                <c:pt idx="1">
                  <c:v>4.2168893748822178</c:v>
                </c:pt>
                <c:pt idx="2">
                  <c:v>3.0484568034920407</c:v>
                </c:pt>
                <c:pt idx="3">
                  <c:v>5.0506817787036375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3E-438A-9165-D88C294B95BF}"/>
            </c:ext>
          </c:extLst>
        </c:ser>
        <c:ser>
          <c:idx val="2"/>
          <c:order val="2"/>
          <c:tx>
            <c:strRef>
              <c:f>GRAF_ONI!$A$12</c:f>
              <c:strCache>
                <c:ptCount val="1"/>
                <c:pt idx="0">
                  <c:v>NE</c:v>
                </c:pt>
              </c:strCache>
            </c:strRef>
          </c:tx>
          <c:marker>
            <c:symbol val="none"/>
          </c:marker>
          <c:cat>
            <c:numRef>
              <c:f>GRAF_ONI!$B$2:$E$2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GRAF_ONI!$B$12:$E$12</c:f>
              <c:numCache>
                <c:formatCode>#,##0.00</c:formatCode>
                <c:ptCount val="4"/>
                <c:pt idx="0">
                  <c:v>5.0744491661239364</c:v>
                </c:pt>
                <c:pt idx="1">
                  <c:v>3.2414854486462237</c:v>
                </c:pt>
                <c:pt idx="2">
                  <c:v>3.685207022002265</c:v>
                </c:pt>
                <c:pt idx="3">
                  <c:v>3.2605613702621841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3E-438A-9165-D88C294B95BF}"/>
            </c:ext>
          </c:extLst>
        </c:ser>
        <c:ser>
          <c:idx val="3"/>
          <c:order val="3"/>
          <c:tx>
            <c:strRef>
              <c:f>GRAF_ONI!$A$22</c:f>
              <c:strCache>
                <c:ptCount val="1"/>
                <c:pt idx="0">
                  <c:v>SE</c:v>
                </c:pt>
              </c:strCache>
            </c:strRef>
          </c:tx>
          <c:marker>
            <c:symbol val="none"/>
          </c:marker>
          <c:cat>
            <c:numRef>
              <c:f>GRAF_ONI!$B$2:$E$2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GRAF_ONI!$B$22:$E$22</c:f>
              <c:numCache>
                <c:formatCode>#,##0.00</c:formatCode>
                <c:ptCount val="4"/>
                <c:pt idx="0">
                  <c:v>2.1682115398025146</c:v>
                </c:pt>
                <c:pt idx="1">
                  <c:v>2.1315292637467582</c:v>
                </c:pt>
                <c:pt idx="2">
                  <c:v>2.5050362821880703</c:v>
                </c:pt>
                <c:pt idx="3">
                  <c:v>2.55513639783352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3E-438A-9165-D88C294B95BF}"/>
            </c:ext>
          </c:extLst>
        </c:ser>
        <c:ser>
          <c:idx val="4"/>
          <c:order val="4"/>
          <c:tx>
            <c:strRef>
              <c:f>GRAF_ONI!$A$27</c:f>
              <c:strCache>
                <c:ptCount val="1"/>
                <c:pt idx="0">
                  <c:v>S</c:v>
                </c:pt>
              </c:strCache>
            </c:strRef>
          </c:tx>
          <c:marker>
            <c:symbol val="none"/>
          </c:marker>
          <c:cat>
            <c:numRef>
              <c:f>GRAF_ONI!$B$2:$E$2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GRAF_ONI!$B$27:$E$27</c:f>
              <c:numCache>
                <c:formatCode>#,##0.00</c:formatCode>
                <c:ptCount val="4"/>
                <c:pt idx="0">
                  <c:v>5.9736155075715303</c:v>
                </c:pt>
                <c:pt idx="1">
                  <c:v>2.3187598270204539</c:v>
                </c:pt>
                <c:pt idx="2">
                  <c:v>4.9220350125319099</c:v>
                </c:pt>
                <c:pt idx="3">
                  <c:v>4.5578242788220482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3E-438A-9165-D88C294B95BF}"/>
            </c:ext>
          </c:extLst>
        </c:ser>
        <c:ser>
          <c:idx val="5"/>
          <c:order val="5"/>
          <c:tx>
            <c:strRef>
              <c:f>GRAF_ONI!$A$31</c:f>
              <c:strCache>
                <c:ptCount val="1"/>
                <c:pt idx="0">
                  <c:v>CO</c:v>
                </c:pt>
              </c:strCache>
            </c:strRef>
          </c:tx>
          <c:marker>
            <c:symbol val="none"/>
          </c:marker>
          <c:cat>
            <c:numRef>
              <c:f>GRAF_ONI!$B$2:$E$2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GRAF_ONI!$B$31:$E$31</c:f>
              <c:numCache>
                <c:formatCode>#,##0.00</c:formatCode>
                <c:ptCount val="4"/>
                <c:pt idx="0">
                  <c:v>4.2346002477422626</c:v>
                </c:pt>
                <c:pt idx="1">
                  <c:v>7.5314730465512403</c:v>
                </c:pt>
                <c:pt idx="2">
                  <c:v>5.1799302554824438</c:v>
                </c:pt>
                <c:pt idx="3">
                  <c:v>1.9842498760182121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23E-438A-9165-D88C294B9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479744"/>
        <c:axId val="166481280"/>
      </c:radarChart>
      <c:catAx>
        <c:axId val="16647974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spPr>
          <a:ln w="19050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66481280"/>
        <c:crosses val="autoZero"/>
        <c:auto val="1"/>
        <c:lblAlgn val="ctr"/>
        <c:lblOffset val="100"/>
        <c:noMultiLvlLbl val="0"/>
      </c:catAx>
      <c:valAx>
        <c:axId val="166481280"/>
        <c:scaling>
          <c:orientation val="minMax"/>
          <c:max val="12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Mortes/109km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19050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66479744"/>
        <c:crosses val="autoZero"/>
        <c:crossBetween val="between"/>
        <c:majorUnit val="20"/>
      </c:valAx>
    </c:plotArea>
    <c:legend>
      <c:legendPos val="r"/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Acre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GRAF_ONI!$A$5</c:f>
              <c:strCache>
                <c:ptCount val="1"/>
                <c:pt idx="0">
                  <c:v>Acre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GRAF_ONI!$B$5:$E$5</c:f>
              <c:numCache>
                <c:formatCode>#,##0.00</c:formatCode>
                <c:ptCount val="4"/>
                <c:pt idx="0">
                  <c:v>0</c:v>
                </c:pt>
                <c:pt idx="1">
                  <c:v>12.922969422841053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1F-4F35-8CFC-9915BE969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515456"/>
        <c:axId val="166516992"/>
      </c:lineChart>
      <c:catAx>
        <c:axId val="166515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6516992"/>
        <c:crosses val="autoZero"/>
        <c:auto val="1"/>
        <c:lblAlgn val="ctr"/>
        <c:lblOffset val="100"/>
        <c:noMultiLvlLbl val="0"/>
      </c:catAx>
      <c:valAx>
        <c:axId val="166516992"/>
        <c:scaling>
          <c:orientation val="minMax"/>
          <c:max val="14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6515456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Amapá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GRAF_ONI!$A$6</c:f>
              <c:strCache>
                <c:ptCount val="1"/>
                <c:pt idx="0">
                  <c:v>Amapá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GRAF_ONI!$B$6:$E$6</c:f>
              <c:numCache>
                <c:formatCode>#,##0.00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5.7797019108679448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75-4478-B0DF-3AD5B95A6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214272"/>
        <c:axId val="166220160"/>
      </c:lineChart>
      <c:catAx>
        <c:axId val="16621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6220160"/>
        <c:crosses val="autoZero"/>
        <c:auto val="1"/>
        <c:lblAlgn val="ctr"/>
        <c:lblOffset val="100"/>
        <c:noMultiLvlLbl val="0"/>
      </c:catAx>
      <c:valAx>
        <c:axId val="166220160"/>
        <c:scaling>
          <c:orientation val="minMax"/>
          <c:max val="14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6214272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Amazonas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GRAF_ONI!$A$7</c:f>
              <c:strCache>
                <c:ptCount val="1"/>
                <c:pt idx="0">
                  <c:v>Amazonas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GRAF_ONI!$B$7:$E$7</c:f>
              <c:numCache>
                <c:formatCode>#,##0.00</c:formatCode>
                <c:ptCount val="4"/>
                <c:pt idx="0">
                  <c:v>1.0784149858096401</c:v>
                </c:pt>
                <c:pt idx="1">
                  <c:v>3.8871064291100912</c:v>
                </c:pt>
                <c:pt idx="2">
                  <c:v>1.0970655118519494</c:v>
                </c:pt>
                <c:pt idx="3">
                  <c:v>1.0640668044763717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46-4152-873A-BA938ADEA5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253312"/>
        <c:axId val="166254848"/>
      </c:lineChart>
      <c:catAx>
        <c:axId val="166253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6254848"/>
        <c:crosses val="autoZero"/>
        <c:auto val="1"/>
        <c:lblAlgn val="ctr"/>
        <c:lblOffset val="100"/>
        <c:noMultiLvlLbl val="0"/>
      </c:catAx>
      <c:valAx>
        <c:axId val="166254848"/>
        <c:scaling>
          <c:orientation val="minMax"/>
          <c:max val="14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6253312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GRAF_ONI!$A$8</c:f>
              <c:strCache>
                <c:ptCount val="1"/>
                <c:pt idx="0">
                  <c:v>Pará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GRAF_ONI!$B$8:$E$8</c:f>
              <c:numCache>
                <c:formatCode>#,##0.00</c:formatCode>
                <c:ptCount val="4"/>
                <c:pt idx="0">
                  <c:v>3.6037360449508702</c:v>
                </c:pt>
                <c:pt idx="1">
                  <c:v>3.1702119235884467</c:v>
                </c:pt>
                <c:pt idx="2">
                  <c:v>1.672971924231025</c:v>
                </c:pt>
                <c:pt idx="3">
                  <c:v>7.4790425140974817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B0-497E-8898-0E510C3203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369536"/>
        <c:axId val="166375424"/>
      </c:lineChart>
      <c:catAx>
        <c:axId val="166369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6375424"/>
        <c:crosses val="autoZero"/>
        <c:auto val="1"/>
        <c:lblAlgn val="ctr"/>
        <c:lblOffset val="100"/>
        <c:noMultiLvlLbl val="0"/>
      </c:catAx>
      <c:valAx>
        <c:axId val="166375424"/>
        <c:scaling>
          <c:orientation val="minMax"/>
          <c:max val="14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6369536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Rondônia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GRAF_ONI!$A$9</c:f>
              <c:strCache>
                <c:ptCount val="1"/>
                <c:pt idx="0">
                  <c:v>Rondônia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GRAF_ONI!$B$9:$E$9</c:f>
              <c:numCache>
                <c:formatCode>#,##0.00</c:formatCode>
                <c:ptCount val="4"/>
                <c:pt idx="0">
                  <c:v>4.9101361140864244</c:v>
                </c:pt>
                <c:pt idx="1">
                  <c:v>8.7198040421020213</c:v>
                </c:pt>
                <c:pt idx="2">
                  <c:v>2.0681881652652865</c:v>
                </c:pt>
                <c:pt idx="3">
                  <c:v>2.0495792412370135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A2-4E0D-BF34-303BE97738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400384"/>
        <c:axId val="166401920"/>
      </c:lineChart>
      <c:catAx>
        <c:axId val="166400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6401920"/>
        <c:crosses val="autoZero"/>
        <c:auto val="1"/>
        <c:lblAlgn val="ctr"/>
        <c:lblOffset val="100"/>
        <c:noMultiLvlLbl val="0"/>
      </c:catAx>
      <c:valAx>
        <c:axId val="166401920"/>
        <c:scaling>
          <c:orientation val="minMax"/>
          <c:max val="14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6400384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Roraima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GRAF_ONI!$A$10</c:f>
              <c:strCache>
                <c:ptCount val="1"/>
                <c:pt idx="0">
                  <c:v>Roraima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GRAF_ONI!$B$10:$E$10</c:f>
              <c:numCache>
                <c:formatCode>#,##0.00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10.99346226727034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AE-40C8-AC64-BFC1BF34E7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443264"/>
        <c:axId val="166445056"/>
      </c:lineChart>
      <c:catAx>
        <c:axId val="166443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6445056"/>
        <c:crosses val="autoZero"/>
        <c:auto val="1"/>
        <c:lblAlgn val="ctr"/>
        <c:lblOffset val="100"/>
        <c:noMultiLvlLbl val="0"/>
      </c:catAx>
      <c:valAx>
        <c:axId val="166445056"/>
        <c:scaling>
          <c:orientation val="minMax"/>
          <c:max val="14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6443264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Tocantins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GRAF_ONI!$A$11</c:f>
              <c:strCache>
                <c:ptCount val="1"/>
                <c:pt idx="0">
                  <c:v>Tocantins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GRAF_ONI!$B$11:$E$11</c:f>
              <c:numCache>
                <c:formatCode>#,##0.00</c:formatCode>
                <c:ptCount val="4"/>
                <c:pt idx="0">
                  <c:v>0</c:v>
                </c:pt>
                <c:pt idx="1">
                  <c:v>4.9305559560825527</c:v>
                </c:pt>
                <c:pt idx="2">
                  <c:v>11.32084930692672</c:v>
                </c:pt>
                <c:pt idx="3">
                  <c:v>10.010135480762651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94-4559-84EC-38C91A27CD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609280"/>
        <c:axId val="166610816"/>
      </c:lineChart>
      <c:catAx>
        <c:axId val="166609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6610816"/>
        <c:crosses val="autoZero"/>
        <c:auto val="1"/>
        <c:lblAlgn val="ctr"/>
        <c:lblOffset val="100"/>
        <c:noMultiLvlLbl val="0"/>
      </c:catAx>
      <c:valAx>
        <c:axId val="166610816"/>
        <c:scaling>
          <c:orientation val="minMax"/>
          <c:max val="14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6609280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Alagoas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GRAF_ONI!$A$13</c:f>
              <c:strCache>
                <c:ptCount val="1"/>
                <c:pt idx="0">
                  <c:v>Alagoas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GRAF_ONI!$B$13:$E$13</c:f>
              <c:numCache>
                <c:formatCode>#,##0.00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1.7404339648893745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87-4B24-A1D4-F8497B5C72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635776"/>
        <c:axId val="166662144"/>
      </c:lineChart>
      <c:catAx>
        <c:axId val="166635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6662144"/>
        <c:crosses val="autoZero"/>
        <c:auto val="1"/>
        <c:lblAlgn val="ctr"/>
        <c:lblOffset val="100"/>
        <c:noMultiLvlLbl val="0"/>
      </c:catAx>
      <c:valAx>
        <c:axId val="166662144"/>
        <c:scaling>
          <c:orientation val="minMax"/>
          <c:max val="180"/>
          <c:min val="6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6635776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Bahia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GRAF_ONI!$A$14</c:f>
              <c:strCache>
                <c:ptCount val="1"/>
                <c:pt idx="0">
                  <c:v>Bahia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GRAF_ONI!$B$14:$E$14</c:f>
              <c:numCache>
                <c:formatCode>#,##0.00</c:formatCode>
                <c:ptCount val="4"/>
                <c:pt idx="0">
                  <c:v>1.285207043565229</c:v>
                </c:pt>
                <c:pt idx="1">
                  <c:v>2.1031112657212696</c:v>
                </c:pt>
                <c:pt idx="2">
                  <c:v>3.3268158328145798</c:v>
                </c:pt>
                <c:pt idx="3">
                  <c:v>2.6711341182883963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8B-4C56-8116-B4C672B59F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691200"/>
        <c:axId val="166692736"/>
      </c:lineChart>
      <c:catAx>
        <c:axId val="166691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6692736"/>
        <c:crosses val="autoZero"/>
        <c:auto val="1"/>
        <c:lblAlgn val="ctr"/>
        <c:lblOffset val="100"/>
        <c:noMultiLvlLbl val="0"/>
      </c:catAx>
      <c:valAx>
        <c:axId val="166692736"/>
        <c:scaling>
          <c:orientation val="minMax"/>
          <c:max val="180"/>
          <c:min val="6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6691200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Ceará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GRAF_ONI!$A$15</c:f>
              <c:strCache>
                <c:ptCount val="1"/>
                <c:pt idx="0">
                  <c:v>Ceará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GRAF_ONI!$B$15:$E$15</c:f>
              <c:numCache>
                <c:formatCode>#,##0.00</c:formatCode>
                <c:ptCount val="4"/>
                <c:pt idx="0">
                  <c:v>6.6730103526380313</c:v>
                </c:pt>
                <c:pt idx="1">
                  <c:v>4.1747706729184531</c:v>
                </c:pt>
                <c:pt idx="2">
                  <c:v>6.2640463582885655</c:v>
                </c:pt>
                <c:pt idx="3">
                  <c:v>3.4789797855355649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91-4193-9413-E0B45FBA62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807808"/>
        <c:axId val="166809600"/>
      </c:lineChart>
      <c:catAx>
        <c:axId val="166807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6809600"/>
        <c:crosses val="autoZero"/>
        <c:auto val="1"/>
        <c:lblAlgn val="ctr"/>
        <c:lblOffset val="100"/>
        <c:noMultiLvlLbl val="0"/>
      </c:catAx>
      <c:valAx>
        <c:axId val="166809600"/>
        <c:scaling>
          <c:orientation val="minMax"/>
          <c:max val="180"/>
          <c:min val="6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6807808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Maranhão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GRAF_ONI!$A$16</c:f>
              <c:strCache>
                <c:ptCount val="1"/>
                <c:pt idx="0">
                  <c:v>Maranhão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GRAF_ONI!$B$16:$E$16</c:f>
              <c:numCache>
                <c:formatCode>#,##0.00</c:formatCode>
                <c:ptCount val="4"/>
                <c:pt idx="0">
                  <c:v>22.808448186179852</c:v>
                </c:pt>
                <c:pt idx="1">
                  <c:v>7.6365756986488922</c:v>
                </c:pt>
                <c:pt idx="2">
                  <c:v>12.860284569141896</c:v>
                </c:pt>
                <c:pt idx="3">
                  <c:v>11.58754970004308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F6-4C92-A595-8A58BF0CB9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838656"/>
        <c:axId val="166840192"/>
      </c:lineChart>
      <c:catAx>
        <c:axId val="166838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6840192"/>
        <c:crosses val="autoZero"/>
        <c:auto val="1"/>
        <c:lblAlgn val="ctr"/>
        <c:lblOffset val="100"/>
        <c:noMultiLvlLbl val="0"/>
      </c:catAx>
      <c:valAx>
        <c:axId val="166840192"/>
        <c:scaling>
          <c:orientation val="minMax"/>
          <c:max val="180"/>
          <c:min val="6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6838656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Paraíba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GRAF_ONI!$A$17</c:f>
              <c:strCache>
                <c:ptCount val="1"/>
                <c:pt idx="0">
                  <c:v>Paraíba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GRAF_ONI!$B$17:$E$17</c:f>
              <c:numCache>
                <c:formatCode>#,##0.00</c:formatCode>
                <c:ptCount val="4"/>
                <c:pt idx="0">
                  <c:v>26.240312954440146</c:v>
                </c:pt>
                <c:pt idx="1">
                  <c:v>5.4951026672253356</c:v>
                </c:pt>
                <c:pt idx="2">
                  <c:v>1.7242528544174798</c:v>
                </c:pt>
                <c:pt idx="3">
                  <c:v>1.5849738960873685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6-4DCD-A300-CE4A809DA1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955264"/>
        <c:axId val="166957056"/>
      </c:lineChart>
      <c:catAx>
        <c:axId val="166955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6957056"/>
        <c:crosses val="autoZero"/>
        <c:auto val="1"/>
        <c:lblAlgn val="ctr"/>
        <c:lblOffset val="100"/>
        <c:noMultiLvlLbl val="0"/>
      </c:catAx>
      <c:valAx>
        <c:axId val="166957056"/>
        <c:scaling>
          <c:orientation val="minMax"/>
          <c:max val="180"/>
          <c:min val="6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6955264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Pernambuco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GRAF_ONI!$A$18</c:f>
              <c:strCache>
                <c:ptCount val="1"/>
                <c:pt idx="0">
                  <c:v>Pernambuco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GRAF_ONI!$B$18:$E$18</c:f>
              <c:numCache>
                <c:formatCode>#,##0.00</c:formatCode>
                <c:ptCount val="4"/>
                <c:pt idx="0">
                  <c:v>5.3627377534021745</c:v>
                </c:pt>
                <c:pt idx="1">
                  <c:v>5.2815424025522679</c:v>
                </c:pt>
                <c:pt idx="2">
                  <c:v>2.1747123726633442</c:v>
                </c:pt>
                <c:pt idx="3">
                  <c:v>3.8368545385847539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10-4047-A174-8DA06D700B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63936"/>
        <c:axId val="167065472"/>
      </c:lineChart>
      <c:catAx>
        <c:axId val="167063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7065472"/>
        <c:crosses val="autoZero"/>
        <c:auto val="1"/>
        <c:lblAlgn val="ctr"/>
        <c:lblOffset val="100"/>
        <c:noMultiLvlLbl val="0"/>
      </c:catAx>
      <c:valAx>
        <c:axId val="167065472"/>
        <c:scaling>
          <c:orientation val="minMax"/>
          <c:max val="180"/>
          <c:min val="6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7063936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Piauí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GRAF_ONI!$A$19</c:f>
              <c:strCache>
                <c:ptCount val="1"/>
                <c:pt idx="0">
                  <c:v>Piauí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GRAF_ONI!$B$19:$E$19</c:f>
              <c:numCache>
                <c:formatCode>#,##0.00</c:formatCode>
                <c:ptCount val="4"/>
                <c:pt idx="0">
                  <c:v>2.09127643310448</c:v>
                </c:pt>
                <c:pt idx="1">
                  <c:v>5.5988790482077242</c:v>
                </c:pt>
                <c:pt idx="2">
                  <c:v>0</c:v>
                </c:pt>
                <c:pt idx="3">
                  <c:v>3.0980106544878252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0D-460D-B74C-C7CDFE5E72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528"/>
        <c:axId val="167096320"/>
      </c:lineChart>
      <c:catAx>
        <c:axId val="167094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7096320"/>
        <c:crosses val="autoZero"/>
        <c:auto val="1"/>
        <c:lblAlgn val="ctr"/>
        <c:lblOffset val="100"/>
        <c:noMultiLvlLbl val="0"/>
      </c:catAx>
      <c:valAx>
        <c:axId val="167096320"/>
        <c:scaling>
          <c:orientation val="minMax"/>
          <c:max val="180"/>
          <c:min val="6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7094528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 Grande do Norte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GRAF_ONI!$A$20</c:f>
              <c:strCache>
                <c:ptCount val="1"/>
                <c:pt idx="0">
                  <c:v>Rio Grande do Norte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GRAF_ONI!$B$20:$E$20</c:f>
              <c:numCache>
                <c:formatCode>#,##0.00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3.3119670779156971</c:v>
                </c:pt>
                <c:pt idx="3">
                  <c:v>1.3972695718229282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92-4A17-96EB-22B0DD9C52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117184"/>
        <c:axId val="167118720"/>
      </c:lineChart>
      <c:catAx>
        <c:axId val="167117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7118720"/>
        <c:crosses val="autoZero"/>
        <c:auto val="1"/>
        <c:lblAlgn val="ctr"/>
        <c:lblOffset val="100"/>
        <c:noMultiLvlLbl val="0"/>
      </c:catAx>
      <c:valAx>
        <c:axId val="167118720"/>
        <c:scaling>
          <c:orientation val="minMax"/>
          <c:max val="180"/>
          <c:min val="6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7117184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Sergipe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GRAF_ONI!$A$21</c:f>
              <c:strCache>
                <c:ptCount val="1"/>
                <c:pt idx="0">
                  <c:v>Sergipe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GRAF_ONI!$B$21:$E$21</c:f>
              <c:numCache>
                <c:formatCode>#,##0.00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1.8258728781706175</c:v>
                </c:pt>
                <c:pt idx="3">
                  <c:v>1.768446049888903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07-4413-8D5E-EBC252D40E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143680"/>
        <c:axId val="167247872"/>
      </c:lineChart>
      <c:catAx>
        <c:axId val="167143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7247872"/>
        <c:crosses val="autoZero"/>
        <c:auto val="1"/>
        <c:lblAlgn val="ctr"/>
        <c:lblOffset val="100"/>
        <c:noMultiLvlLbl val="0"/>
      </c:catAx>
      <c:valAx>
        <c:axId val="167247872"/>
        <c:scaling>
          <c:orientation val="minMax"/>
          <c:max val="180"/>
          <c:min val="6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7143680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Espírito Santo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GRAF_ONI!$A$23</c:f>
              <c:strCache>
                <c:ptCount val="1"/>
                <c:pt idx="0">
                  <c:v>Espírito Santo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GRAF_ONI!$B$23:$E$23</c:f>
              <c:numCache>
                <c:formatCode>#,##0.00</c:formatCode>
                <c:ptCount val="4"/>
                <c:pt idx="0">
                  <c:v>1.7645092049550783</c:v>
                </c:pt>
                <c:pt idx="1">
                  <c:v>0.78518746764968406</c:v>
                </c:pt>
                <c:pt idx="2">
                  <c:v>0</c:v>
                </c:pt>
                <c:pt idx="3">
                  <c:v>0.67959074724707613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E1-4239-B1B3-72CCDEE15E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281024"/>
        <c:axId val="167282560"/>
      </c:lineChart>
      <c:catAx>
        <c:axId val="167281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7282560"/>
        <c:crosses val="autoZero"/>
        <c:auto val="1"/>
        <c:lblAlgn val="ctr"/>
        <c:lblOffset val="100"/>
        <c:noMultiLvlLbl val="0"/>
      </c:catAx>
      <c:valAx>
        <c:axId val="167282560"/>
        <c:scaling>
          <c:orientation val="minMax"/>
          <c:max val="100"/>
          <c:min val="2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7281024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Minas Gerais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GRAF_ONI!$A$24</c:f>
              <c:strCache>
                <c:ptCount val="1"/>
                <c:pt idx="0">
                  <c:v>Minas Gerais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cat>
            <c:numRef>
              <c:f>GRAF_ONI!$B$2:$E$2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GRAF_ONI!$B$24:$E$24</c:f>
              <c:numCache>
                <c:formatCode>#,##0.00</c:formatCode>
                <c:ptCount val="4"/>
                <c:pt idx="0">
                  <c:v>1.9995404725127721</c:v>
                </c:pt>
                <c:pt idx="1">
                  <c:v>1.6781584860747154</c:v>
                </c:pt>
                <c:pt idx="2">
                  <c:v>4.1101696251536453</c:v>
                </c:pt>
                <c:pt idx="3">
                  <c:v>3.1179780310985081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27-4B9D-BCDF-5F24D90677F6}"/>
            </c:ext>
          </c:extLst>
        </c:ser>
        <c:ser>
          <c:idx val="2"/>
          <c:order val="0"/>
          <c:tx>
            <c:strRef>
              <c:f>GRAF_ONI!$A$24</c:f>
              <c:strCache>
                <c:ptCount val="1"/>
                <c:pt idx="0">
                  <c:v>Minas Gerais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GRAF_ONI!$B$24:$E$24</c:f>
              <c:numCache>
                <c:formatCode>#,##0.00</c:formatCode>
                <c:ptCount val="4"/>
                <c:pt idx="0">
                  <c:v>1.9995404725127721</c:v>
                </c:pt>
                <c:pt idx="1">
                  <c:v>1.6781584860747154</c:v>
                </c:pt>
                <c:pt idx="2">
                  <c:v>4.1101696251536453</c:v>
                </c:pt>
                <c:pt idx="3">
                  <c:v>3.1179780310985081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27-4B9D-BCDF-5F24D90677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325056"/>
        <c:axId val="167326848"/>
      </c:lineChart>
      <c:catAx>
        <c:axId val="167325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7326848"/>
        <c:crosses val="autoZero"/>
        <c:auto val="1"/>
        <c:lblAlgn val="ctr"/>
        <c:lblOffset val="100"/>
        <c:noMultiLvlLbl val="0"/>
      </c:catAx>
      <c:valAx>
        <c:axId val="167326848"/>
        <c:scaling>
          <c:orientation val="minMax"/>
          <c:max val="100"/>
          <c:min val="2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7325056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 de Janeiro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GRAF_ONI!$A$25</c:f>
              <c:strCache>
                <c:ptCount val="1"/>
                <c:pt idx="0">
                  <c:v>Rio de Janeiro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GRAF_ONI!$B$25:$E$25</c:f>
              <c:numCache>
                <c:formatCode>#,##0.00</c:formatCode>
                <c:ptCount val="4"/>
                <c:pt idx="0">
                  <c:v>2.8870605590883427</c:v>
                </c:pt>
                <c:pt idx="1">
                  <c:v>2.5270266930705678</c:v>
                </c:pt>
                <c:pt idx="2">
                  <c:v>1.179066417911842</c:v>
                </c:pt>
                <c:pt idx="3">
                  <c:v>3.1366687156428998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BC-4262-AA16-A587E37698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364096"/>
        <c:axId val="167365632"/>
      </c:lineChart>
      <c:catAx>
        <c:axId val="167364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7365632"/>
        <c:crosses val="autoZero"/>
        <c:auto val="1"/>
        <c:lblAlgn val="ctr"/>
        <c:lblOffset val="100"/>
        <c:noMultiLvlLbl val="0"/>
      </c:catAx>
      <c:valAx>
        <c:axId val="167365632"/>
        <c:scaling>
          <c:orientation val="minMax"/>
          <c:max val="100"/>
          <c:min val="2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7364096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São Paulo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GRAF_ONI!$A$26</c:f>
              <c:strCache>
                <c:ptCount val="1"/>
                <c:pt idx="0">
                  <c:v>São Paulo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GRAF_ONI!$B$26:$E$26</c:f>
              <c:numCache>
                <c:formatCode>#,##0.00</c:formatCode>
                <c:ptCount val="4"/>
                <c:pt idx="0">
                  <c:v>2.0075203523535716</c:v>
                </c:pt>
                <c:pt idx="1">
                  <c:v>2.3138791217787258</c:v>
                </c:pt>
                <c:pt idx="2">
                  <c:v>2.4498016943676526</c:v>
                </c:pt>
                <c:pt idx="3">
                  <c:v>2.2308375172629034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F7-4BF3-A113-43229A6C92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521664"/>
        <c:axId val="167539840"/>
      </c:lineChart>
      <c:catAx>
        <c:axId val="167521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7539840"/>
        <c:crosses val="autoZero"/>
        <c:auto val="1"/>
        <c:lblAlgn val="ctr"/>
        <c:lblOffset val="100"/>
        <c:noMultiLvlLbl val="0"/>
      </c:catAx>
      <c:valAx>
        <c:axId val="167539840"/>
        <c:scaling>
          <c:orientation val="minMax"/>
          <c:max val="100"/>
          <c:min val="2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7521664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Paraná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GRAF_ONI!$A$28</c:f>
              <c:strCache>
                <c:ptCount val="1"/>
                <c:pt idx="0">
                  <c:v>Paraná</c:v>
                </c:pt>
              </c:strCache>
            </c:strRef>
          </c:tx>
          <c:spPr>
            <a:ln w="38100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GRAF_ONI!$B$28:$E$28</c:f>
              <c:numCache>
                <c:formatCode>#,##0.00</c:formatCode>
                <c:ptCount val="4"/>
                <c:pt idx="0">
                  <c:v>9.0438537294542609</c:v>
                </c:pt>
                <c:pt idx="1">
                  <c:v>3.8254954870202549</c:v>
                </c:pt>
                <c:pt idx="2">
                  <c:v>1.6570149501773601</c:v>
                </c:pt>
                <c:pt idx="3">
                  <c:v>5.7905858420415273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62-456E-8679-D1AAE9D7D1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564800"/>
        <c:axId val="167566336"/>
      </c:lineChart>
      <c:catAx>
        <c:axId val="167564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7566336"/>
        <c:crosses val="autoZero"/>
        <c:auto val="1"/>
        <c:lblAlgn val="ctr"/>
        <c:lblOffset val="100"/>
        <c:noMultiLvlLbl val="0"/>
      </c:catAx>
      <c:valAx>
        <c:axId val="167566336"/>
        <c:scaling>
          <c:orientation val="minMax"/>
          <c:max val="10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7564800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</a:t>
            </a:r>
            <a:r>
              <a:rPr lang="pt-BR" baseline="0"/>
              <a:t> Grande do Sul</a:t>
            </a:r>
            <a:endParaRPr lang="pt-BR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GRAF_ONI!$A$29</c:f>
              <c:strCache>
                <c:ptCount val="1"/>
                <c:pt idx="0">
                  <c:v>Rio Grande do Sul</c:v>
                </c:pt>
              </c:strCache>
            </c:strRef>
          </c:tx>
          <c:spPr>
            <a:ln w="38100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GRAF_ONI!$B$29:$E$29</c:f>
              <c:numCache>
                <c:formatCode>#,##0.00</c:formatCode>
                <c:ptCount val="4"/>
                <c:pt idx="0">
                  <c:v>2.9909727475563201</c:v>
                </c:pt>
                <c:pt idx="1">
                  <c:v>1.6998361117794445</c:v>
                </c:pt>
                <c:pt idx="2">
                  <c:v>1.1341344672205886</c:v>
                </c:pt>
                <c:pt idx="3">
                  <c:v>4.4505744034298758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3F-4745-AA95-D8A10020A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590912"/>
        <c:axId val="167609088"/>
      </c:lineChart>
      <c:catAx>
        <c:axId val="167590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7609088"/>
        <c:crosses val="autoZero"/>
        <c:auto val="1"/>
        <c:lblAlgn val="ctr"/>
        <c:lblOffset val="100"/>
        <c:noMultiLvlLbl val="0"/>
      </c:catAx>
      <c:valAx>
        <c:axId val="167609088"/>
        <c:scaling>
          <c:orientation val="minMax"/>
          <c:max val="10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7590912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Santa</a:t>
            </a:r>
            <a:r>
              <a:rPr lang="pt-BR" baseline="0"/>
              <a:t> Catarina</a:t>
            </a:r>
            <a:endParaRPr lang="pt-BR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GRAF_ONI!$A$30</c:f>
              <c:strCache>
                <c:ptCount val="1"/>
                <c:pt idx="0">
                  <c:v>Santa Catarina</c:v>
                </c:pt>
              </c:strCache>
            </c:strRef>
          </c:tx>
          <c:spPr>
            <a:ln w="38100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GRAF_ONI!$B$30:$E$30</c:f>
              <c:numCache>
                <c:formatCode>#,##0.00</c:formatCode>
                <c:ptCount val="4"/>
                <c:pt idx="0">
                  <c:v>6.1894041048086716</c:v>
                </c:pt>
                <c:pt idx="1">
                  <c:v>0.58377818496429157</c:v>
                </c:pt>
                <c:pt idx="2">
                  <c:v>19.025040336756476</c:v>
                </c:pt>
                <c:pt idx="3">
                  <c:v>2.2132039088567441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91-4622-AD10-9899076408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66816"/>
        <c:axId val="167668352"/>
      </c:lineChart>
      <c:catAx>
        <c:axId val="167666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7668352"/>
        <c:crosses val="autoZero"/>
        <c:auto val="1"/>
        <c:lblAlgn val="ctr"/>
        <c:lblOffset val="100"/>
        <c:noMultiLvlLbl val="0"/>
      </c:catAx>
      <c:valAx>
        <c:axId val="167668352"/>
        <c:scaling>
          <c:orientation val="minMax"/>
          <c:max val="10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7666816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Distrito Federal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GRAF_ONI!$A$32</c:f>
              <c:strCache>
                <c:ptCount val="1"/>
                <c:pt idx="0">
                  <c:v>Distrito Federal</c:v>
                </c:pt>
              </c:strCache>
            </c:strRef>
          </c:tx>
          <c:spPr>
            <a:ln w="381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GRAF_ONI!$B$32:$E$32</c:f>
              <c:numCache>
                <c:formatCode>#,##0.00</c:formatCode>
                <c:ptCount val="4"/>
                <c:pt idx="0">
                  <c:v>0</c:v>
                </c:pt>
                <c:pt idx="1">
                  <c:v>3.4833475448799809</c:v>
                </c:pt>
                <c:pt idx="2">
                  <c:v>3.5685881942726958</c:v>
                </c:pt>
                <c:pt idx="3">
                  <c:v>1.1958451546733624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C5-44AD-B0D8-157C5AA2D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89216"/>
        <c:axId val="167699200"/>
      </c:lineChart>
      <c:catAx>
        <c:axId val="167689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7699200"/>
        <c:crosses val="autoZero"/>
        <c:auto val="1"/>
        <c:lblAlgn val="ctr"/>
        <c:lblOffset val="100"/>
        <c:noMultiLvlLbl val="0"/>
      </c:catAx>
      <c:valAx>
        <c:axId val="167699200"/>
        <c:scaling>
          <c:orientation val="minMax"/>
          <c:max val="100"/>
          <c:min val="2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7689216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Goiás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GRAF_ONI!$A$33</c:f>
              <c:strCache>
                <c:ptCount val="1"/>
                <c:pt idx="0">
                  <c:v>Goiás</c:v>
                </c:pt>
              </c:strCache>
            </c:strRef>
          </c:tx>
          <c:spPr>
            <a:ln w="381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GRAF_ONI!$B$33:$E$33</c:f>
              <c:numCache>
                <c:formatCode>#,##0.00</c:formatCode>
                <c:ptCount val="4"/>
                <c:pt idx="0">
                  <c:v>4.4996679916584892</c:v>
                </c:pt>
                <c:pt idx="1">
                  <c:v>12.789958986435078</c:v>
                </c:pt>
                <c:pt idx="2">
                  <c:v>6.4228250468184376</c:v>
                </c:pt>
                <c:pt idx="3">
                  <c:v>3.3675860749458661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93-4311-B72E-524910DD5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736448"/>
        <c:axId val="167737984"/>
      </c:lineChart>
      <c:catAx>
        <c:axId val="167736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7737984"/>
        <c:crosses val="autoZero"/>
        <c:auto val="1"/>
        <c:lblAlgn val="ctr"/>
        <c:lblOffset val="100"/>
        <c:noMultiLvlLbl val="0"/>
      </c:catAx>
      <c:valAx>
        <c:axId val="167737984"/>
        <c:scaling>
          <c:orientation val="minMax"/>
          <c:max val="100"/>
          <c:min val="2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7736448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Mato Grosso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GRAF_ONI!$A$34</c:f>
              <c:strCache>
                <c:ptCount val="1"/>
                <c:pt idx="0">
                  <c:v>Mato Grosso</c:v>
                </c:pt>
              </c:strCache>
            </c:strRef>
          </c:tx>
          <c:spPr>
            <a:ln w="381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GRAF_ONI!$B$34:$E$34</c:f>
              <c:numCache>
                <c:formatCode>#,##0.00</c:formatCode>
                <c:ptCount val="4"/>
                <c:pt idx="0">
                  <c:v>9.9147280596041938</c:v>
                </c:pt>
                <c:pt idx="1">
                  <c:v>3.953075959114182</c:v>
                </c:pt>
                <c:pt idx="2">
                  <c:v>3.4866853376902882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EC-4C7C-816E-DE5462DE8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762944"/>
        <c:axId val="167764736"/>
      </c:lineChart>
      <c:catAx>
        <c:axId val="167762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7764736"/>
        <c:crosses val="autoZero"/>
        <c:auto val="1"/>
        <c:lblAlgn val="ctr"/>
        <c:lblOffset val="100"/>
        <c:noMultiLvlLbl val="0"/>
      </c:catAx>
      <c:valAx>
        <c:axId val="167764736"/>
        <c:scaling>
          <c:orientation val="minMax"/>
          <c:max val="100"/>
          <c:min val="2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7762944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Mato Grosso do Sul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GRAF_ONI!$A$35</c:f>
              <c:strCache>
                <c:ptCount val="1"/>
                <c:pt idx="0">
                  <c:v>Mato Grosso do Sul</c:v>
                </c:pt>
              </c:strCache>
            </c:strRef>
          </c:tx>
          <c:spPr>
            <a:ln w="381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GRAF_ONI!$B$35:$E$35</c:f>
              <c:numCache>
                <c:formatCode>#,##0.00</c:formatCode>
                <c:ptCount val="4"/>
                <c:pt idx="0">
                  <c:v>3.339438393567844</c:v>
                </c:pt>
                <c:pt idx="1">
                  <c:v>6.0104174235576879</c:v>
                </c:pt>
                <c:pt idx="2">
                  <c:v>7.085128485379995</c:v>
                </c:pt>
                <c:pt idx="3">
                  <c:v>2.6317122062159299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9E-4FC0-88F9-F40D05B6F6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875712"/>
        <c:axId val="167877248"/>
      </c:lineChart>
      <c:catAx>
        <c:axId val="167875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7877248"/>
        <c:crosses val="autoZero"/>
        <c:auto val="1"/>
        <c:lblAlgn val="ctr"/>
        <c:lblOffset val="100"/>
        <c:noMultiLvlLbl val="0"/>
      </c:catAx>
      <c:valAx>
        <c:axId val="167877248"/>
        <c:scaling>
          <c:orientation val="minMax"/>
          <c:max val="100"/>
          <c:min val="2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7875712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Brasil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GRAF_ONI!$A$3</c:f>
              <c:strCache>
                <c:ptCount val="1"/>
                <c:pt idx="0">
                  <c:v>Brasil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circle"/>
            <c:size val="8"/>
            <c:spPr>
              <a:solidFill>
                <a:srgbClr val="FFFF66"/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GRAF_ONI!$B$3:$E$3</c:f>
              <c:numCache>
                <c:formatCode>#,##0.00</c:formatCode>
                <c:ptCount val="4"/>
                <c:pt idx="0">
                  <c:v>3.484834084290783</c:v>
                </c:pt>
                <c:pt idx="1">
                  <c:v>2.8959430755123665</c:v>
                </c:pt>
                <c:pt idx="2">
                  <c:v>3.3420183626525932</c:v>
                </c:pt>
                <c:pt idx="3">
                  <c:v>3.1382194124861824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C7-46C7-9D55-457206F4CD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922688"/>
        <c:axId val="167928576"/>
      </c:lineChart>
      <c:catAx>
        <c:axId val="167922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7928576"/>
        <c:crosses val="autoZero"/>
        <c:auto val="1"/>
        <c:lblAlgn val="ctr"/>
        <c:lblOffset val="100"/>
        <c:noMultiLvlLbl val="0"/>
      </c:catAx>
      <c:valAx>
        <c:axId val="167928576"/>
        <c:scaling>
          <c:orientation val="minMax"/>
          <c:max val="80"/>
          <c:min val="5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7922688"/>
        <c:crosses val="autoZero"/>
        <c:crossBetween val="between"/>
        <c:majorUnit val="1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Brasil e regiões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GRAF_OUT!$A$3</c:f>
              <c:strCache>
                <c:ptCount val="1"/>
                <c:pt idx="0">
                  <c:v>Brasil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/>
            <c:extLst>
              <c:ext xmlns:c16="http://schemas.microsoft.com/office/drawing/2014/chart" uri="{C3380CC4-5D6E-409C-BE32-E72D297353CC}">
                <c16:uniqueId val="{00000001-D018-422D-AB28-FEFFDFC015ED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GRAF_OUT!$B$3:$E$3</c:f>
              <c:numCache>
                <c:formatCode>#,##0.00</c:formatCode>
                <c:ptCount val="4"/>
                <c:pt idx="0">
                  <c:v>2.9215016183273632</c:v>
                </c:pt>
                <c:pt idx="1">
                  <c:v>2.6229209232576909</c:v>
                </c:pt>
                <c:pt idx="2">
                  <c:v>2.4211726428765168</c:v>
                </c:pt>
                <c:pt idx="3">
                  <c:v>2.2376887475796021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18-422D-AB28-FEFFDFC015ED}"/>
            </c:ext>
          </c:extLst>
        </c:ser>
        <c:ser>
          <c:idx val="1"/>
          <c:order val="1"/>
          <c:tx>
            <c:strRef>
              <c:f>GRAF_OUT!$A$4</c:f>
              <c:strCache>
                <c:ptCount val="1"/>
                <c:pt idx="0">
                  <c:v>N</c:v>
                </c:pt>
              </c:strCache>
            </c:strRef>
          </c:tx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GRAF_OUT!$B$4:$E$4</c:f>
              <c:numCache>
                <c:formatCode>#,##0.00</c:formatCode>
                <c:ptCount val="4"/>
                <c:pt idx="0">
                  <c:v>17.637850344936712</c:v>
                </c:pt>
                <c:pt idx="1">
                  <c:v>18.716928830860734</c:v>
                </c:pt>
                <c:pt idx="2">
                  <c:v>16.702903894169143</c:v>
                </c:pt>
                <c:pt idx="3">
                  <c:v>14.042408864797423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18-422D-AB28-FEFFDFC015ED}"/>
            </c:ext>
          </c:extLst>
        </c:ser>
        <c:ser>
          <c:idx val="2"/>
          <c:order val="2"/>
          <c:tx>
            <c:strRef>
              <c:f>GRAF_OUT!$A$12</c:f>
              <c:strCache>
                <c:ptCount val="1"/>
                <c:pt idx="0">
                  <c:v>NE</c:v>
                </c:pt>
              </c:strCache>
            </c:strRef>
          </c:tx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GRAF_OUT!$B$12:$E$12</c:f>
              <c:numCache>
                <c:formatCode>#,##0.00</c:formatCode>
                <c:ptCount val="4"/>
                <c:pt idx="0">
                  <c:v>18.637163724483727</c:v>
                </c:pt>
                <c:pt idx="1">
                  <c:v>21.804154194807015</c:v>
                </c:pt>
                <c:pt idx="2">
                  <c:v>20.102209758977089</c:v>
                </c:pt>
                <c:pt idx="3">
                  <c:v>19.008874303884379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18-422D-AB28-FEFFDFC015ED}"/>
            </c:ext>
          </c:extLst>
        </c:ser>
        <c:ser>
          <c:idx val="3"/>
          <c:order val="3"/>
          <c:tx>
            <c:strRef>
              <c:f>GRAF_OUT!$A$22</c:f>
              <c:strCache>
                <c:ptCount val="1"/>
                <c:pt idx="0">
                  <c:v>SE</c:v>
                </c:pt>
              </c:strCache>
            </c:strRef>
          </c:tx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GRAF_OUT!$B$22:$E$22</c:f>
              <c:numCache>
                <c:formatCode>#,##0.00</c:formatCode>
                <c:ptCount val="4"/>
                <c:pt idx="0">
                  <c:v>8.2510570555699196</c:v>
                </c:pt>
                <c:pt idx="1">
                  <c:v>8.6103809639614237</c:v>
                </c:pt>
                <c:pt idx="2">
                  <c:v>7.9298295158131999</c:v>
                </c:pt>
                <c:pt idx="3">
                  <c:v>8.3895291005935686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18-422D-AB28-FEFFDFC015ED}"/>
            </c:ext>
          </c:extLst>
        </c:ser>
        <c:ser>
          <c:idx val="4"/>
          <c:order val="4"/>
          <c:tx>
            <c:strRef>
              <c:f>GRAF_OUT!$A$27</c:f>
              <c:strCache>
                <c:ptCount val="1"/>
                <c:pt idx="0">
                  <c:v>S</c:v>
                </c:pt>
              </c:strCache>
            </c:strRef>
          </c:tx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GRAF_OUT!$B$27:$E$27</c:f>
              <c:numCache>
                <c:formatCode>#,##0.00</c:formatCode>
                <c:ptCount val="4"/>
                <c:pt idx="0">
                  <c:v>12.178045329822147</c:v>
                </c:pt>
                <c:pt idx="1">
                  <c:v>12.225605101361859</c:v>
                </c:pt>
                <c:pt idx="2">
                  <c:v>10.137690550323898</c:v>
                </c:pt>
                <c:pt idx="3">
                  <c:v>9.0331614263744964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018-422D-AB28-FEFFDFC015ED}"/>
            </c:ext>
          </c:extLst>
        </c:ser>
        <c:ser>
          <c:idx val="5"/>
          <c:order val="5"/>
          <c:tx>
            <c:strRef>
              <c:f>GRAF_OUT!$A$31</c:f>
              <c:strCache>
                <c:ptCount val="1"/>
                <c:pt idx="0">
                  <c:v>CO</c:v>
                </c:pt>
              </c:strCache>
            </c:strRef>
          </c:tx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GRAF_OUT!$B$31:$E$31</c:f>
              <c:numCache>
                <c:formatCode>#,##0.00</c:formatCode>
                <c:ptCount val="4"/>
                <c:pt idx="0">
                  <c:v>11.775179871220006</c:v>
                </c:pt>
                <c:pt idx="1">
                  <c:v>11.556401292093785</c:v>
                </c:pt>
                <c:pt idx="2">
                  <c:v>10.102384064198665</c:v>
                </c:pt>
                <c:pt idx="3">
                  <c:v>9.7468277262669165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018-422D-AB28-FEFFDFC015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8402944"/>
        <c:axId val="168404480"/>
      </c:barChart>
      <c:catAx>
        <c:axId val="168402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68404480"/>
        <c:crosses val="autoZero"/>
        <c:auto val="1"/>
        <c:lblAlgn val="ctr"/>
        <c:lblOffset val="100"/>
        <c:noMultiLvlLbl val="0"/>
      </c:catAx>
      <c:valAx>
        <c:axId val="168404480"/>
        <c:scaling>
          <c:orientation val="minMax"/>
          <c:max val="4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Mortes/109km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19050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68402944"/>
        <c:crosses val="autoZero"/>
        <c:crossBetween val="between"/>
        <c:majorUnit val="10"/>
      </c:valAx>
    </c:plotArea>
    <c:legend>
      <c:legendPos val="b"/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Brasil e regiões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GRAF_OUT!$A$3</c:f>
              <c:strCache>
                <c:ptCount val="1"/>
                <c:pt idx="0">
                  <c:v>Brasil</c:v>
                </c:pt>
              </c:strCache>
            </c:strRef>
          </c:tx>
          <c:marker>
            <c:symbol val="circle"/>
            <c:size val="5"/>
            <c:spPr>
              <a:ln>
                <a:solidFill>
                  <a:prstClr val="black"/>
                </a:solidFill>
              </a:ln>
            </c:spPr>
          </c:marker>
          <c:cat>
            <c:numRef>
              <c:f>GRAF_OUT!$B$2:$E$2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GRAF_OUT!$B$3:$E$3</c:f>
              <c:numCache>
                <c:formatCode>#,##0.00</c:formatCode>
                <c:ptCount val="4"/>
                <c:pt idx="0">
                  <c:v>2.9215016183273632</c:v>
                </c:pt>
                <c:pt idx="1">
                  <c:v>2.6229209232576909</c:v>
                </c:pt>
                <c:pt idx="2">
                  <c:v>2.4211726428765168</c:v>
                </c:pt>
                <c:pt idx="3">
                  <c:v>2.2376887475796021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39-4B32-91B8-38EE1D6B8544}"/>
            </c:ext>
          </c:extLst>
        </c:ser>
        <c:ser>
          <c:idx val="1"/>
          <c:order val="1"/>
          <c:tx>
            <c:strRef>
              <c:f>GRAF_OUT!$A$4</c:f>
              <c:strCache>
                <c:ptCount val="1"/>
                <c:pt idx="0">
                  <c:v>N</c:v>
                </c:pt>
              </c:strCache>
            </c:strRef>
          </c:tx>
          <c:marker>
            <c:symbol val="circle"/>
            <c:size val="5"/>
            <c:spPr>
              <a:ln>
                <a:solidFill>
                  <a:prstClr val="black"/>
                </a:solidFill>
              </a:ln>
            </c:spPr>
          </c:marker>
          <c:cat>
            <c:numRef>
              <c:f>GRAF_OUT!$B$2:$E$2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GRAF_OUT!$B$4:$E$4</c:f>
              <c:numCache>
                <c:formatCode>#,##0.00</c:formatCode>
                <c:ptCount val="4"/>
                <c:pt idx="0">
                  <c:v>17.637850344936712</c:v>
                </c:pt>
                <c:pt idx="1">
                  <c:v>18.716928830860734</c:v>
                </c:pt>
                <c:pt idx="2">
                  <c:v>16.702903894169143</c:v>
                </c:pt>
                <c:pt idx="3">
                  <c:v>14.042408864797423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39-4B32-91B8-38EE1D6B8544}"/>
            </c:ext>
          </c:extLst>
        </c:ser>
        <c:ser>
          <c:idx val="2"/>
          <c:order val="2"/>
          <c:tx>
            <c:strRef>
              <c:f>GRAF_OUT!$A$12</c:f>
              <c:strCache>
                <c:ptCount val="1"/>
                <c:pt idx="0">
                  <c:v>NE</c:v>
                </c:pt>
              </c:strCache>
            </c:strRef>
          </c:tx>
          <c:marker>
            <c:symbol val="circle"/>
            <c:size val="5"/>
            <c:spPr>
              <a:ln>
                <a:solidFill>
                  <a:prstClr val="black"/>
                </a:solidFill>
              </a:ln>
            </c:spPr>
          </c:marker>
          <c:cat>
            <c:numRef>
              <c:f>GRAF_OUT!$B$2:$E$2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GRAF_OUT!$B$12:$E$12</c:f>
              <c:numCache>
                <c:formatCode>#,##0.00</c:formatCode>
                <c:ptCount val="4"/>
                <c:pt idx="0">
                  <c:v>18.637163724483727</c:v>
                </c:pt>
                <c:pt idx="1">
                  <c:v>21.804154194807015</c:v>
                </c:pt>
                <c:pt idx="2">
                  <c:v>20.102209758977089</c:v>
                </c:pt>
                <c:pt idx="3">
                  <c:v>19.008874303884379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39-4B32-91B8-38EE1D6B8544}"/>
            </c:ext>
          </c:extLst>
        </c:ser>
        <c:ser>
          <c:idx val="3"/>
          <c:order val="3"/>
          <c:tx>
            <c:strRef>
              <c:f>GRAF_OUT!$A$22</c:f>
              <c:strCache>
                <c:ptCount val="1"/>
                <c:pt idx="0">
                  <c:v>SE</c:v>
                </c:pt>
              </c:strCache>
            </c:strRef>
          </c:tx>
          <c:marker>
            <c:symbol val="circle"/>
            <c:size val="5"/>
            <c:spPr>
              <a:ln>
                <a:solidFill>
                  <a:prstClr val="black"/>
                </a:solidFill>
              </a:ln>
            </c:spPr>
          </c:marker>
          <c:cat>
            <c:numRef>
              <c:f>GRAF_OUT!$B$2:$E$2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GRAF_OUT!$B$22:$E$22</c:f>
              <c:numCache>
                <c:formatCode>#,##0.00</c:formatCode>
                <c:ptCount val="4"/>
                <c:pt idx="0">
                  <c:v>8.2510570555699196</c:v>
                </c:pt>
                <c:pt idx="1">
                  <c:v>8.6103809639614237</c:v>
                </c:pt>
                <c:pt idx="2">
                  <c:v>7.9298295158131999</c:v>
                </c:pt>
                <c:pt idx="3">
                  <c:v>8.3895291005935686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239-4B32-91B8-38EE1D6B8544}"/>
            </c:ext>
          </c:extLst>
        </c:ser>
        <c:ser>
          <c:idx val="4"/>
          <c:order val="4"/>
          <c:tx>
            <c:strRef>
              <c:f>GRAF_OUT!$A$27</c:f>
              <c:strCache>
                <c:ptCount val="1"/>
                <c:pt idx="0">
                  <c:v>S</c:v>
                </c:pt>
              </c:strCache>
            </c:strRef>
          </c:tx>
          <c:marker>
            <c:symbol val="circle"/>
            <c:size val="5"/>
            <c:spPr>
              <a:ln>
                <a:solidFill>
                  <a:prstClr val="black"/>
                </a:solidFill>
              </a:ln>
            </c:spPr>
          </c:marker>
          <c:cat>
            <c:numRef>
              <c:f>GRAF_OUT!$B$2:$E$2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GRAF_OUT!$B$27:$E$27</c:f>
              <c:numCache>
                <c:formatCode>#,##0.00</c:formatCode>
                <c:ptCount val="4"/>
                <c:pt idx="0">
                  <c:v>12.178045329822147</c:v>
                </c:pt>
                <c:pt idx="1">
                  <c:v>12.225605101361859</c:v>
                </c:pt>
                <c:pt idx="2">
                  <c:v>10.137690550323898</c:v>
                </c:pt>
                <c:pt idx="3">
                  <c:v>9.0331614263744964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239-4B32-91B8-38EE1D6B8544}"/>
            </c:ext>
          </c:extLst>
        </c:ser>
        <c:ser>
          <c:idx val="5"/>
          <c:order val="5"/>
          <c:tx>
            <c:strRef>
              <c:f>GRAF_OUT!$A$31</c:f>
              <c:strCache>
                <c:ptCount val="1"/>
                <c:pt idx="0">
                  <c:v>CO</c:v>
                </c:pt>
              </c:strCache>
            </c:strRef>
          </c:tx>
          <c:marker>
            <c:symbol val="circle"/>
            <c:size val="5"/>
            <c:spPr>
              <a:ln>
                <a:solidFill>
                  <a:prstClr val="black"/>
                </a:solidFill>
              </a:ln>
            </c:spPr>
          </c:marker>
          <c:cat>
            <c:numRef>
              <c:f>GRAF_OUT!$B$2:$E$2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GRAF_OUT!$B$31:$E$31</c:f>
              <c:numCache>
                <c:formatCode>#,##0.00</c:formatCode>
                <c:ptCount val="4"/>
                <c:pt idx="0">
                  <c:v>11.775179871220006</c:v>
                </c:pt>
                <c:pt idx="1">
                  <c:v>11.556401292093785</c:v>
                </c:pt>
                <c:pt idx="2">
                  <c:v>10.102384064198665</c:v>
                </c:pt>
                <c:pt idx="3">
                  <c:v>9.7468277262669165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239-4B32-91B8-38EE1D6B85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171776"/>
        <c:axId val="168181760"/>
      </c:lineChart>
      <c:catAx>
        <c:axId val="168171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68181760"/>
        <c:crosses val="autoZero"/>
        <c:auto val="1"/>
        <c:lblAlgn val="ctr"/>
        <c:lblOffset val="100"/>
        <c:noMultiLvlLbl val="0"/>
      </c:catAx>
      <c:valAx>
        <c:axId val="168181760"/>
        <c:scaling>
          <c:orientation val="minMax"/>
          <c:max val="12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Mortes/109km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19050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68171776"/>
        <c:crosses val="autoZero"/>
        <c:crossBetween val="between"/>
        <c:majorUnit val="20"/>
      </c:valAx>
    </c:plotArea>
    <c:legend>
      <c:legendPos val="b"/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Brasil e regiões</a:t>
            </a:r>
          </a:p>
        </c:rich>
      </c:tx>
      <c:overlay val="0"/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GRAF_OUT!$A$3</c:f>
              <c:strCache>
                <c:ptCount val="1"/>
                <c:pt idx="0">
                  <c:v>Brasil</c:v>
                </c:pt>
              </c:strCache>
            </c:strRef>
          </c:tx>
          <c:marker>
            <c:symbol val="none"/>
          </c:marker>
          <c:cat>
            <c:numRef>
              <c:f>GRAF_OUT!$B$2:$E$2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GRAF_OUT!$B$3:$E$3</c:f>
              <c:numCache>
                <c:formatCode>#,##0.00</c:formatCode>
                <c:ptCount val="4"/>
                <c:pt idx="0">
                  <c:v>2.9215016183273632</c:v>
                </c:pt>
                <c:pt idx="1">
                  <c:v>2.6229209232576909</c:v>
                </c:pt>
                <c:pt idx="2">
                  <c:v>2.4211726428765168</c:v>
                </c:pt>
                <c:pt idx="3">
                  <c:v>2.2376887475796021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59-4904-8AEC-F7CF70A9BBA3}"/>
            </c:ext>
          </c:extLst>
        </c:ser>
        <c:ser>
          <c:idx val="1"/>
          <c:order val="1"/>
          <c:tx>
            <c:strRef>
              <c:f>GRAF_OUT!$A$4</c:f>
              <c:strCache>
                <c:ptCount val="1"/>
                <c:pt idx="0">
                  <c:v>N</c:v>
                </c:pt>
              </c:strCache>
            </c:strRef>
          </c:tx>
          <c:marker>
            <c:symbol val="none"/>
          </c:marker>
          <c:cat>
            <c:numRef>
              <c:f>GRAF_OUT!$B$2:$E$2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GRAF_OUT!$B$4:$E$4</c:f>
              <c:numCache>
                <c:formatCode>#,##0.00</c:formatCode>
                <c:ptCount val="4"/>
                <c:pt idx="0">
                  <c:v>17.637850344936712</c:v>
                </c:pt>
                <c:pt idx="1">
                  <c:v>18.716928830860734</c:v>
                </c:pt>
                <c:pt idx="2">
                  <c:v>16.702903894169143</c:v>
                </c:pt>
                <c:pt idx="3">
                  <c:v>14.042408864797423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59-4904-8AEC-F7CF70A9BBA3}"/>
            </c:ext>
          </c:extLst>
        </c:ser>
        <c:ser>
          <c:idx val="2"/>
          <c:order val="2"/>
          <c:tx>
            <c:strRef>
              <c:f>GRAF_OUT!$A$12</c:f>
              <c:strCache>
                <c:ptCount val="1"/>
                <c:pt idx="0">
                  <c:v>NE</c:v>
                </c:pt>
              </c:strCache>
            </c:strRef>
          </c:tx>
          <c:marker>
            <c:symbol val="none"/>
          </c:marker>
          <c:cat>
            <c:numRef>
              <c:f>GRAF_OUT!$B$2:$E$2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GRAF_OUT!$B$12:$E$12</c:f>
              <c:numCache>
                <c:formatCode>#,##0.00</c:formatCode>
                <c:ptCount val="4"/>
                <c:pt idx="0">
                  <c:v>18.637163724483727</c:v>
                </c:pt>
                <c:pt idx="1">
                  <c:v>21.804154194807015</c:v>
                </c:pt>
                <c:pt idx="2">
                  <c:v>20.102209758977089</c:v>
                </c:pt>
                <c:pt idx="3">
                  <c:v>19.008874303884379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59-4904-8AEC-F7CF70A9BBA3}"/>
            </c:ext>
          </c:extLst>
        </c:ser>
        <c:ser>
          <c:idx val="3"/>
          <c:order val="3"/>
          <c:tx>
            <c:strRef>
              <c:f>GRAF_OUT!$A$22</c:f>
              <c:strCache>
                <c:ptCount val="1"/>
                <c:pt idx="0">
                  <c:v>SE</c:v>
                </c:pt>
              </c:strCache>
            </c:strRef>
          </c:tx>
          <c:marker>
            <c:symbol val="none"/>
          </c:marker>
          <c:cat>
            <c:numRef>
              <c:f>GRAF_OUT!$B$2:$E$2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GRAF_OUT!$B$22:$E$22</c:f>
              <c:numCache>
                <c:formatCode>#,##0.00</c:formatCode>
                <c:ptCount val="4"/>
                <c:pt idx="0">
                  <c:v>8.2510570555699196</c:v>
                </c:pt>
                <c:pt idx="1">
                  <c:v>8.6103809639614237</c:v>
                </c:pt>
                <c:pt idx="2">
                  <c:v>7.9298295158131999</c:v>
                </c:pt>
                <c:pt idx="3">
                  <c:v>8.3895291005935686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59-4904-8AEC-F7CF70A9BBA3}"/>
            </c:ext>
          </c:extLst>
        </c:ser>
        <c:ser>
          <c:idx val="4"/>
          <c:order val="4"/>
          <c:tx>
            <c:strRef>
              <c:f>GRAF_OUT!$A$27</c:f>
              <c:strCache>
                <c:ptCount val="1"/>
                <c:pt idx="0">
                  <c:v>S</c:v>
                </c:pt>
              </c:strCache>
            </c:strRef>
          </c:tx>
          <c:marker>
            <c:symbol val="none"/>
          </c:marker>
          <c:cat>
            <c:numRef>
              <c:f>GRAF_OUT!$B$2:$E$2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GRAF_OUT!$B$27:$E$27</c:f>
              <c:numCache>
                <c:formatCode>#,##0.00</c:formatCode>
                <c:ptCount val="4"/>
                <c:pt idx="0">
                  <c:v>12.178045329822147</c:v>
                </c:pt>
                <c:pt idx="1">
                  <c:v>12.225605101361859</c:v>
                </c:pt>
                <c:pt idx="2">
                  <c:v>10.137690550323898</c:v>
                </c:pt>
                <c:pt idx="3">
                  <c:v>9.0331614263744964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D59-4904-8AEC-F7CF70A9BBA3}"/>
            </c:ext>
          </c:extLst>
        </c:ser>
        <c:ser>
          <c:idx val="5"/>
          <c:order val="5"/>
          <c:tx>
            <c:strRef>
              <c:f>GRAF_OUT!$A$31</c:f>
              <c:strCache>
                <c:ptCount val="1"/>
                <c:pt idx="0">
                  <c:v>CO</c:v>
                </c:pt>
              </c:strCache>
            </c:strRef>
          </c:tx>
          <c:marker>
            <c:symbol val="none"/>
          </c:marker>
          <c:cat>
            <c:numRef>
              <c:f>GRAF_OUT!$B$2:$E$2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GRAF_OUT!$B$31:$E$31</c:f>
              <c:numCache>
                <c:formatCode>#,##0.00</c:formatCode>
                <c:ptCount val="4"/>
                <c:pt idx="0">
                  <c:v>11.775179871220006</c:v>
                </c:pt>
                <c:pt idx="1">
                  <c:v>11.556401292093785</c:v>
                </c:pt>
                <c:pt idx="2">
                  <c:v>10.102384064198665</c:v>
                </c:pt>
                <c:pt idx="3">
                  <c:v>9.7468277262669165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D59-4904-8AEC-F7CF70A9BB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226816"/>
        <c:axId val="168228352"/>
      </c:radarChart>
      <c:catAx>
        <c:axId val="16822681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spPr>
          <a:ln w="19050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68228352"/>
        <c:crosses val="autoZero"/>
        <c:auto val="1"/>
        <c:lblAlgn val="ctr"/>
        <c:lblOffset val="100"/>
        <c:noMultiLvlLbl val="0"/>
      </c:catAx>
      <c:valAx>
        <c:axId val="168228352"/>
        <c:scaling>
          <c:orientation val="minMax"/>
          <c:max val="12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Mortes/109km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19050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68226816"/>
        <c:crosses val="autoZero"/>
        <c:crossBetween val="between"/>
        <c:majorUnit val="20"/>
      </c:valAx>
    </c:plotArea>
    <c:legend>
      <c:legendPos val="r"/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Acre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GRAF_OUT!$A$5</c:f>
              <c:strCache>
                <c:ptCount val="1"/>
                <c:pt idx="0">
                  <c:v>Acre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GRAF_OUT!$B$5:$E$5</c:f>
              <c:numCache>
                <c:formatCode>#,##0.00</c:formatCode>
                <c:ptCount val="4"/>
                <c:pt idx="0">
                  <c:v>51.926410889212711</c:v>
                </c:pt>
                <c:pt idx="1">
                  <c:v>46.792689042469505</c:v>
                </c:pt>
                <c:pt idx="2">
                  <c:v>46.878446378987825</c:v>
                </c:pt>
                <c:pt idx="3">
                  <c:v>21.563090524134694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F7-4782-981D-958628030C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262272"/>
        <c:axId val="168276352"/>
      </c:lineChart>
      <c:catAx>
        <c:axId val="168262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8276352"/>
        <c:crosses val="autoZero"/>
        <c:auto val="1"/>
        <c:lblAlgn val="ctr"/>
        <c:lblOffset val="100"/>
        <c:noMultiLvlLbl val="0"/>
      </c:catAx>
      <c:valAx>
        <c:axId val="168276352"/>
        <c:scaling>
          <c:orientation val="minMax"/>
          <c:max val="14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8262272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Amapá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GRAF_OUT!$A$6</c:f>
              <c:strCache>
                <c:ptCount val="1"/>
                <c:pt idx="0">
                  <c:v>Amapá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GRAF_OUT!$B$6:$E$6</c:f>
              <c:numCache>
                <c:formatCode>#,##0.00</c:formatCode>
                <c:ptCount val="4"/>
                <c:pt idx="0">
                  <c:v>42.442531163425159</c:v>
                </c:pt>
                <c:pt idx="1">
                  <c:v>49.730328482779235</c:v>
                </c:pt>
                <c:pt idx="2">
                  <c:v>48.700272020019945</c:v>
                </c:pt>
                <c:pt idx="3">
                  <c:v>33.042158898947029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E5-4675-BD11-8CCC560873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309504"/>
        <c:axId val="168311040"/>
      </c:lineChart>
      <c:catAx>
        <c:axId val="168309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8311040"/>
        <c:crosses val="autoZero"/>
        <c:auto val="1"/>
        <c:lblAlgn val="ctr"/>
        <c:lblOffset val="100"/>
        <c:noMultiLvlLbl val="0"/>
      </c:catAx>
      <c:valAx>
        <c:axId val="168311040"/>
        <c:scaling>
          <c:orientation val="minMax"/>
          <c:max val="14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8309504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Amazonas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GRAF_OUT!$A$7</c:f>
              <c:strCache>
                <c:ptCount val="1"/>
                <c:pt idx="0">
                  <c:v>Amazonas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GRAF_OUT!$B$7:$E$7</c:f>
              <c:numCache>
                <c:formatCode>#,##0.00</c:formatCode>
                <c:ptCount val="4"/>
                <c:pt idx="0">
                  <c:v>9.6436366986080966</c:v>
                </c:pt>
                <c:pt idx="1">
                  <c:v>12.480856681824768</c:v>
                </c:pt>
                <c:pt idx="2">
                  <c:v>13.204462042231132</c:v>
                </c:pt>
                <c:pt idx="3">
                  <c:v>9.2507767726300401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24-4FD5-A0C1-58570BF5A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336000"/>
        <c:axId val="168345984"/>
      </c:lineChart>
      <c:catAx>
        <c:axId val="168336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8345984"/>
        <c:crosses val="autoZero"/>
        <c:auto val="1"/>
        <c:lblAlgn val="ctr"/>
        <c:lblOffset val="100"/>
        <c:noMultiLvlLbl val="0"/>
      </c:catAx>
      <c:valAx>
        <c:axId val="168345984"/>
        <c:scaling>
          <c:orientation val="minMax"/>
          <c:max val="14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8336000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GRAF_OUT!$A$8</c:f>
              <c:strCache>
                <c:ptCount val="1"/>
                <c:pt idx="0">
                  <c:v>Pará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GRAF_OUT!$B$8:$E$8</c:f>
              <c:numCache>
                <c:formatCode>#,##0.00</c:formatCode>
                <c:ptCount val="4"/>
                <c:pt idx="0">
                  <c:v>9.894907206769668</c:v>
                </c:pt>
                <c:pt idx="1">
                  <c:v>9.6973605910621821</c:v>
                </c:pt>
                <c:pt idx="2">
                  <c:v>7.0284782958697694</c:v>
                </c:pt>
                <c:pt idx="3">
                  <c:v>7.9492090044998216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8F-4103-909C-8BCC535460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71264"/>
        <c:axId val="168572800"/>
      </c:lineChart>
      <c:catAx>
        <c:axId val="168571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8572800"/>
        <c:crosses val="autoZero"/>
        <c:auto val="1"/>
        <c:lblAlgn val="ctr"/>
        <c:lblOffset val="100"/>
        <c:noMultiLvlLbl val="0"/>
      </c:catAx>
      <c:valAx>
        <c:axId val="168572800"/>
        <c:scaling>
          <c:orientation val="minMax"/>
          <c:max val="14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8571264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Rondônia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GRAF_OUT!$A$9</c:f>
              <c:strCache>
                <c:ptCount val="1"/>
                <c:pt idx="0">
                  <c:v>Rondônia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GRAF_OUT!$B$9:$E$9</c:f>
              <c:numCache>
                <c:formatCode>#,##0.00</c:formatCode>
                <c:ptCount val="4"/>
                <c:pt idx="0">
                  <c:v>27.389200326658148</c:v>
                </c:pt>
                <c:pt idx="1">
                  <c:v>31.241626420356454</c:v>
                </c:pt>
                <c:pt idx="2">
                  <c:v>27.072259363917656</c:v>
                </c:pt>
                <c:pt idx="3">
                  <c:v>28.068817000597228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D6-45A5-BD05-9CE3ECBDCE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622336"/>
        <c:axId val="168624128"/>
      </c:lineChart>
      <c:catAx>
        <c:axId val="168622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8624128"/>
        <c:crosses val="autoZero"/>
        <c:auto val="1"/>
        <c:lblAlgn val="ctr"/>
        <c:lblOffset val="100"/>
        <c:noMultiLvlLbl val="0"/>
      </c:catAx>
      <c:valAx>
        <c:axId val="168624128"/>
        <c:scaling>
          <c:orientation val="minMax"/>
          <c:max val="14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8622336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Roraima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GRAF_OUT!$A$10</c:f>
              <c:strCache>
                <c:ptCount val="1"/>
                <c:pt idx="0">
                  <c:v>Roraima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GRAF_OUT!$B$10:$E$10</c:f>
              <c:numCache>
                <c:formatCode>#,##0.00</c:formatCode>
                <c:ptCount val="4"/>
                <c:pt idx="0">
                  <c:v>35.859649843910532</c:v>
                </c:pt>
                <c:pt idx="1">
                  <c:v>11.124672690116919</c:v>
                </c:pt>
                <c:pt idx="2">
                  <c:v>14.773004365751341</c:v>
                </c:pt>
                <c:pt idx="3">
                  <c:v>7.9666852770431333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7F-4DBA-9431-B7656F164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669568"/>
        <c:axId val="168671104"/>
      </c:lineChart>
      <c:catAx>
        <c:axId val="168669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8671104"/>
        <c:crosses val="autoZero"/>
        <c:auto val="1"/>
        <c:lblAlgn val="ctr"/>
        <c:lblOffset val="100"/>
        <c:noMultiLvlLbl val="0"/>
      </c:catAx>
      <c:valAx>
        <c:axId val="168671104"/>
        <c:scaling>
          <c:orientation val="minMax"/>
          <c:max val="14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8669568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Tocantins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GRAF_OUT!$A$11</c:f>
              <c:strCache>
                <c:ptCount val="1"/>
                <c:pt idx="0">
                  <c:v>Tocantins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GRAF_OUT!$B$11:$E$11</c:f>
              <c:numCache>
                <c:formatCode>#,##0.00</c:formatCode>
                <c:ptCount val="4"/>
                <c:pt idx="0">
                  <c:v>12.819083075783078</c:v>
                </c:pt>
                <c:pt idx="1">
                  <c:v>16.923123542094803</c:v>
                </c:pt>
                <c:pt idx="2">
                  <c:v>13.900539339133202</c:v>
                </c:pt>
                <c:pt idx="3">
                  <c:v>12.761548391254019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6A-4780-9F13-01C3962C8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700160"/>
        <c:axId val="168701952"/>
      </c:lineChart>
      <c:catAx>
        <c:axId val="168700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8701952"/>
        <c:crosses val="autoZero"/>
        <c:auto val="1"/>
        <c:lblAlgn val="ctr"/>
        <c:lblOffset val="100"/>
        <c:noMultiLvlLbl val="0"/>
      </c:catAx>
      <c:valAx>
        <c:axId val="168701952"/>
        <c:scaling>
          <c:orientation val="minMax"/>
          <c:max val="14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8700160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Alagoas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GRAF_OUT!$A$13</c:f>
              <c:strCache>
                <c:ptCount val="1"/>
                <c:pt idx="0">
                  <c:v>Alagoas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GRAF_OUT!$B$13:$E$13</c:f>
              <c:numCache>
                <c:formatCode>#,##0.00</c:formatCode>
                <c:ptCount val="4"/>
                <c:pt idx="0">
                  <c:v>60.905715703951813</c:v>
                </c:pt>
                <c:pt idx="1">
                  <c:v>77.925872895425812</c:v>
                </c:pt>
                <c:pt idx="2">
                  <c:v>80.538219714722658</c:v>
                </c:pt>
                <c:pt idx="3">
                  <c:v>71.808547538382726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6E-4E28-AC81-5E5C652AEB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739200"/>
        <c:axId val="168740736"/>
      </c:lineChart>
      <c:catAx>
        <c:axId val="168739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8740736"/>
        <c:crosses val="autoZero"/>
        <c:auto val="1"/>
        <c:lblAlgn val="ctr"/>
        <c:lblOffset val="100"/>
        <c:noMultiLvlLbl val="0"/>
      </c:catAx>
      <c:valAx>
        <c:axId val="168740736"/>
        <c:scaling>
          <c:orientation val="minMax"/>
          <c:max val="180"/>
          <c:min val="6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8739200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Bahia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GRAF_OUT!$A$14</c:f>
              <c:strCache>
                <c:ptCount val="1"/>
                <c:pt idx="0">
                  <c:v>Bahia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GRAF_OUT!$B$14:$E$14</c:f>
              <c:numCache>
                <c:formatCode>#,##0.00</c:formatCode>
                <c:ptCount val="4"/>
                <c:pt idx="0">
                  <c:v>11.092941172599463</c:v>
                </c:pt>
                <c:pt idx="1">
                  <c:v>17.06994853840613</c:v>
                </c:pt>
                <c:pt idx="2">
                  <c:v>15.22781549029594</c:v>
                </c:pt>
                <c:pt idx="3">
                  <c:v>13.647501709063535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A8-4489-BE79-80DEF8D16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753408"/>
        <c:axId val="168853504"/>
      </c:lineChart>
      <c:catAx>
        <c:axId val="168753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8853504"/>
        <c:crosses val="autoZero"/>
        <c:auto val="1"/>
        <c:lblAlgn val="ctr"/>
        <c:lblOffset val="100"/>
        <c:noMultiLvlLbl val="0"/>
      </c:catAx>
      <c:valAx>
        <c:axId val="168853504"/>
        <c:scaling>
          <c:orientation val="minMax"/>
          <c:max val="180"/>
          <c:min val="6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8753408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Ceará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GRAF_OUT!$A$15</c:f>
              <c:strCache>
                <c:ptCount val="1"/>
                <c:pt idx="0">
                  <c:v>Ceará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GRAF_OUT!$B$15:$E$15</c:f>
              <c:numCache>
                <c:formatCode>#,##0.00</c:formatCode>
                <c:ptCount val="4"/>
                <c:pt idx="0">
                  <c:v>8.7702772823087258</c:v>
                </c:pt>
                <c:pt idx="1">
                  <c:v>23.194086162454223</c:v>
                </c:pt>
                <c:pt idx="2">
                  <c:v>23.474505152937162</c:v>
                </c:pt>
                <c:pt idx="3">
                  <c:v>29.084946743588745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67-4819-858C-96D6ECDE1A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882560"/>
        <c:axId val="168884096"/>
      </c:lineChart>
      <c:catAx>
        <c:axId val="168882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8884096"/>
        <c:crosses val="autoZero"/>
        <c:auto val="1"/>
        <c:lblAlgn val="ctr"/>
        <c:lblOffset val="100"/>
        <c:noMultiLvlLbl val="0"/>
      </c:catAx>
      <c:valAx>
        <c:axId val="168884096"/>
        <c:scaling>
          <c:orientation val="minMax"/>
          <c:max val="180"/>
          <c:min val="6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8882560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Maranhão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GRAF_OUT!$A$16</c:f>
              <c:strCache>
                <c:ptCount val="1"/>
                <c:pt idx="0">
                  <c:v>Maranhão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GRAF_OUT!$B$16:$E$16</c:f>
              <c:numCache>
                <c:formatCode>#,##0.00</c:formatCode>
                <c:ptCount val="4"/>
                <c:pt idx="0">
                  <c:v>32.352976717347545</c:v>
                </c:pt>
                <c:pt idx="1">
                  <c:v>27.046852476819812</c:v>
                </c:pt>
                <c:pt idx="2">
                  <c:v>25.4251761839399</c:v>
                </c:pt>
                <c:pt idx="3">
                  <c:v>22.859665936939326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71-4A5D-9909-F8073D2AC1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937728"/>
        <c:axId val="168939520"/>
      </c:lineChart>
      <c:catAx>
        <c:axId val="168937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8939520"/>
        <c:crosses val="autoZero"/>
        <c:auto val="1"/>
        <c:lblAlgn val="ctr"/>
        <c:lblOffset val="100"/>
        <c:noMultiLvlLbl val="0"/>
      </c:catAx>
      <c:valAx>
        <c:axId val="168939520"/>
        <c:scaling>
          <c:orientation val="minMax"/>
          <c:max val="180"/>
          <c:min val="6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8937728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Paraíba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GRAF_OUT!$A$17</c:f>
              <c:strCache>
                <c:ptCount val="1"/>
                <c:pt idx="0">
                  <c:v>Paraíba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GRAF_OUT!$B$17:$E$17</c:f>
              <c:numCache>
                <c:formatCode>#,##0.00</c:formatCode>
                <c:ptCount val="4"/>
                <c:pt idx="0">
                  <c:v>44.290756006878517</c:v>
                </c:pt>
                <c:pt idx="1">
                  <c:v>40.174019123756338</c:v>
                </c:pt>
                <c:pt idx="2">
                  <c:v>31.479082600105851</c:v>
                </c:pt>
                <c:pt idx="3">
                  <c:v>27.609948744992799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AB-4651-B8C4-36EA2A36A8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972672"/>
        <c:axId val="168974208"/>
      </c:lineChart>
      <c:catAx>
        <c:axId val="168972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8974208"/>
        <c:crosses val="autoZero"/>
        <c:auto val="1"/>
        <c:lblAlgn val="ctr"/>
        <c:lblOffset val="100"/>
        <c:noMultiLvlLbl val="0"/>
      </c:catAx>
      <c:valAx>
        <c:axId val="168974208"/>
        <c:scaling>
          <c:orientation val="minMax"/>
          <c:max val="180"/>
          <c:min val="6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8972672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Pernambuco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GRAF_OUT!$A$18</c:f>
              <c:strCache>
                <c:ptCount val="1"/>
                <c:pt idx="0">
                  <c:v>Pernambuco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GRAF_OUT!$B$18:$E$18</c:f>
              <c:numCache>
                <c:formatCode>#,##0.00</c:formatCode>
                <c:ptCount val="4"/>
                <c:pt idx="0">
                  <c:v>17.004535434414134</c:v>
                </c:pt>
                <c:pt idx="1">
                  <c:v>15.516076407284235</c:v>
                </c:pt>
                <c:pt idx="2">
                  <c:v>12.640670683157886</c:v>
                </c:pt>
                <c:pt idx="3">
                  <c:v>9.3591568486398238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6C-4A1C-A45B-53277CFCE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003264"/>
        <c:axId val="169005056"/>
      </c:lineChart>
      <c:catAx>
        <c:axId val="169003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9005056"/>
        <c:crosses val="autoZero"/>
        <c:auto val="1"/>
        <c:lblAlgn val="ctr"/>
        <c:lblOffset val="100"/>
        <c:noMultiLvlLbl val="0"/>
      </c:catAx>
      <c:valAx>
        <c:axId val="169005056"/>
        <c:scaling>
          <c:orientation val="minMax"/>
          <c:max val="180"/>
          <c:min val="6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9003264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Piauí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GRAF_OUT!$A$19</c:f>
              <c:strCache>
                <c:ptCount val="1"/>
                <c:pt idx="0">
                  <c:v>Piauí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GRAF_OUT!$B$19:$E$19</c:f>
              <c:numCache>
                <c:formatCode>#,##0.00</c:formatCode>
                <c:ptCount val="4"/>
                <c:pt idx="0">
                  <c:v>19.656723089433417</c:v>
                </c:pt>
                <c:pt idx="1">
                  <c:v>10.908073668244603</c:v>
                </c:pt>
                <c:pt idx="2">
                  <c:v>13.075968155971044</c:v>
                </c:pt>
                <c:pt idx="3">
                  <c:v>10.828453837080577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E9-434A-B125-71C555EC30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107840"/>
        <c:axId val="169109376"/>
      </c:lineChart>
      <c:catAx>
        <c:axId val="169107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9109376"/>
        <c:crosses val="autoZero"/>
        <c:auto val="1"/>
        <c:lblAlgn val="ctr"/>
        <c:lblOffset val="100"/>
        <c:noMultiLvlLbl val="0"/>
      </c:catAx>
      <c:valAx>
        <c:axId val="169109376"/>
        <c:scaling>
          <c:orientation val="minMax"/>
          <c:max val="180"/>
          <c:min val="6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9107840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 Grande do Norte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GRAF_OUT!$A$20</c:f>
              <c:strCache>
                <c:ptCount val="1"/>
                <c:pt idx="0">
                  <c:v>Rio Grande do Norte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GRAF_OUT!$B$20:$E$20</c:f>
              <c:numCache>
                <c:formatCode>#,##0.00</c:formatCode>
                <c:ptCount val="4"/>
                <c:pt idx="0">
                  <c:v>9.960439887743803</c:v>
                </c:pt>
                <c:pt idx="1">
                  <c:v>11.104370414641966</c:v>
                </c:pt>
                <c:pt idx="2">
                  <c:v>8.5805258965811095</c:v>
                </c:pt>
                <c:pt idx="3">
                  <c:v>9.6314010383204227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B8-4D55-B623-211B6992EF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150720"/>
        <c:axId val="169156608"/>
      </c:lineChart>
      <c:catAx>
        <c:axId val="169150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9156608"/>
        <c:crosses val="autoZero"/>
        <c:auto val="1"/>
        <c:lblAlgn val="ctr"/>
        <c:lblOffset val="100"/>
        <c:noMultiLvlLbl val="0"/>
      </c:catAx>
      <c:valAx>
        <c:axId val="169156608"/>
        <c:scaling>
          <c:orientation val="minMax"/>
          <c:max val="180"/>
          <c:min val="6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9150720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Sergipe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GRAF_OUT!$A$21</c:f>
              <c:strCache>
                <c:ptCount val="1"/>
                <c:pt idx="0">
                  <c:v>Sergipe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GRAF_OUT!$B$21:$E$21</c:f>
              <c:numCache>
                <c:formatCode>#,##0.00</c:formatCode>
                <c:ptCount val="4"/>
                <c:pt idx="0">
                  <c:v>4.0699735008489979</c:v>
                </c:pt>
                <c:pt idx="1">
                  <c:v>2.761804774542242</c:v>
                </c:pt>
                <c:pt idx="2">
                  <c:v>0.14924690729204279</c:v>
                </c:pt>
                <c:pt idx="3">
                  <c:v>0.40434303728567428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80-4BCD-94FD-8AFA8E6D7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193856"/>
        <c:axId val="169195392"/>
      </c:lineChart>
      <c:catAx>
        <c:axId val="169193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9195392"/>
        <c:crosses val="autoZero"/>
        <c:auto val="1"/>
        <c:lblAlgn val="ctr"/>
        <c:lblOffset val="100"/>
        <c:noMultiLvlLbl val="0"/>
      </c:catAx>
      <c:valAx>
        <c:axId val="169195392"/>
        <c:scaling>
          <c:orientation val="minMax"/>
          <c:max val="180"/>
          <c:min val="6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9193856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3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Espírito Santo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GRAF_OUT!$A$23</c:f>
              <c:strCache>
                <c:ptCount val="1"/>
                <c:pt idx="0">
                  <c:v>Espírito Santo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GRAF_OUT!$B$23:$E$23</c:f>
              <c:numCache>
                <c:formatCode>#,##0.00</c:formatCode>
                <c:ptCount val="4"/>
                <c:pt idx="0">
                  <c:v>14.645345712261594</c:v>
                </c:pt>
                <c:pt idx="1">
                  <c:v>15.881196259057242</c:v>
                </c:pt>
                <c:pt idx="2">
                  <c:v>7.9911447478924247</c:v>
                </c:pt>
                <c:pt idx="3">
                  <c:v>8.3326356686140244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E9-44BF-B409-9256FC663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216256"/>
        <c:axId val="169238528"/>
      </c:lineChart>
      <c:catAx>
        <c:axId val="169216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9238528"/>
        <c:crosses val="autoZero"/>
        <c:auto val="1"/>
        <c:lblAlgn val="ctr"/>
        <c:lblOffset val="100"/>
        <c:noMultiLvlLbl val="0"/>
      </c:catAx>
      <c:valAx>
        <c:axId val="169238528"/>
        <c:scaling>
          <c:orientation val="minMax"/>
          <c:max val="100"/>
          <c:min val="2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9216256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Minas Gerais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GRAF_OUT!$A$24</c:f>
              <c:strCache>
                <c:ptCount val="1"/>
                <c:pt idx="0">
                  <c:v>Minas Gerais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cat>
            <c:numRef>
              <c:f>GRAF_OUT!$B$2:$E$2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GRAF_OUT!$B$24:$E$24</c:f>
              <c:numCache>
                <c:formatCode>#,##0.00</c:formatCode>
                <c:ptCount val="4"/>
                <c:pt idx="0">
                  <c:v>11.293157042447525</c:v>
                </c:pt>
                <c:pt idx="1">
                  <c:v>10.121783147719663</c:v>
                </c:pt>
                <c:pt idx="2">
                  <c:v>9.6596574862028106</c:v>
                </c:pt>
                <c:pt idx="3">
                  <c:v>9.1806507905129262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9C-4783-A28A-3EB5EAD58EA8}"/>
            </c:ext>
          </c:extLst>
        </c:ser>
        <c:ser>
          <c:idx val="2"/>
          <c:order val="0"/>
          <c:tx>
            <c:strRef>
              <c:f>GRAF_OUT!$A$24</c:f>
              <c:strCache>
                <c:ptCount val="1"/>
                <c:pt idx="0">
                  <c:v>Minas Gerais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GRAF_OUT!$B$24:$E$24</c:f>
              <c:numCache>
                <c:formatCode>#,##0.00</c:formatCode>
                <c:ptCount val="4"/>
                <c:pt idx="0">
                  <c:v>11.293157042447525</c:v>
                </c:pt>
                <c:pt idx="1">
                  <c:v>10.121783147719663</c:v>
                </c:pt>
                <c:pt idx="2">
                  <c:v>9.6596574862028106</c:v>
                </c:pt>
                <c:pt idx="3">
                  <c:v>9.1806507905129262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9C-4783-A28A-3EB5EAD58E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276928"/>
        <c:axId val="169278464"/>
      </c:lineChart>
      <c:catAx>
        <c:axId val="16927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9278464"/>
        <c:crosses val="autoZero"/>
        <c:auto val="1"/>
        <c:lblAlgn val="ctr"/>
        <c:lblOffset val="100"/>
        <c:noMultiLvlLbl val="0"/>
      </c:catAx>
      <c:valAx>
        <c:axId val="169278464"/>
        <c:scaling>
          <c:orientation val="minMax"/>
          <c:max val="100"/>
          <c:min val="2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9276928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 de Janeiro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GRAF_OUT!$A$25</c:f>
              <c:strCache>
                <c:ptCount val="1"/>
                <c:pt idx="0">
                  <c:v>Rio de Janeiro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GRAF_OUT!$B$25:$E$25</c:f>
              <c:numCache>
                <c:formatCode>#,##0.00</c:formatCode>
                <c:ptCount val="4"/>
                <c:pt idx="0">
                  <c:v>4.7264610336956343</c:v>
                </c:pt>
                <c:pt idx="1">
                  <c:v>9.8408080190877278</c:v>
                </c:pt>
                <c:pt idx="2">
                  <c:v>8.9081866408228709</c:v>
                </c:pt>
                <c:pt idx="3">
                  <c:v>14.513340853526334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5C-4DD7-968E-B6A2A5F4E5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303424"/>
        <c:axId val="169309312"/>
      </c:lineChart>
      <c:catAx>
        <c:axId val="169303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9309312"/>
        <c:crosses val="autoZero"/>
        <c:auto val="1"/>
        <c:lblAlgn val="ctr"/>
        <c:lblOffset val="100"/>
        <c:noMultiLvlLbl val="0"/>
      </c:catAx>
      <c:valAx>
        <c:axId val="169309312"/>
        <c:scaling>
          <c:orientation val="minMax"/>
          <c:max val="100"/>
          <c:min val="2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9303424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3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São Paulo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GRAF_OUT!$A$26</c:f>
              <c:strCache>
                <c:ptCount val="1"/>
                <c:pt idx="0">
                  <c:v>São Paulo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GRAF_OUT!$B$26:$E$26</c:f>
              <c:numCache>
                <c:formatCode>#,##0.00</c:formatCode>
                <c:ptCount val="4"/>
                <c:pt idx="0">
                  <c:v>7.5971216910458779</c:v>
                </c:pt>
                <c:pt idx="1">
                  <c:v>7.2388208985325653</c:v>
                </c:pt>
                <c:pt idx="2">
                  <c:v>7.0090291440978474</c:v>
                </c:pt>
                <c:pt idx="3">
                  <c:v>6.5338785295941078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49-46C6-A1D1-B83745D333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485824"/>
        <c:axId val="169487360"/>
      </c:lineChart>
      <c:catAx>
        <c:axId val="169485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9487360"/>
        <c:crosses val="autoZero"/>
        <c:auto val="1"/>
        <c:lblAlgn val="ctr"/>
        <c:lblOffset val="100"/>
        <c:noMultiLvlLbl val="0"/>
      </c:catAx>
      <c:valAx>
        <c:axId val="169487360"/>
        <c:scaling>
          <c:orientation val="minMax"/>
          <c:max val="100"/>
          <c:min val="2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9485824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3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Paraná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GRAF_OUT!$A$28</c:f>
              <c:strCache>
                <c:ptCount val="1"/>
                <c:pt idx="0">
                  <c:v>Paraná</c:v>
                </c:pt>
              </c:strCache>
            </c:strRef>
          </c:tx>
          <c:spPr>
            <a:ln w="38100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GRAF_OUT!$B$28:$E$28</c:f>
              <c:numCache>
                <c:formatCode>#,##0.00</c:formatCode>
                <c:ptCount val="4"/>
                <c:pt idx="0">
                  <c:v>12.965690996271862</c:v>
                </c:pt>
                <c:pt idx="1">
                  <c:v>14.295682650240918</c:v>
                </c:pt>
                <c:pt idx="2">
                  <c:v>13.431287569209983</c:v>
                </c:pt>
                <c:pt idx="3">
                  <c:v>12.23109584424993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15-4DCE-A7F3-C036137CAF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516416"/>
        <c:axId val="169534592"/>
      </c:lineChart>
      <c:catAx>
        <c:axId val="16951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9534592"/>
        <c:crosses val="autoZero"/>
        <c:auto val="1"/>
        <c:lblAlgn val="ctr"/>
        <c:lblOffset val="100"/>
        <c:noMultiLvlLbl val="0"/>
      </c:catAx>
      <c:valAx>
        <c:axId val="169534592"/>
        <c:scaling>
          <c:orientation val="minMax"/>
          <c:max val="10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9516416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</a:t>
            </a:r>
            <a:r>
              <a:rPr lang="pt-BR" baseline="0"/>
              <a:t> Grande do Sul</a:t>
            </a:r>
            <a:endParaRPr lang="pt-BR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GRAF_OUT!$A$29</c:f>
              <c:strCache>
                <c:ptCount val="1"/>
                <c:pt idx="0">
                  <c:v>Rio Grande do Sul</c:v>
                </c:pt>
              </c:strCache>
            </c:strRef>
          </c:tx>
          <c:spPr>
            <a:ln w="38100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GRAF_OUT!$B$29:$E$29</c:f>
              <c:numCache>
                <c:formatCode>#,##0.00</c:formatCode>
                <c:ptCount val="4"/>
                <c:pt idx="0">
                  <c:v>14.182954223717104</c:v>
                </c:pt>
                <c:pt idx="1">
                  <c:v>14.70924403621164</c:v>
                </c:pt>
                <c:pt idx="2">
                  <c:v>10.588685316005209</c:v>
                </c:pt>
                <c:pt idx="3">
                  <c:v>8.8758955034918383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A8-464B-B2F1-92296F3197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559168"/>
        <c:axId val="169560704"/>
      </c:lineChart>
      <c:catAx>
        <c:axId val="169559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9560704"/>
        <c:crosses val="autoZero"/>
        <c:auto val="1"/>
        <c:lblAlgn val="ctr"/>
        <c:lblOffset val="100"/>
        <c:noMultiLvlLbl val="0"/>
      </c:catAx>
      <c:valAx>
        <c:axId val="169560704"/>
        <c:scaling>
          <c:orientation val="minMax"/>
          <c:max val="10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9559168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Santa</a:t>
            </a:r>
            <a:r>
              <a:rPr lang="pt-BR" baseline="0"/>
              <a:t> Catarina</a:t>
            </a:r>
            <a:endParaRPr lang="pt-BR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GRAF_OUT!$A$30</c:f>
              <c:strCache>
                <c:ptCount val="1"/>
                <c:pt idx="0">
                  <c:v>Santa Catarina</c:v>
                </c:pt>
              </c:strCache>
            </c:strRef>
          </c:tx>
          <c:spPr>
            <a:ln w="38100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GRAF_OUT!$B$30:$E$30</c:f>
              <c:numCache>
                <c:formatCode>#,##0.00</c:formatCode>
                <c:ptCount val="4"/>
                <c:pt idx="0">
                  <c:v>8.4356112554030087</c:v>
                </c:pt>
                <c:pt idx="1">
                  <c:v>6.1164397722893717</c:v>
                </c:pt>
                <c:pt idx="2">
                  <c:v>4.9665499130532114</c:v>
                </c:pt>
                <c:pt idx="3">
                  <c:v>4.6356873845495725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DB-4007-8928-613CF0B5E7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593856"/>
        <c:axId val="169603840"/>
      </c:lineChart>
      <c:catAx>
        <c:axId val="169593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9603840"/>
        <c:crosses val="autoZero"/>
        <c:auto val="1"/>
        <c:lblAlgn val="ctr"/>
        <c:lblOffset val="100"/>
        <c:noMultiLvlLbl val="0"/>
      </c:catAx>
      <c:valAx>
        <c:axId val="169603840"/>
        <c:scaling>
          <c:orientation val="minMax"/>
          <c:max val="100"/>
          <c:min val="4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9593856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Distrito Federal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GRAF_OUT!$A$32</c:f>
              <c:strCache>
                <c:ptCount val="1"/>
                <c:pt idx="0">
                  <c:v>Distrito Federal</c:v>
                </c:pt>
              </c:strCache>
            </c:strRef>
          </c:tx>
          <c:spPr>
            <a:ln w="381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GRAF_OUT!$B$32:$E$32</c:f>
              <c:numCache>
                <c:formatCode>#,##0.00</c:formatCode>
                <c:ptCount val="4"/>
                <c:pt idx="0">
                  <c:v>1.3023720025955532</c:v>
                </c:pt>
                <c:pt idx="1">
                  <c:v>0.14180021760986444</c:v>
                </c:pt>
                <c:pt idx="2">
                  <c:v>0.26496045449025502</c:v>
                </c:pt>
                <c:pt idx="3">
                  <c:v>0.56565771956833422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B3-4BC5-8D95-0EF7E238B7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653376"/>
        <c:axId val="169654912"/>
      </c:lineChart>
      <c:catAx>
        <c:axId val="169653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9654912"/>
        <c:crosses val="autoZero"/>
        <c:auto val="1"/>
        <c:lblAlgn val="ctr"/>
        <c:lblOffset val="100"/>
        <c:noMultiLvlLbl val="0"/>
      </c:catAx>
      <c:valAx>
        <c:axId val="169654912"/>
        <c:scaling>
          <c:orientation val="minMax"/>
          <c:max val="100"/>
          <c:min val="2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9653376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Goiás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GRAF_OUT!$A$33</c:f>
              <c:strCache>
                <c:ptCount val="1"/>
                <c:pt idx="0">
                  <c:v>Goiás</c:v>
                </c:pt>
              </c:strCache>
            </c:strRef>
          </c:tx>
          <c:spPr>
            <a:ln w="381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GRAF_OUT!$B$33:$E$33</c:f>
              <c:numCache>
                <c:formatCode>#,##0.00</c:formatCode>
                <c:ptCount val="4"/>
                <c:pt idx="0">
                  <c:v>19.466149466212094</c:v>
                </c:pt>
                <c:pt idx="1">
                  <c:v>19.622010303099284</c:v>
                </c:pt>
                <c:pt idx="2">
                  <c:v>17.121764201837177</c:v>
                </c:pt>
                <c:pt idx="3">
                  <c:v>16.577860988215416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41-412A-A0E7-C7B042722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671680"/>
        <c:axId val="169759488"/>
      </c:lineChart>
      <c:catAx>
        <c:axId val="169671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9759488"/>
        <c:crosses val="autoZero"/>
        <c:auto val="1"/>
        <c:lblAlgn val="ctr"/>
        <c:lblOffset val="100"/>
        <c:noMultiLvlLbl val="0"/>
      </c:catAx>
      <c:valAx>
        <c:axId val="169759488"/>
        <c:scaling>
          <c:orientation val="minMax"/>
          <c:max val="100"/>
          <c:min val="2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9671680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3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Mato Grosso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GRAF_OUT!$A$34</c:f>
              <c:strCache>
                <c:ptCount val="1"/>
                <c:pt idx="0">
                  <c:v>Mato Grosso</c:v>
                </c:pt>
              </c:strCache>
            </c:strRef>
          </c:tx>
          <c:spPr>
            <a:ln w="381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GRAF_OUT!$B$34:$E$34</c:f>
              <c:numCache>
                <c:formatCode>#,##0.00</c:formatCode>
                <c:ptCount val="4"/>
                <c:pt idx="0">
                  <c:v>13.240827819022142</c:v>
                </c:pt>
                <c:pt idx="1">
                  <c:v>10.791461913725355</c:v>
                </c:pt>
                <c:pt idx="2">
                  <c:v>10.250237426688869</c:v>
                </c:pt>
                <c:pt idx="3">
                  <c:v>8.847679570897693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86-4AAA-BC12-5CD2EC9E1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792640"/>
        <c:axId val="169794176"/>
      </c:lineChart>
      <c:catAx>
        <c:axId val="169792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9794176"/>
        <c:crosses val="autoZero"/>
        <c:auto val="1"/>
        <c:lblAlgn val="ctr"/>
        <c:lblOffset val="100"/>
        <c:noMultiLvlLbl val="0"/>
      </c:catAx>
      <c:valAx>
        <c:axId val="169794176"/>
        <c:scaling>
          <c:orientation val="minMax"/>
          <c:max val="100"/>
          <c:min val="2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9792640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3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Mato Grosso do Sul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GRAF_OUT!$A$35</c:f>
              <c:strCache>
                <c:ptCount val="1"/>
                <c:pt idx="0">
                  <c:v>Mato Grosso do Sul</c:v>
                </c:pt>
              </c:strCache>
            </c:strRef>
          </c:tx>
          <c:spPr>
            <a:ln w="381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GRAF_OUT!$B$35:$E$35</c:f>
              <c:numCache>
                <c:formatCode>#,##0.00</c:formatCode>
                <c:ptCount val="4"/>
                <c:pt idx="0">
                  <c:v>3.4310972202329362</c:v>
                </c:pt>
                <c:pt idx="1">
                  <c:v>5.5581356923504392</c:v>
                </c:pt>
                <c:pt idx="2">
                  <c:v>3.705402838192942</c:v>
                </c:pt>
                <c:pt idx="3">
                  <c:v>3.7723454345299219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1C-4698-9988-5C7E91D39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827328"/>
        <c:axId val="169829120"/>
      </c:lineChart>
      <c:catAx>
        <c:axId val="169827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9829120"/>
        <c:crosses val="autoZero"/>
        <c:auto val="1"/>
        <c:lblAlgn val="ctr"/>
        <c:lblOffset val="100"/>
        <c:noMultiLvlLbl val="0"/>
      </c:catAx>
      <c:valAx>
        <c:axId val="169829120"/>
        <c:scaling>
          <c:orientation val="minMax"/>
          <c:max val="100"/>
          <c:min val="2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9827328"/>
        <c:crosses val="autoZero"/>
        <c:crossBetween val="between"/>
        <c:majorUnit val="2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3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Brasil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GRAF_OUT!$A$3</c:f>
              <c:strCache>
                <c:ptCount val="1"/>
                <c:pt idx="0">
                  <c:v>Brasil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circle"/>
            <c:size val="8"/>
            <c:spPr>
              <a:solidFill>
                <a:srgbClr val="FFFF66"/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GRAF_OUT!$B$2:$E$2</c:f>
              <c:numCache>
                <c:formatCode>General</c:formatCode>
                <c:ptCount val="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</c:numCache>
            </c:numRef>
          </c:cat>
          <c:val>
            <c:numRef>
              <c:f>GRAF_OUT!$B$3:$E$3</c:f>
              <c:numCache>
                <c:formatCode>#,##0.00</c:formatCode>
                <c:ptCount val="4"/>
                <c:pt idx="0">
                  <c:v>2.9215016183273632</c:v>
                </c:pt>
                <c:pt idx="1">
                  <c:v>2.6229209232576909</c:v>
                </c:pt>
                <c:pt idx="2">
                  <c:v>2.4211726428765168</c:v>
                </c:pt>
                <c:pt idx="3">
                  <c:v>2.2376887475796021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9-46A9-ADAD-0F9C045D0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936000"/>
        <c:axId val="169937536"/>
      </c:lineChart>
      <c:catAx>
        <c:axId val="169936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9937536"/>
        <c:crosses val="autoZero"/>
        <c:auto val="1"/>
        <c:lblAlgn val="ctr"/>
        <c:lblOffset val="100"/>
        <c:noMultiLvlLbl val="0"/>
      </c:catAx>
      <c:valAx>
        <c:axId val="169937536"/>
        <c:scaling>
          <c:orientation val="minMax"/>
          <c:max val="80"/>
          <c:min val="50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pt-BR" sz="1200"/>
                  <a:t>Mortes/10</a:t>
                </a:r>
                <a:r>
                  <a:rPr lang="pt-BR" sz="1200" baseline="30000"/>
                  <a:t>9</a:t>
                </a:r>
                <a:r>
                  <a:rPr lang="pt-BR" sz="1200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25400">
            <a:solidFill>
              <a:prstClr val="black"/>
            </a:solidFill>
          </a:ln>
        </c:spPr>
        <c:txPr>
          <a:bodyPr/>
          <a:lstStyle/>
          <a:p>
            <a:pPr>
              <a:defRPr sz="1200" b="1"/>
            </a:pPr>
            <a:endParaRPr lang="en-US"/>
          </a:p>
        </c:txPr>
        <c:crossAx val="169936000"/>
        <c:crosses val="autoZero"/>
        <c:crossBetween val="between"/>
        <c:majorUnit val="1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0.17155796150481201"/>
          <c:y val="8.2993200237121104E-2"/>
          <c:w val="0.77311570428696397"/>
          <c:h val="0.81111745622428899"/>
        </c:manualLayout>
      </c:layout>
      <c:scatterChart>
        <c:scatterStyle val="lineMarker"/>
        <c:varyColors val="0"/>
        <c:ser>
          <c:idx val="0"/>
          <c:order val="0"/>
          <c:tx>
            <c:v>2008</c:v>
          </c:tx>
          <c:spPr>
            <a:ln w="28575">
              <a:noFill/>
            </a:ln>
          </c:spPr>
          <c:dLbls>
            <c:delete val="1"/>
          </c:dLbls>
          <c:xVal>
            <c:numRef>
              <c:f>FREQxRISCO!$F$2:$F$28</c:f>
              <c:numCache>
                <c:formatCode>0.00</c:formatCode>
                <c:ptCount val="27"/>
                <c:pt idx="0">
                  <c:v>69.289262866886006</c:v>
                </c:pt>
                <c:pt idx="1">
                  <c:v>100.81693816547882</c:v>
                </c:pt>
                <c:pt idx="2">
                  <c:v>119.72338633749609</c:v>
                </c:pt>
                <c:pt idx="3">
                  <c:v>145.97621907801792</c:v>
                </c:pt>
                <c:pt idx="4">
                  <c:v>84.170202518936577</c:v>
                </c:pt>
                <c:pt idx="5">
                  <c:v>51.537964966255238</c:v>
                </c:pt>
                <c:pt idx="6">
                  <c:v>84.237016885634773</c:v>
                </c:pt>
                <c:pt idx="7">
                  <c:v>62.699678007260808</c:v>
                </c:pt>
                <c:pt idx="8">
                  <c:v>97.367905491885139</c:v>
                </c:pt>
                <c:pt idx="9">
                  <c:v>119.81291829578933</c:v>
                </c:pt>
                <c:pt idx="10">
                  <c:v>76.558258005690135</c:v>
                </c:pt>
                <c:pt idx="11">
                  <c:v>60.631037088365588</c:v>
                </c:pt>
                <c:pt idx="12">
                  <c:v>74.052137421610126</c:v>
                </c:pt>
                <c:pt idx="13">
                  <c:v>49.482743039541752</c:v>
                </c:pt>
                <c:pt idx="14">
                  <c:v>54.132825309654883</c:v>
                </c:pt>
                <c:pt idx="15">
                  <c:v>95.388107915125175</c:v>
                </c:pt>
                <c:pt idx="16">
                  <c:v>70.153514296126346</c:v>
                </c:pt>
                <c:pt idx="17">
                  <c:v>43.978328579679349</c:v>
                </c:pt>
                <c:pt idx="18">
                  <c:v>77.904989477854201</c:v>
                </c:pt>
                <c:pt idx="19">
                  <c:v>63.763512544252187</c:v>
                </c:pt>
                <c:pt idx="20">
                  <c:v>56.00230179246374</c:v>
                </c:pt>
                <c:pt idx="21">
                  <c:v>48.373721439681184</c:v>
                </c:pt>
                <c:pt idx="22">
                  <c:v>48.0055422525827</c:v>
                </c:pt>
                <c:pt idx="23">
                  <c:v>88.2377015843647</c:v>
                </c:pt>
                <c:pt idx="24">
                  <c:v>63.726072749320601</c:v>
                </c:pt>
                <c:pt idx="25">
                  <c:v>35.734097233344606</c:v>
                </c:pt>
                <c:pt idx="26">
                  <c:v>51.164317817628977</c:v>
                </c:pt>
              </c:numCache>
            </c:numRef>
          </c:xVal>
          <c:yVal>
            <c:numRef>
              <c:f>FREQxRISCO!$K$2:$K$28</c:f>
              <c:numCache>
                <c:formatCode>General</c:formatCode>
                <c:ptCount val="27"/>
                <c:pt idx="0">
                  <c:v>3166</c:v>
                </c:pt>
                <c:pt idx="1">
                  <c:v>1663</c:v>
                </c:pt>
                <c:pt idx="2">
                  <c:v>1128</c:v>
                </c:pt>
                <c:pt idx="3">
                  <c:v>829</c:v>
                </c:pt>
                <c:pt idx="4">
                  <c:v>1533</c:v>
                </c:pt>
                <c:pt idx="5">
                  <c:v>3942</c:v>
                </c:pt>
                <c:pt idx="6">
                  <c:v>1061</c:v>
                </c:pt>
                <c:pt idx="7">
                  <c:v>1725</c:v>
                </c:pt>
                <c:pt idx="8">
                  <c:v>788</c:v>
                </c:pt>
                <c:pt idx="9">
                  <c:v>592</c:v>
                </c:pt>
                <c:pt idx="10">
                  <c:v>1103</c:v>
                </c:pt>
                <c:pt idx="11">
                  <c:v>1587</c:v>
                </c:pt>
                <c:pt idx="12">
                  <c:v>1033</c:v>
                </c:pt>
                <c:pt idx="13">
                  <c:v>2573</c:v>
                </c:pt>
                <c:pt idx="14">
                  <c:v>1827</c:v>
                </c:pt>
                <c:pt idx="15">
                  <c:v>475</c:v>
                </c:pt>
                <c:pt idx="16">
                  <c:v>695</c:v>
                </c:pt>
                <c:pt idx="17">
                  <c:v>1969</c:v>
                </c:pt>
                <c:pt idx="18">
                  <c:v>446</c:v>
                </c:pt>
                <c:pt idx="19">
                  <c:v>449</c:v>
                </c:pt>
                <c:pt idx="20">
                  <c:v>454</c:v>
                </c:pt>
                <c:pt idx="21">
                  <c:v>610</c:v>
                </c:pt>
                <c:pt idx="22">
                  <c:v>375</c:v>
                </c:pt>
                <c:pt idx="23">
                  <c:v>120</c:v>
                </c:pt>
                <c:pt idx="24">
                  <c:v>112</c:v>
                </c:pt>
                <c:pt idx="25">
                  <c:v>7349</c:v>
                </c:pt>
                <c:pt idx="26">
                  <c:v>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A6-4D3C-8890-2D3F6B3DBEA5}"/>
            </c:ext>
          </c:extLst>
        </c:ser>
        <c:dLbls>
          <c:showLegendKey val="0"/>
          <c:showVal val="1"/>
          <c:showCatName val="1"/>
          <c:showSerName val="0"/>
          <c:showPercent val="0"/>
          <c:showBubbleSize val="0"/>
        </c:dLbls>
        <c:axId val="170057728"/>
        <c:axId val="170059648"/>
      </c:scatterChart>
      <c:valAx>
        <c:axId val="170057728"/>
        <c:scaling>
          <c:orientation val="minMax"/>
        </c:scaling>
        <c:delete val="0"/>
        <c:axPos val="b"/>
        <c:title>
          <c:overlay val="0"/>
        </c:title>
        <c:numFmt formatCode="0.00" sourceLinked="1"/>
        <c:majorTickMark val="out"/>
        <c:minorTickMark val="none"/>
        <c:tickLblPos val="nextTo"/>
        <c:crossAx val="170059648"/>
        <c:crosses val="autoZero"/>
        <c:crossBetween val="midCat"/>
      </c:valAx>
      <c:valAx>
        <c:axId val="170059648"/>
        <c:scaling>
          <c:orientation val="minMax"/>
        </c:scaling>
        <c:delete val="0"/>
        <c:axPos val="l"/>
        <c:majorGridlines/>
        <c:title>
          <c:overlay val="0"/>
        </c:title>
        <c:numFmt formatCode="General" sourceLinked="1"/>
        <c:majorTickMark val="out"/>
        <c:minorTickMark val="none"/>
        <c:tickLblPos val="nextTo"/>
        <c:crossAx val="1700577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302" footer="0.314960620000003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9.xml"/><Relationship Id="rId13" Type="http://schemas.openxmlformats.org/officeDocument/2006/relationships/chart" Target="../charts/chart24.xml"/><Relationship Id="rId18" Type="http://schemas.openxmlformats.org/officeDocument/2006/relationships/chart" Target="../charts/chart29.xml"/><Relationship Id="rId26" Type="http://schemas.openxmlformats.org/officeDocument/2006/relationships/chart" Target="../charts/chart37.xml"/><Relationship Id="rId3" Type="http://schemas.openxmlformats.org/officeDocument/2006/relationships/chart" Target="../charts/chart14.xml"/><Relationship Id="rId21" Type="http://schemas.openxmlformats.org/officeDocument/2006/relationships/chart" Target="../charts/chart32.xml"/><Relationship Id="rId7" Type="http://schemas.openxmlformats.org/officeDocument/2006/relationships/chart" Target="../charts/chart18.xml"/><Relationship Id="rId12" Type="http://schemas.openxmlformats.org/officeDocument/2006/relationships/chart" Target="../charts/chart23.xml"/><Relationship Id="rId17" Type="http://schemas.openxmlformats.org/officeDocument/2006/relationships/chart" Target="../charts/chart28.xml"/><Relationship Id="rId25" Type="http://schemas.openxmlformats.org/officeDocument/2006/relationships/chart" Target="../charts/chart36.xml"/><Relationship Id="rId2" Type="http://schemas.openxmlformats.org/officeDocument/2006/relationships/chart" Target="../charts/chart13.xml"/><Relationship Id="rId16" Type="http://schemas.openxmlformats.org/officeDocument/2006/relationships/chart" Target="../charts/chart27.xml"/><Relationship Id="rId20" Type="http://schemas.openxmlformats.org/officeDocument/2006/relationships/chart" Target="../charts/chart31.xml"/><Relationship Id="rId1" Type="http://schemas.openxmlformats.org/officeDocument/2006/relationships/chart" Target="../charts/chart12.xml"/><Relationship Id="rId6" Type="http://schemas.openxmlformats.org/officeDocument/2006/relationships/chart" Target="../charts/chart17.xml"/><Relationship Id="rId11" Type="http://schemas.openxmlformats.org/officeDocument/2006/relationships/chart" Target="../charts/chart22.xml"/><Relationship Id="rId24" Type="http://schemas.openxmlformats.org/officeDocument/2006/relationships/chart" Target="../charts/chart35.xml"/><Relationship Id="rId5" Type="http://schemas.openxmlformats.org/officeDocument/2006/relationships/chart" Target="../charts/chart16.xml"/><Relationship Id="rId15" Type="http://schemas.openxmlformats.org/officeDocument/2006/relationships/chart" Target="../charts/chart26.xml"/><Relationship Id="rId23" Type="http://schemas.openxmlformats.org/officeDocument/2006/relationships/chart" Target="../charts/chart34.xml"/><Relationship Id="rId10" Type="http://schemas.openxmlformats.org/officeDocument/2006/relationships/chart" Target="../charts/chart21.xml"/><Relationship Id="rId19" Type="http://schemas.openxmlformats.org/officeDocument/2006/relationships/chart" Target="../charts/chart30.xml"/><Relationship Id="rId4" Type="http://schemas.openxmlformats.org/officeDocument/2006/relationships/chart" Target="../charts/chart15.xml"/><Relationship Id="rId9" Type="http://schemas.openxmlformats.org/officeDocument/2006/relationships/chart" Target="../charts/chart20.xml"/><Relationship Id="rId14" Type="http://schemas.openxmlformats.org/officeDocument/2006/relationships/chart" Target="../charts/chart25.xml"/><Relationship Id="rId22" Type="http://schemas.openxmlformats.org/officeDocument/2006/relationships/chart" Target="../charts/chart33.xml"/><Relationship Id="rId27" Type="http://schemas.openxmlformats.org/officeDocument/2006/relationships/chart" Target="../charts/chart38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6.xml"/><Relationship Id="rId13" Type="http://schemas.openxmlformats.org/officeDocument/2006/relationships/chart" Target="../charts/chart51.xml"/><Relationship Id="rId18" Type="http://schemas.openxmlformats.org/officeDocument/2006/relationships/chart" Target="../charts/chart56.xml"/><Relationship Id="rId26" Type="http://schemas.openxmlformats.org/officeDocument/2006/relationships/chart" Target="../charts/chart64.xml"/><Relationship Id="rId3" Type="http://schemas.openxmlformats.org/officeDocument/2006/relationships/chart" Target="../charts/chart41.xml"/><Relationship Id="rId21" Type="http://schemas.openxmlformats.org/officeDocument/2006/relationships/chart" Target="../charts/chart59.xml"/><Relationship Id="rId7" Type="http://schemas.openxmlformats.org/officeDocument/2006/relationships/chart" Target="../charts/chart45.xml"/><Relationship Id="rId12" Type="http://schemas.openxmlformats.org/officeDocument/2006/relationships/chart" Target="../charts/chart50.xml"/><Relationship Id="rId17" Type="http://schemas.openxmlformats.org/officeDocument/2006/relationships/chart" Target="../charts/chart55.xml"/><Relationship Id="rId25" Type="http://schemas.openxmlformats.org/officeDocument/2006/relationships/chart" Target="../charts/chart63.xml"/><Relationship Id="rId2" Type="http://schemas.openxmlformats.org/officeDocument/2006/relationships/chart" Target="../charts/chart40.xml"/><Relationship Id="rId16" Type="http://schemas.openxmlformats.org/officeDocument/2006/relationships/chart" Target="../charts/chart54.xml"/><Relationship Id="rId20" Type="http://schemas.openxmlformats.org/officeDocument/2006/relationships/chart" Target="../charts/chart58.xml"/><Relationship Id="rId1" Type="http://schemas.openxmlformats.org/officeDocument/2006/relationships/chart" Target="../charts/chart39.xml"/><Relationship Id="rId6" Type="http://schemas.openxmlformats.org/officeDocument/2006/relationships/chart" Target="../charts/chart44.xml"/><Relationship Id="rId11" Type="http://schemas.openxmlformats.org/officeDocument/2006/relationships/chart" Target="../charts/chart49.xml"/><Relationship Id="rId24" Type="http://schemas.openxmlformats.org/officeDocument/2006/relationships/chart" Target="../charts/chart62.xml"/><Relationship Id="rId5" Type="http://schemas.openxmlformats.org/officeDocument/2006/relationships/chart" Target="../charts/chart43.xml"/><Relationship Id="rId15" Type="http://schemas.openxmlformats.org/officeDocument/2006/relationships/chart" Target="../charts/chart53.xml"/><Relationship Id="rId23" Type="http://schemas.openxmlformats.org/officeDocument/2006/relationships/chart" Target="../charts/chart61.xml"/><Relationship Id="rId10" Type="http://schemas.openxmlformats.org/officeDocument/2006/relationships/chart" Target="../charts/chart48.xml"/><Relationship Id="rId19" Type="http://schemas.openxmlformats.org/officeDocument/2006/relationships/chart" Target="../charts/chart57.xml"/><Relationship Id="rId4" Type="http://schemas.openxmlformats.org/officeDocument/2006/relationships/chart" Target="../charts/chart42.xml"/><Relationship Id="rId9" Type="http://schemas.openxmlformats.org/officeDocument/2006/relationships/chart" Target="../charts/chart47.xml"/><Relationship Id="rId14" Type="http://schemas.openxmlformats.org/officeDocument/2006/relationships/chart" Target="../charts/chart52.xml"/><Relationship Id="rId22" Type="http://schemas.openxmlformats.org/officeDocument/2006/relationships/chart" Target="../charts/chart60.xml"/><Relationship Id="rId27" Type="http://schemas.openxmlformats.org/officeDocument/2006/relationships/chart" Target="../charts/chart65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3.xml"/><Relationship Id="rId13" Type="http://schemas.openxmlformats.org/officeDocument/2006/relationships/chart" Target="../charts/chart78.xml"/><Relationship Id="rId18" Type="http://schemas.openxmlformats.org/officeDocument/2006/relationships/chart" Target="../charts/chart83.xml"/><Relationship Id="rId26" Type="http://schemas.openxmlformats.org/officeDocument/2006/relationships/chart" Target="../charts/chart91.xml"/><Relationship Id="rId3" Type="http://schemas.openxmlformats.org/officeDocument/2006/relationships/chart" Target="../charts/chart68.xml"/><Relationship Id="rId21" Type="http://schemas.openxmlformats.org/officeDocument/2006/relationships/chart" Target="../charts/chart86.xml"/><Relationship Id="rId7" Type="http://schemas.openxmlformats.org/officeDocument/2006/relationships/chart" Target="../charts/chart72.xml"/><Relationship Id="rId12" Type="http://schemas.openxmlformats.org/officeDocument/2006/relationships/chart" Target="../charts/chart77.xml"/><Relationship Id="rId17" Type="http://schemas.openxmlformats.org/officeDocument/2006/relationships/chart" Target="../charts/chart82.xml"/><Relationship Id="rId25" Type="http://schemas.openxmlformats.org/officeDocument/2006/relationships/chart" Target="../charts/chart90.xml"/><Relationship Id="rId2" Type="http://schemas.openxmlformats.org/officeDocument/2006/relationships/chart" Target="../charts/chart67.xml"/><Relationship Id="rId16" Type="http://schemas.openxmlformats.org/officeDocument/2006/relationships/chart" Target="../charts/chart81.xml"/><Relationship Id="rId20" Type="http://schemas.openxmlformats.org/officeDocument/2006/relationships/chart" Target="../charts/chart85.xml"/><Relationship Id="rId1" Type="http://schemas.openxmlformats.org/officeDocument/2006/relationships/chart" Target="../charts/chart66.xml"/><Relationship Id="rId6" Type="http://schemas.openxmlformats.org/officeDocument/2006/relationships/chart" Target="../charts/chart71.xml"/><Relationship Id="rId11" Type="http://schemas.openxmlformats.org/officeDocument/2006/relationships/chart" Target="../charts/chart76.xml"/><Relationship Id="rId24" Type="http://schemas.openxmlformats.org/officeDocument/2006/relationships/chart" Target="../charts/chart89.xml"/><Relationship Id="rId5" Type="http://schemas.openxmlformats.org/officeDocument/2006/relationships/chart" Target="../charts/chart70.xml"/><Relationship Id="rId15" Type="http://schemas.openxmlformats.org/officeDocument/2006/relationships/chart" Target="../charts/chart80.xml"/><Relationship Id="rId23" Type="http://schemas.openxmlformats.org/officeDocument/2006/relationships/chart" Target="../charts/chart88.xml"/><Relationship Id="rId10" Type="http://schemas.openxmlformats.org/officeDocument/2006/relationships/chart" Target="../charts/chart75.xml"/><Relationship Id="rId19" Type="http://schemas.openxmlformats.org/officeDocument/2006/relationships/chart" Target="../charts/chart84.xml"/><Relationship Id="rId4" Type="http://schemas.openxmlformats.org/officeDocument/2006/relationships/chart" Target="../charts/chart69.xml"/><Relationship Id="rId9" Type="http://schemas.openxmlformats.org/officeDocument/2006/relationships/chart" Target="../charts/chart74.xml"/><Relationship Id="rId14" Type="http://schemas.openxmlformats.org/officeDocument/2006/relationships/chart" Target="../charts/chart79.xml"/><Relationship Id="rId22" Type="http://schemas.openxmlformats.org/officeDocument/2006/relationships/chart" Target="../charts/chart87.xml"/><Relationship Id="rId27" Type="http://schemas.openxmlformats.org/officeDocument/2006/relationships/chart" Target="../charts/chart9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gif"/><Relationship Id="rId1" Type="http://schemas.openxmlformats.org/officeDocument/2006/relationships/image" Target="../media/image1.gif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3.xml"/><Relationship Id="rId13" Type="http://schemas.openxmlformats.org/officeDocument/2006/relationships/chart" Target="../charts/chart108.xml"/><Relationship Id="rId18" Type="http://schemas.openxmlformats.org/officeDocument/2006/relationships/chart" Target="../charts/chart113.xml"/><Relationship Id="rId26" Type="http://schemas.openxmlformats.org/officeDocument/2006/relationships/chart" Target="../charts/chart121.xml"/><Relationship Id="rId3" Type="http://schemas.openxmlformats.org/officeDocument/2006/relationships/chart" Target="../charts/chart98.xml"/><Relationship Id="rId21" Type="http://schemas.openxmlformats.org/officeDocument/2006/relationships/chart" Target="../charts/chart116.xml"/><Relationship Id="rId7" Type="http://schemas.openxmlformats.org/officeDocument/2006/relationships/chart" Target="../charts/chart102.xml"/><Relationship Id="rId12" Type="http://schemas.openxmlformats.org/officeDocument/2006/relationships/chart" Target="../charts/chart107.xml"/><Relationship Id="rId17" Type="http://schemas.openxmlformats.org/officeDocument/2006/relationships/chart" Target="../charts/chart112.xml"/><Relationship Id="rId25" Type="http://schemas.openxmlformats.org/officeDocument/2006/relationships/chart" Target="../charts/chart120.xml"/><Relationship Id="rId2" Type="http://schemas.openxmlformats.org/officeDocument/2006/relationships/chart" Target="../charts/chart97.xml"/><Relationship Id="rId16" Type="http://schemas.openxmlformats.org/officeDocument/2006/relationships/chart" Target="../charts/chart111.xml"/><Relationship Id="rId20" Type="http://schemas.openxmlformats.org/officeDocument/2006/relationships/chart" Target="../charts/chart115.xml"/><Relationship Id="rId1" Type="http://schemas.openxmlformats.org/officeDocument/2006/relationships/chart" Target="../charts/chart96.xml"/><Relationship Id="rId6" Type="http://schemas.openxmlformats.org/officeDocument/2006/relationships/chart" Target="../charts/chart101.xml"/><Relationship Id="rId11" Type="http://schemas.openxmlformats.org/officeDocument/2006/relationships/chart" Target="../charts/chart106.xml"/><Relationship Id="rId24" Type="http://schemas.openxmlformats.org/officeDocument/2006/relationships/chart" Target="../charts/chart119.xml"/><Relationship Id="rId5" Type="http://schemas.openxmlformats.org/officeDocument/2006/relationships/chart" Target="../charts/chart100.xml"/><Relationship Id="rId15" Type="http://schemas.openxmlformats.org/officeDocument/2006/relationships/chart" Target="../charts/chart110.xml"/><Relationship Id="rId23" Type="http://schemas.openxmlformats.org/officeDocument/2006/relationships/chart" Target="../charts/chart118.xml"/><Relationship Id="rId10" Type="http://schemas.openxmlformats.org/officeDocument/2006/relationships/chart" Target="../charts/chart105.xml"/><Relationship Id="rId19" Type="http://schemas.openxmlformats.org/officeDocument/2006/relationships/chart" Target="../charts/chart114.xml"/><Relationship Id="rId4" Type="http://schemas.openxmlformats.org/officeDocument/2006/relationships/chart" Target="../charts/chart99.xml"/><Relationship Id="rId9" Type="http://schemas.openxmlformats.org/officeDocument/2006/relationships/chart" Target="../charts/chart104.xml"/><Relationship Id="rId14" Type="http://schemas.openxmlformats.org/officeDocument/2006/relationships/chart" Target="../charts/chart109.xml"/><Relationship Id="rId22" Type="http://schemas.openxmlformats.org/officeDocument/2006/relationships/chart" Target="../charts/chart11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2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0.xml"/><Relationship Id="rId13" Type="http://schemas.openxmlformats.org/officeDocument/2006/relationships/chart" Target="../charts/chart135.xml"/><Relationship Id="rId18" Type="http://schemas.openxmlformats.org/officeDocument/2006/relationships/chart" Target="../charts/chart140.xml"/><Relationship Id="rId26" Type="http://schemas.openxmlformats.org/officeDocument/2006/relationships/chart" Target="../charts/chart148.xml"/><Relationship Id="rId3" Type="http://schemas.openxmlformats.org/officeDocument/2006/relationships/chart" Target="../charts/chart125.xml"/><Relationship Id="rId21" Type="http://schemas.openxmlformats.org/officeDocument/2006/relationships/chart" Target="../charts/chart143.xml"/><Relationship Id="rId7" Type="http://schemas.openxmlformats.org/officeDocument/2006/relationships/chart" Target="../charts/chart129.xml"/><Relationship Id="rId12" Type="http://schemas.openxmlformats.org/officeDocument/2006/relationships/chart" Target="../charts/chart134.xml"/><Relationship Id="rId17" Type="http://schemas.openxmlformats.org/officeDocument/2006/relationships/chart" Target="../charts/chart139.xml"/><Relationship Id="rId25" Type="http://schemas.openxmlformats.org/officeDocument/2006/relationships/chart" Target="../charts/chart147.xml"/><Relationship Id="rId2" Type="http://schemas.openxmlformats.org/officeDocument/2006/relationships/chart" Target="../charts/chart124.xml"/><Relationship Id="rId16" Type="http://schemas.openxmlformats.org/officeDocument/2006/relationships/chart" Target="../charts/chart138.xml"/><Relationship Id="rId20" Type="http://schemas.openxmlformats.org/officeDocument/2006/relationships/chart" Target="../charts/chart142.xml"/><Relationship Id="rId29" Type="http://schemas.openxmlformats.org/officeDocument/2006/relationships/chart" Target="../charts/chart151.xml"/><Relationship Id="rId1" Type="http://schemas.openxmlformats.org/officeDocument/2006/relationships/chart" Target="../charts/chart123.xml"/><Relationship Id="rId6" Type="http://schemas.openxmlformats.org/officeDocument/2006/relationships/chart" Target="../charts/chart128.xml"/><Relationship Id="rId11" Type="http://schemas.openxmlformats.org/officeDocument/2006/relationships/chart" Target="../charts/chart133.xml"/><Relationship Id="rId24" Type="http://schemas.openxmlformats.org/officeDocument/2006/relationships/chart" Target="../charts/chart146.xml"/><Relationship Id="rId5" Type="http://schemas.openxmlformats.org/officeDocument/2006/relationships/chart" Target="../charts/chart127.xml"/><Relationship Id="rId15" Type="http://schemas.openxmlformats.org/officeDocument/2006/relationships/chart" Target="../charts/chart137.xml"/><Relationship Id="rId23" Type="http://schemas.openxmlformats.org/officeDocument/2006/relationships/chart" Target="../charts/chart145.xml"/><Relationship Id="rId28" Type="http://schemas.openxmlformats.org/officeDocument/2006/relationships/chart" Target="../charts/chart150.xml"/><Relationship Id="rId10" Type="http://schemas.openxmlformats.org/officeDocument/2006/relationships/chart" Target="../charts/chart132.xml"/><Relationship Id="rId19" Type="http://schemas.openxmlformats.org/officeDocument/2006/relationships/chart" Target="../charts/chart141.xml"/><Relationship Id="rId31" Type="http://schemas.openxmlformats.org/officeDocument/2006/relationships/chart" Target="../charts/chart153.xml"/><Relationship Id="rId4" Type="http://schemas.openxmlformats.org/officeDocument/2006/relationships/chart" Target="../charts/chart126.xml"/><Relationship Id="rId9" Type="http://schemas.openxmlformats.org/officeDocument/2006/relationships/chart" Target="../charts/chart131.xml"/><Relationship Id="rId14" Type="http://schemas.openxmlformats.org/officeDocument/2006/relationships/chart" Target="../charts/chart136.xml"/><Relationship Id="rId22" Type="http://schemas.openxmlformats.org/officeDocument/2006/relationships/chart" Target="../charts/chart144.xml"/><Relationship Id="rId27" Type="http://schemas.openxmlformats.org/officeDocument/2006/relationships/chart" Target="../charts/chart149.xml"/><Relationship Id="rId30" Type="http://schemas.openxmlformats.org/officeDocument/2006/relationships/chart" Target="../charts/chart152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1.xml"/><Relationship Id="rId13" Type="http://schemas.openxmlformats.org/officeDocument/2006/relationships/chart" Target="../charts/chart166.xml"/><Relationship Id="rId18" Type="http://schemas.openxmlformats.org/officeDocument/2006/relationships/chart" Target="../charts/chart171.xml"/><Relationship Id="rId26" Type="http://schemas.openxmlformats.org/officeDocument/2006/relationships/chart" Target="../charts/chart179.xml"/><Relationship Id="rId3" Type="http://schemas.openxmlformats.org/officeDocument/2006/relationships/chart" Target="../charts/chart156.xml"/><Relationship Id="rId21" Type="http://schemas.openxmlformats.org/officeDocument/2006/relationships/chart" Target="../charts/chart174.xml"/><Relationship Id="rId7" Type="http://schemas.openxmlformats.org/officeDocument/2006/relationships/chart" Target="../charts/chart160.xml"/><Relationship Id="rId12" Type="http://schemas.openxmlformats.org/officeDocument/2006/relationships/chart" Target="../charts/chart165.xml"/><Relationship Id="rId17" Type="http://schemas.openxmlformats.org/officeDocument/2006/relationships/chart" Target="../charts/chart170.xml"/><Relationship Id="rId25" Type="http://schemas.openxmlformats.org/officeDocument/2006/relationships/chart" Target="../charts/chart178.xml"/><Relationship Id="rId2" Type="http://schemas.openxmlformats.org/officeDocument/2006/relationships/chart" Target="../charts/chart155.xml"/><Relationship Id="rId16" Type="http://schemas.openxmlformats.org/officeDocument/2006/relationships/chart" Target="../charts/chart169.xml"/><Relationship Id="rId20" Type="http://schemas.openxmlformats.org/officeDocument/2006/relationships/chart" Target="../charts/chart173.xml"/><Relationship Id="rId29" Type="http://schemas.openxmlformats.org/officeDocument/2006/relationships/chart" Target="../charts/chart182.xml"/><Relationship Id="rId1" Type="http://schemas.openxmlformats.org/officeDocument/2006/relationships/chart" Target="../charts/chart154.xml"/><Relationship Id="rId6" Type="http://schemas.openxmlformats.org/officeDocument/2006/relationships/chart" Target="../charts/chart159.xml"/><Relationship Id="rId11" Type="http://schemas.openxmlformats.org/officeDocument/2006/relationships/chart" Target="../charts/chart164.xml"/><Relationship Id="rId24" Type="http://schemas.openxmlformats.org/officeDocument/2006/relationships/chart" Target="../charts/chart177.xml"/><Relationship Id="rId5" Type="http://schemas.openxmlformats.org/officeDocument/2006/relationships/chart" Target="../charts/chart158.xml"/><Relationship Id="rId15" Type="http://schemas.openxmlformats.org/officeDocument/2006/relationships/chart" Target="../charts/chart168.xml"/><Relationship Id="rId23" Type="http://schemas.openxmlformats.org/officeDocument/2006/relationships/chart" Target="../charts/chart176.xml"/><Relationship Id="rId28" Type="http://schemas.openxmlformats.org/officeDocument/2006/relationships/chart" Target="../charts/chart181.xml"/><Relationship Id="rId10" Type="http://schemas.openxmlformats.org/officeDocument/2006/relationships/chart" Target="../charts/chart163.xml"/><Relationship Id="rId19" Type="http://schemas.openxmlformats.org/officeDocument/2006/relationships/chart" Target="../charts/chart172.xml"/><Relationship Id="rId31" Type="http://schemas.openxmlformats.org/officeDocument/2006/relationships/chart" Target="../charts/chart184.xml"/><Relationship Id="rId4" Type="http://schemas.openxmlformats.org/officeDocument/2006/relationships/chart" Target="../charts/chart157.xml"/><Relationship Id="rId9" Type="http://schemas.openxmlformats.org/officeDocument/2006/relationships/chart" Target="../charts/chart162.xml"/><Relationship Id="rId14" Type="http://schemas.openxmlformats.org/officeDocument/2006/relationships/chart" Target="../charts/chart167.xml"/><Relationship Id="rId22" Type="http://schemas.openxmlformats.org/officeDocument/2006/relationships/chart" Target="../charts/chart175.xml"/><Relationship Id="rId27" Type="http://schemas.openxmlformats.org/officeDocument/2006/relationships/chart" Target="../charts/chart180.xml"/><Relationship Id="rId30" Type="http://schemas.openxmlformats.org/officeDocument/2006/relationships/chart" Target="../charts/chart183.xml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92.xml"/><Relationship Id="rId13" Type="http://schemas.openxmlformats.org/officeDocument/2006/relationships/chart" Target="../charts/chart197.xml"/><Relationship Id="rId18" Type="http://schemas.openxmlformats.org/officeDocument/2006/relationships/chart" Target="../charts/chart202.xml"/><Relationship Id="rId26" Type="http://schemas.openxmlformats.org/officeDocument/2006/relationships/chart" Target="../charts/chart210.xml"/><Relationship Id="rId3" Type="http://schemas.openxmlformats.org/officeDocument/2006/relationships/chart" Target="../charts/chart187.xml"/><Relationship Id="rId21" Type="http://schemas.openxmlformats.org/officeDocument/2006/relationships/chart" Target="../charts/chart205.xml"/><Relationship Id="rId7" Type="http://schemas.openxmlformats.org/officeDocument/2006/relationships/chart" Target="../charts/chart191.xml"/><Relationship Id="rId12" Type="http://schemas.openxmlformats.org/officeDocument/2006/relationships/chart" Target="../charts/chart196.xml"/><Relationship Id="rId17" Type="http://schemas.openxmlformats.org/officeDocument/2006/relationships/chart" Target="../charts/chart201.xml"/><Relationship Id="rId25" Type="http://schemas.openxmlformats.org/officeDocument/2006/relationships/chart" Target="../charts/chart209.xml"/><Relationship Id="rId2" Type="http://schemas.openxmlformats.org/officeDocument/2006/relationships/chart" Target="../charts/chart186.xml"/><Relationship Id="rId16" Type="http://schemas.openxmlformats.org/officeDocument/2006/relationships/chart" Target="../charts/chart200.xml"/><Relationship Id="rId20" Type="http://schemas.openxmlformats.org/officeDocument/2006/relationships/chart" Target="../charts/chart204.xml"/><Relationship Id="rId29" Type="http://schemas.openxmlformats.org/officeDocument/2006/relationships/chart" Target="../charts/chart213.xml"/><Relationship Id="rId1" Type="http://schemas.openxmlformats.org/officeDocument/2006/relationships/chart" Target="../charts/chart185.xml"/><Relationship Id="rId6" Type="http://schemas.openxmlformats.org/officeDocument/2006/relationships/chart" Target="../charts/chart190.xml"/><Relationship Id="rId11" Type="http://schemas.openxmlformats.org/officeDocument/2006/relationships/chart" Target="../charts/chart195.xml"/><Relationship Id="rId24" Type="http://schemas.openxmlformats.org/officeDocument/2006/relationships/chart" Target="../charts/chart208.xml"/><Relationship Id="rId5" Type="http://schemas.openxmlformats.org/officeDocument/2006/relationships/chart" Target="../charts/chart189.xml"/><Relationship Id="rId15" Type="http://schemas.openxmlformats.org/officeDocument/2006/relationships/chart" Target="../charts/chart199.xml"/><Relationship Id="rId23" Type="http://schemas.openxmlformats.org/officeDocument/2006/relationships/chart" Target="../charts/chart207.xml"/><Relationship Id="rId28" Type="http://schemas.openxmlformats.org/officeDocument/2006/relationships/chart" Target="../charts/chart212.xml"/><Relationship Id="rId10" Type="http://schemas.openxmlformats.org/officeDocument/2006/relationships/chart" Target="../charts/chart194.xml"/><Relationship Id="rId19" Type="http://schemas.openxmlformats.org/officeDocument/2006/relationships/chart" Target="../charts/chart203.xml"/><Relationship Id="rId31" Type="http://schemas.openxmlformats.org/officeDocument/2006/relationships/chart" Target="../charts/chart215.xml"/><Relationship Id="rId4" Type="http://schemas.openxmlformats.org/officeDocument/2006/relationships/chart" Target="../charts/chart188.xml"/><Relationship Id="rId9" Type="http://schemas.openxmlformats.org/officeDocument/2006/relationships/chart" Target="../charts/chart193.xml"/><Relationship Id="rId14" Type="http://schemas.openxmlformats.org/officeDocument/2006/relationships/chart" Target="../charts/chart198.xml"/><Relationship Id="rId22" Type="http://schemas.openxmlformats.org/officeDocument/2006/relationships/chart" Target="../charts/chart206.xml"/><Relationship Id="rId27" Type="http://schemas.openxmlformats.org/officeDocument/2006/relationships/chart" Target="../charts/chart211.xml"/><Relationship Id="rId30" Type="http://schemas.openxmlformats.org/officeDocument/2006/relationships/chart" Target="../charts/chart214.xml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23.xml"/><Relationship Id="rId13" Type="http://schemas.openxmlformats.org/officeDocument/2006/relationships/chart" Target="../charts/chart228.xml"/><Relationship Id="rId18" Type="http://schemas.openxmlformats.org/officeDocument/2006/relationships/chart" Target="../charts/chart233.xml"/><Relationship Id="rId26" Type="http://schemas.openxmlformats.org/officeDocument/2006/relationships/chart" Target="../charts/chart241.xml"/><Relationship Id="rId3" Type="http://schemas.openxmlformats.org/officeDocument/2006/relationships/chart" Target="../charts/chart218.xml"/><Relationship Id="rId21" Type="http://schemas.openxmlformats.org/officeDocument/2006/relationships/chart" Target="../charts/chart236.xml"/><Relationship Id="rId7" Type="http://schemas.openxmlformats.org/officeDocument/2006/relationships/chart" Target="../charts/chart222.xml"/><Relationship Id="rId12" Type="http://schemas.openxmlformats.org/officeDocument/2006/relationships/chart" Target="../charts/chart227.xml"/><Relationship Id="rId17" Type="http://schemas.openxmlformats.org/officeDocument/2006/relationships/chart" Target="../charts/chart232.xml"/><Relationship Id="rId25" Type="http://schemas.openxmlformats.org/officeDocument/2006/relationships/chart" Target="../charts/chart240.xml"/><Relationship Id="rId2" Type="http://schemas.openxmlformats.org/officeDocument/2006/relationships/chart" Target="../charts/chart217.xml"/><Relationship Id="rId16" Type="http://schemas.openxmlformats.org/officeDocument/2006/relationships/chart" Target="../charts/chart231.xml"/><Relationship Id="rId20" Type="http://schemas.openxmlformats.org/officeDocument/2006/relationships/chart" Target="../charts/chart235.xml"/><Relationship Id="rId29" Type="http://schemas.openxmlformats.org/officeDocument/2006/relationships/chart" Target="../charts/chart244.xml"/><Relationship Id="rId1" Type="http://schemas.openxmlformats.org/officeDocument/2006/relationships/chart" Target="../charts/chart216.xml"/><Relationship Id="rId6" Type="http://schemas.openxmlformats.org/officeDocument/2006/relationships/chart" Target="../charts/chart221.xml"/><Relationship Id="rId11" Type="http://schemas.openxmlformats.org/officeDocument/2006/relationships/chart" Target="../charts/chart226.xml"/><Relationship Id="rId24" Type="http://schemas.openxmlformats.org/officeDocument/2006/relationships/chart" Target="../charts/chart239.xml"/><Relationship Id="rId5" Type="http://schemas.openxmlformats.org/officeDocument/2006/relationships/chart" Target="../charts/chart220.xml"/><Relationship Id="rId15" Type="http://schemas.openxmlformats.org/officeDocument/2006/relationships/chart" Target="../charts/chart230.xml"/><Relationship Id="rId23" Type="http://schemas.openxmlformats.org/officeDocument/2006/relationships/chart" Target="../charts/chart238.xml"/><Relationship Id="rId28" Type="http://schemas.openxmlformats.org/officeDocument/2006/relationships/chart" Target="../charts/chart243.xml"/><Relationship Id="rId10" Type="http://schemas.openxmlformats.org/officeDocument/2006/relationships/chart" Target="../charts/chart225.xml"/><Relationship Id="rId19" Type="http://schemas.openxmlformats.org/officeDocument/2006/relationships/chart" Target="../charts/chart234.xml"/><Relationship Id="rId31" Type="http://schemas.openxmlformats.org/officeDocument/2006/relationships/chart" Target="../charts/chart246.xml"/><Relationship Id="rId4" Type="http://schemas.openxmlformats.org/officeDocument/2006/relationships/chart" Target="../charts/chart219.xml"/><Relationship Id="rId9" Type="http://schemas.openxmlformats.org/officeDocument/2006/relationships/chart" Target="../charts/chart224.xml"/><Relationship Id="rId14" Type="http://schemas.openxmlformats.org/officeDocument/2006/relationships/chart" Target="../charts/chart229.xml"/><Relationship Id="rId22" Type="http://schemas.openxmlformats.org/officeDocument/2006/relationships/chart" Target="../charts/chart237.xml"/><Relationship Id="rId27" Type="http://schemas.openxmlformats.org/officeDocument/2006/relationships/chart" Target="../charts/chart242.xml"/><Relationship Id="rId30" Type="http://schemas.openxmlformats.org/officeDocument/2006/relationships/chart" Target="../charts/chart245.xml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54.xml"/><Relationship Id="rId13" Type="http://schemas.openxmlformats.org/officeDocument/2006/relationships/chart" Target="../charts/chart259.xml"/><Relationship Id="rId18" Type="http://schemas.openxmlformats.org/officeDocument/2006/relationships/chart" Target="../charts/chart264.xml"/><Relationship Id="rId26" Type="http://schemas.openxmlformats.org/officeDocument/2006/relationships/chart" Target="../charts/chart272.xml"/><Relationship Id="rId3" Type="http://schemas.openxmlformats.org/officeDocument/2006/relationships/chart" Target="../charts/chart249.xml"/><Relationship Id="rId21" Type="http://schemas.openxmlformats.org/officeDocument/2006/relationships/chart" Target="../charts/chart267.xml"/><Relationship Id="rId7" Type="http://schemas.openxmlformats.org/officeDocument/2006/relationships/chart" Target="../charts/chart253.xml"/><Relationship Id="rId12" Type="http://schemas.openxmlformats.org/officeDocument/2006/relationships/chart" Target="../charts/chart258.xml"/><Relationship Id="rId17" Type="http://schemas.openxmlformats.org/officeDocument/2006/relationships/chart" Target="../charts/chart263.xml"/><Relationship Id="rId25" Type="http://schemas.openxmlformats.org/officeDocument/2006/relationships/chart" Target="../charts/chart271.xml"/><Relationship Id="rId2" Type="http://schemas.openxmlformats.org/officeDocument/2006/relationships/chart" Target="../charts/chart248.xml"/><Relationship Id="rId16" Type="http://schemas.openxmlformats.org/officeDocument/2006/relationships/chart" Target="../charts/chart262.xml"/><Relationship Id="rId20" Type="http://schemas.openxmlformats.org/officeDocument/2006/relationships/chart" Target="../charts/chart266.xml"/><Relationship Id="rId29" Type="http://schemas.openxmlformats.org/officeDocument/2006/relationships/chart" Target="../charts/chart275.xml"/><Relationship Id="rId1" Type="http://schemas.openxmlformats.org/officeDocument/2006/relationships/chart" Target="../charts/chart247.xml"/><Relationship Id="rId6" Type="http://schemas.openxmlformats.org/officeDocument/2006/relationships/chart" Target="../charts/chart252.xml"/><Relationship Id="rId11" Type="http://schemas.openxmlformats.org/officeDocument/2006/relationships/chart" Target="../charts/chart257.xml"/><Relationship Id="rId24" Type="http://schemas.openxmlformats.org/officeDocument/2006/relationships/chart" Target="../charts/chart270.xml"/><Relationship Id="rId5" Type="http://schemas.openxmlformats.org/officeDocument/2006/relationships/chart" Target="../charts/chart251.xml"/><Relationship Id="rId15" Type="http://schemas.openxmlformats.org/officeDocument/2006/relationships/chart" Target="../charts/chart261.xml"/><Relationship Id="rId23" Type="http://schemas.openxmlformats.org/officeDocument/2006/relationships/chart" Target="../charts/chart269.xml"/><Relationship Id="rId28" Type="http://schemas.openxmlformats.org/officeDocument/2006/relationships/chart" Target="../charts/chart274.xml"/><Relationship Id="rId10" Type="http://schemas.openxmlformats.org/officeDocument/2006/relationships/chart" Target="../charts/chart256.xml"/><Relationship Id="rId19" Type="http://schemas.openxmlformats.org/officeDocument/2006/relationships/chart" Target="../charts/chart265.xml"/><Relationship Id="rId31" Type="http://schemas.openxmlformats.org/officeDocument/2006/relationships/chart" Target="../charts/chart277.xml"/><Relationship Id="rId4" Type="http://schemas.openxmlformats.org/officeDocument/2006/relationships/chart" Target="../charts/chart250.xml"/><Relationship Id="rId9" Type="http://schemas.openxmlformats.org/officeDocument/2006/relationships/chart" Target="../charts/chart255.xml"/><Relationship Id="rId14" Type="http://schemas.openxmlformats.org/officeDocument/2006/relationships/chart" Target="../charts/chart260.xml"/><Relationship Id="rId22" Type="http://schemas.openxmlformats.org/officeDocument/2006/relationships/chart" Target="../charts/chart268.xml"/><Relationship Id="rId27" Type="http://schemas.openxmlformats.org/officeDocument/2006/relationships/chart" Target="../charts/chart273.xml"/><Relationship Id="rId30" Type="http://schemas.openxmlformats.org/officeDocument/2006/relationships/chart" Target="../charts/chart276.xml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5.xml"/><Relationship Id="rId13" Type="http://schemas.openxmlformats.org/officeDocument/2006/relationships/chart" Target="../charts/chart290.xml"/><Relationship Id="rId18" Type="http://schemas.openxmlformats.org/officeDocument/2006/relationships/chart" Target="../charts/chart295.xml"/><Relationship Id="rId26" Type="http://schemas.openxmlformats.org/officeDocument/2006/relationships/chart" Target="../charts/chart303.xml"/><Relationship Id="rId3" Type="http://schemas.openxmlformats.org/officeDocument/2006/relationships/chart" Target="../charts/chart280.xml"/><Relationship Id="rId21" Type="http://schemas.openxmlformats.org/officeDocument/2006/relationships/chart" Target="../charts/chart298.xml"/><Relationship Id="rId7" Type="http://schemas.openxmlformats.org/officeDocument/2006/relationships/chart" Target="../charts/chart284.xml"/><Relationship Id="rId12" Type="http://schemas.openxmlformats.org/officeDocument/2006/relationships/chart" Target="../charts/chart289.xml"/><Relationship Id="rId17" Type="http://schemas.openxmlformats.org/officeDocument/2006/relationships/chart" Target="../charts/chart294.xml"/><Relationship Id="rId25" Type="http://schemas.openxmlformats.org/officeDocument/2006/relationships/chart" Target="../charts/chart302.xml"/><Relationship Id="rId2" Type="http://schemas.openxmlformats.org/officeDocument/2006/relationships/chart" Target="../charts/chart279.xml"/><Relationship Id="rId16" Type="http://schemas.openxmlformats.org/officeDocument/2006/relationships/chart" Target="../charts/chart293.xml"/><Relationship Id="rId20" Type="http://schemas.openxmlformats.org/officeDocument/2006/relationships/chart" Target="../charts/chart297.xml"/><Relationship Id="rId29" Type="http://schemas.openxmlformats.org/officeDocument/2006/relationships/chart" Target="../charts/chart306.xml"/><Relationship Id="rId1" Type="http://schemas.openxmlformats.org/officeDocument/2006/relationships/chart" Target="../charts/chart278.xml"/><Relationship Id="rId6" Type="http://schemas.openxmlformats.org/officeDocument/2006/relationships/chart" Target="../charts/chart283.xml"/><Relationship Id="rId11" Type="http://schemas.openxmlformats.org/officeDocument/2006/relationships/chart" Target="../charts/chart288.xml"/><Relationship Id="rId24" Type="http://schemas.openxmlformats.org/officeDocument/2006/relationships/chart" Target="../charts/chart301.xml"/><Relationship Id="rId5" Type="http://schemas.openxmlformats.org/officeDocument/2006/relationships/chart" Target="../charts/chart282.xml"/><Relationship Id="rId15" Type="http://schemas.openxmlformats.org/officeDocument/2006/relationships/chart" Target="../charts/chart292.xml"/><Relationship Id="rId23" Type="http://schemas.openxmlformats.org/officeDocument/2006/relationships/chart" Target="../charts/chart300.xml"/><Relationship Id="rId28" Type="http://schemas.openxmlformats.org/officeDocument/2006/relationships/chart" Target="../charts/chart305.xml"/><Relationship Id="rId10" Type="http://schemas.openxmlformats.org/officeDocument/2006/relationships/chart" Target="../charts/chart287.xml"/><Relationship Id="rId19" Type="http://schemas.openxmlformats.org/officeDocument/2006/relationships/chart" Target="../charts/chart296.xml"/><Relationship Id="rId31" Type="http://schemas.openxmlformats.org/officeDocument/2006/relationships/chart" Target="../charts/chart308.xml"/><Relationship Id="rId4" Type="http://schemas.openxmlformats.org/officeDocument/2006/relationships/chart" Target="../charts/chart281.xml"/><Relationship Id="rId9" Type="http://schemas.openxmlformats.org/officeDocument/2006/relationships/chart" Target="../charts/chart286.xml"/><Relationship Id="rId14" Type="http://schemas.openxmlformats.org/officeDocument/2006/relationships/chart" Target="../charts/chart291.xml"/><Relationship Id="rId22" Type="http://schemas.openxmlformats.org/officeDocument/2006/relationships/chart" Target="../charts/chart299.xml"/><Relationship Id="rId27" Type="http://schemas.openxmlformats.org/officeDocument/2006/relationships/chart" Target="../charts/chart304.xml"/><Relationship Id="rId30" Type="http://schemas.openxmlformats.org/officeDocument/2006/relationships/chart" Target="../charts/chart307.xml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16.xml"/><Relationship Id="rId13" Type="http://schemas.openxmlformats.org/officeDocument/2006/relationships/chart" Target="../charts/chart321.xml"/><Relationship Id="rId18" Type="http://schemas.openxmlformats.org/officeDocument/2006/relationships/chart" Target="../charts/chart326.xml"/><Relationship Id="rId26" Type="http://schemas.openxmlformats.org/officeDocument/2006/relationships/chart" Target="../charts/chart334.xml"/><Relationship Id="rId3" Type="http://schemas.openxmlformats.org/officeDocument/2006/relationships/chart" Target="../charts/chart311.xml"/><Relationship Id="rId21" Type="http://schemas.openxmlformats.org/officeDocument/2006/relationships/chart" Target="../charts/chart329.xml"/><Relationship Id="rId7" Type="http://schemas.openxmlformats.org/officeDocument/2006/relationships/chart" Target="../charts/chart315.xml"/><Relationship Id="rId12" Type="http://schemas.openxmlformats.org/officeDocument/2006/relationships/chart" Target="../charts/chart320.xml"/><Relationship Id="rId17" Type="http://schemas.openxmlformats.org/officeDocument/2006/relationships/chart" Target="../charts/chart325.xml"/><Relationship Id="rId25" Type="http://schemas.openxmlformats.org/officeDocument/2006/relationships/chart" Target="../charts/chart333.xml"/><Relationship Id="rId2" Type="http://schemas.openxmlformats.org/officeDocument/2006/relationships/chart" Target="../charts/chart310.xml"/><Relationship Id="rId16" Type="http://schemas.openxmlformats.org/officeDocument/2006/relationships/chart" Target="../charts/chart324.xml"/><Relationship Id="rId20" Type="http://schemas.openxmlformats.org/officeDocument/2006/relationships/chart" Target="../charts/chart328.xml"/><Relationship Id="rId29" Type="http://schemas.openxmlformats.org/officeDocument/2006/relationships/chart" Target="../charts/chart337.xml"/><Relationship Id="rId1" Type="http://schemas.openxmlformats.org/officeDocument/2006/relationships/chart" Target="../charts/chart309.xml"/><Relationship Id="rId6" Type="http://schemas.openxmlformats.org/officeDocument/2006/relationships/chart" Target="../charts/chart314.xml"/><Relationship Id="rId11" Type="http://schemas.openxmlformats.org/officeDocument/2006/relationships/chart" Target="../charts/chart319.xml"/><Relationship Id="rId24" Type="http://schemas.openxmlformats.org/officeDocument/2006/relationships/chart" Target="../charts/chart332.xml"/><Relationship Id="rId5" Type="http://schemas.openxmlformats.org/officeDocument/2006/relationships/chart" Target="../charts/chart313.xml"/><Relationship Id="rId15" Type="http://schemas.openxmlformats.org/officeDocument/2006/relationships/chart" Target="../charts/chart323.xml"/><Relationship Id="rId23" Type="http://schemas.openxmlformats.org/officeDocument/2006/relationships/chart" Target="../charts/chart331.xml"/><Relationship Id="rId28" Type="http://schemas.openxmlformats.org/officeDocument/2006/relationships/chart" Target="../charts/chart336.xml"/><Relationship Id="rId10" Type="http://schemas.openxmlformats.org/officeDocument/2006/relationships/chart" Target="../charts/chart318.xml"/><Relationship Id="rId19" Type="http://schemas.openxmlformats.org/officeDocument/2006/relationships/chart" Target="../charts/chart327.xml"/><Relationship Id="rId31" Type="http://schemas.openxmlformats.org/officeDocument/2006/relationships/chart" Target="../charts/chart339.xml"/><Relationship Id="rId4" Type="http://schemas.openxmlformats.org/officeDocument/2006/relationships/chart" Target="../charts/chart312.xml"/><Relationship Id="rId9" Type="http://schemas.openxmlformats.org/officeDocument/2006/relationships/chart" Target="../charts/chart317.xml"/><Relationship Id="rId14" Type="http://schemas.openxmlformats.org/officeDocument/2006/relationships/chart" Target="../charts/chart322.xml"/><Relationship Id="rId22" Type="http://schemas.openxmlformats.org/officeDocument/2006/relationships/chart" Target="../charts/chart330.xml"/><Relationship Id="rId27" Type="http://schemas.openxmlformats.org/officeDocument/2006/relationships/chart" Target="../charts/chart335.xml"/><Relationship Id="rId30" Type="http://schemas.openxmlformats.org/officeDocument/2006/relationships/chart" Target="../charts/chart33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46</xdr:col>
      <xdr:colOff>587828</xdr:colOff>
      <xdr:row>1</xdr:row>
      <xdr:rowOff>140154</xdr:rowOff>
    </xdr:from>
    <xdr:to>
      <xdr:col>62</xdr:col>
      <xdr:colOff>353784</xdr:colOff>
      <xdr:row>19</xdr:row>
      <xdr:rowOff>136072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47</xdr:col>
      <xdr:colOff>149678</xdr:colOff>
      <xdr:row>19</xdr:row>
      <xdr:rowOff>0</xdr:rowOff>
    </xdr:from>
    <xdr:to>
      <xdr:col>62</xdr:col>
      <xdr:colOff>163285</xdr:colOff>
      <xdr:row>39</xdr:row>
      <xdr:rowOff>149678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50</xdr:col>
      <xdr:colOff>370417</xdr:colOff>
      <xdr:row>48</xdr:row>
      <xdr:rowOff>84667</xdr:rowOff>
    </xdr:from>
    <xdr:to>
      <xdr:col>66</xdr:col>
      <xdr:colOff>13608</xdr:colOff>
      <xdr:row>69</xdr:row>
      <xdr:rowOff>95250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220737</xdr:colOff>
      <xdr:row>37</xdr:row>
      <xdr:rowOff>145143</xdr:rowOff>
    </xdr:from>
    <xdr:to>
      <xdr:col>13</xdr:col>
      <xdr:colOff>370416</xdr:colOff>
      <xdr:row>52</xdr:row>
      <xdr:rowOff>30843</xdr:rowOff>
    </xdr:to>
    <xdr:graphicFrame macro="">
      <xdr:nvGraphicFramePr>
        <xdr:cNvPr id="39" name="Gráfico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131535</xdr:colOff>
      <xdr:row>37</xdr:row>
      <xdr:rowOff>34775</xdr:rowOff>
    </xdr:from>
    <xdr:to>
      <xdr:col>31</xdr:col>
      <xdr:colOff>179159</xdr:colOff>
      <xdr:row>51</xdr:row>
      <xdr:rowOff>110975</xdr:rowOff>
    </xdr:to>
    <xdr:graphicFrame macro="">
      <xdr:nvGraphicFramePr>
        <xdr:cNvPr id="41" name="Gráfico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31</xdr:col>
      <xdr:colOff>315989</xdr:colOff>
      <xdr:row>37</xdr:row>
      <xdr:rowOff>95250</xdr:rowOff>
    </xdr:from>
    <xdr:to>
      <xdr:col>46</xdr:col>
      <xdr:colOff>363612</xdr:colOff>
      <xdr:row>51</xdr:row>
      <xdr:rowOff>171450</xdr:rowOff>
    </xdr:to>
    <xdr:graphicFrame macro="">
      <xdr:nvGraphicFramePr>
        <xdr:cNvPr id="42" name="Gráfico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415773</xdr:colOff>
      <xdr:row>53</xdr:row>
      <xdr:rowOff>119441</xdr:rowOff>
    </xdr:from>
    <xdr:to>
      <xdr:col>15</xdr:col>
      <xdr:colOff>467933</xdr:colOff>
      <xdr:row>68</xdr:row>
      <xdr:rowOff>5141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0</xdr:colOff>
      <xdr:row>54</xdr:row>
      <xdr:rowOff>0</xdr:rowOff>
    </xdr:from>
    <xdr:to>
      <xdr:col>31</xdr:col>
      <xdr:colOff>47624</xdr:colOff>
      <xdr:row>68</xdr:row>
      <xdr:rowOff>76200</xdr:rowOff>
    </xdr:to>
    <xdr:graphicFrame macro="">
      <xdr:nvGraphicFramePr>
        <xdr:cNvPr id="44" name="Gráfico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32</xdr:col>
      <xdr:colOff>0</xdr:colOff>
      <xdr:row>56</xdr:row>
      <xdr:rowOff>0</xdr:rowOff>
    </xdr:from>
    <xdr:to>
      <xdr:col>46</xdr:col>
      <xdr:colOff>47624</xdr:colOff>
      <xdr:row>70</xdr:row>
      <xdr:rowOff>76200</xdr:rowOff>
    </xdr:to>
    <xdr:graphicFrame macro="">
      <xdr:nvGraphicFramePr>
        <xdr:cNvPr id="45" name="Gráfico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18</xdr:col>
      <xdr:colOff>435428</xdr:colOff>
      <xdr:row>73</xdr:row>
      <xdr:rowOff>81643</xdr:rowOff>
    </xdr:from>
    <xdr:to>
      <xdr:col>30</xdr:col>
      <xdr:colOff>483052</xdr:colOff>
      <xdr:row>87</xdr:row>
      <xdr:rowOff>157843</xdr:rowOff>
    </xdr:to>
    <xdr:graphicFrame macro="">
      <xdr:nvGraphicFramePr>
        <xdr:cNvPr id="46" name="Gráfico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32</xdr:col>
      <xdr:colOff>326571</xdr:colOff>
      <xdr:row>73</xdr:row>
      <xdr:rowOff>149679</xdr:rowOff>
    </xdr:from>
    <xdr:to>
      <xdr:col>44</xdr:col>
      <xdr:colOff>374195</xdr:colOff>
      <xdr:row>88</xdr:row>
      <xdr:rowOff>35379</xdr:rowOff>
    </xdr:to>
    <xdr:graphicFrame macro="">
      <xdr:nvGraphicFramePr>
        <xdr:cNvPr id="47" name="Gráfico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339725</xdr:colOff>
      <xdr:row>0</xdr:row>
      <xdr:rowOff>95251</xdr:rowOff>
    </xdr:from>
    <xdr:to>
      <xdr:col>18</xdr:col>
      <xdr:colOff>387349</xdr:colOff>
      <xdr:row>14</xdr:row>
      <xdr:rowOff>150284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613833</xdr:colOff>
      <xdr:row>16</xdr:row>
      <xdr:rowOff>0</xdr:rowOff>
    </xdr:from>
    <xdr:to>
      <xdr:col>19</xdr:col>
      <xdr:colOff>47623</xdr:colOff>
      <xdr:row>30</xdr:row>
      <xdr:rowOff>76200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105833</xdr:colOff>
      <xdr:row>31</xdr:row>
      <xdr:rowOff>116416</xdr:rowOff>
    </xdr:from>
    <xdr:to>
      <xdr:col>19</xdr:col>
      <xdr:colOff>153457</xdr:colOff>
      <xdr:row>45</xdr:row>
      <xdr:rowOff>182033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105833</xdr:colOff>
      <xdr:row>46</xdr:row>
      <xdr:rowOff>116416</xdr:rowOff>
    </xdr:from>
    <xdr:to>
      <xdr:col>19</xdr:col>
      <xdr:colOff>153457</xdr:colOff>
      <xdr:row>61</xdr:row>
      <xdr:rowOff>2116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105833</xdr:colOff>
      <xdr:row>61</xdr:row>
      <xdr:rowOff>116416</xdr:rowOff>
    </xdr:from>
    <xdr:to>
      <xdr:col>19</xdr:col>
      <xdr:colOff>153457</xdr:colOff>
      <xdr:row>76</xdr:row>
      <xdr:rowOff>2116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105833</xdr:colOff>
      <xdr:row>76</xdr:row>
      <xdr:rowOff>116416</xdr:rowOff>
    </xdr:from>
    <xdr:to>
      <xdr:col>19</xdr:col>
      <xdr:colOff>153457</xdr:colOff>
      <xdr:row>91</xdr:row>
      <xdr:rowOff>2116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105833</xdr:colOff>
      <xdr:row>91</xdr:row>
      <xdr:rowOff>116416</xdr:rowOff>
    </xdr:from>
    <xdr:to>
      <xdr:col>19</xdr:col>
      <xdr:colOff>153457</xdr:colOff>
      <xdr:row>106</xdr:row>
      <xdr:rowOff>2116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444499</xdr:colOff>
      <xdr:row>1</xdr:row>
      <xdr:rowOff>169335</xdr:rowOff>
    </xdr:from>
    <xdr:to>
      <xdr:col>31</xdr:col>
      <xdr:colOff>492123</xdr:colOff>
      <xdr:row>16</xdr:row>
      <xdr:rowOff>44452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433916</xdr:colOff>
      <xdr:row>17</xdr:row>
      <xdr:rowOff>116417</xdr:rowOff>
    </xdr:from>
    <xdr:to>
      <xdr:col>31</xdr:col>
      <xdr:colOff>481540</xdr:colOff>
      <xdr:row>32</xdr:row>
      <xdr:rowOff>2117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19</xdr:col>
      <xdr:colOff>433916</xdr:colOff>
      <xdr:row>33</xdr:row>
      <xdr:rowOff>127000</xdr:rowOff>
    </xdr:from>
    <xdr:to>
      <xdr:col>31</xdr:col>
      <xdr:colOff>481540</xdr:colOff>
      <xdr:row>48</xdr:row>
      <xdr:rowOff>2117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433916</xdr:colOff>
      <xdr:row>49</xdr:row>
      <xdr:rowOff>116417</xdr:rowOff>
    </xdr:from>
    <xdr:to>
      <xdr:col>31</xdr:col>
      <xdr:colOff>481540</xdr:colOff>
      <xdr:row>64</xdr:row>
      <xdr:rowOff>2117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19</xdr:col>
      <xdr:colOff>433916</xdr:colOff>
      <xdr:row>65</xdr:row>
      <xdr:rowOff>116417</xdr:rowOff>
    </xdr:from>
    <xdr:to>
      <xdr:col>31</xdr:col>
      <xdr:colOff>481540</xdr:colOff>
      <xdr:row>80</xdr:row>
      <xdr:rowOff>2117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19</xdr:col>
      <xdr:colOff>433916</xdr:colOff>
      <xdr:row>81</xdr:row>
      <xdr:rowOff>116417</xdr:rowOff>
    </xdr:from>
    <xdr:to>
      <xdr:col>31</xdr:col>
      <xdr:colOff>481540</xdr:colOff>
      <xdr:row>96</xdr:row>
      <xdr:rowOff>2117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19</xdr:col>
      <xdr:colOff>433916</xdr:colOff>
      <xdr:row>96</xdr:row>
      <xdr:rowOff>116417</xdr:rowOff>
    </xdr:from>
    <xdr:to>
      <xdr:col>31</xdr:col>
      <xdr:colOff>481540</xdr:colOff>
      <xdr:row>111</xdr:row>
      <xdr:rowOff>2117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19</xdr:col>
      <xdr:colOff>433916</xdr:colOff>
      <xdr:row>112</xdr:row>
      <xdr:rowOff>116417</xdr:rowOff>
    </xdr:from>
    <xdr:to>
      <xdr:col>31</xdr:col>
      <xdr:colOff>481540</xdr:colOff>
      <xdr:row>127</xdr:row>
      <xdr:rowOff>2117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19</xdr:col>
      <xdr:colOff>433916</xdr:colOff>
      <xdr:row>128</xdr:row>
      <xdr:rowOff>84667</xdr:rowOff>
    </xdr:from>
    <xdr:to>
      <xdr:col>31</xdr:col>
      <xdr:colOff>481540</xdr:colOff>
      <xdr:row>142</xdr:row>
      <xdr:rowOff>160867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32</xdr:col>
      <xdr:colOff>423332</xdr:colOff>
      <xdr:row>1</xdr:row>
      <xdr:rowOff>169334</xdr:rowOff>
    </xdr:from>
    <xdr:to>
      <xdr:col>44</xdr:col>
      <xdr:colOff>470956</xdr:colOff>
      <xdr:row>16</xdr:row>
      <xdr:rowOff>44451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33</xdr:col>
      <xdr:colOff>74084</xdr:colOff>
      <xdr:row>17</xdr:row>
      <xdr:rowOff>127001</xdr:rowOff>
    </xdr:from>
    <xdr:to>
      <xdr:col>45</xdr:col>
      <xdr:colOff>121708</xdr:colOff>
      <xdr:row>32</xdr:row>
      <xdr:rowOff>12701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33</xdr:col>
      <xdr:colOff>74083</xdr:colOff>
      <xdr:row>32</xdr:row>
      <xdr:rowOff>169334</xdr:rowOff>
    </xdr:from>
    <xdr:to>
      <xdr:col>45</xdr:col>
      <xdr:colOff>121707</xdr:colOff>
      <xdr:row>47</xdr:row>
      <xdr:rowOff>44451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33</xdr:col>
      <xdr:colOff>74083</xdr:colOff>
      <xdr:row>48</xdr:row>
      <xdr:rowOff>169334</xdr:rowOff>
    </xdr:from>
    <xdr:to>
      <xdr:col>45</xdr:col>
      <xdr:colOff>121707</xdr:colOff>
      <xdr:row>63</xdr:row>
      <xdr:rowOff>55034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46</xdr:col>
      <xdr:colOff>74082</xdr:colOff>
      <xdr:row>1</xdr:row>
      <xdr:rowOff>158750</xdr:rowOff>
    </xdr:from>
    <xdr:to>
      <xdr:col>58</xdr:col>
      <xdr:colOff>121706</xdr:colOff>
      <xdr:row>16</xdr:row>
      <xdr:rowOff>33867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46</xdr:col>
      <xdr:colOff>74082</xdr:colOff>
      <xdr:row>16</xdr:row>
      <xdr:rowOff>169334</xdr:rowOff>
    </xdr:from>
    <xdr:to>
      <xdr:col>58</xdr:col>
      <xdr:colOff>121706</xdr:colOff>
      <xdr:row>31</xdr:row>
      <xdr:rowOff>55034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46</xdr:col>
      <xdr:colOff>74082</xdr:colOff>
      <xdr:row>32</xdr:row>
      <xdr:rowOff>169334</xdr:rowOff>
    </xdr:from>
    <xdr:to>
      <xdr:col>58</xdr:col>
      <xdr:colOff>121706</xdr:colOff>
      <xdr:row>47</xdr:row>
      <xdr:rowOff>44451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59</xdr:col>
      <xdr:colOff>74082</xdr:colOff>
      <xdr:row>2</xdr:row>
      <xdr:rowOff>158751</xdr:rowOff>
    </xdr:from>
    <xdr:to>
      <xdr:col>71</xdr:col>
      <xdr:colOff>121706</xdr:colOff>
      <xdr:row>17</xdr:row>
      <xdr:rowOff>44451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59</xdr:col>
      <xdr:colOff>74082</xdr:colOff>
      <xdr:row>17</xdr:row>
      <xdr:rowOff>169334</xdr:rowOff>
    </xdr:from>
    <xdr:to>
      <xdr:col>71</xdr:col>
      <xdr:colOff>121706</xdr:colOff>
      <xdr:row>32</xdr:row>
      <xdr:rowOff>55034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59</xdr:col>
      <xdr:colOff>74082</xdr:colOff>
      <xdr:row>32</xdr:row>
      <xdr:rowOff>169334</xdr:rowOff>
    </xdr:from>
    <xdr:to>
      <xdr:col>71</xdr:col>
      <xdr:colOff>121706</xdr:colOff>
      <xdr:row>47</xdr:row>
      <xdr:rowOff>44451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59</xdr:col>
      <xdr:colOff>74082</xdr:colOff>
      <xdr:row>47</xdr:row>
      <xdr:rowOff>169334</xdr:rowOff>
    </xdr:from>
    <xdr:to>
      <xdr:col>71</xdr:col>
      <xdr:colOff>121706</xdr:colOff>
      <xdr:row>62</xdr:row>
      <xdr:rowOff>55034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444500</xdr:colOff>
      <xdr:row>1</xdr:row>
      <xdr:rowOff>95251</xdr:rowOff>
    </xdr:from>
    <xdr:to>
      <xdr:col>18</xdr:col>
      <xdr:colOff>492124</xdr:colOff>
      <xdr:row>15</xdr:row>
      <xdr:rowOff>150284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613833</xdr:colOff>
      <xdr:row>17</xdr:row>
      <xdr:rowOff>0</xdr:rowOff>
    </xdr:from>
    <xdr:to>
      <xdr:col>19</xdr:col>
      <xdr:colOff>47623</xdr:colOff>
      <xdr:row>31</xdr:row>
      <xdr:rowOff>76200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105833</xdr:colOff>
      <xdr:row>32</xdr:row>
      <xdr:rowOff>116416</xdr:rowOff>
    </xdr:from>
    <xdr:to>
      <xdr:col>19</xdr:col>
      <xdr:colOff>153457</xdr:colOff>
      <xdr:row>46</xdr:row>
      <xdr:rowOff>182033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105833</xdr:colOff>
      <xdr:row>47</xdr:row>
      <xdr:rowOff>116416</xdr:rowOff>
    </xdr:from>
    <xdr:to>
      <xdr:col>19</xdr:col>
      <xdr:colOff>153457</xdr:colOff>
      <xdr:row>62</xdr:row>
      <xdr:rowOff>2116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105833</xdr:colOff>
      <xdr:row>62</xdr:row>
      <xdr:rowOff>116416</xdr:rowOff>
    </xdr:from>
    <xdr:to>
      <xdr:col>19</xdr:col>
      <xdr:colOff>153457</xdr:colOff>
      <xdr:row>77</xdr:row>
      <xdr:rowOff>2116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105833</xdr:colOff>
      <xdr:row>77</xdr:row>
      <xdr:rowOff>116416</xdr:rowOff>
    </xdr:from>
    <xdr:to>
      <xdr:col>19</xdr:col>
      <xdr:colOff>153457</xdr:colOff>
      <xdr:row>92</xdr:row>
      <xdr:rowOff>2116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105833</xdr:colOff>
      <xdr:row>92</xdr:row>
      <xdr:rowOff>116416</xdr:rowOff>
    </xdr:from>
    <xdr:to>
      <xdr:col>19</xdr:col>
      <xdr:colOff>153457</xdr:colOff>
      <xdr:row>107</xdr:row>
      <xdr:rowOff>2116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444499</xdr:colOff>
      <xdr:row>2</xdr:row>
      <xdr:rowOff>169335</xdr:rowOff>
    </xdr:from>
    <xdr:to>
      <xdr:col>31</xdr:col>
      <xdr:colOff>492123</xdr:colOff>
      <xdr:row>17</xdr:row>
      <xdr:rowOff>44452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433916</xdr:colOff>
      <xdr:row>18</xdr:row>
      <xdr:rowOff>116417</xdr:rowOff>
    </xdr:from>
    <xdr:to>
      <xdr:col>31</xdr:col>
      <xdr:colOff>481540</xdr:colOff>
      <xdr:row>33</xdr:row>
      <xdr:rowOff>2117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19</xdr:col>
      <xdr:colOff>433916</xdr:colOff>
      <xdr:row>34</xdr:row>
      <xdr:rowOff>127000</xdr:rowOff>
    </xdr:from>
    <xdr:to>
      <xdr:col>31</xdr:col>
      <xdr:colOff>481540</xdr:colOff>
      <xdr:row>49</xdr:row>
      <xdr:rowOff>2117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433916</xdr:colOff>
      <xdr:row>50</xdr:row>
      <xdr:rowOff>116417</xdr:rowOff>
    </xdr:from>
    <xdr:to>
      <xdr:col>31</xdr:col>
      <xdr:colOff>481540</xdr:colOff>
      <xdr:row>65</xdr:row>
      <xdr:rowOff>2117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19</xdr:col>
      <xdr:colOff>433916</xdr:colOff>
      <xdr:row>66</xdr:row>
      <xdr:rowOff>116417</xdr:rowOff>
    </xdr:from>
    <xdr:to>
      <xdr:col>31</xdr:col>
      <xdr:colOff>481540</xdr:colOff>
      <xdr:row>81</xdr:row>
      <xdr:rowOff>2117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19</xdr:col>
      <xdr:colOff>433916</xdr:colOff>
      <xdr:row>82</xdr:row>
      <xdr:rowOff>116417</xdr:rowOff>
    </xdr:from>
    <xdr:to>
      <xdr:col>31</xdr:col>
      <xdr:colOff>481540</xdr:colOff>
      <xdr:row>97</xdr:row>
      <xdr:rowOff>2117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19</xdr:col>
      <xdr:colOff>433916</xdr:colOff>
      <xdr:row>97</xdr:row>
      <xdr:rowOff>116417</xdr:rowOff>
    </xdr:from>
    <xdr:to>
      <xdr:col>31</xdr:col>
      <xdr:colOff>481540</xdr:colOff>
      <xdr:row>112</xdr:row>
      <xdr:rowOff>2117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19</xdr:col>
      <xdr:colOff>433916</xdr:colOff>
      <xdr:row>113</xdr:row>
      <xdr:rowOff>116417</xdr:rowOff>
    </xdr:from>
    <xdr:to>
      <xdr:col>31</xdr:col>
      <xdr:colOff>481540</xdr:colOff>
      <xdr:row>128</xdr:row>
      <xdr:rowOff>2117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19</xdr:col>
      <xdr:colOff>433916</xdr:colOff>
      <xdr:row>129</xdr:row>
      <xdr:rowOff>84667</xdr:rowOff>
    </xdr:from>
    <xdr:to>
      <xdr:col>31</xdr:col>
      <xdr:colOff>481540</xdr:colOff>
      <xdr:row>143</xdr:row>
      <xdr:rowOff>160867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32</xdr:col>
      <xdr:colOff>423332</xdr:colOff>
      <xdr:row>2</xdr:row>
      <xdr:rowOff>169334</xdr:rowOff>
    </xdr:from>
    <xdr:to>
      <xdr:col>44</xdr:col>
      <xdr:colOff>470956</xdr:colOff>
      <xdr:row>17</xdr:row>
      <xdr:rowOff>44451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33</xdr:col>
      <xdr:colOff>74084</xdr:colOff>
      <xdr:row>18</xdr:row>
      <xdr:rowOff>127001</xdr:rowOff>
    </xdr:from>
    <xdr:to>
      <xdr:col>45</xdr:col>
      <xdr:colOff>121708</xdr:colOff>
      <xdr:row>33</xdr:row>
      <xdr:rowOff>12701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33</xdr:col>
      <xdr:colOff>74083</xdr:colOff>
      <xdr:row>33</xdr:row>
      <xdr:rowOff>169334</xdr:rowOff>
    </xdr:from>
    <xdr:to>
      <xdr:col>45</xdr:col>
      <xdr:colOff>121707</xdr:colOff>
      <xdr:row>48</xdr:row>
      <xdr:rowOff>44451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33</xdr:col>
      <xdr:colOff>74083</xdr:colOff>
      <xdr:row>49</xdr:row>
      <xdr:rowOff>169334</xdr:rowOff>
    </xdr:from>
    <xdr:to>
      <xdr:col>45</xdr:col>
      <xdr:colOff>121707</xdr:colOff>
      <xdr:row>64</xdr:row>
      <xdr:rowOff>55034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46</xdr:col>
      <xdr:colOff>74082</xdr:colOff>
      <xdr:row>2</xdr:row>
      <xdr:rowOff>158750</xdr:rowOff>
    </xdr:from>
    <xdr:to>
      <xdr:col>58</xdr:col>
      <xdr:colOff>121706</xdr:colOff>
      <xdr:row>17</xdr:row>
      <xdr:rowOff>33867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46</xdr:col>
      <xdr:colOff>74082</xdr:colOff>
      <xdr:row>17</xdr:row>
      <xdr:rowOff>169334</xdr:rowOff>
    </xdr:from>
    <xdr:to>
      <xdr:col>58</xdr:col>
      <xdr:colOff>121706</xdr:colOff>
      <xdr:row>32</xdr:row>
      <xdr:rowOff>55034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46</xdr:col>
      <xdr:colOff>74082</xdr:colOff>
      <xdr:row>33</xdr:row>
      <xdr:rowOff>169334</xdr:rowOff>
    </xdr:from>
    <xdr:to>
      <xdr:col>58</xdr:col>
      <xdr:colOff>121706</xdr:colOff>
      <xdr:row>48</xdr:row>
      <xdr:rowOff>44451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59</xdr:col>
      <xdr:colOff>74082</xdr:colOff>
      <xdr:row>3</xdr:row>
      <xdr:rowOff>158751</xdr:rowOff>
    </xdr:from>
    <xdr:to>
      <xdr:col>71</xdr:col>
      <xdr:colOff>121706</xdr:colOff>
      <xdr:row>18</xdr:row>
      <xdr:rowOff>44451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58</xdr:col>
      <xdr:colOff>597957</xdr:colOff>
      <xdr:row>18</xdr:row>
      <xdr:rowOff>178859</xdr:rowOff>
    </xdr:from>
    <xdr:to>
      <xdr:col>71</xdr:col>
      <xdr:colOff>35981</xdr:colOff>
      <xdr:row>33</xdr:row>
      <xdr:rowOff>64559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59</xdr:col>
      <xdr:colOff>74082</xdr:colOff>
      <xdr:row>33</xdr:row>
      <xdr:rowOff>169334</xdr:rowOff>
    </xdr:from>
    <xdr:to>
      <xdr:col>71</xdr:col>
      <xdr:colOff>121706</xdr:colOff>
      <xdr:row>48</xdr:row>
      <xdr:rowOff>44451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59</xdr:col>
      <xdr:colOff>74082</xdr:colOff>
      <xdr:row>48</xdr:row>
      <xdr:rowOff>169334</xdr:rowOff>
    </xdr:from>
    <xdr:to>
      <xdr:col>71</xdr:col>
      <xdr:colOff>121706</xdr:colOff>
      <xdr:row>63</xdr:row>
      <xdr:rowOff>55034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444500</xdr:colOff>
      <xdr:row>1</xdr:row>
      <xdr:rowOff>95251</xdr:rowOff>
    </xdr:from>
    <xdr:to>
      <xdr:col>18</xdr:col>
      <xdr:colOff>492124</xdr:colOff>
      <xdr:row>15</xdr:row>
      <xdr:rowOff>150284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613833</xdr:colOff>
      <xdr:row>17</xdr:row>
      <xdr:rowOff>0</xdr:rowOff>
    </xdr:from>
    <xdr:to>
      <xdr:col>19</xdr:col>
      <xdr:colOff>47623</xdr:colOff>
      <xdr:row>31</xdr:row>
      <xdr:rowOff>76200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105833</xdr:colOff>
      <xdr:row>32</xdr:row>
      <xdr:rowOff>116416</xdr:rowOff>
    </xdr:from>
    <xdr:to>
      <xdr:col>19</xdr:col>
      <xdr:colOff>153457</xdr:colOff>
      <xdr:row>46</xdr:row>
      <xdr:rowOff>182033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105833</xdr:colOff>
      <xdr:row>47</xdr:row>
      <xdr:rowOff>116416</xdr:rowOff>
    </xdr:from>
    <xdr:to>
      <xdr:col>19</xdr:col>
      <xdr:colOff>153457</xdr:colOff>
      <xdr:row>62</xdr:row>
      <xdr:rowOff>2116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105833</xdr:colOff>
      <xdr:row>62</xdr:row>
      <xdr:rowOff>116416</xdr:rowOff>
    </xdr:from>
    <xdr:to>
      <xdr:col>19</xdr:col>
      <xdr:colOff>153457</xdr:colOff>
      <xdr:row>77</xdr:row>
      <xdr:rowOff>2116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105833</xdr:colOff>
      <xdr:row>77</xdr:row>
      <xdr:rowOff>116416</xdr:rowOff>
    </xdr:from>
    <xdr:to>
      <xdr:col>19</xdr:col>
      <xdr:colOff>153457</xdr:colOff>
      <xdr:row>92</xdr:row>
      <xdr:rowOff>2116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105833</xdr:colOff>
      <xdr:row>92</xdr:row>
      <xdr:rowOff>116416</xdr:rowOff>
    </xdr:from>
    <xdr:to>
      <xdr:col>19</xdr:col>
      <xdr:colOff>153457</xdr:colOff>
      <xdr:row>107</xdr:row>
      <xdr:rowOff>2116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444499</xdr:colOff>
      <xdr:row>2</xdr:row>
      <xdr:rowOff>169335</xdr:rowOff>
    </xdr:from>
    <xdr:to>
      <xdr:col>31</xdr:col>
      <xdr:colOff>492123</xdr:colOff>
      <xdr:row>17</xdr:row>
      <xdr:rowOff>44452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433916</xdr:colOff>
      <xdr:row>18</xdr:row>
      <xdr:rowOff>116417</xdr:rowOff>
    </xdr:from>
    <xdr:to>
      <xdr:col>31</xdr:col>
      <xdr:colOff>481540</xdr:colOff>
      <xdr:row>33</xdr:row>
      <xdr:rowOff>2117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19</xdr:col>
      <xdr:colOff>433916</xdr:colOff>
      <xdr:row>34</xdr:row>
      <xdr:rowOff>127000</xdr:rowOff>
    </xdr:from>
    <xdr:to>
      <xdr:col>31</xdr:col>
      <xdr:colOff>481540</xdr:colOff>
      <xdr:row>49</xdr:row>
      <xdr:rowOff>2117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433916</xdr:colOff>
      <xdr:row>50</xdr:row>
      <xdr:rowOff>116417</xdr:rowOff>
    </xdr:from>
    <xdr:to>
      <xdr:col>31</xdr:col>
      <xdr:colOff>481540</xdr:colOff>
      <xdr:row>65</xdr:row>
      <xdr:rowOff>2117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19</xdr:col>
      <xdr:colOff>433916</xdr:colOff>
      <xdr:row>66</xdr:row>
      <xdr:rowOff>116417</xdr:rowOff>
    </xdr:from>
    <xdr:to>
      <xdr:col>31</xdr:col>
      <xdr:colOff>481540</xdr:colOff>
      <xdr:row>81</xdr:row>
      <xdr:rowOff>2117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19</xdr:col>
      <xdr:colOff>433916</xdr:colOff>
      <xdr:row>82</xdr:row>
      <xdr:rowOff>116417</xdr:rowOff>
    </xdr:from>
    <xdr:to>
      <xdr:col>31</xdr:col>
      <xdr:colOff>481540</xdr:colOff>
      <xdr:row>97</xdr:row>
      <xdr:rowOff>2117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19</xdr:col>
      <xdr:colOff>433916</xdr:colOff>
      <xdr:row>97</xdr:row>
      <xdr:rowOff>116417</xdr:rowOff>
    </xdr:from>
    <xdr:to>
      <xdr:col>31</xdr:col>
      <xdr:colOff>481540</xdr:colOff>
      <xdr:row>112</xdr:row>
      <xdr:rowOff>2117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19</xdr:col>
      <xdr:colOff>433916</xdr:colOff>
      <xdr:row>113</xdr:row>
      <xdr:rowOff>116417</xdr:rowOff>
    </xdr:from>
    <xdr:to>
      <xdr:col>31</xdr:col>
      <xdr:colOff>481540</xdr:colOff>
      <xdr:row>128</xdr:row>
      <xdr:rowOff>2117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19</xdr:col>
      <xdr:colOff>433916</xdr:colOff>
      <xdr:row>129</xdr:row>
      <xdr:rowOff>84667</xdr:rowOff>
    </xdr:from>
    <xdr:to>
      <xdr:col>31</xdr:col>
      <xdr:colOff>481540</xdr:colOff>
      <xdr:row>143</xdr:row>
      <xdr:rowOff>160867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32</xdr:col>
      <xdr:colOff>423332</xdr:colOff>
      <xdr:row>2</xdr:row>
      <xdr:rowOff>169334</xdr:rowOff>
    </xdr:from>
    <xdr:to>
      <xdr:col>44</xdr:col>
      <xdr:colOff>470956</xdr:colOff>
      <xdr:row>17</xdr:row>
      <xdr:rowOff>44451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33</xdr:col>
      <xdr:colOff>74084</xdr:colOff>
      <xdr:row>18</xdr:row>
      <xdr:rowOff>127001</xdr:rowOff>
    </xdr:from>
    <xdr:to>
      <xdr:col>45</xdr:col>
      <xdr:colOff>121708</xdr:colOff>
      <xdr:row>33</xdr:row>
      <xdr:rowOff>12701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33</xdr:col>
      <xdr:colOff>74083</xdr:colOff>
      <xdr:row>33</xdr:row>
      <xdr:rowOff>169334</xdr:rowOff>
    </xdr:from>
    <xdr:to>
      <xdr:col>45</xdr:col>
      <xdr:colOff>121707</xdr:colOff>
      <xdr:row>48</xdr:row>
      <xdr:rowOff>44451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33</xdr:col>
      <xdr:colOff>74083</xdr:colOff>
      <xdr:row>49</xdr:row>
      <xdr:rowOff>169334</xdr:rowOff>
    </xdr:from>
    <xdr:to>
      <xdr:col>45</xdr:col>
      <xdr:colOff>121707</xdr:colOff>
      <xdr:row>64</xdr:row>
      <xdr:rowOff>55034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46</xdr:col>
      <xdr:colOff>74082</xdr:colOff>
      <xdr:row>2</xdr:row>
      <xdr:rowOff>158750</xdr:rowOff>
    </xdr:from>
    <xdr:to>
      <xdr:col>58</xdr:col>
      <xdr:colOff>121706</xdr:colOff>
      <xdr:row>17</xdr:row>
      <xdr:rowOff>33867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46</xdr:col>
      <xdr:colOff>74082</xdr:colOff>
      <xdr:row>17</xdr:row>
      <xdr:rowOff>169334</xdr:rowOff>
    </xdr:from>
    <xdr:to>
      <xdr:col>58</xdr:col>
      <xdr:colOff>121706</xdr:colOff>
      <xdr:row>32</xdr:row>
      <xdr:rowOff>55034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46</xdr:col>
      <xdr:colOff>74082</xdr:colOff>
      <xdr:row>33</xdr:row>
      <xdr:rowOff>169334</xdr:rowOff>
    </xdr:from>
    <xdr:to>
      <xdr:col>58</xdr:col>
      <xdr:colOff>121706</xdr:colOff>
      <xdr:row>48</xdr:row>
      <xdr:rowOff>44451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59</xdr:col>
      <xdr:colOff>74082</xdr:colOff>
      <xdr:row>3</xdr:row>
      <xdr:rowOff>158751</xdr:rowOff>
    </xdr:from>
    <xdr:to>
      <xdr:col>71</xdr:col>
      <xdr:colOff>121706</xdr:colOff>
      <xdr:row>18</xdr:row>
      <xdr:rowOff>44451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59</xdr:col>
      <xdr:colOff>74082</xdr:colOff>
      <xdr:row>18</xdr:row>
      <xdr:rowOff>169334</xdr:rowOff>
    </xdr:from>
    <xdr:to>
      <xdr:col>71</xdr:col>
      <xdr:colOff>121706</xdr:colOff>
      <xdr:row>33</xdr:row>
      <xdr:rowOff>55034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59</xdr:col>
      <xdr:colOff>74082</xdr:colOff>
      <xdr:row>33</xdr:row>
      <xdr:rowOff>169334</xdr:rowOff>
    </xdr:from>
    <xdr:to>
      <xdr:col>71</xdr:col>
      <xdr:colOff>121706</xdr:colOff>
      <xdr:row>48</xdr:row>
      <xdr:rowOff>44451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59</xdr:col>
      <xdr:colOff>74082</xdr:colOff>
      <xdr:row>48</xdr:row>
      <xdr:rowOff>169334</xdr:rowOff>
    </xdr:from>
    <xdr:to>
      <xdr:col>71</xdr:col>
      <xdr:colOff>121706</xdr:colOff>
      <xdr:row>63</xdr:row>
      <xdr:rowOff>55034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333375</xdr:colOff>
      <xdr:row>175</xdr:row>
      <xdr:rowOff>171450</xdr:rowOff>
    </xdr:from>
    <xdr:to>
      <xdr:col>29</xdr:col>
      <xdr:colOff>457200</xdr:colOff>
      <xdr:row>190</xdr:row>
      <xdr:rowOff>57150</xdr:rowOff>
    </xdr:to>
    <xdr:graphicFrame macro="">
      <xdr:nvGraphicFramePr>
        <xdr:cNvPr id="2" name="Gráfico 3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333375</xdr:colOff>
      <xdr:row>195</xdr:row>
      <xdr:rowOff>171450</xdr:rowOff>
    </xdr:from>
    <xdr:to>
      <xdr:col>29</xdr:col>
      <xdr:colOff>457200</xdr:colOff>
      <xdr:row>210</xdr:row>
      <xdr:rowOff>57150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57150</xdr:colOff>
      <xdr:row>152</xdr:row>
      <xdr:rowOff>9525</xdr:rowOff>
    </xdr:from>
    <xdr:to>
      <xdr:col>38</xdr:col>
      <xdr:colOff>456407</xdr:colOff>
      <xdr:row>176</xdr:row>
      <xdr:rowOff>187325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561975</xdr:colOff>
      <xdr:row>11</xdr:row>
      <xdr:rowOff>95250</xdr:rowOff>
    </xdr:from>
    <xdr:to>
      <xdr:col>21</xdr:col>
      <xdr:colOff>311150</xdr:colOff>
      <xdr:row>44</xdr:row>
      <xdr:rowOff>107315</xdr:rowOff>
    </xdr:to>
    <xdr:pic>
      <xdr:nvPicPr>
        <xdr:cNvPr id="2" name="Imagem 1" descr="http://www.gasnet.com.br/novo_gnv/perfil_4-2009.gif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191875" y="2219325"/>
          <a:ext cx="3406775" cy="76288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400050</xdr:colOff>
      <xdr:row>11</xdr:row>
      <xdr:rowOff>38100</xdr:rowOff>
    </xdr:from>
    <xdr:to>
      <xdr:col>15</xdr:col>
      <xdr:colOff>228600</xdr:colOff>
      <xdr:row>44</xdr:row>
      <xdr:rowOff>22225</xdr:rowOff>
    </xdr:to>
    <xdr:pic>
      <xdr:nvPicPr>
        <xdr:cNvPr id="3073" name="Picture 1" descr="http://www.gasnet.com.br/novo_gnv/perfil_1-2010.gif">
          <a:extLst>
            <a:ext uri="{FF2B5EF4-FFF2-40B4-BE49-F238E27FC236}">
              <a16:creationId xmlns:a16="http://schemas.microsoft.com/office/drawing/2014/main" id="{00000000-0008-0000-1800-00000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372350" y="2162175"/>
          <a:ext cx="3486150" cy="7600950"/>
        </a:xfrm>
        <a:prstGeom prst="rect">
          <a:avLst/>
        </a:prstGeom>
        <a:noFill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247649</xdr:colOff>
      <xdr:row>1</xdr:row>
      <xdr:rowOff>76199</xdr:rowOff>
    </xdr:from>
    <xdr:to>
      <xdr:col>59</xdr:col>
      <xdr:colOff>123825</xdr:colOff>
      <xdr:row>21</xdr:row>
      <xdr:rowOff>66674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41</xdr:col>
      <xdr:colOff>219075</xdr:colOff>
      <xdr:row>22</xdr:row>
      <xdr:rowOff>114300</xdr:rowOff>
    </xdr:from>
    <xdr:to>
      <xdr:col>59</xdr:col>
      <xdr:colOff>95251</xdr:colOff>
      <xdr:row>42</xdr:row>
      <xdr:rowOff>95250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2E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42</xdr:col>
      <xdr:colOff>0</xdr:colOff>
      <xdr:row>44</xdr:row>
      <xdr:rowOff>0</xdr:rowOff>
    </xdr:from>
    <xdr:to>
      <xdr:col>59</xdr:col>
      <xdr:colOff>485776</xdr:colOff>
      <xdr:row>63</xdr:row>
      <xdr:rowOff>180975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2E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0</xdr:colOff>
      <xdr:row>65</xdr:row>
      <xdr:rowOff>0</xdr:rowOff>
    </xdr:from>
    <xdr:to>
      <xdr:col>57</xdr:col>
      <xdr:colOff>347382</xdr:colOff>
      <xdr:row>93</xdr:row>
      <xdr:rowOff>95250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2E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41</xdr:col>
      <xdr:colOff>526677</xdr:colOff>
      <xdr:row>103</xdr:row>
      <xdr:rowOff>145677</xdr:rowOff>
    </xdr:from>
    <xdr:to>
      <xdr:col>59</xdr:col>
      <xdr:colOff>407335</xdr:colOff>
      <xdr:row>123</xdr:row>
      <xdr:rowOff>136152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2E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61</xdr:col>
      <xdr:colOff>0</xdr:colOff>
      <xdr:row>1</xdr:row>
      <xdr:rowOff>0</xdr:rowOff>
    </xdr:from>
    <xdr:to>
      <xdr:col>78</xdr:col>
      <xdr:colOff>485776</xdr:colOff>
      <xdr:row>20</xdr:row>
      <xdr:rowOff>180975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0000000-0008-0000-2E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61</xdr:col>
      <xdr:colOff>0</xdr:colOff>
      <xdr:row>22</xdr:row>
      <xdr:rowOff>0</xdr:rowOff>
    </xdr:from>
    <xdr:to>
      <xdr:col>78</xdr:col>
      <xdr:colOff>485776</xdr:colOff>
      <xdr:row>41</xdr:row>
      <xdr:rowOff>171450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0000000-0008-0000-2E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61</xdr:col>
      <xdr:colOff>0</xdr:colOff>
      <xdr:row>43</xdr:row>
      <xdr:rowOff>0</xdr:rowOff>
    </xdr:from>
    <xdr:to>
      <xdr:col>78</xdr:col>
      <xdr:colOff>485776</xdr:colOff>
      <xdr:row>62</xdr:row>
      <xdr:rowOff>180975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00000000-0008-0000-2E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36</xdr:col>
      <xdr:colOff>105755</xdr:colOff>
      <xdr:row>94</xdr:row>
      <xdr:rowOff>171590</xdr:rowOff>
    </xdr:from>
    <xdr:to>
      <xdr:col>50</xdr:col>
      <xdr:colOff>178595</xdr:colOff>
      <xdr:row>121</xdr:row>
      <xdr:rowOff>138906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00000000-0008-0000-2E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61</xdr:col>
      <xdr:colOff>0</xdr:colOff>
      <xdr:row>86</xdr:row>
      <xdr:rowOff>0</xdr:rowOff>
    </xdr:from>
    <xdr:to>
      <xdr:col>78</xdr:col>
      <xdr:colOff>485776</xdr:colOff>
      <xdr:row>105</xdr:row>
      <xdr:rowOff>180975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00000000-0008-0000-2E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80</xdr:col>
      <xdr:colOff>0</xdr:colOff>
      <xdr:row>1</xdr:row>
      <xdr:rowOff>0</xdr:rowOff>
    </xdr:from>
    <xdr:to>
      <xdr:col>97</xdr:col>
      <xdr:colOff>485776</xdr:colOff>
      <xdr:row>20</xdr:row>
      <xdr:rowOff>180975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00000000-0008-0000-2E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80</xdr:col>
      <xdr:colOff>0</xdr:colOff>
      <xdr:row>22</xdr:row>
      <xdr:rowOff>0</xdr:rowOff>
    </xdr:from>
    <xdr:to>
      <xdr:col>97</xdr:col>
      <xdr:colOff>485776</xdr:colOff>
      <xdr:row>41</xdr:row>
      <xdr:rowOff>171450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00000000-0008-0000-2E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81</xdr:col>
      <xdr:colOff>0</xdr:colOff>
      <xdr:row>43</xdr:row>
      <xdr:rowOff>0</xdr:rowOff>
    </xdr:from>
    <xdr:to>
      <xdr:col>98</xdr:col>
      <xdr:colOff>485776</xdr:colOff>
      <xdr:row>62</xdr:row>
      <xdr:rowOff>180975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00000000-0008-0000-2E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80</xdr:col>
      <xdr:colOff>0</xdr:colOff>
      <xdr:row>64</xdr:row>
      <xdr:rowOff>0</xdr:rowOff>
    </xdr:from>
    <xdr:to>
      <xdr:col>97</xdr:col>
      <xdr:colOff>485776</xdr:colOff>
      <xdr:row>83</xdr:row>
      <xdr:rowOff>180975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00000000-0008-0000-2E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80</xdr:col>
      <xdr:colOff>0</xdr:colOff>
      <xdr:row>85</xdr:row>
      <xdr:rowOff>0</xdr:rowOff>
    </xdr:from>
    <xdr:to>
      <xdr:col>97</xdr:col>
      <xdr:colOff>485776</xdr:colOff>
      <xdr:row>104</xdr:row>
      <xdr:rowOff>180975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00000000-0008-0000-2E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99</xdr:col>
      <xdr:colOff>0</xdr:colOff>
      <xdr:row>1</xdr:row>
      <xdr:rowOff>0</xdr:rowOff>
    </xdr:from>
    <xdr:to>
      <xdr:col>116</xdr:col>
      <xdr:colOff>485776</xdr:colOff>
      <xdr:row>20</xdr:row>
      <xdr:rowOff>180975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00000000-0008-0000-2E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100</xdr:col>
      <xdr:colOff>0</xdr:colOff>
      <xdr:row>21</xdr:row>
      <xdr:rowOff>0</xdr:rowOff>
    </xdr:from>
    <xdr:to>
      <xdr:col>117</xdr:col>
      <xdr:colOff>485776</xdr:colOff>
      <xdr:row>40</xdr:row>
      <xdr:rowOff>171450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00000000-0008-0000-2E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100</xdr:col>
      <xdr:colOff>0</xdr:colOff>
      <xdr:row>42</xdr:row>
      <xdr:rowOff>0</xdr:rowOff>
    </xdr:from>
    <xdr:to>
      <xdr:col>117</xdr:col>
      <xdr:colOff>485776</xdr:colOff>
      <xdr:row>61</xdr:row>
      <xdr:rowOff>180975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00000000-0008-0000-2E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28</xdr:col>
      <xdr:colOff>329407</xdr:colOff>
      <xdr:row>62</xdr:row>
      <xdr:rowOff>75407</xdr:rowOff>
    </xdr:from>
    <xdr:to>
      <xdr:col>39</xdr:col>
      <xdr:colOff>23814</xdr:colOff>
      <xdr:row>87</xdr:row>
      <xdr:rowOff>138907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00000000-0008-0000-2E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99</xdr:col>
      <xdr:colOff>0</xdr:colOff>
      <xdr:row>83</xdr:row>
      <xdr:rowOff>0</xdr:rowOff>
    </xdr:from>
    <xdr:to>
      <xdr:col>116</xdr:col>
      <xdr:colOff>485776</xdr:colOff>
      <xdr:row>102</xdr:row>
      <xdr:rowOff>180975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00000000-0008-0000-2E00-00001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119</xdr:col>
      <xdr:colOff>0</xdr:colOff>
      <xdr:row>1</xdr:row>
      <xdr:rowOff>0</xdr:rowOff>
    </xdr:from>
    <xdr:to>
      <xdr:col>136</xdr:col>
      <xdr:colOff>485776</xdr:colOff>
      <xdr:row>20</xdr:row>
      <xdr:rowOff>180975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00000000-0008-0000-2E00-00001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120</xdr:col>
      <xdr:colOff>0</xdr:colOff>
      <xdr:row>21</xdr:row>
      <xdr:rowOff>0</xdr:rowOff>
    </xdr:from>
    <xdr:to>
      <xdr:col>137</xdr:col>
      <xdr:colOff>485776</xdr:colOff>
      <xdr:row>40</xdr:row>
      <xdr:rowOff>171450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00000000-0008-0000-2E00-00001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120</xdr:col>
      <xdr:colOff>0</xdr:colOff>
      <xdr:row>42</xdr:row>
      <xdr:rowOff>0</xdr:rowOff>
    </xdr:from>
    <xdr:to>
      <xdr:col>137</xdr:col>
      <xdr:colOff>485776</xdr:colOff>
      <xdr:row>61</xdr:row>
      <xdr:rowOff>180975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00000000-0008-0000-2E00-00001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120</xdr:col>
      <xdr:colOff>0</xdr:colOff>
      <xdr:row>63</xdr:row>
      <xdr:rowOff>0</xdr:rowOff>
    </xdr:from>
    <xdr:to>
      <xdr:col>137</xdr:col>
      <xdr:colOff>485776</xdr:colOff>
      <xdr:row>82</xdr:row>
      <xdr:rowOff>180975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00000000-0008-0000-2E00-00001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119</xdr:col>
      <xdr:colOff>0</xdr:colOff>
      <xdr:row>83</xdr:row>
      <xdr:rowOff>0</xdr:rowOff>
    </xdr:from>
    <xdr:to>
      <xdr:col>136</xdr:col>
      <xdr:colOff>485776</xdr:colOff>
      <xdr:row>102</xdr:row>
      <xdr:rowOff>180975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00000000-0008-0000-2E00-00001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59</xdr:col>
      <xdr:colOff>218281</xdr:colOff>
      <xdr:row>60</xdr:row>
      <xdr:rowOff>55563</xdr:rowOff>
    </xdr:from>
    <xdr:to>
      <xdr:col>74</xdr:col>
      <xdr:colOff>43657</xdr:colOff>
      <xdr:row>85</xdr:row>
      <xdr:rowOff>119063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00000000-0008-0000-2E00-00001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4</xdr:row>
      <xdr:rowOff>0</xdr:rowOff>
    </xdr:from>
    <xdr:to>
      <xdr:col>22</xdr:col>
      <xdr:colOff>399257</xdr:colOff>
      <xdr:row>29</xdr:row>
      <xdr:rowOff>63500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438151</xdr:colOff>
      <xdr:row>1</xdr:row>
      <xdr:rowOff>85725</xdr:rowOff>
    </xdr:from>
    <xdr:to>
      <xdr:col>17</xdr:col>
      <xdr:colOff>485775</xdr:colOff>
      <xdr:row>15</xdr:row>
      <xdr:rowOff>142875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18</xdr:row>
      <xdr:rowOff>0</xdr:rowOff>
    </xdr:from>
    <xdr:to>
      <xdr:col>18</xdr:col>
      <xdr:colOff>47624</xdr:colOff>
      <xdr:row>32</xdr:row>
      <xdr:rowOff>76200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3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76200</xdr:colOff>
      <xdr:row>34</xdr:row>
      <xdr:rowOff>19049</xdr:rowOff>
    </xdr:from>
    <xdr:to>
      <xdr:col>19</xdr:col>
      <xdr:colOff>38099</xdr:colOff>
      <xdr:row>52</xdr:row>
      <xdr:rowOff>19049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3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0</xdr:colOff>
      <xdr:row>2</xdr:row>
      <xdr:rowOff>0</xdr:rowOff>
    </xdr:from>
    <xdr:to>
      <xdr:col>32</xdr:col>
      <xdr:colOff>47624</xdr:colOff>
      <xdr:row>16</xdr:row>
      <xdr:rowOff>65617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3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0</xdr:colOff>
      <xdr:row>17</xdr:row>
      <xdr:rowOff>0</xdr:rowOff>
    </xdr:from>
    <xdr:to>
      <xdr:col>32</xdr:col>
      <xdr:colOff>47624</xdr:colOff>
      <xdr:row>31</xdr:row>
      <xdr:rowOff>76200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3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0</xdr:colOff>
      <xdr:row>33</xdr:row>
      <xdr:rowOff>0</xdr:rowOff>
    </xdr:from>
    <xdr:to>
      <xdr:col>32</xdr:col>
      <xdr:colOff>47624</xdr:colOff>
      <xdr:row>47</xdr:row>
      <xdr:rowOff>65617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3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0</xdr:colOff>
      <xdr:row>48</xdr:row>
      <xdr:rowOff>0</xdr:rowOff>
    </xdr:from>
    <xdr:to>
      <xdr:col>32</xdr:col>
      <xdr:colOff>47624</xdr:colOff>
      <xdr:row>62</xdr:row>
      <xdr:rowOff>76200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0000000-0008-0000-3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20</xdr:col>
      <xdr:colOff>0</xdr:colOff>
      <xdr:row>63</xdr:row>
      <xdr:rowOff>0</xdr:rowOff>
    </xdr:from>
    <xdr:to>
      <xdr:col>32</xdr:col>
      <xdr:colOff>47624</xdr:colOff>
      <xdr:row>77</xdr:row>
      <xdr:rowOff>76200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0000000-0008-0000-32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20</xdr:col>
      <xdr:colOff>0</xdr:colOff>
      <xdr:row>78</xdr:row>
      <xdr:rowOff>0</xdr:rowOff>
    </xdr:from>
    <xdr:to>
      <xdr:col>32</xdr:col>
      <xdr:colOff>47624</xdr:colOff>
      <xdr:row>92</xdr:row>
      <xdr:rowOff>76200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00000000-0008-0000-32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20</xdr:col>
      <xdr:colOff>0</xdr:colOff>
      <xdr:row>93</xdr:row>
      <xdr:rowOff>0</xdr:rowOff>
    </xdr:from>
    <xdr:to>
      <xdr:col>32</xdr:col>
      <xdr:colOff>47624</xdr:colOff>
      <xdr:row>107</xdr:row>
      <xdr:rowOff>76200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00000000-0008-0000-32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34</xdr:col>
      <xdr:colOff>10583</xdr:colOff>
      <xdr:row>3</xdr:row>
      <xdr:rowOff>42335</xdr:rowOff>
    </xdr:from>
    <xdr:to>
      <xdr:col>46</xdr:col>
      <xdr:colOff>58207</xdr:colOff>
      <xdr:row>17</xdr:row>
      <xdr:rowOff>118535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00000000-0008-0000-32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34</xdr:col>
      <xdr:colOff>0</xdr:colOff>
      <xdr:row>19</xdr:row>
      <xdr:rowOff>0</xdr:rowOff>
    </xdr:from>
    <xdr:to>
      <xdr:col>46</xdr:col>
      <xdr:colOff>47624</xdr:colOff>
      <xdr:row>33</xdr:row>
      <xdr:rowOff>76200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00000000-0008-0000-32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34</xdr:col>
      <xdr:colOff>0</xdr:colOff>
      <xdr:row>35</xdr:row>
      <xdr:rowOff>0</xdr:rowOff>
    </xdr:from>
    <xdr:to>
      <xdr:col>46</xdr:col>
      <xdr:colOff>47624</xdr:colOff>
      <xdr:row>49</xdr:row>
      <xdr:rowOff>76200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00000000-0008-0000-32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34</xdr:col>
      <xdr:colOff>0</xdr:colOff>
      <xdr:row>51</xdr:row>
      <xdr:rowOff>0</xdr:rowOff>
    </xdr:from>
    <xdr:to>
      <xdr:col>46</xdr:col>
      <xdr:colOff>47624</xdr:colOff>
      <xdr:row>65</xdr:row>
      <xdr:rowOff>76200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00000000-0008-0000-32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34</xdr:col>
      <xdr:colOff>0</xdr:colOff>
      <xdr:row>67</xdr:row>
      <xdr:rowOff>0</xdr:rowOff>
    </xdr:from>
    <xdr:to>
      <xdr:col>46</xdr:col>
      <xdr:colOff>47624</xdr:colOff>
      <xdr:row>81</xdr:row>
      <xdr:rowOff>76200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00000000-0008-0000-32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34</xdr:col>
      <xdr:colOff>0</xdr:colOff>
      <xdr:row>83</xdr:row>
      <xdr:rowOff>0</xdr:rowOff>
    </xdr:from>
    <xdr:to>
      <xdr:col>46</xdr:col>
      <xdr:colOff>47624</xdr:colOff>
      <xdr:row>97</xdr:row>
      <xdr:rowOff>76200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00000000-0008-0000-32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34</xdr:col>
      <xdr:colOff>0</xdr:colOff>
      <xdr:row>98</xdr:row>
      <xdr:rowOff>0</xdr:rowOff>
    </xdr:from>
    <xdr:to>
      <xdr:col>46</xdr:col>
      <xdr:colOff>47624</xdr:colOff>
      <xdr:row>112</xdr:row>
      <xdr:rowOff>76200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00000000-0008-0000-32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34</xdr:col>
      <xdr:colOff>0</xdr:colOff>
      <xdr:row>114</xdr:row>
      <xdr:rowOff>0</xdr:rowOff>
    </xdr:from>
    <xdr:to>
      <xdr:col>46</xdr:col>
      <xdr:colOff>47624</xdr:colOff>
      <xdr:row>128</xdr:row>
      <xdr:rowOff>76200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00000000-0008-0000-32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34</xdr:col>
      <xdr:colOff>0</xdr:colOff>
      <xdr:row>129</xdr:row>
      <xdr:rowOff>158750</xdr:rowOff>
    </xdr:from>
    <xdr:to>
      <xdr:col>46</xdr:col>
      <xdr:colOff>47624</xdr:colOff>
      <xdr:row>144</xdr:row>
      <xdr:rowOff>44450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00000000-0008-0000-32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48</xdr:col>
      <xdr:colOff>349250</xdr:colOff>
      <xdr:row>1</xdr:row>
      <xdr:rowOff>10584</xdr:rowOff>
    </xdr:from>
    <xdr:to>
      <xdr:col>60</xdr:col>
      <xdr:colOff>396874</xdr:colOff>
      <xdr:row>15</xdr:row>
      <xdr:rowOff>65617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00000000-0008-0000-32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49</xdr:col>
      <xdr:colOff>1</xdr:colOff>
      <xdr:row>16</xdr:row>
      <xdr:rowOff>148167</xdr:rowOff>
    </xdr:from>
    <xdr:to>
      <xdr:col>61</xdr:col>
      <xdr:colOff>47625</xdr:colOff>
      <xdr:row>31</xdr:row>
      <xdr:rowOff>33867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00000000-0008-0000-3200-00001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49</xdr:col>
      <xdr:colOff>0</xdr:colOff>
      <xdr:row>32</xdr:row>
      <xdr:rowOff>0</xdr:rowOff>
    </xdr:from>
    <xdr:to>
      <xdr:col>61</xdr:col>
      <xdr:colOff>47624</xdr:colOff>
      <xdr:row>46</xdr:row>
      <xdr:rowOff>65617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00000000-0008-0000-3200-00001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49</xdr:col>
      <xdr:colOff>0</xdr:colOff>
      <xdr:row>48</xdr:row>
      <xdr:rowOff>0</xdr:rowOff>
    </xdr:from>
    <xdr:to>
      <xdr:col>61</xdr:col>
      <xdr:colOff>47624</xdr:colOff>
      <xdr:row>62</xdr:row>
      <xdr:rowOff>76200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00000000-0008-0000-3200-00001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62</xdr:col>
      <xdr:colOff>0</xdr:colOff>
      <xdr:row>1</xdr:row>
      <xdr:rowOff>0</xdr:rowOff>
    </xdr:from>
    <xdr:to>
      <xdr:col>74</xdr:col>
      <xdr:colOff>47624</xdr:colOff>
      <xdr:row>15</xdr:row>
      <xdr:rowOff>55033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00000000-0008-0000-3200-00001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62</xdr:col>
      <xdr:colOff>0</xdr:colOff>
      <xdr:row>16</xdr:row>
      <xdr:rowOff>0</xdr:rowOff>
    </xdr:from>
    <xdr:to>
      <xdr:col>74</xdr:col>
      <xdr:colOff>47624</xdr:colOff>
      <xdr:row>30</xdr:row>
      <xdr:rowOff>76200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00000000-0008-0000-3200-00001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62</xdr:col>
      <xdr:colOff>0</xdr:colOff>
      <xdr:row>32</xdr:row>
      <xdr:rowOff>0</xdr:rowOff>
    </xdr:from>
    <xdr:to>
      <xdr:col>74</xdr:col>
      <xdr:colOff>47624</xdr:colOff>
      <xdr:row>46</xdr:row>
      <xdr:rowOff>65617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00000000-0008-0000-3200-00001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75</xdr:col>
      <xdr:colOff>0</xdr:colOff>
      <xdr:row>2</xdr:row>
      <xdr:rowOff>0</xdr:rowOff>
    </xdr:from>
    <xdr:to>
      <xdr:col>87</xdr:col>
      <xdr:colOff>47624</xdr:colOff>
      <xdr:row>16</xdr:row>
      <xdr:rowOff>65617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00000000-0008-0000-3200-00001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75</xdr:col>
      <xdr:colOff>0</xdr:colOff>
      <xdr:row>17</xdr:row>
      <xdr:rowOff>0</xdr:rowOff>
    </xdr:from>
    <xdr:to>
      <xdr:col>87</xdr:col>
      <xdr:colOff>47624</xdr:colOff>
      <xdr:row>31</xdr:row>
      <xdr:rowOff>76200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00000000-0008-0000-3200-00001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75</xdr:col>
      <xdr:colOff>0</xdr:colOff>
      <xdr:row>32</xdr:row>
      <xdr:rowOff>0</xdr:rowOff>
    </xdr:from>
    <xdr:to>
      <xdr:col>87</xdr:col>
      <xdr:colOff>47624</xdr:colOff>
      <xdr:row>46</xdr:row>
      <xdr:rowOff>65617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00000000-0008-0000-3200-00001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75</xdr:col>
      <xdr:colOff>0</xdr:colOff>
      <xdr:row>47</xdr:row>
      <xdr:rowOff>0</xdr:rowOff>
    </xdr:from>
    <xdr:to>
      <xdr:col>87</xdr:col>
      <xdr:colOff>47624</xdr:colOff>
      <xdr:row>61</xdr:row>
      <xdr:rowOff>76200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00000000-0008-0000-3200-00001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275167</xdr:colOff>
      <xdr:row>37</xdr:row>
      <xdr:rowOff>63500</xdr:rowOff>
    </xdr:from>
    <xdr:to>
      <xdr:col>5</xdr:col>
      <xdr:colOff>0</xdr:colOff>
      <xdr:row>51</xdr:row>
      <xdr:rowOff>139700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00000000-0008-0000-3200-00002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438151</xdr:colOff>
      <xdr:row>1</xdr:row>
      <xdr:rowOff>85725</xdr:rowOff>
    </xdr:from>
    <xdr:to>
      <xdr:col>17</xdr:col>
      <xdr:colOff>485775</xdr:colOff>
      <xdr:row>15</xdr:row>
      <xdr:rowOff>142875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18</xdr:row>
      <xdr:rowOff>0</xdr:rowOff>
    </xdr:from>
    <xdr:to>
      <xdr:col>18</xdr:col>
      <xdr:colOff>47624</xdr:colOff>
      <xdr:row>32</xdr:row>
      <xdr:rowOff>76200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76200</xdr:colOff>
      <xdr:row>34</xdr:row>
      <xdr:rowOff>19049</xdr:rowOff>
    </xdr:from>
    <xdr:to>
      <xdr:col>19</xdr:col>
      <xdr:colOff>38099</xdr:colOff>
      <xdr:row>52</xdr:row>
      <xdr:rowOff>19049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3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0</xdr:colOff>
      <xdr:row>2</xdr:row>
      <xdr:rowOff>0</xdr:rowOff>
    </xdr:from>
    <xdr:to>
      <xdr:col>32</xdr:col>
      <xdr:colOff>47624</xdr:colOff>
      <xdr:row>16</xdr:row>
      <xdr:rowOff>65617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3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0</xdr:colOff>
      <xdr:row>17</xdr:row>
      <xdr:rowOff>0</xdr:rowOff>
    </xdr:from>
    <xdr:to>
      <xdr:col>32</xdr:col>
      <xdr:colOff>47624</xdr:colOff>
      <xdr:row>31</xdr:row>
      <xdr:rowOff>76200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3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0</xdr:colOff>
      <xdr:row>33</xdr:row>
      <xdr:rowOff>0</xdr:rowOff>
    </xdr:from>
    <xdr:to>
      <xdr:col>32</xdr:col>
      <xdr:colOff>47624</xdr:colOff>
      <xdr:row>47</xdr:row>
      <xdr:rowOff>65617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33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0</xdr:colOff>
      <xdr:row>48</xdr:row>
      <xdr:rowOff>0</xdr:rowOff>
    </xdr:from>
    <xdr:to>
      <xdr:col>32</xdr:col>
      <xdr:colOff>47624</xdr:colOff>
      <xdr:row>62</xdr:row>
      <xdr:rowOff>76200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0000000-0008-0000-33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20</xdr:col>
      <xdr:colOff>0</xdr:colOff>
      <xdr:row>63</xdr:row>
      <xdr:rowOff>0</xdr:rowOff>
    </xdr:from>
    <xdr:to>
      <xdr:col>32</xdr:col>
      <xdr:colOff>47624</xdr:colOff>
      <xdr:row>77</xdr:row>
      <xdr:rowOff>76200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0000000-0008-0000-33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20</xdr:col>
      <xdr:colOff>0</xdr:colOff>
      <xdr:row>78</xdr:row>
      <xdr:rowOff>0</xdr:rowOff>
    </xdr:from>
    <xdr:to>
      <xdr:col>32</xdr:col>
      <xdr:colOff>47624</xdr:colOff>
      <xdr:row>92</xdr:row>
      <xdr:rowOff>76200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00000000-0008-0000-33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20</xdr:col>
      <xdr:colOff>0</xdr:colOff>
      <xdr:row>93</xdr:row>
      <xdr:rowOff>0</xdr:rowOff>
    </xdr:from>
    <xdr:to>
      <xdr:col>32</xdr:col>
      <xdr:colOff>47624</xdr:colOff>
      <xdr:row>107</xdr:row>
      <xdr:rowOff>76200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00000000-0008-0000-33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34</xdr:col>
      <xdr:colOff>10583</xdr:colOff>
      <xdr:row>3</xdr:row>
      <xdr:rowOff>42335</xdr:rowOff>
    </xdr:from>
    <xdr:to>
      <xdr:col>46</xdr:col>
      <xdr:colOff>58207</xdr:colOff>
      <xdr:row>17</xdr:row>
      <xdr:rowOff>118535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00000000-0008-0000-33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34</xdr:col>
      <xdr:colOff>0</xdr:colOff>
      <xdr:row>19</xdr:row>
      <xdr:rowOff>0</xdr:rowOff>
    </xdr:from>
    <xdr:to>
      <xdr:col>46</xdr:col>
      <xdr:colOff>47624</xdr:colOff>
      <xdr:row>33</xdr:row>
      <xdr:rowOff>76200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00000000-0008-0000-33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34</xdr:col>
      <xdr:colOff>0</xdr:colOff>
      <xdr:row>35</xdr:row>
      <xdr:rowOff>0</xdr:rowOff>
    </xdr:from>
    <xdr:to>
      <xdr:col>46</xdr:col>
      <xdr:colOff>47624</xdr:colOff>
      <xdr:row>49</xdr:row>
      <xdr:rowOff>76200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00000000-0008-0000-33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34</xdr:col>
      <xdr:colOff>0</xdr:colOff>
      <xdr:row>51</xdr:row>
      <xdr:rowOff>0</xdr:rowOff>
    </xdr:from>
    <xdr:to>
      <xdr:col>46</xdr:col>
      <xdr:colOff>47624</xdr:colOff>
      <xdr:row>65</xdr:row>
      <xdr:rowOff>76200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00000000-0008-0000-33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34</xdr:col>
      <xdr:colOff>0</xdr:colOff>
      <xdr:row>67</xdr:row>
      <xdr:rowOff>0</xdr:rowOff>
    </xdr:from>
    <xdr:to>
      <xdr:col>46</xdr:col>
      <xdr:colOff>47624</xdr:colOff>
      <xdr:row>81</xdr:row>
      <xdr:rowOff>76200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00000000-0008-0000-33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34</xdr:col>
      <xdr:colOff>0</xdr:colOff>
      <xdr:row>83</xdr:row>
      <xdr:rowOff>0</xdr:rowOff>
    </xdr:from>
    <xdr:to>
      <xdr:col>46</xdr:col>
      <xdr:colOff>47624</xdr:colOff>
      <xdr:row>97</xdr:row>
      <xdr:rowOff>76200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00000000-0008-0000-33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34</xdr:col>
      <xdr:colOff>0</xdr:colOff>
      <xdr:row>98</xdr:row>
      <xdr:rowOff>0</xdr:rowOff>
    </xdr:from>
    <xdr:to>
      <xdr:col>46</xdr:col>
      <xdr:colOff>47624</xdr:colOff>
      <xdr:row>112</xdr:row>
      <xdr:rowOff>76200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00000000-0008-0000-33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34</xdr:col>
      <xdr:colOff>0</xdr:colOff>
      <xdr:row>114</xdr:row>
      <xdr:rowOff>0</xdr:rowOff>
    </xdr:from>
    <xdr:to>
      <xdr:col>46</xdr:col>
      <xdr:colOff>47624</xdr:colOff>
      <xdr:row>128</xdr:row>
      <xdr:rowOff>76200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00000000-0008-0000-33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34</xdr:col>
      <xdr:colOff>0</xdr:colOff>
      <xdr:row>129</xdr:row>
      <xdr:rowOff>158750</xdr:rowOff>
    </xdr:from>
    <xdr:to>
      <xdr:col>46</xdr:col>
      <xdr:colOff>47624</xdr:colOff>
      <xdr:row>144</xdr:row>
      <xdr:rowOff>44450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00000000-0008-0000-33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48</xdr:col>
      <xdr:colOff>349250</xdr:colOff>
      <xdr:row>1</xdr:row>
      <xdr:rowOff>10584</xdr:rowOff>
    </xdr:from>
    <xdr:to>
      <xdr:col>60</xdr:col>
      <xdr:colOff>396874</xdr:colOff>
      <xdr:row>15</xdr:row>
      <xdr:rowOff>65617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00000000-0008-0000-33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49</xdr:col>
      <xdr:colOff>1</xdr:colOff>
      <xdr:row>16</xdr:row>
      <xdr:rowOff>148167</xdr:rowOff>
    </xdr:from>
    <xdr:to>
      <xdr:col>61</xdr:col>
      <xdr:colOff>47625</xdr:colOff>
      <xdr:row>31</xdr:row>
      <xdr:rowOff>33867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00000000-0008-0000-3300-00001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49</xdr:col>
      <xdr:colOff>0</xdr:colOff>
      <xdr:row>32</xdr:row>
      <xdr:rowOff>0</xdr:rowOff>
    </xdr:from>
    <xdr:to>
      <xdr:col>61</xdr:col>
      <xdr:colOff>47624</xdr:colOff>
      <xdr:row>46</xdr:row>
      <xdr:rowOff>65617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00000000-0008-0000-3300-00001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49</xdr:col>
      <xdr:colOff>0</xdr:colOff>
      <xdr:row>48</xdr:row>
      <xdr:rowOff>0</xdr:rowOff>
    </xdr:from>
    <xdr:to>
      <xdr:col>61</xdr:col>
      <xdr:colOff>47624</xdr:colOff>
      <xdr:row>62</xdr:row>
      <xdr:rowOff>76200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00000000-0008-0000-3300-00001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62</xdr:col>
      <xdr:colOff>0</xdr:colOff>
      <xdr:row>1</xdr:row>
      <xdr:rowOff>0</xdr:rowOff>
    </xdr:from>
    <xdr:to>
      <xdr:col>74</xdr:col>
      <xdr:colOff>47624</xdr:colOff>
      <xdr:row>15</xdr:row>
      <xdr:rowOff>55033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00000000-0008-0000-3300-00001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62</xdr:col>
      <xdr:colOff>0</xdr:colOff>
      <xdr:row>16</xdr:row>
      <xdr:rowOff>0</xdr:rowOff>
    </xdr:from>
    <xdr:to>
      <xdr:col>74</xdr:col>
      <xdr:colOff>47624</xdr:colOff>
      <xdr:row>30</xdr:row>
      <xdr:rowOff>76200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00000000-0008-0000-3300-00001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62</xdr:col>
      <xdr:colOff>0</xdr:colOff>
      <xdr:row>32</xdr:row>
      <xdr:rowOff>0</xdr:rowOff>
    </xdr:from>
    <xdr:to>
      <xdr:col>74</xdr:col>
      <xdr:colOff>47624</xdr:colOff>
      <xdr:row>46</xdr:row>
      <xdr:rowOff>65617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00000000-0008-0000-3300-00001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75</xdr:col>
      <xdr:colOff>0</xdr:colOff>
      <xdr:row>2</xdr:row>
      <xdr:rowOff>0</xdr:rowOff>
    </xdr:from>
    <xdr:to>
      <xdr:col>87</xdr:col>
      <xdr:colOff>47624</xdr:colOff>
      <xdr:row>16</xdr:row>
      <xdr:rowOff>65617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00000000-0008-0000-3300-00001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75</xdr:col>
      <xdr:colOff>0</xdr:colOff>
      <xdr:row>17</xdr:row>
      <xdr:rowOff>0</xdr:rowOff>
    </xdr:from>
    <xdr:to>
      <xdr:col>87</xdr:col>
      <xdr:colOff>47624</xdr:colOff>
      <xdr:row>31</xdr:row>
      <xdr:rowOff>76200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00000000-0008-0000-3300-00001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75</xdr:col>
      <xdr:colOff>0</xdr:colOff>
      <xdr:row>32</xdr:row>
      <xdr:rowOff>0</xdr:rowOff>
    </xdr:from>
    <xdr:to>
      <xdr:col>87</xdr:col>
      <xdr:colOff>47624</xdr:colOff>
      <xdr:row>46</xdr:row>
      <xdr:rowOff>65617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00000000-0008-0000-3300-00001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75</xdr:col>
      <xdr:colOff>0</xdr:colOff>
      <xdr:row>47</xdr:row>
      <xdr:rowOff>0</xdr:rowOff>
    </xdr:from>
    <xdr:to>
      <xdr:col>87</xdr:col>
      <xdr:colOff>47624</xdr:colOff>
      <xdr:row>61</xdr:row>
      <xdr:rowOff>76200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00000000-0008-0000-3300-00001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275167</xdr:colOff>
      <xdr:row>37</xdr:row>
      <xdr:rowOff>63500</xdr:rowOff>
    </xdr:from>
    <xdr:to>
      <xdr:col>5</xdr:col>
      <xdr:colOff>0</xdr:colOff>
      <xdr:row>51</xdr:row>
      <xdr:rowOff>139700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00000000-0008-0000-3300-00002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438151</xdr:colOff>
      <xdr:row>1</xdr:row>
      <xdr:rowOff>85725</xdr:rowOff>
    </xdr:from>
    <xdr:to>
      <xdr:col>17</xdr:col>
      <xdr:colOff>485775</xdr:colOff>
      <xdr:row>15</xdr:row>
      <xdr:rowOff>142875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18</xdr:row>
      <xdr:rowOff>0</xdr:rowOff>
    </xdr:from>
    <xdr:to>
      <xdr:col>18</xdr:col>
      <xdr:colOff>47624</xdr:colOff>
      <xdr:row>32</xdr:row>
      <xdr:rowOff>76200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3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76200</xdr:colOff>
      <xdr:row>34</xdr:row>
      <xdr:rowOff>19049</xdr:rowOff>
    </xdr:from>
    <xdr:to>
      <xdr:col>19</xdr:col>
      <xdr:colOff>38099</xdr:colOff>
      <xdr:row>52</xdr:row>
      <xdr:rowOff>19049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3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0</xdr:colOff>
      <xdr:row>2</xdr:row>
      <xdr:rowOff>0</xdr:rowOff>
    </xdr:from>
    <xdr:to>
      <xdr:col>32</xdr:col>
      <xdr:colOff>47624</xdr:colOff>
      <xdr:row>16</xdr:row>
      <xdr:rowOff>65617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3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0</xdr:colOff>
      <xdr:row>17</xdr:row>
      <xdr:rowOff>0</xdr:rowOff>
    </xdr:from>
    <xdr:to>
      <xdr:col>32</xdr:col>
      <xdr:colOff>47624</xdr:colOff>
      <xdr:row>31</xdr:row>
      <xdr:rowOff>76200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3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0</xdr:colOff>
      <xdr:row>33</xdr:row>
      <xdr:rowOff>0</xdr:rowOff>
    </xdr:from>
    <xdr:to>
      <xdr:col>32</xdr:col>
      <xdr:colOff>47624</xdr:colOff>
      <xdr:row>47</xdr:row>
      <xdr:rowOff>65617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3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0</xdr:colOff>
      <xdr:row>48</xdr:row>
      <xdr:rowOff>0</xdr:rowOff>
    </xdr:from>
    <xdr:to>
      <xdr:col>32</xdr:col>
      <xdr:colOff>47624</xdr:colOff>
      <xdr:row>62</xdr:row>
      <xdr:rowOff>76200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0000000-0008-0000-34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20</xdr:col>
      <xdr:colOff>0</xdr:colOff>
      <xdr:row>63</xdr:row>
      <xdr:rowOff>0</xdr:rowOff>
    </xdr:from>
    <xdr:to>
      <xdr:col>32</xdr:col>
      <xdr:colOff>47624</xdr:colOff>
      <xdr:row>77</xdr:row>
      <xdr:rowOff>76200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0000000-0008-0000-34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20</xdr:col>
      <xdr:colOff>0</xdr:colOff>
      <xdr:row>78</xdr:row>
      <xdr:rowOff>0</xdr:rowOff>
    </xdr:from>
    <xdr:to>
      <xdr:col>32</xdr:col>
      <xdr:colOff>47624</xdr:colOff>
      <xdr:row>92</xdr:row>
      <xdr:rowOff>76200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00000000-0008-0000-3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20</xdr:col>
      <xdr:colOff>0</xdr:colOff>
      <xdr:row>93</xdr:row>
      <xdr:rowOff>0</xdr:rowOff>
    </xdr:from>
    <xdr:to>
      <xdr:col>32</xdr:col>
      <xdr:colOff>47624</xdr:colOff>
      <xdr:row>107</xdr:row>
      <xdr:rowOff>76200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00000000-0008-0000-34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34</xdr:col>
      <xdr:colOff>10583</xdr:colOff>
      <xdr:row>3</xdr:row>
      <xdr:rowOff>42335</xdr:rowOff>
    </xdr:from>
    <xdr:to>
      <xdr:col>46</xdr:col>
      <xdr:colOff>58207</xdr:colOff>
      <xdr:row>17</xdr:row>
      <xdr:rowOff>118535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00000000-0008-0000-34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34</xdr:col>
      <xdr:colOff>0</xdr:colOff>
      <xdr:row>19</xdr:row>
      <xdr:rowOff>0</xdr:rowOff>
    </xdr:from>
    <xdr:to>
      <xdr:col>46</xdr:col>
      <xdr:colOff>47624</xdr:colOff>
      <xdr:row>33</xdr:row>
      <xdr:rowOff>76200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00000000-0008-0000-34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34</xdr:col>
      <xdr:colOff>0</xdr:colOff>
      <xdr:row>35</xdr:row>
      <xdr:rowOff>0</xdr:rowOff>
    </xdr:from>
    <xdr:to>
      <xdr:col>46</xdr:col>
      <xdr:colOff>47624</xdr:colOff>
      <xdr:row>49</xdr:row>
      <xdr:rowOff>76200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00000000-0008-0000-34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34</xdr:col>
      <xdr:colOff>0</xdr:colOff>
      <xdr:row>51</xdr:row>
      <xdr:rowOff>0</xdr:rowOff>
    </xdr:from>
    <xdr:to>
      <xdr:col>46</xdr:col>
      <xdr:colOff>47624</xdr:colOff>
      <xdr:row>65</xdr:row>
      <xdr:rowOff>76200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00000000-0008-0000-34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34</xdr:col>
      <xdr:colOff>0</xdr:colOff>
      <xdr:row>67</xdr:row>
      <xdr:rowOff>0</xdr:rowOff>
    </xdr:from>
    <xdr:to>
      <xdr:col>46</xdr:col>
      <xdr:colOff>47624</xdr:colOff>
      <xdr:row>81</xdr:row>
      <xdr:rowOff>76200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00000000-0008-0000-34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34</xdr:col>
      <xdr:colOff>0</xdr:colOff>
      <xdr:row>83</xdr:row>
      <xdr:rowOff>0</xdr:rowOff>
    </xdr:from>
    <xdr:to>
      <xdr:col>46</xdr:col>
      <xdr:colOff>47624</xdr:colOff>
      <xdr:row>97</xdr:row>
      <xdr:rowOff>76200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00000000-0008-0000-34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34</xdr:col>
      <xdr:colOff>0</xdr:colOff>
      <xdr:row>98</xdr:row>
      <xdr:rowOff>0</xdr:rowOff>
    </xdr:from>
    <xdr:to>
      <xdr:col>46</xdr:col>
      <xdr:colOff>47624</xdr:colOff>
      <xdr:row>112</xdr:row>
      <xdr:rowOff>76200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00000000-0008-0000-34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34</xdr:col>
      <xdr:colOff>0</xdr:colOff>
      <xdr:row>114</xdr:row>
      <xdr:rowOff>0</xdr:rowOff>
    </xdr:from>
    <xdr:to>
      <xdr:col>46</xdr:col>
      <xdr:colOff>47624</xdr:colOff>
      <xdr:row>128</xdr:row>
      <xdr:rowOff>76200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00000000-0008-0000-34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34</xdr:col>
      <xdr:colOff>0</xdr:colOff>
      <xdr:row>129</xdr:row>
      <xdr:rowOff>158750</xdr:rowOff>
    </xdr:from>
    <xdr:to>
      <xdr:col>46</xdr:col>
      <xdr:colOff>47624</xdr:colOff>
      <xdr:row>144</xdr:row>
      <xdr:rowOff>44450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00000000-0008-0000-34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48</xdr:col>
      <xdr:colOff>349250</xdr:colOff>
      <xdr:row>1</xdr:row>
      <xdr:rowOff>10584</xdr:rowOff>
    </xdr:from>
    <xdr:to>
      <xdr:col>60</xdr:col>
      <xdr:colOff>396874</xdr:colOff>
      <xdr:row>15</xdr:row>
      <xdr:rowOff>65617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00000000-0008-0000-34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49</xdr:col>
      <xdr:colOff>1</xdr:colOff>
      <xdr:row>16</xdr:row>
      <xdr:rowOff>148167</xdr:rowOff>
    </xdr:from>
    <xdr:to>
      <xdr:col>61</xdr:col>
      <xdr:colOff>47625</xdr:colOff>
      <xdr:row>31</xdr:row>
      <xdr:rowOff>33867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00000000-0008-0000-3400-00001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49</xdr:col>
      <xdr:colOff>0</xdr:colOff>
      <xdr:row>32</xdr:row>
      <xdr:rowOff>0</xdr:rowOff>
    </xdr:from>
    <xdr:to>
      <xdr:col>61</xdr:col>
      <xdr:colOff>47624</xdr:colOff>
      <xdr:row>46</xdr:row>
      <xdr:rowOff>65617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00000000-0008-0000-3400-00001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49</xdr:col>
      <xdr:colOff>0</xdr:colOff>
      <xdr:row>48</xdr:row>
      <xdr:rowOff>0</xdr:rowOff>
    </xdr:from>
    <xdr:to>
      <xdr:col>61</xdr:col>
      <xdr:colOff>47624</xdr:colOff>
      <xdr:row>62</xdr:row>
      <xdr:rowOff>76200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00000000-0008-0000-3400-00001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62</xdr:col>
      <xdr:colOff>0</xdr:colOff>
      <xdr:row>1</xdr:row>
      <xdr:rowOff>0</xdr:rowOff>
    </xdr:from>
    <xdr:to>
      <xdr:col>74</xdr:col>
      <xdr:colOff>47624</xdr:colOff>
      <xdr:row>15</xdr:row>
      <xdr:rowOff>55033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00000000-0008-0000-3400-00001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62</xdr:col>
      <xdr:colOff>0</xdr:colOff>
      <xdr:row>16</xdr:row>
      <xdr:rowOff>0</xdr:rowOff>
    </xdr:from>
    <xdr:to>
      <xdr:col>74</xdr:col>
      <xdr:colOff>47624</xdr:colOff>
      <xdr:row>30</xdr:row>
      <xdr:rowOff>76200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00000000-0008-0000-3400-00001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62</xdr:col>
      <xdr:colOff>0</xdr:colOff>
      <xdr:row>32</xdr:row>
      <xdr:rowOff>0</xdr:rowOff>
    </xdr:from>
    <xdr:to>
      <xdr:col>74</xdr:col>
      <xdr:colOff>47624</xdr:colOff>
      <xdr:row>46</xdr:row>
      <xdr:rowOff>65617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00000000-0008-0000-3400-00001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75</xdr:col>
      <xdr:colOff>0</xdr:colOff>
      <xdr:row>2</xdr:row>
      <xdr:rowOff>0</xdr:rowOff>
    </xdr:from>
    <xdr:to>
      <xdr:col>87</xdr:col>
      <xdr:colOff>47624</xdr:colOff>
      <xdr:row>16</xdr:row>
      <xdr:rowOff>65617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00000000-0008-0000-3400-00001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75</xdr:col>
      <xdr:colOff>0</xdr:colOff>
      <xdr:row>17</xdr:row>
      <xdr:rowOff>0</xdr:rowOff>
    </xdr:from>
    <xdr:to>
      <xdr:col>87</xdr:col>
      <xdr:colOff>47624</xdr:colOff>
      <xdr:row>31</xdr:row>
      <xdr:rowOff>76200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00000000-0008-0000-3400-00001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75</xdr:col>
      <xdr:colOff>0</xdr:colOff>
      <xdr:row>32</xdr:row>
      <xdr:rowOff>0</xdr:rowOff>
    </xdr:from>
    <xdr:to>
      <xdr:col>87</xdr:col>
      <xdr:colOff>47624</xdr:colOff>
      <xdr:row>46</xdr:row>
      <xdr:rowOff>65617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00000000-0008-0000-3400-00001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75</xdr:col>
      <xdr:colOff>0</xdr:colOff>
      <xdr:row>47</xdr:row>
      <xdr:rowOff>0</xdr:rowOff>
    </xdr:from>
    <xdr:to>
      <xdr:col>87</xdr:col>
      <xdr:colOff>47624</xdr:colOff>
      <xdr:row>61</xdr:row>
      <xdr:rowOff>76200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00000000-0008-0000-3400-00001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275167</xdr:colOff>
      <xdr:row>37</xdr:row>
      <xdr:rowOff>63500</xdr:rowOff>
    </xdr:from>
    <xdr:to>
      <xdr:col>5</xdr:col>
      <xdr:colOff>0</xdr:colOff>
      <xdr:row>51</xdr:row>
      <xdr:rowOff>139700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00000000-0008-0000-3400-00002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438151</xdr:colOff>
      <xdr:row>1</xdr:row>
      <xdr:rowOff>85725</xdr:rowOff>
    </xdr:from>
    <xdr:to>
      <xdr:col>17</xdr:col>
      <xdr:colOff>485775</xdr:colOff>
      <xdr:row>15</xdr:row>
      <xdr:rowOff>142875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18</xdr:row>
      <xdr:rowOff>0</xdr:rowOff>
    </xdr:from>
    <xdr:to>
      <xdr:col>18</xdr:col>
      <xdr:colOff>47624</xdr:colOff>
      <xdr:row>32</xdr:row>
      <xdr:rowOff>76200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76200</xdr:colOff>
      <xdr:row>34</xdr:row>
      <xdr:rowOff>19049</xdr:rowOff>
    </xdr:from>
    <xdr:to>
      <xdr:col>19</xdr:col>
      <xdr:colOff>38099</xdr:colOff>
      <xdr:row>52</xdr:row>
      <xdr:rowOff>19049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3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0</xdr:colOff>
      <xdr:row>2</xdr:row>
      <xdr:rowOff>0</xdr:rowOff>
    </xdr:from>
    <xdr:to>
      <xdr:col>32</xdr:col>
      <xdr:colOff>47624</xdr:colOff>
      <xdr:row>16</xdr:row>
      <xdr:rowOff>65617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35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0</xdr:colOff>
      <xdr:row>17</xdr:row>
      <xdr:rowOff>0</xdr:rowOff>
    </xdr:from>
    <xdr:to>
      <xdr:col>32</xdr:col>
      <xdr:colOff>47624</xdr:colOff>
      <xdr:row>31</xdr:row>
      <xdr:rowOff>76200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3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0</xdr:colOff>
      <xdr:row>33</xdr:row>
      <xdr:rowOff>0</xdr:rowOff>
    </xdr:from>
    <xdr:to>
      <xdr:col>32</xdr:col>
      <xdr:colOff>47624</xdr:colOff>
      <xdr:row>47</xdr:row>
      <xdr:rowOff>65617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3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0</xdr:colOff>
      <xdr:row>48</xdr:row>
      <xdr:rowOff>0</xdr:rowOff>
    </xdr:from>
    <xdr:to>
      <xdr:col>32</xdr:col>
      <xdr:colOff>47624</xdr:colOff>
      <xdr:row>62</xdr:row>
      <xdr:rowOff>76200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0000000-0008-0000-35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20</xdr:col>
      <xdr:colOff>0</xdr:colOff>
      <xdr:row>63</xdr:row>
      <xdr:rowOff>0</xdr:rowOff>
    </xdr:from>
    <xdr:to>
      <xdr:col>32</xdr:col>
      <xdr:colOff>47624</xdr:colOff>
      <xdr:row>77</xdr:row>
      <xdr:rowOff>76200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0000000-0008-0000-35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20</xdr:col>
      <xdr:colOff>0</xdr:colOff>
      <xdr:row>78</xdr:row>
      <xdr:rowOff>0</xdr:rowOff>
    </xdr:from>
    <xdr:to>
      <xdr:col>32</xdr:col>
      <xdr:colOff>47624</xdr:colOff>
      <xdr:row>92</xdr:row>
      <xdr:rowOff>76200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00000000-0008-0000-35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20</xdr:col>
      <xdr:colOff>0</xdr:colOff>
      <xdr:row>93</xdr:row>
      <xdr:rowOff>0</xdr:rowOff>
    </xdr:from>
    <xdr:to>
      <xdr:col>32</xdr:col>
      <xdr:colOff>47624</xdr:colOff>
      <xdr:row>107</xdr:row>
      <xdr:rowOff>76200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00000000-0008-0000-35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34</xdr:col>
      <xdr:colOff>10583</xdr:colOff>
      <xdr:row>3</xdr:row>
      <xdr:rowOff>42335</xdr:rowOff>
    </xdr:from>
    <xdr:to>
      <xdr:col>46</xdr:col>
      <xdr:colOff>58207</xdr:colOff>
      <xdr:row>17</xdr:row>
      <xdr:rowOff>118535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00000000-0008-0000-35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34</xdr:col>
      <xdr:colOff>0</xdr:colOff>
      <xdr:row>19</xdr:row>
      <xdr:rowOff>0</xdr:rowOff>
    </xdr:from>
    <xdr:to>
      <xdr:col>46</xdr:col>
      <xdr:colOff>47624</xdr:colOff>
      <xdr:row>33</xdr:row>
      <xdr:rowOff>76200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00000000-0008-0000-35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34</xdr:col>
      <xdr:colOff>0</xdr:colOff>
      <xdr:row>35</xdr:row>
      <xdr:rowOff>0</xdr:rowOff>
    </xdr:from>
    <xdr:to>
      <xdr:col>46</xdr:col>
      <xdr:colOff>47624</xdr:colOff>
      <xdr:row>49</xdr:row>
      <xdr:rowOff>76200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00000000-0008-0000-35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34</xdr:col>
      <xdr:colOff>0</xdr:colOff>
      <xdr:row>51</xdr:row>
      <xdr:rowOff>0</xdr:rowOff>
    </xdr:from>
    <xdr:to>
      <xdr:col>46</xdr:col>
      <xdr:colOff>47624</xdr:colOff>
      <xdr:row>65</xdr:row>
      <xdr:rowOff>76200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00000000-0008-0000-35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34</xdr:col>
      <xdr:colOff>0</xdr:colOff>
      <xdr:row>67</xdr:row>
      <xdr:rowOff>0</xdr:rowOff>
    </xdr:from>
    <xdr:to>
      <xdr:col>46</xdr:col>
      <xdr:colOff>47624</xdr:colOff>
      <xdr:row>81</xdr:row>
      <xdr:rowOff>76200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00000000-0008-0000-35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34</xdr:col>
      <xdr:colOff>0</xdr:colOff>
      <xdr:row>83</xdr:row>
      <xdr:rowOff>0</xdr:rowOff>
    </xdr:from>
    <xdr:to>
      <xdr:col>46</xdr:col>
      <xdr:colOff>47624</xdr:colOff>
      <xdr:row>97</xdr:row>
      <xdr:rowOff>76200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00000000-0008-0000-35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34</xdr:col>
      <xdr:colOff>0</xdr:colOff>
      <xdr:row>98</xdr:row>
      <xdr:rowOff>0</xdr:rowOff>
    </xdr:from>
    <xdr:to>
      <xdr:col>46</xdr:col>
      <xdr:colOff>47624</xdr:colOff>
      <xdr:row>112</xdr:row>
      <xdr:rowOff>76200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00000000-0008-0000-35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34</xdr:col>
      <xdr:colOff>0</xdr:colOff>
      <xdr:row>114</xdr:row>
      <xdr:rowOff>0</xdr:rowOff>
    </xdr:from>
    <xdr:to>
      <xdr:col>46</xdr:col>
      <xdr:colOff>47624</xdr:colOff>
      <xdr:row>128</xdr:row>
      <xdr:rowOff>76200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00000000-0008-0000-35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34</xdr:col>
      <xdr:colOff>0</xdr:colOff>
      <xdr:row>129</xdr:row>
      <xdr:rowOff>158750</xdr:rowOff>
    </xdr:from>
    <xdr:to>
      <xdr:col>46</xdr:col>
      <xdr:colOff>47624</xdr:colOff>
      <xdr:row>144</xdr:row>
      <xdr:rowOff>44450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00000000-0008-0000-35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48</xdr:col>
      <xdr:colOff>349250</xdr:colOff>
      <xdr:row>1</xdr:row>
      <xdr:rowOff>10584</xdr:rowOff>
    </xdr:from>
    <xdr:to>
      <xdr:col>60</xdr:col>
      <xdr:colOff>396874</xdr:colOff>
      <xdr:row>15</xdr:row>
      <xdr:rowOff>65617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00000000-0008-0000-35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49</xdr:col>
      <xdr:colOff>1</xdr:colOff>
      <xdr:row>16</xdr:row>
      <xdr:rowOff>148167</xdr:rowOff>
    </xdr:from>
    <xdr:to>
      <xdr:col>61</xdr:col>
      <xdr:colOff>47625</xdr:colOff>
      <xdr:row>31</xdr:row>
      <xdr:rowOff>33867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00000000-0008-0000-3500-00001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49</xdr:col>
      <xdr:colOff>0</xdr:colOff>
      <xdr:row>32</xdr:row>
      <xdr:rowOff>0</xdr:rowOff>
    </xdr:from>
    <xdr:to>
      <xdr:col>61</xdr:col>
      <xdr:colOff>47624</xdr:colOff>
      <xdr:row>46</xdr:row>
      <xdr:rowOff>65617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00000000-0008-0000-3500-00001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49</xdr:col>
      <xdr:colOff>0</xdr:colOff>
      <xdr:row>48</xdr:row>
      <xdr:rowOff>0</xdr:rowOff>
    </xdr:from>
    <xdr:to>
      <xdr:col>61</xdr:col>
      <xdr:colOff>47624</xdr:colOff>
      <xdr:row>62</xdr:row>
      <xdr:rowOff>76200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00000000-0008-0000-3500-00001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62</xdr:col>
      <xdr:colOff>0</xdr:colOff>
      <xdr:row>1</xdr:row>
      <xdr:rowOff>0</xdr:rowOff>
    </xdr:from>
    <xdr:to>
      <xdr:col>74</xdr:col>
      <xdr:colOff>47624</xdr:colOff>
      <xdr:row>15</xdr:row>
      <xdr:rowOff>55033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00000000-0008-0000-3500-00001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62</xdr:col>
      <xdr:colOff>0</xdr:colOff>
      <xdr:row>16</xdr:row>
      <xdr:rowOff>0</xdr:rowOff>
    </xdr:from>
    <xdr:to>
      <xdr:col>74</xdr:col>
      <xdr:colOff>47624</xdr:colOff>
      <xdr:row>30</xdr:row>
      <xdr:rowOff>76200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00000000-0008-0000-3500-00001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62</xdr:col>
      <xdr:colOff>0</xdr:colOff>
      <xdr:row>32</xdr:row>
      <xdr:rowOff>0</xdr:rowOff>
    </xdr:from>
    <xdr:to>
      <xdr:col>74</xdr:col>
      <xdr:colOff>47624</xdr:colOff>
      <xdr:row>46</xdr:row>
      <xdr:rowOff>65617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00000000-0008-0000-3500-00001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75</xdr:col>
      <xdr:colOff>0</xdr:colOff>
      <xdr:row>2</xdr:row>
      <xdr:rowOff>0</xdr:rowOff>
    </xdr:from>
    <xdr:to>
      <xdr:col>87</xdr:col>
      <xdr:colOff>47624</xdr:colOff>
      <xdr:row>16</xdr:row>
      <xdr:rowOff>65617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00000000-0008-0000-3500-00001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75</xdr:col>
      <xdr:colOff>0</xdr:colOff>
      <xdr:row>17</xdr:row>
      <xdr:rowOff>0</xdr:rowOff>
    </xdr:from>
    <xdr:to>
      <xdr:col>87</xdr:col>
      <xdr:colOff>47624</xdr:colOff>
      <xdr:row>31</xdr:row>
      <xdr:rowOff>76200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00000000-0008-0000-3500-00001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75</xdr:col>
      <xdr:colOff>0</xdr:colOff>
      <xdr:row>32</xdr:row>
      <xdr:rowOff>0</xdr:rowOff>
    </xdr:from>
    <xdr:to>
      <xdr:col>87</xdr:col>
      <xdr:colOff>47624</xdr:colOff>
      <xdr:row>46</xdr:row>
      <xdr:rowOff>65617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00000000-0008-0000-3500-00001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75</xdr:col>
      <xdr:colOff>0</xdr:colOff>
      <xdr:row>47</xdr:row>
      <xdr:rowOff>0</xdr:rowOff>
    </xdr:from>
    <xdr:to>
      <xdr:col>87</xdr:col>
      <xdr:colOff>47624</xdr:colOff>
      <xdr:row>61</xdr:row>
      <xdr:rowOff>76200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00000000-0008-0000-3500-00001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275167</xdr:colOff>
      <xdr:row>37</xdr:row>
      <xdr:rowOff>63500</xdr:rowOff>
    </xdr:from>
    <xdr:to>
      <xdr:col>5</xdr:col>
      <xdr:colOff>0</xdr:colOff>
      <xdr:row>51</xdr:row>
      <xdr:rowOff>139700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00000000-0008-0000-3500-00002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438151</xdr:colOff>
      <xdr:row>1</xdr:row>
      <xdr:rowOff>85725</xdr:rowOff>
    </xdr:from>
    <xdr:to>
      <xdr:col>17</xdr:col>
      <xdr:colOff>485775</xdr:colOff>
      <xdr:row>15</xdr:row>
      <xdr:rowOff>142875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18</xdr:row>
      <xdr:rowOff>0</xdr:rowOff>
    </xdr:from>
    <xdr:to>
      <xdr:col>18</xdr:col>
      <xdr:colOff>47624</xdr:colOff>
      <xdr:row>32</xdr:row>
      <xdr:rowOff>76200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3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76200</xdr:colOff>
      <xdr:row>34</xdr:row>
      <xdr:rowOff>19049</xdr:rowOff>
    </xdr:from>
    <xdr:to>
      <xdr:col>19</xdr:col>
      <xdr:colOff>38099</xdr:colOff>
      <xdr:row>52</xdr:row>
      <xdr:rowOff>19049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3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0</xdr:colOff>
      <xdr:row>2</xdr:row>
      <xdr:rowOff>0</xdr:rowOff>
    </xdr:from>
    <xdr:to>
      <xdr:col>32</xdr:col>
      <xdr:colOff>47624</xdr:colOff>
      <xdr:row>16</xdr:row>
      <xdr:rowOff>65617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3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0</xdr:colOff>
      <xdr:row>17</xdr:row>
      <xdr:rowOff>0</xdr:rowOff>
    </xdr:from>
    <xdr:to>
      <xdr:col>32</xdr:col>
      <xdr:colOff>47624</xdr:colOff>
      <xdr:row>31</xdr:row>
      <xdr:rowOff>76200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36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0</xdr:colOff>
      <xdr:row>33</xdr:row>
      <xdr:rowOff>0</xdr:rowOff>
    </xdr:from>
    <xdr:to>
      <xdr:col>32</xdr:col>
      <xdr:colOff>47624</xdr:colOff>
      <xdr:row>47</xdr:row>
      <xdr:rowOff>65617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3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0</xdr:colOff>
      <xdr:row>48</xdr:row>
      <xdr:rowOff>0</xdr:rowOff>
    </xdr:from>
    <xdr:to>
      <xdr:col>32</xdr:col>
      <xdr:colOff>47624</xdr:colOff>
      <xdr:row>62</xdr:row>
      <xdr:rowOff>76200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0000000-0008-0000-36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20</xdr:col>
      <xdr:colOff>0</xdr:colOff>
      <xdr:row>63</xdr:row>
      <xdr:rowOff>0</xdr:rowOff>
    </xdr:from>
    <xdr:to>
      <xdr:col>32</xdr:col>
      <xdr:colOff>47624</xdr:colOff>
      <xdr:row>77</xdr:row>
      <xdr:rowOff>76200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0000000-0008-0000-36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20</xdr:col>
      <xdr:colOff>0</xdr:colOff>
      <xdr:row>78</xdr:row>
      <xdr:rowOff>0</xdr:rowOff>
    </xdr:from>
    <xdr:to>
      <xdr:col>32</xdr:col>
      <xdr:colOff>47624</xdr:colOff>
      <xdr:row>92</xdr:row>
      <xdr:rowOff>76200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00000000-0008-0000-36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20</xdr:col>
      <xdr:colOff>0</xdr:colOff>
      <xdr:row>93</xdr:row>
      <xdr:rowOff>0</xdr:rowOff>
    </xdr:from>
    <xdr:to>
      <xdr:col>32</xdr:col>
      <xdr:colOff>47624</xdr:colOff>
      <xdr:row>107</xdr:row>
      <xdr:rowOff>76200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00000000-0008-0000-36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34</xdr:col>
      <xdr:colOff>10583</xdr:colOff>
      <xdr:row>3</xdr:row>
      <xdr:rowOff>42335</xdr:rowOff>
    </xdr:from>
    <xdr:to>
      <xdr:col>46</xdr:col>
      <xdr:colOff>58207</xdr:colOff>
      <xdr:row>17</xdr:row>
      <xdr:rowOff>118535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00000000-0008-0000-36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34</xdr:col>
      <xdr:colOff>0</xdr:colOff>
      <xdr:row>19</xdr:row>
      <xdr:rowOff>0</xdr:rowOff>
    </xdr:from>
    <xdr:to>
      <xdr:col>46</xdr:col>
      <xdr:colOff>47624</xdr:colOff>
      <xdr:row>33</xdr:row>
      <xdr:rowOff>76200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00000000-0008-0000-36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34</xdr:col>
      <xdr:colOff>0</xdr:colOff>
      <xdr:row>35</xdr:row>
      <xdr:rowOff>0</xdr:rowOff>
    </xdr:from>
    <xdr:to>
      <xdr:col>46</xdr:col>
      <xdr:colOff>47624</xdr:colOff>
      <xdr:row>49</xdr:row>
      <xdr:rowOff>76200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00000000-0008-0000-36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34</xdr:col>
      <xdr:colOff>0</xdr:colOff>
      <xdr:row>51</xdr:row>
      <xdr:rowOff>0</xdr:rowOff>
    </xdr:from>
    <xdr:to>
      <xdr:col>46</xdr:col>
      <xdr:colOff>47624</xdr:colOff>
      <xdr:row>65</xdr:row>
      <xdr:rowOff>76200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00000000-0008-0000-36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34</xdr:col>
      <xdr:colOff>0</xdr:colOff>
      <xdr:row>67</xdr:row>
      <xdr:rowOff>0</xdr:rowOff>
    </xdr:from>
    <xdr:to>
      <xdr:col>46</xdr:col>
      <xdr:colOff>47624</xdr:colOff>
      <xdr:row>81</xdr:row>
      <xdr:rowOff>76200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00000000-0008-0000-36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34</xdr:col>
      <xdr:colOff>0</xdr:colOff>
      <xdr:row>83</xdr:row>
      <xdr:rowOff>0</xdr:rowOff>
    </xdr:from>
    <xdr:to>
      <xdr:col>46</xdr:col>
      <xdr:colOff>47624</xdr:colOff>
      <xdr:row>97</xdr:row>
      <xdr:rowOff>76200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00000000-0008-0000-36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34</xdr:col>
      <xdr:colOff>0</xdr:colOff>
      <xdr:row>98</xdr:row>
      <xdr:rowOff>0</xdr:rowOff>
    </xdr:from>
    <xdr:to>
      <xdr:col>46</xdr:col>
      <xdr:colOff>47624</xdr:colOff>
      <xdr:row>112</xdr:row>
      <xdr:rowOff>76200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00000000-0008-0000-36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34</xdr:col>
      <xdr:colOff>0</xdr:colOff>
      <xdr:row>114</xdr:row>
      <xdr:rowOff>0</xdr:rowOff>
    </xdr:from>
    <xdr:to>
      <xdr:col>46</xdr:col>
      <xdr:colOff>47624</xdr:colOff>
      <xdr:row>128</xdr:row>
      <xdr:rowOff>76200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00000000-0008-0000-36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34</xdr:col>
      <xdr:colOff>0</xdr:colOff>
      <xdr:row>129</xdr:row>
      <xdr:rowOff>158750</xdr:rowOff>
    </xdr:from>
    <xdr:to>
      <xdr:col>46</xdr:col>
      <xdr:colOff>47624</xdr:colOff>
      <xdr:row>144</xdr:row>
      <xdr:rowOff>44450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00000000-0008-0000-36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48</xdr:col>
      <xdr:colOff>349250</xdr:colOff>
      <xdr:row>1</xdr:row>
      <xdr:rowOff>10584</xdr:rowOff>
    </xdr:from>
    <xdr:to>
      <xdr:col>60</xdr:col>
      <xdr:colOff>396874</xdr:colOff>
      <xdr:row>15</xdr:row>
      <xdr:rowOff>65617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00000000-0008-0000-36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49</xdr:col>
      <xdr:colOff>1</xdr:colOff>
      <xdr:row>16</xdr:row>
      <xdr:rowOff>148167</xdr:rowOff>
    </xdr:from>
    <xdr:to>
      <xdr:col>61</xdr:col>
      <xdr:colOff>47625</xdr:colOff>
      <xdr:row>31</xdr:row>
      <xdr:rowOff>33867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00000000-0008-0000-3600-00001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49</xdr:col>
      <xdr:colOff>0</xdr:colOff>
      <xdr:row>32</xdr:row>
      <xdr:rowOff>0</xdr:rowOff>
    </xdr:from>
    <xdr:to>
      <xdr:col>61</xdr:col>
      <xdr:colOff>47624</xdr:colOff>
      <xdr:row>46</xdr:row>
      <xdr:rowOff>65617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00000000-0008-0000-3600-00001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49</xdr:col>
      <xdr:colOff>0</xdr:colOff>
      <xdr:row>48</xdr:row>
      <xdr:rowOff>0</xdr:rowOff>
    </xdr:from>
    <xdr:to>
      <xdr:col>61</xdr:col>
      <xdr:colOff>47624</xdr:colOff>
      <xdr:row>62</xdr:row>
      <xdr:rowOff>76200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00000000-0008-0000-3600-00001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62</xdr:col>
      <xdr:colOff>0</xdr:colOff>
      <xdr:row>1</xdr:row>
      <xdr:rowOff>0</xdr:rowOff>
    </xdr:from>
    <xdr:to>
      <xdr:col>74</xdr:col>
      <xdr:colOff>47624</xdr:colOff>
      <xdr:row>15</xdr:row>
      <xdr:rowOff>55033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00000000-0008-0000-3600-00001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62</xdr:col>
      <xdr:colOff>0</xdr:colOff>
      <xdr:row>16</xdr:row>
      <xdr:rowOff>0</xdr:rowOff>
    </xdr:from>
    <xdr:to>
      <xdr:col>74</xdr:col>
      <xdr:colOff>47624</xdr:colOff>
      <xdr:row>30</xdr:row>
      <xdr:rowOff>76200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00000000-0008-0000-3600-00001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62</xdr:col>
      <xdr:colOff>0</xdr:colOff>
      <xdr:row>32</xdr:row>
      <xdr:rowOff>0</xdr:rowOff>
    </xdr:from>
    <xdr:to>
      <xdr:col>74</xdr:col>
      <xdr:colOff>47624</xdr:colOff>
      <xdr:row>46</xdr:row>
      <xdr:rowOff>65617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00000000-0008-0000-3600-00001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75</xdr:col>
      <xdr:colOff>0</xdr:colOff>
      <xdr:row>2</xdr:row>
      <xdr:rowOff>0</xdr:rowOff>
    </xdr:from>
    <xdr:to>
      <xdr:col>87</xdr:col>
      <xdr:colOff>47624</xdr:colOff>
      <xdr:row>16</xdr:row>
      <xdr:rowOff>65617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00000000-0008-0000-3600-00001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75</xdr:col>
      <xdr:colOff>0</xdr:colOff>
      <xdr:row>17</xdr:row>
      <xdr:rowOff>0</xdr:rowOff>
    </xdr:from>
    <xdr:to>
      <xdr:col>87</xdr:col>
      <xdr:colOff>47624</xdr:colOff>
      <xdr:row>31</xdr:row>
      <xdr:rowOff>76200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00000000-0008-0000-3600-00001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75</xdr:col>
      <xdr:colOff>0</xdr:colOff>
      <xdr:row>32</xdr:row>
      <xdr:rowOff>0</xdr:rowOff>
    </xdr:from>
    <xdr:to>
      <xdr:col>87</xdr:col>
      <xdr:colOff>47624</xdr:colOff>
      <xdr:row>46</xdr:row>
      <xdr:rowOff>65617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00000000-0008-0000-3600-00001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75</xdr:col>
      <xdr:colOff>0</xdr:colOff>
      <xdr:row>47</xdr:row>
      <xdr:rowOff>0</xdr:rowOff>
    </xdr:from>
    <xdr:to>
      <xdr:col>87</xdr:col>
      <xdr:colOff>47624</xdr:colOff>
      <xdr:row>61</xdr:row>
      <xdr:rowOff>76200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00000000-0008-0000-3600-00001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275167</xdr:colOff>
      <xdr:row>37</xdr:row>
      <xdr:rowOff>63500</xdr:rowOff>
    </xdr:from>
    <xdr:to>
      <xdr:col>5</xdr:col>
      <xdr:colOff>0</xdr:colOff>
      <xdr:row>51</xdr:row>
      <xdr:rowOff>139700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00000000-0008-0000-3600-00002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438151</xdr:colOff>
      <xdr:row>1</xdr:row>
      <xdr:rowOff>85725</xdr:rowOff>
    </xdr:from>
    <xdr:to>
      <xdr:col>17</xdr:col>
      <xdr:colOff>485775</xdr:colOff>
      <xdr:row>15</xdr:row>
      <xdr:rowOff>142875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18</xdr:row>
      <xdr:rowOff>0</xdr:rowOff>
    </xdr:from>
    <xdr:to>
      <xdr:col>18</xdr:col>
      <xdr:colOff>47624</xdr:colOff>
      <xdr:row>32</xdr:row>
      <xdr:rowOff>76200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3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76200</xdr:colOff>
      <xdr:row>34</xdr:row>
      <xdr:rowOff>19049</xdr:rowOff>
    </xdr:from>
    <xdr:to>
      <xdr:col>19</xdr:col>
      <xdr:colOff>38099</xdr:colOff>
      <xdr:row>52</xdr:row>
      <xdr:rowOff>19049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3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0</xdr:colOff>
      <xdr:row>2</xdr:row>
      <xdr:rowOff>0</xdr:rowOff>
    </xdr:from>
    <xdr:to>
      <xdr:col>32</xdr:col>
      <xdr:colOff>47624</xdr:colOff>
      <xdr:row>16</xdr:row>
      <xdr:rowOff>65617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37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0</xdr:colOff>
      <xdr:row>17</xdr:row>
      <xdr:rowOff>0</xdr:rowOff>
    </xdr:from>
    <xdr:to>
      <xdr:col>32</xdr:col>
      <xdr:colOff>47624</xdr:colOff>
      <xdr:row>31</xdr:row>
      <xdr:rowOff>76200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37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0</xdr:colOff>
      <xdr:row>33</xdr:row>
      <xdr:rowOff>0</xdr:rowOff>
    </xdr:from>
    <xdr:to>
      <xdr:col>32</xdr:col>
      <xdr:colOff>47624</xdr:colOff>
      <xdr:row>47</xdr:row>
      <xdr:rowOff>65617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37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0</xdr:colOff>
      <xdr:row>48</xdr:row>
      <xdr:rowOff>0</xdr:rowOff>
    </xdr:from>
    <xdr:to>
      <xdr:col>32</xdr:col>
      <xdr:colOff>47624</xdr:colOff>
      <xdr:row>62</xdr:row>
      <xdr:rowOff>76200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0000000-0008-0000-37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20</xdr:col>
      <xdr:colOff>0</xdr:colOff>
      <xdr:row>63</xdr:row>
      <xdr:rowOff>0</xdr:rowOff>
    </xdr:from>
    <xdr:to>
      <xdr:col>32</xdr:col>
      <xdr:colOff>47624</xdr:colOff>
      <xdr:row>77</xdr:row>
      <xdr:rowOff>76200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0000000-0008-0000-37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20</xdr:col>
      <xdr:colOff>0</xdr:colOff>
      <xdr:row>78</xdr:row>
      <xdr:rowOff>0</xdr:rowOff>
    </xdr:from>
    <xdr:to>
      <xdr:col>32</xdr:col>
      <xdr:colOff>47624</xdr:colOff>
      <xdr:row>92</xdr:row>
      <xdr:rowOff>76200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00000000-0008-0000-37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20</xdr:col>
      <xdr:colOff>0</xdr:colOff>
      <xdr:row>93</xdr:row>
      <xdr:rowOff>0</xdr:rowOff>
    </xdr:from>
    <xdr:to>
      <xdr:col>32</xdr:col>
      <xdr:colOff>47624</xdr:colOff>
      <xdr:row>107</xdr:row>
      <xdr:rowOff>76200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00000000-0008-0000-37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34</xdr:col>
      <xdr:colOff>10583</xdr:colOff>
      <xdr:row>3</xdr:row>
      <xdr:rowOff>42335</xdr:rowOff>
    </xdr:from>
    <xdr:to>
      <xdr:col>46</xdr:col>
      <xdr:colOff>58207</xdr:colOff>
      <xdr:row>17</xdr:row>
      <xdr:rowOff>118535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00000000-0008-0000-37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34</xdr:col>
      <xdr:colOff>0</xdr:colOff>
      <xdr:row>19</xdr:row>
      <xdr:rowOff>0</xdr:rowOff>
    </xdr:from>
    <xdr:to>
      <xdr:col>46</xdr:col>
      <xdr:colOff>47624</xdr:colOff>
      <xdr:row>33</xdr:row>
      <xdr:rowOff>76200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00000000-0008-0000-37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34</xdr:col>
      <xdr:colOff>0</xdr:colOff>
      <xdr:row>35</xdr:row>
      <xdr:rowOff>0</xdr:rowOff>
    </xdr:from>
    <xdr:to>
      <xdr:col>46</xdr:col>
      <xdr:colOff>47624</xdr:colOff>
      <xdr:row>49</xdr:row>
      <xdr:rowOff>76200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00000000-0008-0000-37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34</xdr:col>
      <xdr:colOff>0</xdr:colOff>
      <xdr:row>51</xdr:row>
      <xdr:rowOff>0</xdr:rowOff>
    </xdr:from>
    <xdr:to>
      <xdr:col>46</xdr:col>
      <xdr:colOff>47624</xdr:colOff>
      <xdr:row>65</xdr:row>
      <xdr:rowOff>76200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00000000-0008-0000-37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34</xdr:col>
      <xdr:colOff>0</xdr:colOff>
      <xdr:row>67</xdr:row>
      <xdr:rowOff>0</xdr:rowOff>
    </xdr:from>
    <xdr:to>
      <xdr:col>46</xdr:col>
      <xdr:colOff>47624</xdr:colOff>
      <xdr:row>81</xdr:row>
      <xdr:rowOff>76200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00000000-0008-0000-37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34</xdr:col>
      <xdr:colOff>0</xdr:colOff>
      <xdr:row>83</xdr:row>
      <xdr:rowOff>0</xdr:rowOff>
    </xdr:from>
    <xdr:to>
      <xdr:col>46</xdr:col>
      <xdr:colOff>47624</xdr:colOff>
      <xdr:row>97</xdr:row>
      <xdr:rowOff>76200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00000000-0008-0000-37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34</xdr:col>
      <xdr:colOff>0</xdr:colOff>
      <xdr:row>98</xdr:row>
      <xdr:rowOff>0</xdr:rowOff>
    </xdr:from>
    <xdr:to>
      <xdr:col>46</xdr:col>
      <xdr:colOff>47624</xdr:colOff>
      <xdr:row>112</xdr:row>
      <xdr:rowOff>76200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00000000-0008-0000-37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34</xdr:col>
      <xdr:colOff>0</xdr:colOff>
      <xdr:row>114</xdr:row>
      <xdr:rowOff>0</xdr:rowOff>
    </xdr:from>
    <xdr:to>
      <xdr:col>46</xdr:col>
      <xdr:colOff>47624</xdr:colOff>
      <xdr:row>128</xdr:row>
      <xdr:rowOff>76200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00000000-0008-0000-37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34</xdr:col>
      <xdr:colOff>0</xdr:colOff>
      <xdr:row>129</xdr:row>
      <xdr:rowOff>158750</xdr:rowOff>
    </xdr:from>
    <xdr:to>
      <xdr:col>46</xdr:col>
      <xdr:colOff>47624</xdr:colOff>
      <xdr:row>144</xdr:row>
      <xdr:rowOff>44450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00000000-0008-0000-37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48</xdr:col>
      <xdr:colOff>349250</xdr:colOff>
      <xdr:row>1</xdr:row>
      <xdr:rowOff>10584</xdr:rowOff>
    </xdr:from>
    <xdr:to>
      <xdr:col>60</xdr:col>
      <xdr:colOff>396874</xdr:colOff>
      <xdr:row>15</xdr:row>
      <xdr:rowOff>65617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00000000-0008-0000-37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49</xdr:col>
      <xdr:colOff>1</xdr:colOff>
      <xdr:row>16</xdr:row>
      <xdr:rowOff>148167</xdr:rowOff>
    </xdr:from>
    <xdr:to>
      <xdr:col>61</xdr:col>
      <xdr:colOff>47625</xdr:colOff>
      <xdr:row>31</xdr:row>
      <xdr:rowOff>33867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00000000-0008-0000-3700-00001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49</xdr:col>
      <xdr:colOff>0</xdr:colOff>
      <xdr:row>32</xdr:row>
      <xdr:rowOff>0</xdr:rowOff>
    </xdr:from>
    <xdr:to>
      <xdr:col>61</xdr:col>
      <xdr:colOff>47624</xdr:colOff>
      <xdr:row>46</xdr:row>
      <xdr:rowOff>65617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00000000-0008-0000-3700-00001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49</xdr:col>
      <xdr:colOff>0</xdr:colOff>
      <xdr:row>48</xdr:row>
      <xdr:rowOff>0</xdr:rowOff>
    </xdr:from>
    <xdr:to>
      <xdr:col>61</xdr:col>
      <xdr:colOff>47624</xdr:colOff>
      <xdr:row>62</xdr:row>
      <xdr:rowOff>76200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00000000-0008-0000-3700-00001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62</xdr:col>
      <xdr:colOff>0</xdr:colOff>
      <xdr:row>1</xdr:row>
      <xdr:rowOff>0</xdr:rowOff>
    </xdr:from>
    <xdr:to>
      <xdr:col>74</xdr:col>
      <xdr:colOff>47624</xdr:colOff>
      <xdr:row>15</xdr:row>
      <xdr:rowOff>55033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00000000-0008-0000-3700-00001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62</xdr:col>
      <xdr:colOff>0</xdr:colOff>
      <xdr:row>16</xdr:row>
      <xdr:rowOff>0</xdr:rowOff>
    </xdr:from>
    <xdr:to>
      <xdr:col>74</xdr:col>
      <xdr:colOff>47624</xdr:colOff>
      <xdr:row>30</xdr:row>
      <xdr:rowOff>76200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00000000-0008-0000-3700-00001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62</xdr:col>
      <xdr:colOff>0</xdr:colOff>
      <xdr:row>32</xdr:row>
      <xdr:rowOff>0</xdr:rowOff>
    </xdr:from>
    <xdr:to>
      <xdr:col>74</xdr:col>
      <xdr:colOff>47624</xdr:colOff>
      <xdr:row>46</xdr:row>
      <xdr:rowOff>65617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00000000-0008-0000-3700-00001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75</xdr:col>
      <xdr:colOff>0</xdr:colOff>
      <xdr:row>2</xdr:row>
      <xdr:rowOff>0</xdr:rowOff>
    </xdr:from>
    <xdr:to>
      <xdr:col>87</xdr:col>
      <xdr:colOff>47624</xdr:colOff>
      <xdr:row>16</xdr:row>
      <xdr:rowOff>65617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00000000-0008-0000-3700-00001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75</xdr:col>
      <xdr:colOff>0</xdr:colOff>
      <xdr:row>17</xdr:row>
      <xdr:rowOff>0</xdr:rowOff>
    </xdr:from>
    <xdr:to>
      <xdr:col>87</xdr:col>
      <xdr:colOff>47624</xdr:colOff>
      <xdr:row>31</xdr:row>
      <xdr:rowOff>76200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00000000-0008-0000-3700-00001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75</xdr:col>
      <xdr:colOff>0</xdr:colOff>
      <xdr:row>32</xdr:row>
      <xdr:rowOff>0</xdr:rowOff>
    </xdr:from>
    <xdr:to>
      <xdr:col>87</xdr:col>
      <xdr:colOff>47624</xdr:colOff>
      <xdr:row>46</xdr:row>
      <xdr:rowOff>65617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00000000-0008-0000-3700-00001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75</xdr:col>
      <xdr:colOff>0</xdr:colOff>
      <xdr:row>47</xdr:row>
      <xdr:rowOff>0</xdr:rowOff>
    </xdr:from>
    <xdr:to>
      <xdr:col>87</xdr:col>
      <xdr:colOff>47624</xdr:colOff>
      <xdr:row>61</xdr:row>
      <xdr:rowOff>76200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00000000-0008-0000-3700-00001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275167</xdr:colOff>
      <xdr:row>37</xdr:row>
      <xdr:rowOff>63500</xdr:rowOff>
    </xdr:from>
    <xdr:to>
      <xdr:col>5</xdr:col>
      <xdr:colOff>0</xdr:colOff>
      <xdr:row>51</xdr:row>
      <xdr:rowOff>139700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00000000-0008-0000-3700-00002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438151</xdr:colOff>
      <xdr:row>1</xdr:row>
      <xdr:rowOff>85725</xdr:rowOff>
    </xdr:from>
    <xdr:to>
      <xdr:col>17</xdr:col>
      <xdr:colOff>485775</xdr:colOff>
      <xdr:row>15</xdr:row>
      <xdr:rowOff>142875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18</xdr:row>
      <xdr:rowOff>0</xdr:rowOff>
    </xdr:from>
    <xdr:to>
      <xdr:col>18</xdr:col>
      <xdr:colOff>47624</xdr:colOff>
      <xdr:row>32</xdr:row>
      <xdr:rowOff>76200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3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76200</xdr:colOff>
      <xdr:row>34</xdr:row>
      <xdr:rowOff>19049</xdr:rowOff>
    </xdr:from>
    <xdr:to>
      <xdr:col>19</xdr:col>
      <xdr:colOff>38099</xdr:colOff>
      <xdr:row>52</xdr:row>
      <xdr:rowOff>19049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3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0</xdr:colOff>
      <xdr:row>2</xdr:row>
      <xdr:rowOff>0</xdr:rowOff>
    </xdr:from>
    <xdr:to>
      <xdr:col>32</xdr:col>
      <xdr:colOff>47624</xdr:colOff>
      <xdr:row>16</xdr:row>
      <xdr:rowOff>65617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38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0</xdr:colOff>
      <xdr:row>17</xdr:row>
      <xdr:rowOff>0</xdr:rowOff>
    </xdr:from>
    <xdr:to>
      <xdr:col>32</xdr:col>
      <xdr:colOff>47624</xdr:colOff>
      <xdr:row>31</xdr:row>
      <xdr:rowOff>76200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38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0</xdr:colOff>
      <xdr:row>33</xdr:row>
      <xdr:rowOff>0</xdr:rowOff>
    </xdr:from>
    <xdr:to>
      <xdr:col>32</xdr:col>
      <xdr:colOff>47624</xdr:colOff>
      <xdr:row>47</xdr:row>
      <xdr:rowOff>65617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38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0</xdr:colOff>
      <xdr:row>48</xdr:row>
      <xdr:rowOff>0</xdr:rowOff>
    </xdr:from>
    <xdr:to>
      <xdr:col>32</xdr:col>
      <xdr:colOff>47624</xdr:colOff>
      <xdr:row>62</xdr:row>
      <xdr:rowOff>76200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0000000-0008-0000-38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20</xdr:col>
      <xdr:colOff>0</xdr:colOff>
      <xdr:row>63</xdr:row>
      <xdr:rowOff>0</xdr:rowOff>
    </xdr:from>
    <xdr:to>
      <xdr:col>32</xdr:col>
      <xdr:colOff>47624</xdr:colOff>
      <xdr:row>77</xdr:row>
      <xdr:rowOff>76200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0000000-0008-0000-38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20</xdr:col>
      <xdr:colOff>0</xdr:colOff>
      <xdr:row>78</xdr:row>
      <xdr:rowOff>0</xdr:rowOff>
    </xdr:from>
    <xdr:to>
      <xdr:col>32</xdr:col>
      <xdr:colOff>47624</xdr:colOff>
      <xdr:row>92</xdr:row>
      <xdr:rowOff>76200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00000000-0008-0000-38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20</xdr:col>
      <xdr:colOff>0</xdr:colOff>
      <xdr:row>93</xdr:row>
      <xdr:rowOff>0</xdr:rowOff>
    </xdr:from>
    <xdr:to>
      <xdr:col>32</xdr:col>
      <xdr:colOff>47624</xdr:colOff>
      <xdr:row>107</xdr:row>
      <xdr:rowOff>76200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00000000-0008-0000-38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34</xdr:col>
      <xdr:colOff>10583</xdr:colOff>
      <xdr:row>3</xdr:row>
      <xdr:rowOff>42335</xdr:rowOff>
    </xdr:from>
    <xdr:to>
      <xdr:col>46</xdr:col>
      <xdr:colOff>58207</xdr:colOff>
      <xdr:row>17</xdr:row>
      <xdr:rowOff>118535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00000000-0008-0000-38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34</xdr:col>
      <xdr:colOff>0</xdr:colOff>
      <xdr:row>19</xdr:row>
      <xdr:rowOff>0</xdr:rowOff>
    </xdr:from>
    <xdr:to>
      <xdr:col>46</xdr:col>
      <xdr:colOff>47624</xdr:colOff>
      <xdr:row>33</xdr:row>
      <xdr:rowOff>76200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00000000-0008-0000-38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34</xdr:col>
      <xdr:colOff>0</xdr:colOff>
      <xdr:row>35</xdr:row>
      <xdr:rowOff>0</xdr:rowOff>
    </xdr:from>
    <xdr:to>
      <xdr:col>46</xdr:col>
      <xdr:colOff>47624</xdr:colOff>
      <xdr:row>49</xdr:row>
      <xdr:rowOff>76200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00000000-0008-0000-38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34</xdr:col>
      <xdr:colOff>0</xdr:colOff>
      <xdr:row>51</xdr:row>
      <xdr:rowOff>0</xdr:rowOff>
    </xdr:from>
    <xdr:to>
      <xdr:col>46</xdr:col>
      <xdr:colOff>47624</xdr:colOff>
      <xdr:row>65</xdr:row>
      <xdr:rowOff>76200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00000000-0008-0000-38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34</xdr:col>
      <xdr:colOff>0</xdr:colOff>
      <xdr:row>67</xdr:row>
      <xdr:rowOff>0</xdr:rowOff>
    </xdr:from>
    <xdr:to>
      <xdr:col>46</xdr:col>
      <xdr:colOff>47624</xdr:colOff>
      <xdr:row>81</xdr:row>
      <xdr:rowOff>76200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00000000-0008-0000-38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34</xdr:col>
      <xdr:colOff>0</xdr:colOff>
      <xdr:row>83</xdr:row>
      <xdr:rowOff>0</xdr:rowOff>
    </xdr:from>
    <xdr:to>
      <xdr:col>46</xdr:col>
      <xdr:colOff>47624</xdr:colOff>
      <xdr:row>97</xdr:row>
      <xdr:rowOff>76200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00000000-0008-0000-38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34</xdr:col>
      <xdr:colOff>0</xdr:colOff>
      <xdr:row>98</xdr:row>
      <xdr:rowOff>0</xdr:rowOff>
    </xdr:from>
    <xdr:to>
      <xdr:col>46</xdr:col>
      <xdr:colOff>47624</xdr:colOff>
      <xdr:row>112</xdr:row>
      <xdr:rowOff>76200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00000000-0008-0000-38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34</xdr:col>
      <xdr:colOff>0</xdr:colOff>
      <xdr:row>114</xdr:row>
      <xdr:rowOff>0</xdr:rowOff>
    </xdr:from>
    <xdr:to>
      <xdr:col>46</xdr:col>
      <xdr:colOff>47624</xdr:colOff>
      <xdr:row>128</xdr:row>
      <xdr:rowOff>76200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00000000-0008-0000-38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34</xdr:col>
      <xdr:colOff>0</xdr:colOff>
      <xdr:row>129</xdr:row>
      <xdr:rowOff>158750</xdr:rowOff>
    </xdr:from>
    <xdr:to>
      <xdr:col>46</xdr:col>
      <xdr:colOff>47624</xdr:colOff>
      <xdr:row>144</xdr:row>
      <xdr:rowOff>44450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00000000-0008-0000-38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48</xdr:col>
      <xdr:colOff>349250</xdr:colOff>
      <xdr:row>1</xdr:row>
      <xdr:rowOff>10584</xdr:rowOff>
    </xdr:from>
    <xdr:to>
      <xdr:col>60</xdr:col>
      <xdr:colOff>396874</xdr:colOff>
      <xdr:row>15</xdr:row>
      <xdr:rowOff>65617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00000000-0008-0000-38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49</xdr:col>
      <xdr:colOff>1</xdr:colOff>
      <xdr:row>16</xdr:row>
      <xdr:rowOff>148167</xdr:rowOff>
    </xdr:from>
    <xdr:to>
      <xdr:col>61</xdr:col>
      <xdr:colOff>47625</xdr:colOff>
      <xdr:row>31</xdr:row>
      <xdr:rowOff>33867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00000000-0008-0000-3800-00001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49</xdr:col>
      <xdr:colOff>0</xdr:colOff>
      <xdr:row>32</xdr:row>
      <xdr:rowOff>0</xdr:rowOff>
    </xdr:from>
    <xdr:to>
      <xdr:col>61</xdr:col>
      <xdr:colOff>47624</xdr:colOff>
      <xdr:row>46</xdr:row>
      <xdr:rowOff>65617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00000000-0008-0000-3800-00001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49</xdr:col>
      <xdr:colOff>0</xdr:colOff>
      <xdr:row>48</xdr:row>
      <xdr:rowOff>0</xdr:rowOff>
    </xdr:from>
    <xdr:to>
      <xdr:col>61</xdr:col>
      <xdr:colOff>47624</xdr:colOff>
      <xdr:row>62</xdr:row>
      <xdr:rowOff>76200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00000000-0008-0000-3800-00001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62</xdr:col>
      <xdr:colOff>0</xdr:colOff>
      <xdr:row>1</xdr:row>
      <xdr:rowOff>0</xdr:rowOff>
    </xdr:from>
    <xdr:to>
      <xdr:col>74</xdr:col>
      <xdr:colOff>47624</xdr:colOff>
      <xdr:row>15</xdr:row>
      <xdr:rowOff>55033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00000000-0008-0000-3800-00001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62</xdr:col>
      <xdr:colOff>0</xdr:colOff>
      <xdr:row>16</xdr:row>
      <xdr:rowOff>0</xdr:rowOff>
    </xdr:from>
    <xdr:to>
      <xdr:col>74</xdr:col>
      <xdr:colOff>47624</xdr:colOff>
      <xdr:row>30</xdr:row>
      <xdr:rowOff>76200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00000000-0008-0000-3800-00001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62</xdr:col>
      <xdr:colOff>0</xdr:colOff>
      <xdr:row>32</xdr:row>
      <xdr:rowOff>0</xdr:rowOff>
    </xdr:from>
    <xdr:to>
      <xdr:col>74</xdr:col>
      <xdr:colOff>47624</xdr:colOff>
      <xdr:row>46</xdr:row>
      <xdr:rowOff>65617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00000000-0008-0000-3800-00001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75</xdr:col>
      <xdr:colOff>0</xdr:colOff>
      <xdr:row>2</xdr:row>
      <xdr:rowOff>0</xdr:rowOff>
    </xdr:from>
    <xdr:to>
      <xdr:col>87</xdr:col>
      <xdr:colOff>47624</xdr:colOff>
      <xdr:row>16</xdr:row>
      <xdr:rowOff>65617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00000000-0008-0000-3800-00001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75</xdr:col>
      <xdr:colOff>0</xdr:colOff>
      <xdr:row>17</xdr:row>
      <xdr:rowOff>0</xdr:rowOff>
    </xdr:from>
    <xdr:to>
      <xdr:col>87</xdr:col>
      <xdr:colOff>47624</xdr:colOff>
      <xdr:row>31</xdr:row>
      <xdr:rowOff>76200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00000000-0008-0000-3800-00001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75</xdr:col>
      <xdr:colOff>0</xdr:colOff>
      <xdr:row>32</xdr:row>
      <xdr:rowOff>0</xdr:rowOff>
    </xdr:from>
    <xdr:to>
      <xdr:col>87</xdr:col>
      <xdr:colOff>47624</xdr:colOff>
      <xdr:row>46</xdr:row>
      <xdr:rowOff>65617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00000000-0008-0000-3800-00001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75</xdr:col>
      <xdr:colOff>0</xdr:colOff>
      <xdr:row>47</xdr:row>
      <xdr:rowOff>0</xdr:rowOff>
    </xdr:from>
    <xdr:to>
      <xdr:col>87</xdr:col>
      <xdr:colOff>47624</xdr:colOff>
      <xdr:row>61</xdr:row>
      <xdr:rowOff>76200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00000000-0008-0000-3800-00001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275167</xdr:colOff>
      <xdr:row>37</xdr:row>
      <xdr:rowOff>63500</xdr:rowOff>
    </xdr:from>
    <xdr:to>
      <xdr:col>5</xdr:col>
      <xdr:colOff>0</xdr:colOff>
      <xdr:row>51</xdr:row>
      <xdr:rowOff>139700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00000000-0008-0000-3800-00002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342900</xdr:colOff>
      <xdr:row>30</xdr:row>
      <xdr:rowOff>114298</xdr:rowOff>
    </xdr:from>
    <xdr:to>
      <xdr:col>16</xdr:col>
      <xdr:colOff>38100</xdr:colOff>
      <xdr:row>64</xdr:row>
      <xdr:rowOff>76199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FD36"/>
  <sheetViews>
    <sheetView tabSelected="1" zoomScale="125" zoomScaleNormal="125" zoomScalePageLayoutView="125" workbookViewId="0">
      <pane xSplit="1" topLeftCell="B1" activePane="topRight" state="frozen"/>
      <selection pane="topRight" activeCell="C3" sqref="C3"/>
    </sheetView>
  </sheetViews>
  <sheetFormatPr defaultColWidth="8.85546875" defaultRowHeight="15"/>
  <cols>
    <col min="1" max="1" width="25.140625" style="3" bestFit="1" customWidth="1"/>
    <col min="2" max="45" width="8.85546875" style="3"/>
    <col min="46" max="160" width="8.85546875" style="1"/>
  </cols>
  <sheetData>
    <row r="1" spans="1:46" ht="15.75" thickBot="1">
      <c r="A1" s="345" t="s">
        <v>0</v>
      </c>
      <c r="B1" s="1037" t="s">
        <v>1</v>
      </c>
      <c r="C1" s="1038"/>
      <c r="D1" s="1038"/>
      <c r="E1" s="1038"/>
      <c r="F1" s="1039"/>
      <c r="G1" s="1037" t="s">
        <v>2</v>
      </c>
      <c r="H1" s="1038"/>
      <c r="I1" s="1038"/>
      <c r="J1" s="1038"/>
      <c r="K1" s="1039"/>
      <c r="L1" s="1037" t="s">
        <v>3</v>
      </c>
      <c r="M1" s="1038"/>
      <c r="N1" s="1038"/>
      <c r="O1" s="1038"/>
      <c r="P1" s="1039"/>
      <c r="Q1" s="1037" t="s">
        <v>4</v>
      </c>
      <c r="R1" s="1038"/>
      <c r="S1" s="1038"/>
      <c r="T1" s="1038"/>
      <c r="U1" s="1039"/>
      <c r="V1" s="1037" t="s">
        <v>5</v>
      </c>
      <c r="W1" s="1038"/>
      <c r="X1" s="1038"/>
      <c r="Y1" s="1038"/>
      <c r="Z1" s="1039"/>
      <c r="AA1" s="1037" t="s">
        <v>6</v>
      </c>
      <c r="AB1" s="1038"/>
      <c r="AC1" s="1038"/>
      <c r="AD1" s="1038"/>
      <c r="AE1" s="1039"/>
      <c r="AF1" s="1037" t="s">
        <v>7</v>
      </c>
      <c r="AG1" s="1038"/>
      <c r="AH1" s="1038"/>
      <c r="AI1" s="1038"/>
      <c r="AJ1" s="1039"/>
      <c r="AK1" s="1037" t="s">
        <v>8</v>
      </c>
      <c r="AL1" s="1038"/>
      <c r="AM1" s="1038"/>
      <c r="AN1" s="1038"/>
      <c r="AO1" s="1039"/>
      <c r="AP1" s="1037" t="s">
        <v>9</v>
      </c>
      <c r="AQ1" s="1038"/>
      <c r="AR1" s="1038"/>
      <c r="AS1" s="1038"/>
      <c r="AT1" s="1039"/>
    </row>
    <row r="2" spans="1:46" ht="15.75" thickBot="1">
      <c r="A2" s="346" t="s">
        <v>10</v>
      </c>
      <c r="B2" s="602">
        <v>2009</v>
      </c>
      <c r="C2" s="599">
        <v>2010</v>
      </c>
      <c r="D2" s="599">
        <v>2011</v>
      </c>
      <c r="E2" s="599">
        <v>2012</v>
      </c>
      <c r="F2" s="603">
        <v>2013</v>
      </c>
      <c r="G2" s="602">
        <v>2009</v>
      </c>
      <c r="H2" s="599">
        <v>2010</v>
      </c>
      <c r="I2" s="599">
        <v>2011</v>
      </c>
      <c r="J2" s="599">
        <v>2012</v>
      </c>
      <c r="K2" s="603">
        <v>2013</v>
      </c>
      <c r="L2" s="602">
        <v>2009</v>
      </c>
      <c r="M2" s="599">
        <v>2010</v>
      </c>
      <c r="N2" s="599">
        <v>2011</v>
      </c>
      <c r="O2" s="599">
        <v>2012</v>
      </c>
      <c r="P2" s="603">
        <v>2013</v>
      </c>
      <c r="Q2" s="602">
        <v>2009</v>
      </c>
      <c r="R2" s="599">
        <v>2010</v>
      </c>
      <c r="S2" s="599">
        <v>2011</v>
      </c>
      <c r="T2" s="599">
        <v>2012</v>
      </c>
      <c r="U2" s="603">
        <v>2013</v>
      </c>
      <c r="V2" s="602">
        <v>2009</v>
      </c>
      <c r="W2" s="599">
        <v>2010</v>
      </c>
      <c r="X2" s="599">
        <v>2011</v>
      </c>
      <c r="Y2" s="599">
        <v>2012</v>
      </c>
      <c r="Z2" s="603">
        <v>2013</v>
      </c>
      <c r="AA2" s="602">
        <v>2009</v>
      </c>
      <c r="AB2" s="599">
        <v>2010</v>
      </c>
      <c r="AC2" s="599">
        <v>2011</v>
      </c>
      <c r="AD2" s="599">
        <v>2012</v>
      </c>
      <c r="AE2" s="603">
        <v>2013</v>
      </c>
      <c r="AF2" s="602">
        <v>2009</v>
      </c>
      <c r="AG2" s="599">
        <v>2010</v>
      </c>
      <c r="AH2" s="599">
        <v>2011</v>
      </c>
      <c r="AI2" s="599">
        <v>2012</v>
      </c>
      <c r="AJ2" s="603">
        <v>2013</v>
      </c>
      <c r="AK2" s="602">
        <v>2009</v>
      </c>
      <c r="AL2" s="599">
        <v>2010</v>
      </c>
      <c r="AM2" s="599">
        <v>2011</v>
      </c>
      <c r="AN2" s="599">
        <v>2012</v>
      </c>
      <c r="AO2" s="603">
        <v>2013</v>
      </c>
      <c r="AP2" s="602">
        <v>2009</v>
      </c>
      <c r="AQ2" s="599">
        <v>2010</v>
      </c>
      <c r="AR2" s="599">
        <v>2011</v>
      </c>
      <c r="AS2" s="599">
        <v>2012</v>
      </c>
      <c r="AT2" s="603">
        <v>2013</v>
      </c>
    </row>
    <row r="3" spans="1:46" ht="15.75" thickBot="1">
      <c r="A3" s="347" t="s">
        <v>11</v>
      </c>
      <c r="B3" s="348">
        <f>1000000000*MOR!AZ3/SUM(KMA.FROT!$B5:$R5)</f>
        <v>53.840555458911041</v>
      </c>
      <c r="C3" s="348">
        <f>1000000000*MOR!BA3/SUM(KMA.FROT!$B43:$R43)</f>
        <v>55.100913425152235</v>
      </c>
      <c r="D3" s="348">
        <f>1000000000*MOR!BB3/SUM(KMA.FROT!$B81:$R81)</f>
        <v>51.403265036107854</v>
      </c>
      <c r="E3" s="349">
        <f>1000000000*MOR!BC3/SUM(KMA.FROT!$B119:$R119)</f>
        <v>49.286985356728458</v>
      </c>
      <c r="F3" s="349" t="e">
        <f>1000000000*MOR!BD3/SUM(KMA.FROT!$B157:$R157)</f>
        <v>#DIV/0!</v>
      </c>
      <c r="G3" s="348">
        <f>1000000000*MOR!B3/SUM(KMA.FROT!B5:R5)</f>
        <v>12.448010877492399</v>
      </c>
      <c r="H3" s="348">
        <f>1000000000*MOR!C3/SUM(KMA.FROT!$B43:$R43)</f>
        <v>12.63047344090109</v>
      </c>
      <c r="I3" s="348">
        <f>1000000000*MOR!D3/SUM(KMA.FROT!$B81:$R81)</f>
        <v>10.859759939704716</v>
      </c>
      <c r="J3" s="349">
        <f>1000000000*MOR!E3/SUM(KMA.FROT!$B119:$R119)</f>
        <v>9.5691222585362308</v>
      </c>
      <c r="K3" s="349" t="e">
        <f>1000000000*MOR!F3/SUM(KMA.FROT!$B157:$R157)</f>
        <v>#DIV/0!</v>
      </c>
      <c r="L3" s="348">
        <f>1000000000*MOR!G3/SUM(KMA.FROT!$B5:$R5)</f>
        <v>2.1929439723432869</v>
      </c>
      <c r="M3" s="348">
        <f>1000000000*MOR!H3/SUM(KMA.FROT!$B43:$R43)</f>
        <v>1.9065111785470081</v>
      </c>
      <c r="N3" s="348">
        <f>1000000000*MOR!I3/SUM(KMA.FROT!$B81:$R81)</f>
        <v>1.6819384296859743</v>
      </c>
      <c r="O3" s="349">
        <f>1000000000*MOR!J3/SUM(KMA.FROT!$B119:$R119)</f>
        <v>1.6026389091760471</v>
      </c>
      <c r="P3" s="349" t="e">
        <f>1000000000*MOR!K3/SUM(KMA.FROT!$B157:$R157)</f>
        <v>#DIV/0!</v>
      </c>
      <c r="Q3" s="349">
        <f>1000000000*MOR!L3/SUM(KMA.FROT!$D5:$G5)</f>
        <v>53.012285762139051</v>
      </c>
      <c r="R3" s="349">
        <f>1000000000*MOR!M3/SUM(KMA.FROT!$D43:$G43)</f>
        <v>52.778348655386225</v>
      </c>
      <c r="S3" s="349">
        <f>1000000000*MOR!N3/SUM(KMA.FROT!$D81:$G81)</f>
        <v>47.852936805183298</v>
      </c>
      <c r="T3" s="349">
        <f>1000000000*MOR!O3/SUM(KMA.FROT!$D119:$G119)</f>
        <v>46.471973836125557</v>
      </c>
      <c r="U3" s="349" t="e">
        <f>1000000000*MOR!P3/SUM(KMA.FROT!$D157:$G157)</f>
        <v>#DIV/0!</v>
      </c>
      <c r="V3" s="348">
        <f>1000000000*MOR!Q3/SUM(KMA.FROT!$B5:$R5)</f>
        <v>5.5259861372045693E-2</v>
      </c>
      <c r="W3" s="348">
        <f>1000000000*MOR!R3/SUM(KMA.FROT!$B43:$R43)</f>
        <v>9.0040569007353563E-2</v>
      </c>
      <c r="X3" s="348">
        <f>1000000000*MOR!S3/SUM(KMA.FROT!$B81:$R81)</f>
        <v>6.2606154863042704E-2</v>
      </c>
      <c r="Y3" s="349">
        <f>1000000000*MOR!T3/SUM(KMA.FROT!$B119:$R119)</f>
        <v>7.1178966125792512E-2</v>
      </c>
      <c r="Z3" s="349" t="e">
        <f>1000000000*MOR!U3/SUM(KMA.FROT!$B157:$R157)</f>
        <v>#DIV/0!</v>
      </c>
      <c r="AA3" s="349">
        <f>1000000000*MOR!BL3/(SUM(KMA.FROT!$B5:$C5,KMA.FROT!$H5:$I5,KMA.FROT!$P5:$R5))</f>
        <v>22.424121597079743</v>
      </c>
      <c r="AB3" s="349">
        <f>1000000000*MOR!BM3/(SUM(KMA.FROT!$B43:$C43,KMA.FROT!$H43:$I43,KMA.FROT!$P43:$R43))</f>
        <v>22.785333971754262</v>
      </c>
      <c r="AC3" s="349">
        <f>1000000000*MOR!BN3/(SUM(KMA.FROT!$B81:$C81,KMA.FROT!$H81:$I81,KMA.FROT!$P81:$R81))</f>
        <v>23.222511229167232</v>
      </c>
      <c r="AD3" s="349">
        <f>1000000000*MOR!BO3/(SUM(KMA.FROT!$B119:$C119,KMA.FROT!$H119:$I119,KMA.FROT!$P119:$R119))</f>
        <v>22.595763363240579</v>
      </c>
      <c r="AE3" s="349" t="e">
        <f>1000000000*MOR!BP3/(SUM(KMA.FROT!$B157:$C157,KMA.FROT!$H157:$I157,KMA.FROT!$P157:$R157))</f>
        <v>#DIV/0!</v>
      </c>
      <c r="AF3" s="349">
        <f>1000000000*MOR!AF3/SUM(KMA.FROT!$J5:$L5)</f>
        <v>8.7813474401433531</v>
      </c>
      <c r="AG3" s="349">
        <f>1000000000*MOR!AG3/SUM(KMA.FROT!$J43:$L43)</f>
        <v>8.353098180900945</v>
      </c>
      <c r="AH3" s="349">
        <f>1000000000*MOR!AH3/SUM(KMA.FROT!$J81:$L81)</f>
        <v>8.6370697200089062</v>
      </c>
      <c r="AI3" s="349">
        <f>1000000000*MOR!AI3/SUM(KMA.FROT!$J119:$L119)</f>
        <v>8.3544738123573996</v>
      </c>
      <c r="AJ3" s="349" t="e">
        <f>1000000000*MOR!AJ3/SUM(KMA.FROT!$J157:$L157)</f>
        <v>#DIV/0!</v>
      </c>
      <c r="AK3" s="349">
        <f>1000000000*MOR!AK3/SUM(KMA.FROT!$M5:$O5)</f>
        <v>3.484834084290783</v>
      </c>
      <c r="AL3" s="349">
        <f>1000000000*MOR!AL3/SUM(KMA.FROT!$M43:$O43)</f>
        <v>2.8959430755123665</v>
      </c>
      <c r="AM3" s="349">
        <f>1000000000*MOR!AM3/SUM(KMA.FROT!$M81:$O81)</f>
        <v>3.3420183626525932</v>
      </c>
      <c r="AN3" s="349">
        <f>1000000000*MOR!AN3/SUM(KMA.FROT!$M119:$O119)</f>
        <v>3.1382194124861824</v>
      </c>
      <c r="AO3" s="349" t="e">
        <f>1000000000*MOR!AO3/SUM(KMA.FROT!$M157:$O157)</f>
        <v>#DIV/0!</v>
      </c>
      <c r="AP3" s="348">
        <f>1000000000*MOR!AU2/SUM(KMA.FROT!$B5:$R5)</f>
        <v>2.9215016183273632</v>
      </c>
      <c r="AQ3" s="348">
        <f>1000000000*MOR!AV2/SUM(KMA.FROT!$B43:$R43)</f>
        <v>2.6229209232576909</v>
      </c>
      <c r="AR3" s="348">
        <f>1000000000*MOR!AW2/SUM(KMA.FROT!$B81:$R81)</f>
        <v>2.4211726428765168</v>
      </c>
      <c r="AS3" s="349">
        <f>1000000000*MOR!AX2/SUM(KMA.FROT!$B119:$R119)</f>
        <v>2.2376887475796021</v>
      </c>
      <c r="AT3" s="349" t="e">
        <f>1000000000*MOR!AY2/SUM(KMA.FROT!$B157:$R157)</f>
        <v>#DIV/0!</v>
      </c>
    </row>
    <row r="4" spans="1:46">
      <c r="A4" s="350" t="s">
        <v>12</v>
      </c>
      <c r="B4" s="348">
        <f>1000000000*MOR!AZ4/SUM(KMA.FROT!$B6:$R6)</f>
        <v>60.185494454873677</v>
      </c>
      <c r="C4" s="348">
        <f>1000000000*MOR!BA4/SUM(KMA.FROT!$B44:$R44)</f>
        <v>66.700328197249164</v>
      </c>
      <c r="D4" s="348">
        <f>1000000000*MOR!BB4/SUM(KMA.FROT!$B82:$R82)</f>
        <v>62.19825893341806</v>
      </c>
      <c r="E4" s="349">
        <f>1000000000*MOR!BC4/SUM(KMA.FROT!$B120:$R120)</f>
        <v>58.626650220005921</v>
      </c>
      <c r="F4" s="349" t="e">
        <f>1000000000*MOR!BD4/SUM(KMA.FROT!$B158:$R158)</f>
        <v>#DIV/0!</v>
      </c>
      <c r="G4" s="348">
        <f>1000000000*MOR!B4/SUM(KMA.FROT!B6:R6)</f>
        <v>14.363217438386362</v>
      </c>
      <c r="H4" s="348">
        <f>1000000000*MOR!C4/SUM(KMA.FROT!$B44:$R44)</f>
        <v>17.756059757190876</v>
      </c>
      <c r="I4" s="348">
        <f>1000000000*MOR!D4/SUM(KMA.FROT!$B82:$R82)</f>
        <v>16.520557781787382</v>
      </c>
      <c r="J4" s="349">
        <f>1000000000*MOR!E4/SUM(KMA.FROT!$B120:$R120)</f>
        <v>14.400384525313696</v>
      </c>
      <c r="K4" s="349" t="e">
        <f>1000000000*MOR!F4/SUM(KMA.FROT!$B158:$R158)</f>
        <v>#DIV/0!</v>
      </c>
      <c r="L4" s="348">
        <f>1000000000*MOR!G4/SUM(KMA.FROT!$B6:$R6)</f>
        <v>2.0551144448005645</v>
      </c>
      <c r="M4" s="348">
        <f>1000000000*MOR!H4/SUM(KMA.FROT!$B44:$R44)</f>
        <v>1.6615027732207923</v>
      </c>
      <c r="N4" s="348">
        <f>1000000000*MOR!I4/SUM(KMA.FROT!$B82:$R82)</f>
        <v>1.7687572901030642</v>
      </c>
      <c r="O4" s="349">
        <f>1000000000*MOR!J4/SUM(KMA.FROT!$B120:$R120)</f>
        <v>1.9851377537720574</v>
      </c>
      <c r="P4" s="349" t="e">
        <f>1000000000*MOR!K4/SUM(KMA.FROT!$B158:$R158)</f>
        <v>#DIV/0!</v>
      </c>
      <c r="Q4" s="349">
        <f>1000000000*MOR!L4/SUM(KMA.FROT!$D6:$G6)</f>
        <v>51.692822980237018</v>
      </c>
      <c r="R4" s="349">
        <f>1000000000*MOR!M4/SUM(KMA.FROT!$D44:$G44)</f>
        <v>53.144602977922965</v>
      </c>
      <c r="S4" s="349">
        <f>1000000000*MOR!N4/SUM(KMA.FROT!$D82:$G82)</f>
        <v>51.961946744137116</v>
      </c>
      <c r="T4" s="349">
        <f>1000000000*MOR!O4/SUM(KMA.FROT!$D120:$G120)</f>
        <v>50.302466690985149</v>
      </c>
      <c r="U4" s="349" t="e">
        <f>1000000000*MOR!P4/SUM(KMA.FROT!$D158:$G158)</f>
        <v>#DIV/0!</v>
      </c>
      <c r="V4" s="348">
        <f>1000000000*MOR!Q4/SUM(KMA.FROT!$B6:$R6)</f>
        <v>4.5167350435177243E-2</v>
      </c>
      <c r="W4" s="348">
        <f>1000000000*MOR!R4/SUM(KMA.FROT!$B44:$R44)</f>
        <v>0.14012673991018731</v>
      </c>
      <c r="X4" s="348">
        <f>1000000000*MOR!S4/SUM(KMA.FROT!$B82:$R82)</f>
        <v>9.1173056190879592E-2</v>
      </c>
      <c r="Y4" s="349">
        <f>1000000000*MOR!T4/SUM(KMA.FROT!$B120:$R120)</f>
        <v>9.7629725595347078E-2</v>
      </c>
      <c r="Z4" s="349" t="e">
        <f>1000000000*MOR!U4/SUM(KMA.FROT!$B158:$R158)</f>
        <v>#DIV/0!</v>
      </c>
      <c r="AA4" s="349">
        <f>1000000000*MOR!BL4/(SUM(KMA.FROT!$B6:$C6,KMA.FROT!$H6:$I6,KMA.FROT!$P6:$R6))</f>
        <v>22.194283320358792</v>
      </c>
      <c r="AB4" s="349">
        <f>1000000000*MOR!BM4/(SUM(KMA.FROT!$B44:$C44,KMA.FROT!$H44:$I44,KMA.FROT!$P44:$R44))</f>
        <v>24.573176697365756</v>
      </c>
      <c r="AC4" s="349">
        <f>1000000000*MOR!BN4/(SUM(KMA.FROT!$B82:$C82,KMA.FROT!$H82:$I82,KMA.FROT!$P82:$R82))</f>
        <v>21.495473003836317</v>
      </c>
      <c r="AD4" s="349">
        <f>1000000000*MOR!BO4/(SUM(KMA.FROT!$B120:$C120,KMA.FROT!$H120:$I120,KMA.FROT!$P120:$R120))</f>
        <v>23.685427464384954</v>
      </c>
      <c r="AE4" s="349" t="e">
        <f>1000000000*MOR!BP4/(SUM(KMA.FROT!$B158:$C158,KMA.FROT!$H158:$I158,KMA.FROT!$P158:$R158))</f>
        <v>#DIV/0!</v>
      </c>
      <c r="AF4" s="349">
        <f>1000000000*MOR!AF4/SUM(KMA.FROT!$J6:$L6)</f>
        <v>4.216572906118973</v>
      </c>
      <c r="AG4" s="349">
        <f>1000000000*MOR!AG4/SUM(KMA.FROT!$J44:$L44)</f>
        <v>4.5992178450028112</v>
      </c>
      <c r="AH4" s="349">
        <f>1000000000*MOR!AH4/SUM(KMA.FROT!$J82:$L82)</f>
        <v>3.4894567554856453</v>
      </c>
      <c r="AI4" s="349">
        <f>1000000000*MOR!AI4/SUM(KMA.FROT!$J120:$L120)</f>
        <v>4.1961620757630618</v>
      </c>
      <c r="AJ4" s="349" t="e">
        <f>1000000000*MOR!AJ4/SUM(KMA.FROT!$J158:$L158)</f>
        <v>#DIV/0!</v>
      </c>
      <c r="AK4" s="349">
        <f>1000000000*MOR!AK4/SUM(KMA.FROT!$M6:$O6)</f>
        <v>2.450078532647689</v>
      </c>
      <c r="AL4" s="349">
        <f>1000000000*MOR!AL4/SUM(KMA.FROT!$M44:$O44)</f>
        <v>4.2168893748822178</v>
      </c>
      <c r="AM4" s="349">
        <f>1000000000*MOR!AM4/SUM(KMA.FROT!$M82:$O82)</f>
        <v>3.0484568034920407</v>
      </c>
      <c r="AN4" s="349">
        <f>1000000000*MOR!AN4/SUM(KMA.FROT!$M120:$O120)</f>
        <v>5.0506817787036375</v>
      </c>
      <c r="AO4" s="349" t="e">
        <f>1000000000*MOR!AO4/SUM(KMA.FROT!$M158:$O158)</f>
        <v>#DIV/0!</v>
      </c>
      <c r="AP4" s="348">
        <f>1000000000*MOR!AU4/SUM(KMA.FROT!$B6:$R6)</f>
        <v>17.637850344936712</v>
      </c>
      <c r="AQ4" s="348">
        <f>1000000000*MOR!AV4/SUM(KMA.FROT!$B44:$R44)</f>
        <v>18.716928830860734</v>
      </c>
      <c r="AR4" s="348">
        <f>1000000000*MOR!AW4/SUM(KMA.FROT!$B82:$R82)</f>
        <v>16.702903894169143</v>
      </c>
      <c r="AS4" s="349">
        <f>1000000000*MOR!AX4/SUM(KMA.FROT!$B120:$R120)</f>
        <v>14.042408864797423</v>
      </c>
      <c r="AT4" s="349" t="e">
        <f>1000000000*MOR!AY4/SUM(KMA.FROT!$B158:$R158)</f>
        <v>#DIV/0!</v>
      </c>
    </row>
    <row r="5" spans="1:46" s="1" customFormat="1">
      <c r="A5" s="21" t="s">
        <v>13</v>
      </c>
      <c r="B5" s="563">
        <f>1000000000*MOR!AZ5/SUM(KMA.FROT!$B7:$R7)</f>
        <v>60.580812704081495</v>
      </c>
      <c r="C5" s="563">
        <f>1000000000*MOR!BA5/SUM(KMA.FROT!$B45:$R45)</f>
        <v>57.145053874874257</v>
      </c>
      <c r="D5" s="563">
        <f>1000000000*MOR!BB5/SUM(KMA.FROT!$B83:$R83)</f>
        <v>61.622473869153353</v>
      </c>
      <c r="E5" s="564">
        <f>1000000000*MOR!BC5/SUM(KMA.FROT!$B121:$R121)</f>
        <v>50.528436004315623</v>
      </c>
      <c r="F5" s="564" t="e">
        <f>1000000000*MOR!BD5/SUM(KMA.FROT!$B159:$R159)</f>
        <v>#DIV/0!</v>
      </c>
      <c r="G5" s="563">
        <f>1000000000*MOR!B5/SUM(KMA.FROT!B7:R7)</f>
        <v>2.545412298490819</v>
      </c>
      <c r="H5" s="563">
        <f>1000000000*MOR!C5/SUM(KMA.FROT!$B45:$R45)</f>
        <v>2.4845675597771417</v>
      </c>
      <c r="I5" s="563">
        <f>1000000000*MOR!D5/SUM(KMA.FROT!$B83:$R83)</f>
        <v>4.5366238431278543</v>
      </c>
      <c r="J5" s="564">
        <f>1000000000*MOR!E5/SUM(KMA.FROT!$B121:$R121)</f>
        <v>7.7240921280482482</v>
      </c>
      <c r="K5" s="564" t="e">
        <f>1000000000*MOR!F5/SUM(KMA.FROT!$B159:$R159)</f>
        <v>#DIV/0!</v>
      </c>
      <c r="L5" s="563">
        <f>1000000000*MOR!G5/SUM(KMA.FROT!$B7:$R7)</f>
        <v>0.50908245969816379</v>
      </c>
      <c r="M5" s="563">
        <f>1000000000*MOR!H5/SUM(KMA.FROT!$B45:$R45)</f>
        <v>0.41409459329619031</v>
      </c>
      <c r="N5" s="563">
        <f>1000000000*MOR!I5/SUM(KMA.FROT!$B83:$R83)</f>
        <v>0.37805198692732117</v>
      </c>
      <c r="O5" s="564">
        <f>1000000000*MOR!J5/SUM(KMA.FROT!$B121:$R121)</f>
        <v>3.2183717200201034</v>
      </c>
      <c r="P5" s="564" t="e">
        <f>1000000000*MOR!K5/SUM(KMA.FROT!$B159:$R159)</f>
        <v>#DIV/0!</v>
      </c>
      <c r="Q5" s="564">
        <f>1000000000*MOR!L5/SUM(KMA.FROT!$D7:$G7)</f>
        <v>8.5973974715051948</v>
      </c>
      <c r="R5" s="564">
        <f>1000000000*MOR!M5/SUM(KMA.FROT!$D45:$G45)</f>
        <v>15.512210914056421</v>
      </c>
      <c r="S5" s="564">
        <f>1000000000*MOR!N5/SUM(KMA.FROT!$D83:$G83)</f>
        <v>12.445068363481287</v>
      </c>
      <c r="T5" s="564">
        <f>1000000000*MOR!O5/SUM(KMA.FROT!$D121:$G121)</f>
        <v>35.160780446245091</v>
      </c>
      <c r="U5" s="564" t="e">
        <f>1000000000*MOR!P5/SUM(KMA.FROT!$D159:$G159)</f>
        <v>#DIV/0!</v>
      </c>
      <c r="V5" s="563">
        <f>1000000000*MOR!Q5/SUM(KMA.FROT!$B7:$R7)</f>
        <v>0</v>
      </c>
      <c r="W5" s="563">
        <f>1000000000*MOR!R5/SUM(KMA.FROT!$B45:$R45)</f>
        <v>0</v>
      </c>
      <c r="X5" s="563">
        <f>1000000000*MOR!S5/SUM(KMA.FROT!$B83:$R83)</f>
        <v>0</v>
      </c>
      <c r="Y5" s="564">
        <f>1000000000*MOR!T5/SUM(KMA.FROT!$B121:$R121)</f>
        <v>0</v>
      </c>
      <c r="Z5" s="564" t="e">
        <f>1000000000*MOR!U5/SUM(KMA.FROT!$B159:$R159)</f>
        <v>#DIV/0!</v>
      </c>
      <c r="AA5" s="564">
        <f>1000000000*MOR!BL5/(SUM(KMA.FROT!$B7:$C7,KMA.FROT!$H7:$I7,KMA.FROT!$P7:$R7))</f>
        <v>6.3569180082086225</v>
      </c>
      <c r="AB5" s="564">
        <f>1000000000*MOR!BM5/(SUM(KMA.FROT!$B45:$C45,KMA.FROT!$H45:$I45,KMA.FROT!$P45:$R45))</f>
        <v>3.190848781204044</v>
      </c>
      <c r="AC5" s="564">
        <f>1000000000*MOR!BN5/(SUM(KMA.FROT!$B83:$C83,KMA.FROT!$H83:$I83,KMA.FROT!$P83:$R83))</f>
        <v>11.803504854155864</v>
      </c>
      <c r="AD5" s="564">
        <f>1000000000*MOR!BO5/(SUM(KMA.FROT!$B121:$C121,KMA.FROT!$H121:$I121,KMA.FROT!$P121:$R121))</f>
        <v>12.206239395909385</v>
      </c>
      <c r="AE5" s="564" t="e">
        <f>1000000000*MOR!BP5/(SUM(KMA.FROT!$B159:$C159,KMA.FROT!$H159:$I159,KMA.FROT!$P159:$R159))</f>
        <v>#DIV/0!</v>
      </c>
      <c r="AF5" s="564">
        <f>1000000000*MOR!AF5/SUM(KMA.FROT!$J7:$L7)</f>
        <v>0</v>
      </c>
      <c r="AG5" s="564">
        <f>1000000000*MOR!AG5/SUM(KMA.FROT!$J45:$L45)</f>
        <v>0</v>
      </c>
      <c r="AH5" s="564">
        <f>1000000000*MOR!AH5/SUM(KMA.FROT!$J83:$L83)</f>
        <v>0</v>
      </c>
      <c r="AI5" s="564">
        <f>1000000000*MOR!AI5/SUM(KMA.FROT!$J121:$L121)</f>
        <v>1.4869536383069082</v>
      </c>
      <c r="AJ5" s="564" t="e">
        <f>1000000000*MOR!AJ5/SUM(KMA.FROT!$J159:$L159)</f>
        <v>#DIV/0!</v>
      </c>
      <c r="AK5" s="564">
        <f>1000000000*MOR!AK5/SUM(KMA.FROT!$M7:$O7)</f>
        <v>0</v>
      </c>
      <c r="AL5" s="564">
        <f>1000000000*MOR!AL5/SUM(KMA.FROT!$M45:$O45)</f>
        <v>12.922969422841053</v>
      </c>
      <c r="AM5" s="564">
        <f>1000000000*MOR!AM5/SUM(KMA.FROT!$M83:$O83)</f>
        <v>0</v>
      </c>
      <c r="AN5" s="564">
        <f>1000000000*MOR!AN5/SUM(KMA.FROT!$M121:$O121)</f>
        <v>0</v>
      </c>
      <c r="AO5" s="564" t="e">
        <f>1000000000*MOR!AO5/SUM(KMA.FROT!$M159:$O159)</f>
        <v>#DIV/0!</v>
      </c>
      <c r="AP5" s="563">
        <f>1000000000*MOR!AU5/SUM(KMA.FROT!$B7:$R7)</f>
        <v>51.926410889212711</v>
      </c>
      <c r="AQ5" s="563">
        <f>1000000000*MOR!AV5/SUM(KMA.FROT!$B45:$R45)</f>
        <v>46.792689042469505</v>
      </c>
      <c r="AR5" s="563">
        <f>1000000000*MOR!AW5/SUM(KMA.FROT!$B83:$R83)</f>
        <v>46.878446378987825</v>
      </c>
      <c r="AS5" s="564">
        <f>1000000000*MOR!AX5/SUM(KMA.FROT!$B121:$R121)</f>
        <v>21.563090524134694</v>
      </c>
      <c r="AT5" s="564" t="e">
        <f>1000000000*MOR!AY5/SUM(KMA.FROT!$B159:$R159)</f>
        <v>#DIV/0!</v>
      </c>
    </row>
    <row r="6" spans="1:46" s="1" customFormat="1">
      <c r="A6" s="21" t="s">
        <v>14</v>
      </c>
      <c r="B6" s="563">
        <f>1000000000*MOR!AZ6/SUM(KMA.FROT!$B8:$R8)</f>
        <v>52.806405052168515</v>
      </c>
      <c r="C6" s="563">
        <f>1000000000*MOR!BA6/SUM(KMA.FROT!$B46:$R46)</f>
        <v>53.251059702799004</v>
      </c>
      <c r="D6" s="563">
        <f>1000000000*MOR!BB6/SUM(KMA.FROT!$B84:$R84)</f>
        <v>58.911619379056383</v>
      </c>
      <c r="E6" s="564">
        <f>1000000000*MOR!BC6/SUM(KMA.FROT!$B122:$R122)</f>
        <v>39.912310749223145</v>
      </c>
      <c r="F6" s="564" t="e">
        <f>1000000000*MOR!BD6/SUM(KMA.FROT!$B160:$R160)</f>
        <v>#DIV/0!</v>
      </c>
      <c r="G6" s="563">
        <f>1000000000*MOR!B6/SUM(KMA.FROT!B8:R8)</f>
        <v>0.98703560845174798</v>
      </c>
      <c r="H6" s="563">
        <f>1000000000*MOR!C6/SUM(KMA.FROT!$B46:$R46)</f>
        <v>1.3202742075074134</v>
      </c>
      <c r="I6" s="563">
        <f>1000000000*MOR!D6/SUM(KMA.FROT!$B84:$R84)</f>
        <v>7.8548825838741845</v>
      </c>
      <c r="J6" s="564">
        <f>1000000000*MOR!E6/SUM(KMA.FROT!$B122:$R122)</f>
        <v>2.6172007048670913</v>
      </c>
      <c r="K6" s="564" t="e">
        <f>1000000000*MOR!F6/SUM(KMA.FROT!$B160:$R160)</f>
        <v>#DIV/0!</v>
      </c>
      <c r="L6" s="563">
        <f>1000000000*MOR!G6/SUM(KMA.FROT!$B8:$R8)</f>
        <v>0.49351780422587399</v>
      </c>
      <c r="M6" s="563">
        <f>1000000000*MOR!H6/SUM(KMA.FROT!$B46:$R46)</f>
        <v>0</v>
      </c>
      <c r="N6" s="563">
        <f>1000000000*MOR!I6/SUM(KMA.FROT!$B84:$R84)</f>
        <v>0</v>
      </c>
      <c r="O6" s="564">
        <f>1000000000*MOR!J6/SUM(KMA.FROT!$B122:$R122)</f>
        <v>0.65430017621677283</v>
      </c>
      <c r="P6" s="564" t="e">
        <f>1000000000*MOR!K6/SUM(KMA.FROT!$B160:$R160)</f>
        <v>#DIV/0!</v>
      </c>
      <c r="Q6" s="564">
        <f>1000000000*MOR!L6/SUM(KMA.FROT!$D8:$G8)</f>
        <v>22.732931711685911</v>
      </c>
      <c r="R6" s="564">
        <f>1000000000*MOR!M6/SUM(KMA.FROT!$D46:$G46)</f>
        <v>8.7693349869970749</v>
      </c>
      <c r="S6" s="564">
        <f>1000000000*MOR!N6/SUM(KMA.FROT!$D84:$G84)</f>
        <v>6.0092271663595556</v>
      </c>
      <c r="T6" s="564">
        <f>1000000000*MOR!O6/SUM(KMA.FROT!$D122:$G122)</f>
        <v>6.1173228982425805</v>
      </c>
      <c r="U6" s="564" t="e">
        <f>1000000000*MOR!P6/SUM(KMA.FROT!$D160:$G160)</f>
        <v>#DIV/0!</v>
      </c>
      <c r="V6" s="563">
        <f>1000000000*MOR!Q6/SUM(KMA.FROT!$B8:$R8)</f>
        <v>0</v>
      </c>
      <c r="W6" s="563">
        <f>1000000000*MOR!R6/SUM(KMA.FROT!$B46:$R46)</f>
        <v>0</v>
      </c>
      <c r="X6" s="563">
        <f>1000000000*MOR!S6/SUM(KMA.FROT!$B84:$R84)</f>
        <v>0</v>
      </c>
      <c r="Y6" s="564">
        <f>1000000000*MOR!T6/SUM(KMA.FROT!$B122:$R122)</f>
        <v>0</v>
      </c>
      <c r="Z6" s="564" t="e">
        <f>1000000000*MOR!U6/SUM(KMA.FROT!$B160:$R160)</f>
        <v>#DIV/0!</v>
      </c>
      <c r="AA6" s="564">
        <f>1000000000*MOR!BL6/(SUM(KMA.FROT!$B8:$C8,KMA.FROT!$H8:$I8,KMA.FROT!$P8:$R8))</f>
        <v>5.2159371266875603</v>
      </c>
      <c r="AB6" s="564">
        <f>1000000000*MOR!BM6/(SUM(KMA.FROT!$B46:$C46,KMA.FROT!$H46:$I46,KMA.FROT!$P46:$R46))</f>
        <v>0</v>
      </c>
      <c r="AC6" s="564">
        <f>1000000000*MOR!BN6/(SUM(KMA.FROT!$B84:$C84,KMA.FROT!$H84:$I84,KMA.FROT!$P84:$R84))</f>
        <v>0.84779902025112308</v>
      </c>
      <c r="AD6" s="564">
        <f>1000000000*MOR!BO6/(SUM(KMA.FROT!$B122:$C122,KMA.FROT!$H122:$I122,KMA.FROT!$P122:$R122))</f>
        <v>4.3870134381172683</v>
      </c>
      <c r="AE6" s="564" t="e">
        <f>1000000000*MOR!BP6/(SUM(KMA.FROT!$B160:$C160,KMA.FROT!$H160:$I160,KMA.FROT!$P160:$R160))</f>
        <v>#DIV/0!</v>
      </c>
      <c r="AF6" s="564">
        <f>1000000000*MOR!AF6/SUM(KMA.FROT!$J8:$L8)</f>
        <v>4.4359263228889763</v>
      </c>
      <c r="AG6" s="564">
        <f>1000000000*MOR!AG6/SUM(KMA.FROT!$J46:$L46)</f>
        <v>0</v>
      </c>
      <c r="AH6" s="564">
        <f>1000000000*MOR!AH6/SUM(KMA.FROT!$J84:$L84)</f>
        <v>0</v>
      </c>
      <c r="AI6" s="564">
        <f>1000000000*MOR!AI6/SUM(KMA.FROT!$J122:$L122)</f>
        <v>0</v>
      </c>
      <c r="AJ6" s="564" t="e">
        <f>1000000000*MOR!AJ6/SUM(KMA.FROT!$J160:$L160)</f>
        <v>#DIV/0!</v>
      </c>
      <c r="AK6" s="564">
        <f>1000000000*MOR!AK6/SUM(KMA.FROT!$M8:$O8)</f>
        <v>0</v>
      </c>
      <c r="AL6" s="564">
        <f>1000000000*MOR!AL6/SUM(KMA.FROT!$M46:$O46)</f>
        <v>0</v>
      </c>
      <c r="AM6" s="564">
        <f>1000000000*MOR!AM6/SUM(KMA.FROT!$M84:$O84)</f>
        <v>5.7797019108679448</v>
      </c>
      <c r="AN6" s="564">
        <f>1000000000*MOR!AN6/SUM(KMA.FROT!$M122:$O122)</f>
        <v>0</v>
      </c>
      <c r="AO6" s="564" t="e">
        <f>1000000000*MOR!AO6/SUM(KMA.FROT!$M160:$O160)</f>
        <v>#DIV/0!</v>
      </c>
      <c r="AP6" s="563">
        <f>1000000000*MOR!AU6/SUM(KMA.FROT!$B8:$R8)</f>
        <v>42.442531163425159</v>
      </c>
      <c r="AQ6" s="563">
        <f>1000000000*MOR!AV6/SUM(KMA.FROT!$B46:$R46)</f>
        <v>49.730328482779235</v>
      </c>
      <c r="AR6" s="563">
        <f>1000000000*MOR!AW6/SUM(KMA.FROT!$B84:$R84)</f>
        <v>48.700272020019945</v>
      </c>
      <c r="AS6" s="564">
        <f>1000000000*MOR!AX6/SUM(KMA.FROT!$B122:$R122)</f>
        <v>33.042158898947029</v>
      </c>
      <c r="AT6" s="564" t="e">
        <f>1000000000*MOR!AY6/SUM(KMA.FROT!$B160:$R160)</f>
        <v>#DIV/0!</v>
      </c>
    </row>
    <row r="7" spans="1:46" s="1" customFormat="1">
      <c r="A7" s="21" t="s">
        <v>15</v>
      </c>
      <c r="B7" s="563">
        <f>1000000000*MOR!AZ7/SUM(KMA.FROT!$B9:$R9)</f>
        <v>40.45893557462017</v>
      </c>
      <c r="C7" s="563">
        <f>1000000000*MOR!BA7/SUM(KMA.FROT!$B47:$R47)</f>
        <v>50.246207503553158</v>
      </c>
      <c r="D7" s="563">
        <f>1000000000*MOR!BB7/SUM(KMA.FROT!$B85:$R85)</f>
        <v>48.416360821514147</v>
      </c>
      <c r="E7" s="564">
        <f>1000000000*MOR!BC7/SUM(KMA.FROT!$B123:$R123)</f>
        <v>41.04470859312552</v>
      </c>
      <c r="F7" s="564" t="e">
        <f>1000000000*MOR!BD7/SUM(KMA.FROT!$B161:$R161)</f>
        <v>#DIV/0!</v>
      </c>
      <c r="G7" s="563">
        <f>1000000000*MOR!B7/SUM(KMA.FROT!B9:R9)</f>
        <v>14.188339050825705</v>
      </c>
      <c r="H7" s="563">
        <f>1000000000*MOR!C7/SUM(KMA.FROT!$B47:$R47)</f>
        <v>19.366846575245329</v>
      </c>
      <c r="I7" s="563">
        <f>1000000000*MOR!D7/SUM(KMA.FROT!$B85:$R85)</f>
        <v>18.562794465165503</v>
      </c>
      <c r="J7" s="564">
        <f>1000000000*MOR!E7/SUM(KMA.FROT!$B123:$R123)</f>
        <v>14.190511942481033</v>
      </c>
      <c r="K7" s="564" t="e">
        <f>1000000000*MOR!F7/SUM(KMA.FROT!$B161:$R161)</f>
        <v>#DIV/0!</v>
      </c>
      <c r="L7" s="563">
        <f>1000000000*MOR!G7/SUM(KMA.FROT!$B9:$R9)</f>
        <v>0.11084639883457582</v>
      </c>
      <c r="M7" s="563">
        <f>1000000000*MOR!H7/SUM(KMA.FROT!$B47:$R47)</f>
        <v>0.75315514459287392</v>
      </c>
      <c r="N7" s="563">
        <f>1000000000*MOR!I7/SUM(KMA.FROT!$B85:$R85)</f>
        <v>0.76547606041919602</v>
      </c>
      <c r="O7" s="564">
        <f>1000000000*MOR!J7/SUM(KMA.FROT!$B123:$R123)</f>
        <v>0.62869356707194446</v>
      </c>
      <c r="P7" s="564" t="e">
        <f>1000000000*MOR!K7/SUM(KMA.FROT!$B161:$R161)</f>
        <v>#DIV/0!</v>
      </c>
      <c r="Q7" s="564">
        <f>1000000000*MOR!L7/SUM(KMA.FROT!$D9:$G9)</f>
        <v>53.075695037706645</v>
      </c>
      <c r="R7" s="564">
        <f>1000000000*MOR!M7/SUM(KMA.FROT!$D47:$G47)</f>
        <v>44.904818045480845</v>
      </c>
      <c r="S7" s="564">
        <f>1000000000*MOR!N7/SUM(KMA.FROT!$D85:$G85)</f>
        <v>47.220491012381665</v>
      </c>
      <c r="T7" s="564">
        <f>1000000000*MOR!O7/SUM(KMA.FROT!$D123:$G123)</f>
        <v>45.262693745410829</v>
      </c>
      <c r="U7" s="564" t="e">
        <f>1000000000*MOR!P7/SUM(KMA.FROT!$D161:$G161)</f>
        <v>#DIV/0!</v>
      </c>
      <c r="V7" s="563">
        <f>1000000000*MOR!Q7/SUM(KMA.FROT!$B9:$R9)</f>
        <v>0</v>
      </c>
      <c r="W7" s="563">
        <f>1000000000*MOR!R7/SUM(KMA.FROT!$B47:$R47)</f>
        <v>0</v>
      </c>
      <c r="X7" s="563">
        <f>1000000000*MOR!S7/SUM(KMA.FROT!$B85:$R85)</f>
        <v>0</v>
      </c>
      <c r="Y7" s="564">
        <f>1000000000*MOR!T7/SUM(KMA.FROT!$B123:$R123)</f>
        <v>0.179626733449127</v>
      </c>
      <c r="Z7" s="564" t="e">
        <f>1000000000*MOR!U7/SUM(KMA.FROT!$B161:$R161)</f>
        <v>#DIV/0!</v>
      </c>
      <c r="AA7" s="564">
        <f>1000000000*MOR!BL7/(SUM(KMA.FROT!$B9:$C9,KMA.FROT!$H9:$I9,KMA.FROT!$P9:$R9))</f>
        <v>11.572441768016597</v>
      </c>
      <c r="AB7" s="564">
        <f>1000000000*MOR!BM7/(SUM(KMA.FROT!$B47:$C47,KMA.FROT!$H47:$I47,KMA.FROT!$P47:$R47))</f>
        <v>12.832918661472778</v>
      </c>
      <c r="AC7" s="564">
        <f>1000000000*MOR!BN7/(SUM(KMA.FROT!$B85:$C85,KMA.FROT!$H85:$I85,KMA.FROT!$P85:$R85))</f>
        <v>8.339506556497982</v>
      </c>
      <c r="AD7" s="564">
        <f>1000000000*MOR!BO7/(SUM(KMA.FROT!$B123:$C123,KMA.FROT!$H123:$I123,KMA.FROT!$P123:$R123))</f>
        <v>9.3180077487908424</v>
      </c>
      <c r="AE7" s="564" t="e">
        <f>1000000000*MOR!BP7/(SUM(KMA.FROT!$B161:$C161,KMA.FROT!$H161:$I161,KMA.FROT!$P161:$R161))</f>
        <v>#DIV/0!</v>
      </c>
      <c r="AF7" s="564">
        <f>1000000000*MOR!AF7/SUM(KMA.FROT!$J9:$L9)</f>
        <v>1.1802372422121237</v>
      </c>
      <c r="AG7" s="564">
        <f>1000000000*MOR!AG7/SUM(KMA.FROT!$J47:$L47)</f>
        <v>3.4944406704480611</v>
      </c>
      <c r="AH7" s="564">
        <f>1000000000*MOR!AH7/SUM(KMA.FROT!$J85:$L85)</f>
        <v>2.3910549123182077</v>
      </c>
      <c r="AI7" s="564">
        <f>1000000000*MOR!AI7/SUM(KMA.FROT!$J123:$L123)</f>
        <v>4.446165029903911</v>
      </c>
      <c r="AJ7" s="564" t="e">
        <f>1000000000*MOR!AJ7/SUM(KMA.FROT!$J161:$L161)</f>
        <v>#DIV/0!</v>
      </c>
      <c r="AK7" s="564">
        <f>1000000000*MOR!AK7/SUM(KMA.FROT!$M9:$O9)</f>
        <v>1.0784149858096401</v>
      </c>
      <c r="AL7" s="564">
        <f>1000000000*MOR!AL7/SUM(KMA.FROT!$M47:$O47)</f>
        <v>3.8871064291100912</v>
      </c>
      <c r="AM7" s="564">
        <f>1000000000*MOR!AM7/SUM(KMA.FROT!$M85:$O85)</f>
        <v>1.0970655118519494</v>
      </c>
      <c r="AN7" s="564">
        <f>1000000000*MOR!AN7/SUM(KMA.FROT!$M123:$O123)</f>
        <v>1.0640668044763717</v>
      </c>
      <c r="AO7" s="564" t="e">
        <f>1000000000*MOR!AO7/SUM(KMA.FROT!$M161:$O161)</f>
        <v>#DIV/0!</v>
      </c>
      <c r="AP7" s="563">
        <f>1000000000*MOR!AU7/SUM(KMA.FROT!$B9:$R9)</f>
        <v>9.6436366986080966</v>
      </c>
      <c r="AQ7" s="563">
        <f>1000000000*MOR!AV7/SUM(KMA.FROT!$B47:$R47)</f>
        <v>12.480856681824768</v>
      </c>
      <c r="AR7" s="563">
        <f>1000000000*MOR!AW7/SUM(KMA.FROT!$B85:$R85)</f>
        <v>13.204462042231132</v>
      </c>
      <c r="AS7" s="564">
        <f>1000000000*MOR!AX7/SUM(KMA.FROT!$B123:$R123)</f>
        <v>9.2507767726300401</v>
      </c>
      <c r="AT7" s="564" t="e">
        <f>1000000000*MOR!AY7/SUM(KMA.FROT!$B161:$R161)</f>
        <v>#DIV/0!</v>
      </c>
    </row>
    <row r="8" spans="1:46" s="1" customFormat="1">
      <c r="A8" s="21" t="s">
        <v>16</v>
      </c>
      <c r="B8" s="563">
        <f>1000000000*MOR!AZ8/SUM(KMA.FROT!$B10:$R10)</f>
        <v>64.895170641801073</v>
      </c>
      <c r="C8" s="563">
        <f>1000000000*MOR!BA8/SUM(KMA.FROT!$B48:$R48)</f>
        <v>74.73655490008268</v>
      </c>
      <c r="D8" s="563">
        <f>1000000000*MOR!BB8/SUM(KMA.FROT!$B86:$R86)</f>
        <v>66.770543810762803</v>
      </c>
      <c r="E8" s="564">
        <f>1000000000*MOR!BC8/SUM(KMA.FROT!$B124:$R124)</f>
        <v>64.273818260982523</v>
      </c>
      <c r="F8" s="564" t="e">
        <f>1000000000*MOR!BD8/SUM(KMA.FROT!$B162:$R162)</f>
        <v>#DIV/0!</v>
      </c>
      <c r="G8" s="563">
        <f>1000000000*MOR!B8/SUM(KMA.FROT!B10:R10)</f>
        <v>25.122783882122988</v>
      </c>
      <c r="H8" s="563">
        <f>1000000000*MOR!C8/SUM(KMA.FROT!$B48:$R48)</f>
        <v>31.600019857081939</v>
      </c>
      <c r="I8" s="563">
        <f>1000000000*MOR!D8/SUM(KMA.FROT!$B86:$R86)</f>
        <v>28.311898487588085</v>
      </c>
      <c r="J8" s="564">
        <f>1000000000*MOR!E8/SUM(KMA.FROT!$B124:$R124)</f>
        <v>24.442754960360414</v>
      </c>
      <c r="K8" s="564" t="e">
        <f>1000000000*MOR!F8/SUM(KMA.FROT!$B162:$R162)</f>
        <v>#DIV/0!</v>
      </c>
      <c r="L8" s="563">
        <f>1000000000*MOR!G8/SUM(KMA.FROT!$B10:$R10)</f>
        <v>2.6343584121919248</v>
      </c>
      <c r="M8" s="563">
        <f>1000000000*MOR!H8/SUM(KMA.FROT!$B48:$R48)</f>
        <v>1.5604948077571328</v>
      </c>
      <c r="N8" s="563">
        <f>1000000000*MOR!I8/SUM(KMA.FROT!$B86:$R86)</f>
        <v>1.7323714109538164</v>
      </c>
      <c r="O8" s="564">
        <f>1000000000*MOR!J8/SUM(KMA.FROT!$B124:$R124)</f>
        <v>1.9554203968288333</v>
      </c>
      <c r="P8" s="564" t="e">
        <f>1000000000*MOR!K8/SUM(KMA.FROT!$B162:$R162)</f>
        <v>#DIV/0!</v>
      </c>
      <c r="Q8" s="564">
        <f>1000000000*MOR!L8/SUM(KMA.FROT!$D10:$G10)</f>
        <v>58.990698907278535</v>
      </c>
      <c r="R8" s="564">
        <f>1000000000*MOR!M8/SUM(KMA.FROT!$D48:$G48)</f>
        <v>69.29972668944221</v>
      </c>
      <c r="S8" s="564">
        <f>1000000000*MOR!N8/SUM(KMA.FROT!$D86:$G86)</f>
        <v>64.69856543722166</v>
      </c>
      <c r="T8" s="564">
        <f>1000000000*MOR!O8/SUM(KMA.FROT!$D124:$G124)</f>
        <v>56.696878553731892</v>
      </c>
      <c r="U8" s="564" t="e">
        <f>1000000000*MOR!P8/SUM(KMA.FROT!$D162:$G162)</f>
        <v>#DIV/0!</v>
      </c>
      <c r="V8" s="563">
        <f>1000000000*MOR!Q8/SUM(KMA.FROT!$B10:$R10)</f>
        <v>6.4252644199803047E-2</v>
      </c>
      <c r="W8" s="563">
        <f>1000000000*MOR!R8/SUM(KMA.FROT!$B48:$R48)</f>
        <v>0.22292782967959038</v>
      </c>
      <c r="X8" s="563">
        <f>1000000000*MOR!S8/SUM(KMA.FROT!$B86:$R86)</f>
        <v>4.9496326027251895E-2</v>
      </c>
      <c r="Y8" s="564">
        <f>1000000000*MOR!T8/SUM(KMA.FROT!$B124:$R124)</f>
        <v>0.17003655624598549</v>
      </c>
      <c r="Z8" s="564" t="e">
        <f>1000000000*MOR!U8/SUM(KMA.FROT!$B162:$R162)</f>
        <v>#DIV/0!</v>
      </c>
      <c r="AA8" s="564">
        <f>1000000000*MOR!BL8/(SUM(KMA.FROT!$B10:$C10,KMA.FROT!$H10:$I10,KMA.FROT!$P10:$R10))</f>
        <v>19.588144868504092</v>
      </c>
      <c r="AB8" s="564">
        <f>1000000000*MOR!BM8/(SUM(KMA.FROT!$B48:$C48,KMA.FROT!$H48:$I48,KMA.FROT!$P48:$R48))</f>
        <v>21.048639779697062</v>
      </c>
      <c r="AC8" s="564">
        <f>1000000000*MOR!BN8/(SUM(KMA.FROT!$B86:$C86,KMA.FROT!$H86:$I86,KMA.FROT!$P86:$R86))</f>
        <v>17.772107066917602</v>
      </c>
      <c r="AD8" s="564">
        <f>1000000000*MOR!BO8/(SUM(KMA.FROT!$B124:$C124,KMA.FROT!$H124:$I124,KMA.FROT!$P124:$R124))</f>
        <v>21.275292508225235</v>
      </c>
      <c r="AE8" s="564" t="e">
        <f>1000000000*MOR!BP8/(SUM(KMA.FROT!$B162:$C162,KMA.FROT!$H162:$I162,KMA.FROT!$P162:$R162))</f>
        <v>#DIV/0!</v>
      </c>
      <c r="AF8" s="564">
        <f>1000000000*MOR!AF8/SUM(KMA.FROT!$J10:$L10)</f>
        <v>4.5588564177965409</v>
      </c>
      <c r="AG8" s="564">
        <f>1000000000*MOR!AG8/SUM(KMA.FROT!$J48:$L48)</f>
        <v>3.6008610172954238</v>
      </c>
      <c r="AH8" s="564">
        <f>1000000000*MOR!AH8/SUM(KMA.FROT!$J86:$L86)</f>
        <v>3.7612506321611883</v>
      </c>
      <c r="AI8" s="564">
        <f>1000000000*MOR!AI8/SUM(KMA.FROT!$J124:$L124)</f>
        <v>4.4545108421354342</v>
      </c>
      <c r="AJ8" s="564" t="e">
        <f>1000000000*MOR!AJ8/SUM(KMA.FROT!$J162:$L162)</f>
        <v>#DIV/0!</v>
      </c>
      <c r="AK8" s="564">
        <f>1000000000*MOR!AK8/SUM(KMA.FROT!$M10:$O10)</f>
        <v>3.6037360449508702</v>
      </c>
      <c r="AL8" s="564">
        <f>1000000000*MOR!AL8/SUM(KMA.FROT!$M48:$O48)</f>
        <v>3.1702119235884467</v>
      </c>
      <c r="AM8" s="564">
        <f>1000000000*MOR!AM8/SUM(KMA.FROT!$M86:$O86)</f>
        <v>1.672971924231025</v>
      </c>
      <c r="AN8" s="564">
        <f>1000000000*MOR!AN8/SUM(KMA.FROT!$M124:$O124)</f>
        <v>7.4790425140974817</v>
      </c>
      <c r="AO8" s="564" t="e">
        <f>1000000000*MOR!AO8/SUM(KMA.FROT!$M162:$O162)</f>
        <v>#DIV/0!</v>
      </c>
      <c r="AP8" s="563">
        <f>1000000000*MOR!AU8/SUM(KMA.FROT!$B10:$R10)</f>
        <v>9.894907206769668</v>
      </c>
      <c r="AQ8" s="563">
        <f>1000000000*MOR!AV8/SUM(KMA.FROT!$B48:$R48)</f>
        <v>9.6973605910621821</v>
      </c>
      <c r="AR8" s="563">
        <f>1000000000*MOR!AW8/SUM(KMA.FROT!$B86:$R86)</f>
        <v>7.0284782958697694</v>
      </c>
      <c r="AS8" s="564">
        <f>1000000000*MOR!AX8/SUM(KMA.FROT!$B124:$R124)</f>
        <v>7.9492090044998216</v>
      </c>
      <c r="AT8" s="564" t="e">
        <f>1000000000*MOR!AY8/SUM(KMA.FROT!$B162:$R162)</f>
        <v>#DIV/0!</v>
      </c>
    </row>
    <row r="9" spans="1:46" s="1" customFormat="1">
      <c r="A9" s="21" t="s">
        <v>17</v>
      </c>
      <c r="B9" s="563">
        <f>1000000000*MOR!AZ9/SUM(KMA.FROT!$B11:$R11)</f>
        <v>61.879304441709152</v>
      </c>
      <c r="C9" s="563">
        <f>1000000000*MOR!BA9/SUM(KMA.FROT!$B49:$R49)</f>
        <v>67.090830837959714</v>
      </c>
      <c r="D9" s="563">
        <f>1000000000*MOR!BB9/SUM(KMA.FROT!$B87:$R87)</f>
        <v>61.441338634516249</v>
      </c>
      <c r="E9" s="564">
        <f>1000000000*MOR!BC9/SUM(KMA.FROT!$B125:$R125)</f>
        <v>66.226425876853952</v>
      </c>
      <c r="F9" s="564" t="e">
        <f>1000000000*MOR!BD9/SUM(KMA.FROT!$B163:$R163)</f>
        <v>#DIV/0!</v>
      </c>
      <c r="G9" s="563">
        <f>1000000000*MOR!B9/SUM(KMA.FROT!B11:R11)</f>
        <v>6.2132908148437469</v>
      </c>
      <c r="H9" s="563">
        <f>1000000000*MOR!C9/SUM(KMA.FROT!$B49:$R49)</f>
        <v>6.4056572156845961</v>
      </c>
      <c r="I9" s="563">
        <f>1000000000*MOR!D9/SUM(KMA.FROT!$B87:$R87)</f>
        <v>5.1817996438748644</v>
      </c>
      <c r="J9" s="564">
        <f>1000000000*MOR!E9/SUM(KMA.FROT!$B125:$R125)</f>
        <v>5.0943404520656888</v>
      </c>
      <c r="K9" s="564" t="e">
        <f>1000000000*MOR!F9/SUM(KMA.FROT!$B163:$R163)</f>
        <v>#DIV/0!</v>
      </c>
      <c r="L9" s="563">
        <f>1000000000*MOR!G9/SUM(KMA.FROT!$B11:$R11)</f>
        <v>2.7896407740114784</v>
      </c>
      <c r="M9" s="563">
        <f>1000000000*MOR!H9/SUM(KMA.FROT!$B49:$R49)</f>
        <v>2.2475990230472269</v>
      </c>
      <c r="N9" s="563">
        <f>1000000000*MOR!I9/SUM(KMA.FROT!$B87:$R87)</f>
        <v>2.6437753285075836</v>
      </c>
      <c r="O9" s="564">
        <f>1000000000*MOR!J9/SUM(KMA.FROT!$B125:$R125)</f>
        <v>1.8978915409656489</v>
      </c>
      <c r="P9" s="564" t="e">
        <f>1000000000*MOR!K9/SUM(KMA.FROT!$B163:$R163)</f>
        <v>#DIV/0!</v>
      </c>
      <c r="Q9" s="564">
        <f>1000000000*MOR!L9/SUM(KMA.FROT!$D11:$G11)</f>
        <v>47.291431287801423</v>
      </c>
      <c r="R9" s="564">
        <f>1000000000*MOR!M9/SUM(KMA.FROT!$D49:$G49)</f>
        <v>39.824104461492404</v>
      </c>
      <c r="S9" s="564">
        <f>1000000000*MOR!N9/SUM(KMA.FROT!$D87:$G87)</f>
        <v>41.429312835685728</v>
      </c>
      <c r="T9" s="564">
        <f>1000000000*MOR!O9/SUM(KMA.FROT!$D125:$G125)</f>
        <v>42.255847399262329</v>
      </c>
      <c r="U9" s="564" t="e">
        <f>1000000000*MOR!P9/SUM(KMA.FROT!$D163:$G163)</f>
        <v>#DIV/0!</v>
      </c>
      <c r="V9" s="563">
        <f>1000000000*MOR!Q9/SUM(KMA.FROT!$B11:$R11)</f>
        <v>0.12680185336415811</v>
      </c>
      <c r="W9" s="563">
        <f>1000000000*MOR!R9/SUM(KMA.FROT!$B49:$R49)</f>
        <v>0</v>
      </c>
      <c r="X9" s="563">
        <f>1000000000*MOR!S9/SUM(KMA.FROT!$B87:$R87)</f>
        <v>0.42300405256121337</v>
      </c>
      <c r="Y9" s="564">
        <f>1000000000*MOR!T9/SUM(KMA.FROT!$B125:$R125)</f>
        <v>0</v>
      </c>
      <c r="Z9" s="564" t="e">
        <f>1000000000*MOR!U9/SUM(KMA.FROT!$B163:$R163)</f>
        <v>#DIV/0!</v>
      </c>
      <c r="AA9" s="564">
        <f>1000000000*MOR!BL9/(SUM(KMA.FROT!$B11:$C11,KMA.FROT!$H11:$I11,KMA.FROT!$P11:$R11))</f>
        <v>17.721319849053344</v>
      </c>
      <c r="AB9" s="564">
        <f>1000000000*MOR!BM9/(SUM(KMA.FROT!$B49:$C49,KMA.FROT!$H49:$I49,KMA.FROT!$P49:$R49))</f>
        <v>32.644714872171527</v>
      </c>
      <c r="AC9" s="564">
        <f>1000000000*MOR!BN9/(SUM(KMA.FROT!$B87:$C87,KMA.FROT!$H87:$I87,KMA.FROT!$P87:$R87))</f>
        <v>25.384610210214756</v>
      </c>
      <c r="AD9" s="564">
        <f>1000000000*MOR!BO9/(SUM(KMA.FROT!$B125:$C125,KMA.FROT!$H125:$I125,KMA.FROT!$P125:$R125))</f>
        <v>37.211986295320287</v>
      </c>
      <c r="AE9" s="564" t="e">
        <f>1000000000*MOR!BP9/(SUM(KMA.FROT!$B163:$C163,KMA.FROT!$H163:$I163,KMA.FROT!$P163:$R163))</f>
        <v>#DIV/0!</v>
      </c>
      <c r="AF9" s="564">
        <f>1000000000*MOR!AF9/SUM(KMA.FROT!$J11:$L11)</f>
        <v>4.0945801424900292</v>
      </c>
      <c r="AG9" s="564">
        <f>1000000000*MOR!AG9/SUM(KMA.FROT!$J49:$L49)</f>
        <v>5.1161374006732698</v>
      </c>
      <c r="AH9" s="564">
        <f>1000000000*MOR!AH9/SUM(KMA.FROT!$J87:$L87)</f>
        <v>4.7361325874612268</v>
      </c>
      <c r="AI9" s="564">
        <f>1000000000*MOR!AI9/SUM(KMA.FROT!$J125:$L125)</f>
        <v>7.1300199537917379</v>
      </c>
      <c r="AJ9" s="564" t="e">
        <f>1000000000*MOR!AJ9/SUM(KMA.FROT!$J163:$L163)</f>
        <v>#DIV/0!</v>
      </c>
      <c r="AK9" s="564">
        <f>1000000000*MOR!AK9/SUM(KMA.FROT!$M11:$O11)</f>
        <v>4.9101361140864244</v>
      </c>
      <c r="AL9" s="564">
        <f>1000000000*MOR!AL9/SUM(KMA.FROT!$M49:$O49)</f>
        <v>8.7198040421020213</v>
      </c>
      <c r="AM9" s="564">
        <f>1000000000*MOR!AM9/SUM(KMA.FROT!$M87:$O87)</f>
        <v>2.0681881652652865</v>
      </c>
      <c r="AN9" s="564">
        <f>1000000000*MOR!AN9/SUM(KMA.FROT!$M125:$O125)</f>
        <v>2.0495792412370135</v>
      </c>
      <c r="AO9" s="564" t="e">
        <f>1000000000*MOR!AO9/SUM(KMA.FROT!$M163:$O163)</f>
        <v>#DIV/0!</v>
      </c>
      <c r="AP9" s="563">
        <f>1000000000*MOR!AU9/SUM(KMA.FROT!$B11:$R11)</f>
        <v>27.389200326658148</v>
      </c>
      <c r="AQ9" s="563">
        <f>1000000000*MOR!AV9/SUM(KMA.FROT!$B49:$R49)</f>
        <v>31.241626420356454</v>
      </c>
      <c r="AR9" s="563">
        <f>1000000000*MOR!AW9/SUM(KMA.FROT!$B87:$R87)</f>
        <v>27.072259363917656</v>
      </c>
      <c r="AS9" s="564">
        <f>1000000000*MOR!AX9/SUM(KMA.FROT!$B125:$R125)</f>
        <v>28.068817000597228</v>
      </c>
      <c r="AT9" s="564" t="e">
        <f>1000000000*MOR!AY9/SUM(KMA.FROT!$B163:$R163)</f>
        <v>#DIV/0!</v>
      </c>
    </row>
    <row r="10" spans="1:46" s="1" customFormat="1">
      <c r="A10" s="21" t="s">
        <v>18</v>
      </c>
      <c r="B10" s="563">
        <f>1000000000*MOR!AZ10/SUM(KMA.FROT!$B12:$R12)</f>
        <v>76.581625090385202</v>
      </c>
      <c r="C10" s="563">
        <f>1000000000*MOR!BA10/SUM(KMA.FROT!$B50:$R50)</f>
        <v>70.133806089867534</v>
      </c>
      <c r="D10" s="563">
        <f>1000000000*MOR!BB10/SUM(KMA.FROT!$B88:$R88)</f>
        <v>68.261468448644123</v>
      </c>
      <c r="E10" s="564">
        <f>1000000000*MOR!BC10/SUM(KMA.FROT!$B126:$R126)</f>
        <v>69.357024764846102</v>
      </c>
      <c r="F10" s="564" t="e">
        <f>1000000000*MOR!BD10/SUM(KMA.FROT!$B164:$R164)</f>
        <v>#DIV/0!</v>
      </c>
      <c r="G10" s="563">
        <f>1000000000*MOR!B10/SUM(KMA.FROT!B12:R12)</f>
        <v>5.4701160778846569</v>
      </c>
      <c r="H10" s="563">
        <f>1000000000*MOR!C10/SUM(KMA.FROT!$B50:$R50)</f>
        <v>6.2878584770226063</v>
      </c>
      <c r="I10" s="563">
        <f>1000000000*MOR!D10/SUM(KMA.FROT!$B88:$R88)</f>
        <v>6.1129673237591753</v>
      </c>
      <c r="J10" s="564">
        <f>1000000000*MOR!E10/SUM(KMA.FROT!$B126:$R126)</f>
        <v>6.0921710942094549</v>
      </c>
      <c r="K10" s="564" t="e">
        <f>1000000000*MOR!F10/SUM(KMA.FROT!$B164:$R164)</f>
        <v>#DIV/0!</v>
      </c>
      <c r="L10" s="563">
        <f>1000000000*MOR!G10/SUM(KMA.FROT!$B12:$R12)</f>
        <v>4.8623254025641396</v>
      </c>
      <c r="M10" s="563">
        <f>1000000000*MOR!H10/SUM(KMA.FROT!$B50:$R50)</f>
        <v>7.2552213196414685</v>
      </c>
      <c r="N10" s="563">
        <f>1000000000*MOR!I10/SUM(KMA.FROT!$B88:$R88)</f>
        <v>8.6600370419921653</v>
      </c>
      <c r="O10" s="564">
        <f>1000000000*MOR!J10/SUM(KMA.FROT!$B126:$R126)</f>
        <v>8.9039423684599726</v>
      </c>
      <c r="P10" s="564" t="e">
        <f>1000000000*MOR!K10/SUM(KMA.FROT!$B164:$R164)</f>
        <v>#DIV/0!</v>
      </c>
      <c r="Q10" s="564">
        <f>1000000000*MOR!L10/SUM(KMA.FROT!$D12:$G12)</f>
        <v>43.412327283853429</v>
      </c>
      <c r="R10" s="564">
        <f>1000000000*MOR!M10/SUM(KMA.FROT!$D50:$G50)</f>
        <v>75.633867709450698</v>
      </c>
      <c r="S10" s="564">
        <f>1000000000*MOR!N10/SUM(KMA.FROT!$D88:$G88)</f>
        <v>65.477101820043941</v>
      </c>
      <c r="T10" s="564">
        <f>1000000000*MOR!O10/SUM(KMA.FROT!$D126:$G126)</f>
        <v>89.572107080769698</v>
      </c>
      <c r="U10" s="564" t="e">
        <f>1000000000*MOR!P10/SUM(KMA.FROT!$D164:$G164)</f>
        <v>#DIV/0!</v>
      </c>
      <c r="V10" s="563">
        <f>1000000000*MOR!Q10/SUM(KMA.FROT!$B12:$R12)</f>
        <v>0</v>
      </c>
      <c r="W10" s="563">
        <f>1000000000*MOR!R10/SUM(KMA.FROT!$B50:$R50)</f>
        <v>0.96736284261886252</v>
      </c>
      <c r="X10" s="563">
        <f>1000000000*MOR!S10/SUM(KMA.FROT!$B88:$R88)</f>
        <v>0</v>
      </c>
      <c r="Y10" s="564">
        <f>1000000000*MOR!T10/SUM(KMA.FROT!$B126:$R126)</f>
        <v>0</v>
      </c>
      <c r="Z10" s="564" t="e">
        <f>1000000000*MOR!U10/SUM(KMA.FROT!$B164:$R164)</f>
        <v>#DIV/0!</v>
      </c>
      <c r="AA10" s="564">
        <f>1000000000*MOR!BL10/(SUM(KMA.FROT!$B12:$C12,KMA.FROT!$H12:$I12,KMA.FROT!$P12:$R12))</f>
        <v>25.084519201211876</v>
      </c>
      <c r="AB10" s="564">
        <f>1000000000*MOR!BM10/(SUM(KMA.FROT!$B50:$C50,KMA.FROT!$H50:$I50,KMA.FROT!$P50:$R50))</f>
        <v>38.794611250832233</v>
      </c>
      <c r="AC10" s="564">
        <f>1000000000*MOR!BN10/(SUM(KMA.FROT!$B88:$C88,KMA.FROT!$H88:$I88,KMA.FROT!$P88:$R88))</f>
        <v>29.439809020060945</v>
      </c>
      <c r="AD10" s="564">
        <f>1000000000*MOR!BO10/(SUM(KMA.FROT!$B126:$C126,KMA.FROT!$H126:$I126,KMA.FROT!$P126:$R126))</f>
        <v>21.266364601703273</v>
      </c>
      <c r="AE10" s="564" t="e">
        <f>1000000000*MOR!BP10/(SUM(KMA.FROT!$B164:$C164,KMA.FROT!$H164:$I164,KMA.FROT!$P164:$R164))</f>
        <v>#DIV/0!</v>
      </c>
      <c r="AF10" s="564">
        <f>1000000000*MOR!AF10/SUM(KMA.FROT!$J12:$L12)</f>
        <v>17.664479804987149</v>
      </c>
      <c r="AG10" s="564">
        <f>1000000000*MOR!AG10/SUM(KMA.FROT!$J50:$L50)</f>
        <v>0</v>
      </c>
      <c r="AH10" s="564">
        <f>1000000000*MOR!AH10/SUM(KMA.FROT!$J88:$L88)</f>
        <v>0</v>
      </c>
      <c r="AI10" s="564">
        <f>1000000000*MOR!AI10/SUM(KMA.FROT!$J126:$L126)</f>
        <v>0</v>
      </c>
      <c r="AJ10" s="564" t="e">
        <f>1000000000*MOR!AJ10/SUM(KMA.FROT!$J164:$L164)</f>
        <v>#DIV/0!</v>
      </c>
      <c r="AK10" s="564">
        <f>1000000000*MOR!AK10/SUM(KMA.FROT!$M12:$O12)</f>
        <v>0</v>
      </c>
      <c r="AL10" s="564">
        <f>1000000000*MOR!AL10/SUM(KMA.FROT!$M50:$O50)</f>
        <v>0</v>
      </c>
      <c r="AM10" s="564">
        <f>1000000000*MOR!AM10/SUM(KMA.FROT!$M88:$O88)</f>
        <v>10.99346226727034</v>
      </c>
      <c r="AN10" s="564">
        <f>1000000000*MOR!AN10/SUM(KMA.FROT!$M126:$O126)</f>
        <v>0</v>
      </c>
      <c r="AO10" s="564" t="e">
        <f>1000000000*MOR!AO10/SUM(KMA.FROT!$M164:$O164)</f>
        <v>#DIV/0!</v>
      </c>
      <c r="AP10" s="563">
        <f>1000000000*MOR!AU10/SUM(KMA.FROT!$B12:$R12)</f>
        <v>35.859649843910532</v>
      </c>
      <c r="AQ10" s="563">
        <f>1000000000*MOR!AV10/SUM(KMA.FROT!$B50:$R50)</f>
        <v>11.124672690116919</v>
      </c>
      <c r="AR10" s="563">
        <f>1000000000*MOR!AW10/SUM(KMA.FROT!$B88:$R88)</f>
        <v>14.773004365751341</v>
      </c>
      <c r="AS10" s="564">
        <f>1000000000*MOR!AX10/SUM(KMA.FROT!$B126:$R126)</f>
        <v>7.9666852770431333</v>
      </c>
      <c r="AT10" s="564" t="e">
        <f>1000000000*MOR!AY10/SUM(KMA.FROT!$B164:$R164)</f>
        <v>#DIV/0!</v>
      </c>
    </row>
    <row r="11" spans="1:46" s="1" customFormat="1">
      <c r="A11" s="21" t="s">
        <v>19</v>
      </c>
      <c r="B11" s="563">
        <f>1000000000*MOR!AZ11/SUM(KMA.FROT!$B13:$R13)</f>
        <v>74.916719274056945</v>
      </c>
      <c r="C11" s="563">
        <f>1000000000*MOR!BA11/SUM(KMA.FROT!$B51:$R51)</f>
        <v>75.006725529793059</v>
      </c>
      <c r="D11" s="563">
        <f>1000000000*MOR!BB11/SUM(KMA.FROT!$B89:$R89)</f>
        <v>71.257133699634267</v>
      </c>
      <c r="E11" s="564">
        <f>1000000000*MOR!BC11/SUM(KMA.FROT!$B127:$R127)</f>
        <v>64.881143222824164</v>
      </c>
      <c r="F11" s="564" t="e">
        <f>1000000000*MOR!BD11/SUM(KMA.FROT!$B165:$R165)</f>
        <v>#DIV/0!</v>
      </c>
      <c r="G11" s="563">
        <f>1000000000*MOR!B11/SUM(KMA.FROT!B13:R13)</f>
        <v>8.6570431161132468</v>
      </c>
      <c r="H11" s="563">
        <f>1000000000*MOR!C11/SUM(KMA.FROT!$B51:$R51)</f>
        <v>8.7483943734557883</v>
      </c>
      <c r="I11" s="563">
        <f>1000000000*MOR!D11/SUM(KMA.FROT!$B89:$R89)</f>
        <v>6.342964552808354</v>
      </c>
      <c r="J11" s="564">
        <f>1000000000*MOR!E11/SUM(KMA.FROT!$B127:$R127)</f>
        <v>6.6789412141142526</v>
      </c>
      <c r="K11" s="564" t="e">
        <f>1000000000*MOR!F11/SUM(KMA.FROT!$B165:$R165)</f>
        <v>#DIV/0!</v>
      </c>
      <c r="L11" s="563">
        <f>1000000000*MOR!G11/SUM(KMA.FROT!$B13:$R13)</f>
        <v>2.8301871725754846</v>
      </c>
      <c r="M11" s="563">
        <f>1000000000*MOR!H11/SUM(KMA.FROT!$B51:$R51)</f>
        <v>1.7209956144503189</v>
      </c>
      <c r="N11" s="563">
        <f>1000000000*MOR!I11/SUM(KMA.FROT!$B89:$R89)</f>
        <v>1.4845236187423807</v>
      </c>
      <c r="O11" s="564">
        <f>1000000000*MOR!J11/SUM(KMA.FROT!$B127:$R127)</f>
        <v>2.2660693405030501</v>
      </c>
      <c r="P11" s="564" t="e">
        <f>1000000000*MOR!K11/SUM(KMA.FROT!$B165:$R165)</f>
        <v>#DIV/0!</v>
      </c>
      <c r="Q11" s="564">
        <f>1000000000*MOR!L11/SUM(KMA.FROT!$D13:$G13)</f>
        <v>70.045597444590214</v>
      </c>
      <c r="R11" s="564">
        <f>1000000000*MOR!M11/SUM(KMA.FROT!$D51:$G51)</f>
        <v>63.004204438196268</v>
      </c>
      <c r="S11" s="564">
        <f>1000000000*MOR!N11/SUM(KMA.FROT!$D89:$G89)</f>
        <v>67.340003749002008</v>
      </c>
      <c r="T11" s="564">
        <f>1000000000*MOR!O11/SUM(KMA.FROT!$D127:$G127)</f>
        <v>59.01175286796181</v>
      </c>
      <c r="U11" s="564" t="e">
        <f>1000000000*MOR!P11/SUM(KMA.FROT!$D165:$G165)</f>
        <v>#DIV/0!</v>
      </c>
      <c r="V11" s="563">
        <f>1000000000*MOR!Q11/SUM(KMA.FROT!$B13:$R13)</f>
        <v>0</v>
      </c>
      <c r="W11" s="563">
        <f>1000000000*MOR!R11/SUM(KMA.FROT!$B51:$R51)</f>
        <v>0.14341630120419324</v>
      </c>
      <c r="X11" s="563">
        <f>1000000000*MOR!S11/SUM(KMA.FROT!$B89:$R89)</f>
        <v>0</v>
      </c>
      <c r="Y11" s="564">
        <f>1000000000*MOR!T11/SUM(KMA.FROT!$B127:$R127)</f>
        <v>0</v>
      </c>
      <c r="Z11" s="564" t="e">
        <f>1000000000*MOR!U11/SUM(KMA.FROT!$B165:$R165)</f>
        <v>#DIV/0!</v>
      </c>
      <c r="AA11" s="564">
        <f>1000000000*MOR!BL11/(SUM(KMA.FROT!$B13:$C13,KMA.FROT!$H13:$I13,KMA.FROT!$P13:$R13))</f>
        <v>71.836339434437804</v>
      </c>
      <c r="AB11" s="564">
        <f>1000000000*MOR!BM11/(SUM(KMA.FROT!$B51:$C51,KMA.FROT!$H51:$I51,KMA.FROT!$P51:$R51))</f>
        <v>64.882401432341084</v>
      </c>
      <c r="AC11" s="564">
        <f>1000000000*MOR!BN11/(SUM(KMA.FROT!$B89:$C89,KMA.FROT!$H89:$I89,KMA.FROT!$P89:$R89))</f>
        <v>67.73745650971415</v>
      </c>
      <c r="AD11" s="564">
        <f>1000000000*MOR!BO11/(SUM(KMA.FROT!$B127:$C127,KMA.FROT!$H127:$I127,KMA.FROT!$P127:$R127))</f>
        <v>59.845586633858758</v>
      </c>
      <c r="AE11" s="564" t="e">
        <f>1000000000*MOR!BP11/(SUM(KMA.FROT!$B165:$C165,KMA.FROT!$H165:$I165,KMA.FROT!$P165:$R165))</f>
        <v>#DIV/0!</v>
      </c>
      <c r="AF11" s="564">
        <f>1000000000*MOR!AF11/SUM(KMA.FROT!$J13:$L13)</f>
        <v>6.0453745778104091</v>
      </c>
      <c r="AG11" s="564">
        <f>1000000000*MOR!AG11/SUM(KMA.FROT!$J51:$L51)</f>
        <v>10.31116985586578</v>
      </c>
      <c r="AH11" s="564">
        <f>1000000000*MOR!AH11/SUM(KMA.FROT!$J89:$L89)</f>
        <v>4.7643480610699909</v>
      </c>
      <c r="AI11" s="564">
        <f>1000000000*MOR!AI11/SUM(KMA.FROT!$J127:$L127)</f>
        <v>2.910841217247107</v>
      </c>
      <c r="AJ11" s="564" t="e">
        <f>1000000000*MOR!AJ11/SUM(KMA.FROT!$J165:$L165)</f>
        <v>#DIV/0!</v>
      </c>
      <c r="AK11" s="564">
        <f>1000000000*MOR!AK11/SUM(KMA.FROT!$M13:$O13)</f>
        <v>0</v>
      </c>
      <c r="AL11" s="564">
        <f>1000000000*MOR!AL11/SUM(KMA.FROT!$M51:$O51)</f>
        <v>4.9305559560825527</v>
      </c>
      <c r="AM11" s="564">
        <f>1000000000*MOR!AM11/SUM(KMA.FROT!$M89:$O89)</f>
        <v>11.32084930692672</v>
      </c>
      <c r="AN11" s="564">
        <f>1000000000*MOR!AN11/SUM(KMA.FROT!$M127:$O127)</f>
        <v>10.010135480762651</v>
      </c>
      <c r="AO11" s="564" t="e">
        <f>1000000000*MOR!AO11/SUM(KMA.FROT!$M165:$O165)</f>
        <v>#DIV/0!</v>
      </c>
      <c r="AP11" s="563">
        <f>1000000000*MOR!AU11/SUM(KMA.FROT!$B13:$R13)</f>
        <v>12.819083075783078</v>
      </c>
      <c r="AQ11" s="563">
        <f>1000000000*MOR!AV11/SUM(KMA.FROT!$B51:$R51)</f>
        <v>16.923123542094803</v>
      </c>
      <c r="AR11" s="563">
        <f>1000000000*MOR!AW11/SUM(KMA.FROT!$B89:$R89)</f>
        <v>13.900539339133202</v>
      </c>
      <c r="AS11" s="564">
        <f>1000000000*MOR!AX11/SUM(KMA.FROT!$B127:$R127)</f>
        <v>12.761548391254019</v>
      </c>
      <c r="AT11" s="564" t="e">
        <f>1000000000*MOR!AY11/SUM(KMA.FROT!$B165:$R165)</f>
        <v>#DIV/0!</v>
      </c>
    </row>
    <row r="12" spans="1:46">
      <c r="A12" s="351" t="s">
        <v>20</v>
      </c>
      <c r="B12" s="348">
        <f>1000000000*MOR!AZ12/SUM(KMA.FROT!$B14:$R14)</f>
        <v>84.856310418092022</v>
      </c>
      <c r="C12" s="348">
        <f>1000000000*MOR!BA12/SUM(KMA.FROT!$B52:$R52)</f>
        <v>89.421360404225979</v>
      </c>
      <c r="D12" s="348">
        <f>1000000000*MOR!BB12/SUM(KMA.FROT!$B90:$R90)</f>
        <v>82.039488634625656</v>
      </c>
      <c r="E12" s="349">
        <f>1000000000*MOR!BC12/SUM(KMA.FROT!$B128:$R128)</f>
        <v>79.375868300543758</v>
      </c>
      <c r="F12" s="349" t="e">
        <f>1000000000*MOR!BD12/SUM(KMA.FROT!$B166:$R166)</f>
        <v>#DIV/0!</v>
      </c>
      <c r="G12" s="348">
        <f>1000000000*MOR!B12/SUM(KMA.FROT!B14:R14)</f>
        <v>18.051703083924028</v>
      </c>
      <c r="H12" s="348">
        <f>1000000000*MOR!C12/SUM(KMA.FROT!$B52:$R52)</f>
        <v>18.580666963775574</v>
      </c>
      <c r="I12" s="348">
        <f>1000000000*MOR!D12/SUM(KMA.FROT!$B90:$R90)</f>
        <v>14.374381756760032</v>
      </c>
      <c r="J12" s="349">
        <f>1000000000*MOR!E12/SUM(KMA.FROT!$B128:$R128)</f>
        <v>12.550423015428088</v>
      </c>
      <c r="K12" s="349" t="e">
        <f>1000000000*MOR!F12/SUM(KMA.FROT!$B166:$R166)</f>
        <v>#DIV/0!</v>
      </c>
      <c r="L12" s="348">
        <f>1000000000*MOR!G12/SUM(KMA.FROT!$B14:$R14)</f>
        <v>2.6168316509865299</v>
      </c>
      <c r="M12" s="348">
        <f>1000000000*MOR!H12/SUM(KMA.FROT!$B52:$R52)</f>
        <v>2.60767952887685</v>
      </c>
      <c r="N12" s="348">
        <f>1000000000*MOR!I12/SUM(KMA.FROT!$B90:$R90)</f>
        <v>1.9252627615107574</v>
      </c>
      <c r="O12" s="349">
        <f>1000000000*MOR!J12/SUM(KMA.FROT!$B128:$R128)</f>
        <v>1.748287744130959</v>
      </c>
      <c r="P12" s="349" t="e">
        <f>1000000000*MOR!K12/SUM(KMA.FROT!$B166:$R166)</f>
        <v>#DIV/0!</v>
      </c>
      <c r="Q12" s="349">
        <f>1000000000*MOR!L12/SUM(KMA.FROT!$D14:$G14)</f>
        <v>71.453386819014099</v>
      </c>
      <c r="R12" s="349">
        <f>1000000000*MOR!M12/SUM(KMA.FROT!$D52:$G52)</f>
        <v>72.182882070353841</v>
      </c>
      <c r="S12" s="349">
        <f>1000000000*MOR!N12/SUM(KMA.FROT!$D90:$G90)</f>
        <v>66.79803925756363</v>
      </c>
      <c r="T12" s="349">
        <f>1000000000*MOR!O12/SUM(KMA.FROT!$D128:$G128)</f>
        <v>67.243453450712451</v>
      </c>
      <c r="U12" s="349" t="e">
        <f>1000000000*MOR!P12/SUM(KMA.FROT!$D166:$G166)</f>
        <v>#DIV/0!</v>
      </c>
      <c r="V12" s="348">
        <f>1000000000*MOR!Q12/SUM(KMA.FROT!$B14:$R14)</f>
        <v>7.98355418945043E-2</v>
      </c>
      <c r="W12" s="348">
        <f>1000000000*MOR!R12/SUM(KMA.FROT!$B52:$R52)</f>
        <v>0.13684615603435366</v>
      </c>
      <c r="X12" s="348">
        <f>1000000000*MOR!S12/SUM(KMA.FROT!$B90:$R90)</f>
        <v>6.1663220119561622E-2</v>
      </c>
      <c r="Y12" s="349">
        <f>1000000000*MOR!T12/SUM(KMA.FROT!$B128:$R128)</f>
        <v>8.4110063291523804E-2</v>
      </c>
      <c r="Z12" s="349" t="e">
        <f>1000000000*MOR!U12/SUM(KMA.FROT!$B166:$R166)</f>
        <v>#DIV/0!</v>
      </c>
      <c r="AA12" s="349">
        <f>1000000000*MOR!BL12/(SUM(KMA.FROT!$B14:$C14,KMA.FROT!$H14:$I14,KMA.FROT!$P14:$R14))</f>
        <v>37.280984568068902</v>
      </c>
      <c r="AB12" s="349">
        <f>1000000000*MOR!BM12/(SUM(KMA.FROT!$B52:$C52,KMA.FROT!$H52:$I52,KMA.FROT!$P52:$R52))</f>
        <v>35.74778984290959</v>
      </c>
      <c r="AC12" s="349">
        <f>1000000000*MOR!BN12/(SUM(KMA.FROT!$B90:$C90,KMA.FROT!$H90:$I90,KMA.FROT!$P90:$R90))</f>
        <v>37.877780867370419</v>
      </c>
      <c r="AD12" s="349">
        <f>1000000000*MOR!BO12/(SUM(KMA.FROT!$B128:$C128,KMA.FROT!$H128:$I128,KMA.FROT!$P128:$R128))</f>
        <v>37.138063087790982</v>
      </c>
      <c r="AE12" s="349" t="e">
        <f>1000000000*MOR!BP12/(SUM(KMA.FROT!$B166:$C166,KMA.FROT!$H166:$I166,KMA.FROT!$P166:$R166))</f>
        <v>#DIV/0!</v>
      </c>
      <c r="AF12" s="349">
        <f>1000000000*MOR!AF12/SUM(KMA.FROT!$J14:$L14)</f>
        <v>11.867687081511786</v>
      </c>
      <c r="AG12" s="349">
        <f>1000000000*MOR!AG12/SUM(KMA.FROT!$J52:$L52)</f>
        <v>14.7143267486888</v>
      </c>
      <c r="AH12" s="349">
        <f>1000000000*MOR!AH12/SUM(KMA.FROT!$J90:$L90)</f>
        <v>10.134508596254102</v>
      </c>
      <c r="AI12" s="349">
        <f>1000000000*MOR!AI12/SUM(KMA.FROT!$J128:$L128)</f>
        <v>10.821372358511869</v>
      </c>
      <c r="AJ12" s="349" t="e">
        <f>1000000000*MOR!AJ12/SUM(KMA.FROT!$J166:$L166)</f>
        <v>#DIV/0!</v>
      </c>
      <c r="AK12" s="349">
        <f>1000000000*MOR!AK12/SUM(KMA.FROT!$M14:$O14)</f>
        <v>5.0744491661239364</v>
      </c>
      <c r="AL12" s="349">
        <f>1000000000*MOR!AL12/SUM(KMA.FROT!$M52:$O52)</f>
        <v>3.2414854486462237</v>
      </c>
      <c r="AM12" s="349">
        <f>1000000000*MOR!AM12/SUM(KMA.FROT!$M90:$O90)</f>
        <v>3.685207022002265</v>
      </c>
      <c r="AN12" s="349">
        <f>1000000000*MOR!AN12/SUM(KMA.FROT!$M128:$O128)</f>
        <v>3.2605613702621841</v>
      </c>
      <c r="AO12" s="349" t="e">
        <f>1000000000*MOR!AO12/SUM(KMA.FROT!$M166:$O166)</f>
        <v>#DIV/0!</v>
      </c>
      <c r="AP12" s="348">
        <f>1000000000*MOR!AU12/SUM(KMA.FROT!$B14:$R14)</f>
        <v>18.637163724483727</v>
      </c>
      <c r="AQ12" s="348">
        <f>1000000000*MOR!AV12/SUM(KMA.FROT!$B52:$R52)</f>
        <v>21.804154194807015</v>
      </c>
      <c r="AR12" s="348">
        <f>1000000000*MOR!AW12/SUM(KMA.FROT!$B90:$R90)</f>
        <v>20.102209758977089</v>
      </c>
      <c r="AS12" s="349">
        <f>1000000000*MOR!AX12/SUM(KMA.FROT!$B128:$R128)</f>
        <v>19.008874303884379</v>
      </c>
      <c r="AT12" s="349" t="e">
        <f>1000000000*MOR!AY12/SUM(KMA.FROT!$B166:$R166)</f>
        <v>#DIV/0!</v>
      </c>
    </row>
    <row r="13" spans="1:46" s="1" customFormat="1">
      <c r="A13" s="21" t="s">
        <v>21</v>
      </c>
      <c r="B13" s="563">
        <f>1000000000*MOR!AZ13/SUM(KMA.FROT!$B15:$R15)</f>
        <v>126.21656178900706</v>
      </c>
      <c r="C13" s="563">
        <f>1000000000*MOR!BA13/SUM(KMA.FROT!$B53:$R53)</f>
        <v>127.11658016066335</v>
      </c>
      <c r="D13" s="563">
        <f>1000000000*MOR!BB13/SUM(KMA.FROT!$B91:$R91)</f>
        <v>120.9491222124268</v>
      </c>
      <c r="E13" s="564">
        <f>1000000000*MOR!BC13/SUM(KMA.FROT!$B129:$R129)</f>
        <v>105.82312268814296</v>
      </c>
      <c r="F13" s="564" t="e">
        <f>1000000000*MOR!BD13/SUM(KMA.FROT!$B167:$R167)</f>
        <v>#DIV/0!</v>
      </c>
      <c r="G13" s="563">
        <f>1000000000*MOR!B13/SUM(KMA.FROT!B15:R15)</f>
        <v>31.60202229922028</v>
      </c>
      <c r="H13" s="563">
        <f>1000000000*MOR!C13/SUM(KMA.FROT!$B53:$R53)</f>
        <v>23.215416300095605</v>
      </c>
      <c r="I13" s="563">
        <f>1000000000*MOR!D13/SUM(KMA.FROT!$B91:$R91)</f>
        <v>17.15690948148141</v>
      </c>
      <c r="J13" s="564">
        <f>1000000000*MOR!E13/SUM(KMA.FROT!$B129:$R129)</f>
        <v>14.361709507676546</v>
      </c>
      <c r="K13" s="564" t="e">
        <f>1000000000*MOR!F13/SUM(KMA.FROT!$B167:$R167)</f>
        <v>#DIV/0!</v>
      </c>
      <c r="L13" s="563">
        <f>1000000000*MOR!G13/SUM(KMA.FROT!$B15:$R15)</f>
        <v>2.48985630236281</v>
      </c>
      <c r="M13" s="563">
        <f>1000000000*MOR!H13/SUM(KMA.FROT!$B53:$R53)</f>
        <v>1.6234556853213711</v>
      </c>
      <c r="N13" s="563">
        <f>1000000000*MOR!I13/SUM(KMA.FROT!$B91:$R91)</f>
        <v>1.5597190437710373</v>
      </c>
      <c r="O13" s="564">
        <f>1000000000*MOR!J13/SUM(KMA.FROT!$B129:$R129)</f>
        <v>0.75587944777244975</v>
      </c>
      <c r="P13" s="564" t="e">
        <f>1000000000*MOR!K13/SUM(KMA.FROT!$B167:$R167)</f>
        <v>#DIV/0!</v>
      </c>
      <c r="Q13" s="564">
        <f>1000000000*MOR!L13/SUM(KMA.FROT!$D15:$G15)</f>
        <v>71.230408398969772</v>
      </c>
      <c r="R13" s="564">
        <f>1000000000*MOR!M13/SUM(KMA.FROT!$D53:$G53)</f>
        <v>58.402927313633008</v>
      </c>
      <c r="S13" s="564">
        <f>1000000000*MOR!N13/SUM(KMA.FROT!$D91:$G91)</f>
        <v>46.463779640062477</v>
      </c>
      <c r="T13" s="564">
        <f>1000000000*MOR!O13/SUM(KMA.FROT!$D129:$G129)</f>
        <v>41.176389259762423</v>
      </c>
      <c r="U13" s="564" t="e">
        <f>1000000000*MOR!P13/SUM(KMA.FROT!$D167:$G167)</f>
        <v>#DIV/0!</v>
      </c>
      <c r="V13" s="563">
        <f>1000000000*MOR!Q13/SUM(KMA.FROT!$B15:$R15)</f>
        <v>0.19152740787406231</v>
      </c>
      <c r="W13" s="563">
        <f>1000000000*MOR!R13/SUM(KMA.FROT!$B53:$R53)</f>
        <v>0.81172784266068554</v>
      </c>
      <c r="X13" s="563">
        <f>1000000000*MOR!S13/SUM(KMA.FROT!$B91:$R91)</f>
        <v>0</v>
      </c>
      <c r="Y13" s="564">
        <f>1000000000*MOR!T13/SUM(KMA.FROT!$B129:$R129)</f>
        <v>0</v>
      </c>
      <c r="Z13" s="564" t="e">
        <f>1000000000*MOR!U13/SUM(KMA.FROT!$B167:$R167)</f>
        <v>#DIV/0!</v>
      </c>
      <c r="AA13" s="564">
        <f>1000000000*MOR!BL13/(SUM(KMA.FROT!$B15:$C15,KMA.FROT!$H15:$I15,KMA.FROT!$P15:$R15))</f>
        <v>14.561365232804876</v>
      </c>
      <c r="AB13" s="564">
        <f>1000000000*MOR!BM13/(SUM(KMA.FROT!$B53:$C53,KMA.FROT!$H53:$I53,KMA.FROT!$P53:$R53))</f>
        <v>4.4685644860713696</v>
      </c>
      <c r="AC13" s="564">
        <f>1000000000*MOR!BN13/(SUM(KMA.FROT!$B91:$C91,KMA.FROT!$H91:$I91,KMA.FROT!$P91:$R91))</f>
        <v>8.6306685394904878</v>
      </c>
      <c r="AD13" s="564">
        <f>1000000000*MOR!BO13/(SUM(KMA.FROT!$B129:$C129,KMA.FROT!$H129:$I129,KMA.FROT!$P129:$R129))</f>
        <v>4.9600190615702671</v>
      </c>
      <c r="AE13" s="564" t="e">
        <f>1000000000*MOR!BP13/(SUM(KMA.FROT!$B167:$C167,KMA.FROT!$H167:$I167,KMA.FROT!$P167:$R167))</f>
        <v>#DIV/0!</v>
      </c>
      <c r="AF13" s="564">
        <f>1000000000*MOR!AF13/SUM(KMA.FROT!$J15:$L15)</f>
        <v>10.216597748635476</v>
      </c>
      <c r="AG13" s="564">
        <f>1000000000*MOR!AG13/SUM(KMA.FROT!$J53:$L53)</f>
        <v>4.6343272073196848</v>
      </c>
      <c r="AH13" s="564">
        <f>1000000000*MOR!AH13/SUM(KMA.FROT!$J91:$L91)</f>
        <v>2.0664741861280569</v>
      </c>
      <c r="AI13" s="564">
        <f>1000000000*MOR!AI13/SUM(KMA.FROT!$J129:$L129)</f>
        <v>4.2102192055054353</v>
      </c>
      <c r="AJ13" s="564" t="e">
        <f>1000000000*MOR!AJ13/SUM(KMA.FROT!$J167:$L167)</f>
        <v>#DIV/0!</v>
      </c>
      <c r="AK13" s="564">
        <f>1000000000*MOR!AK13/SUM(KMA.FROT!$M15:$O15)</f>
        <v>0</v>
      </c>
      <c r="AL13" s="564">
        <f>1000000000*MOR!AL13/SUM(KMA.FROT!$M53:$O53)</f>
        <v>0</v>
      </c>
      <c r="AM13" s="564">
        <f>1000000000*MOR!AM13/SUM(KMA.FROT!$M91:$O91)</f>
        <v>1.7404339648893745</v>
      </c>
      <c r="AN13" s="564">
        <f>1000000000*MOR!AN13/SUM(KMA.FROT!$M129:$O129)</f>
        <v>0</v>
      </c>
      <c r="AO13" s="564" t="e">
        <f>1000000000*MOR!AO13/SUM(KMA.FROT!$M167:$O167)</f>
        <v>#DIV/0!</v>
      </c>
      <c r="AP13" s="563">
        <f>1000000000*MOR!AU13/SUM(KMA.FROT!$B15:$R15)</f>
        <v>60.905715703951813</v>
      </c>
      <c r="AQ13" s="563">
        <f>1000000000*MOR!AV13/SUM(KMA.FROT!$B53:$R53)</f>
        <v>77.925872895425812</v>
      </c>
      <c r="AR13" s="563">
        <f>1000000000*MOR!AW13/SUM(KMA.FROT!$B91:$R91)</f>
        <v>80.538219714722658</v>
      </c>
      <c r="AS13" s="564">
        <f>1000000000*MOR!AX13/SUM(KMA.FROT!$B129:$R129)</f>
        <v>71.808547538382726</v>
      </c>
      <c r="AT13" s="564" t="e">
        <f>1000000000*MOR!AY13/SUM(KMA.FROT!$B167:$R167)</f>
        <v>#DIV/0!</v>
      </c>
    </row>
    <row r="14" spans="1:46" s="1" customFormat="1">
      <c r="A14" s="21" t="s">
        <v>22</v>
      </c>
      <c r="B14" s="563">
        <f>1000000000*MOR!AZ14/SUM(KMA.FROT!$B16:$R16)</f>
        <v>59.389401424063209</v>
      </c>
      <c r="C14" s="563">
        <f>1000000000*MOR!BA14/SUM(KMA.FROT!$B54:$R54)</f>
        <v>74.121763185967197</v>
      </c>
      <c r="D14" s="563">
        <f>1000000000*MOR!BB14/SUM(KMA.FROT!$B92:$R92)</f>
        <v>67.85183092614858</v>
      </c>
      <c r="E14" s="564">
        <f>1000000000*MOR!BC14/SUM(KMA.FROT!$B130:$R130)</f>
        <v>65.777244631779013</v>
      </c>
      <c r="F14" s="564" t="e">
        <f>1000000000*MOR!BD14/SUM(KMA.FROT!$B168:$R168)</f>
        <v>#DIV/0!</v>
      </c>
      <c r="G14" s="563">
        <f>1000000000*MOR!B14/SUM(KMA.FROT!B16:R16)</f>
        <v>10.606408665029312</v>
      </c>
      <c r="H14" s="563">
        <f>1000000000*MOR!C14/SUM(KMA.FROT!$B54:$R54)</f>
        <v>15.388601353487998</v>
      </c>
      <c r="I14" s="563">
        <f>1000000000*MOR!D14/SUM(KMA.FROT!$B92:$R92)</f>
        <v>12.171893334080089</v>
      </c>
      <c r="J14" s="564">
        <f>1000000000*MOR!E14/SUM(KMA.FROT!$B130:$R130)</f>
        <v>11.2568679062854</v>
      </c>
      <c r="K14" s="564" t="e">
        <f>1000000000*MOR!F14/SUM(KMA.FROT!$B168:$R168)</f>
        <v>#DIV/0!</v>
      </c>
      <c r="L14" s="563">
        <f>1000000000*MOR!G14/SUM(KMA.FROT!$B16:$R16)</f>
        <v>0.77845201211224313</v>
      </c>
      <c r="M14" s="563">
        <f>1000000000*MOR!H14/SUM(KMA.FROT!$B54:$R54)</f>
        <v>0.9689119370714665</v>
      </c>
      <c r="N14" s="563">
        <f>1000000000*MOR!I14/SUM(KMA.FROT!$B92:$R92)</f>
        <v>0.80282700714145261</v>
      </c>
      <c r="O14" s="564">
        <f>1000000000*MOR!J14/SUM(KMA.FROT!$B130:$R130)</f>
        <v>0.9748215506473954</v>
      </c>
      <c r="P14" s="564" t="e">
        <f>1000000000*MOR!K14/SUM(KMA.FROT!$B168:$R168)</f>
        <v>#DIV/0!</v>
      </c>
      <c r="Q14" s="564">
        <f>1000000000*MOR!L14/SUM(KMA.FROT!$D16:$G16)</f>
        <v>36.902184544541193</v>
      </c>
      <c r="R14" s="564">
        <f>1000000000*MOR!M14/SUM(KMA.FROT!$D54:$G54)</f>
        <v>46.215152803562241</v>
      </c>
      <c r="S14" s="564">
        <f>1000000000*MOR!N14/SUM(KMA.FROT!$D92:$G92)</f>
        <v>36.705448582682635</v>
      </c>
      <c r="T14" s="564">
        <f>1000000000*MOR!O14/SUM(KMA.FROT!$D130:$G130)</f>
        <v>40.149169311371857</v>
      </c>
      <c r="U14" s="564" t="e">
        <f>1000000000*MOR!P14/SUM(KMA.FROT!$D168:$G168)</f>
        <v>#DIV/0!</v>
      </c>
      <c r="V14" s="563">
        <f>1000000000*MOR!Q14/SUM(KMA.FROT!$B16:$R16)</f>
        <v>6.4871001009353585E-2</v>
      </c>
      <c r="W14" s="563">
        <f>1000000000*MOR!R14/SUM(KMA.FROT!$B54:$R54)</f>
        <v>0.19948186939706664</v>
      </c>
      <c r="X14" s="563">
        <f>1000000000*MOR!S14/SUM(KMA.FROT!$B92:$R92)</f>
        <v>0</v>
      </c>
      <c r="Y14" s="564">
        <f>1000000000*MOR!T14/SUM(KMA.FROT!$B130:$R130)</f>
        <v>2.3210036920176081E-2</v>
      </c>
      <c r="Z14" s="564" t="e">
        <f>1000000000*MOR!U14/SUM(KMA.FROT!$B168:$R168)</f>
        <v>#DIV/0!</v>
      </c>
      <c r="AA14" s="564">
        <f>1000000000*MOR!BL14/(SUM(KMA.FROT!$B16:$C16,KMA.FROT!$H16:$I16,KMA.FROT!$P16:$R16))</f>
        <v>51.978146397417049</v>
      </c>
      <c r="AB14" s="564">
        <f>1000000000*MOR!BM14/(SUM(KMA.FROT!$B54:$C54,KMA.FROT!$H54:$I54,KMA.FROT!$P54:$R54))</f>
        <v>52.276989468736843</v>
      </c>
      <c r="AC14" s="564">
        <f>1000000000*MOR!BN14/(SUM(KMA.FROT!$B92:$C92,KMA.FROT!$H92:$I92,KMA.FROT!$P92:$R92))</f>
        <v>57.92142401925279</v>
      </c>
      <c r="AD14" s="564">
        <f>1000000000*MOR!BO14/(SUM(KMA.FROT!$B130:$C130,KMA.FROT!$H130:$I130,KMA.FROT!$P130:$R130))</f>
        <v>55.449822031885788</v>
      </c>
      <c r="AE14" s="564" t="e">
        <f>1000000000*MOR!BP14/(SUM(KMA.FROT!$B168:$C168,KMA.FROT!$H168:$I168,KMA.FROT!$P168:$R168))</f>
        <v>#DIV/0!</v>
      </c>
      <c r="AF14" s="564">
        <f>1000000000*MOR!AF14/SUM(KMA.FROT!$J16:$L16)</f>
        <v>6.0717948947903579</v>
      </c>
      <c r="AG14" s="564">
        <f>1000000000*MOR!AG14/SUM(KMA.FROT!$J54:$L54)</f>
        <v>10.130522292041471</v>
      </c>
      <c r="AH14" s="564">
        <f>1000000000*MOR!AH14/SUM(KMA.FROT!$J92:$L92)</f>
        <v>5.6765344071351267</v>
      </c>
      <c r="AI14" s="564">
        <f>1000000000*MOR!AI14/SUM(KMA.FROT!$J130:$L130)</f>
        <v>8.110802082149668</v>
      </c>
      <c r="AJ14" s="564" t="e">
        <f>1000000000*MOR!AJ14/SUM(KMA.FROT!$J168:$L168)</f>
        <v>#DIV/0!</v>
      </c>
      <c r="AK14" s="564">
        <f>1000000000*MOR!AK14/SUM(KMA.FROT!$M16:$O16)</f>
        <v>1.285207043565229</v>
      </c>
      <c r="AL14" s="564">
        <f>1000000000*MOR!AL14/SUM(KMA.FROT!$M54:$O54)</f>
        <v>2.1031112657212696</v>
      </c>
      <c r="AM14" s="564">
        <f>1000000000*MOR!AM14/SUM(KMA.FROT!$M92:$O92)</f>
        <v>3.3268158328145798</v>
      </c>
      <c r="AN14" s="564">
        <f>1000000000*MOR!AN14/SUM(KMA.FROT!$M130:$O130)</f>
        <v>2.6711341182883963</v>
      </c>
      <c r="AO14" s="564" t="e">
        <f>1000000000*MOR!AO14/SUM(KMA.FROT!$M168:$O168)</f>
        <v>#DIV/0!</v>
      </c>
      <c r="AP14" s="563">
        <f>1000000000*MOR!AU14/SUM(KMA.FROT!$B16:$R16)</f>
        <v>11.092941172599463</v>
      </c>
      <c r="AQ14" s="563">
        <f>1000000000*MOR!AV14/SUM(KMA.FROT!$B54:$R54)</f>
        <v>17.06994853840613</v>
      </c>
      <c r="AR14" s="563">
        <f>1000000000*MOR!AW14/SUM(KMA.FROT!$B92:$R92)</f>
        <v>15.22781549029594</v>
      </c>
      <c r="AS14" s="564">
        <f>1000000000*MOR!AX14/SUM(KMA.FROT!$B130:$R130)</f>
        <v>13.647501709063535</v>
      </c>
      <c r="AT14" s="564" t="e">
        <f>1000000000*MOR!AY14/SUM(KMA.FROT!$B168:$R168)</f>
        <v>#DIV/0!</v>
      </c>
    </row>
    <row r="15" spans="1:46" s="1" customFormat="1">
      <c r="A15" s="21" t="s">
        <v>23</v>
      </c>
      <c r="B15" s="563">
        <f>1000000000*MOR!AZ15/SUM(KMA.FROT!$B17:$R17)</f>
        <v>87.414276859853416</v>
      </c>
      <c r="C15" s="563">
        <f>1000000000*MOR!BA15/SUM(KMA.FROT!$B55:$R55)</f>
        <v>98.185049616271556</v>
      </c>
      <c r="D15" s="563">
        <f>1000000000*MOR!BB15/SUM(KMA.FROT!$B93:$R93)</f>
        <v>89.890178268564256</v>
      </c>
      <c r="E15" s="564">
        <f>1000000000*MOR!BC15/SUM(KMA.FROT!$B131:$R131)</f>
        <v>92.362812529116027</v>
      </c>
      <c r="F15" s="564" t="e">
        <f>1000000000*MOR!BD15/SUM(KMA.FROT!$B169:$R169)</f>
        <v>#DIV/0!</v>
      </c>
      <c r="G15" s="563">
        <f>1000000000*MOR!B15/SUM(KMA.FROT!B17:R17)</f>
        <v>27.060921351334159</v>
      </c>
      <c r="H15" s="563">
        <f>1000000000*MOR!C15/SUM(KMA.FROT!$B55:$R55)</f>
        <v>25.338077320328143</v>
      </c>
      <c r="I15" s="563">
        <f>1000000000*MOR!D15/SUM(KMA.FROT!$B93:$R93)</f>
        <v>20.171338386576398</v>
      </c>
      <c r="J15" s="564">
        <f>1000000000*MOR!E15/SUM(KMA.FROT!$B131:$R131)</f>
        <v>16.810565549046704</v>
      </c>
      <c r="K15" s="564" t="e">
        <f>1000000000*MOR!F15/SUM(KMA.FROT!$B169:$R169)</f>
        <v>#DIV/0!</v>
      </c>
      <c r="L15" s="563">
        <f>1000000000*MOR!G15/SUM(KMA.FROT!$B17:$R17)</f>
        <v>2.5964636691045566</v>
      </c>
      <c r="M15" s="563">
        <f>1000000000*MOR!H15/SUM(KMA.FROT!$B55:$R55)</f>
        <v>3.9956198851286686</v>
      </c>
      <c r="N15" s="563">
        <f>1000000000*MOR!I15/SUM(KMA.FROT!$B93:$R93)</f>
        <v>1.4533933771987362</v>
      </c>
      <c r="O15" s="564">
        <f>1000000000*MOR!J15/SUM(KMA.FROT!$B131:$R131)</f>
        <v>1.2198142802029355</v>
      </c>
      <c r="P15" s="564" t="e">
        <f>1000000000*MOR!K15/SUM(KMA.FROT!$B169:$R169)</f>
        <v>#DIV/0!</v>
      </c>
      <c r="Q15" s="564">
        <f>1000000000*MOR!L15/SUM(KMA.FROT!$D17:$G17)</f>
        <v>70.47596053144143</v>
      </c>
      <c r="R15" s="564">
        <f>1000000000*MOR!M15/SUM(KMA.FROT!$D55:$G55)</f>
        <v>75.901548670507168</v>
      </c>
      <c r="S15" s="564">
        <f>1000000000*MOR!N15/SUM(KMA.FROT!$D93:$G93)</f>
        <v>64.490160115725942</v>
      </c>
      <c r="T15" s="564">
        <f>1000000000*MOR!O15/SUM(KMA.FROT!$D131:$G131)</f>
        <v>64.183963676334102</v>
      </c>
      <c r="U15" s="564" t="e">
        <f>1000000000*MOR!P15/SUM(KMA.FROT!$D169:$G169)</f>
        <v>#DIV/0!</v>
      </c>
      <c r="V15" s="563">
        <f>1000000000*MOR!Q15/SUM(KMA.FROT!$B17:$R17)</f>
        <v>5.7699192646767927E-2</v>
      </c>
      <c r="W15" s="563">
        <f>1000000000*MOR!R15/SUM(KMA.FROT!$B55:$R55)</f>
        <v>0.14618121530958544</v>
      </c>
      <c r="X15" s="563">
        <f>1000000000*MOR!S15/SUM(KMA.FROT!$B93:$R93)</f>
        <v>8.8084447102953697E-2</v>
      </c>
      <c r="Y15" s="564">
        <f>1000000000*MOR!T15/SUM(KMA.FROT!$B131:$R131)</f>
        <v>3.8119196256341734E-2</v>
      </c>
      <c r="Z15" s="564" t="e">
        <f>1000000000*MOR!U15/SUM(KMA.FROT!$B169:$R169)</f>
        <v>#DIV/0!</v>
      </c>
      <c r="AA15" s="564">
        <f>1000000000*MOR!BL15/(SUM(KMA.FROT!$B17:$C17,KMA.FROT!$H17:$I17,KMA.FROT!$P17:$R17))</f>
        <v>38.83404430396849</v>
      </c>
      <c r="AB15" s="564">
        <f>1000000000*MOR!BM15/(SUM(KMA.FROT!$B55:$C55,KMA.FROT!$H55:$I55,KMA.FROT!$P55:$R55))</f>
        <v>23.466536179365828</v>
      </c>
      <c r="AC15" s="564">
        <f>1000000000*MOR!BN15/(SUM(KMA.FROT!$B93:$C93,KMA.FROT!$H93:$I93,KMA.FROT!$P93:$R93))</f>
        <v>32.423188304648619</v>
      </c>
      <c r="AD15" s="564">
        <f>1000000000*MOR!BO15/(SUM(KMA.FROT!$B131:$C131,KMA.FROT!$H131:$I131,KMA.FROT!$P131:$R131))</f>
        <v>32.9317303716551</v>
      </c>
      <c r="AE15" s="564" t="e">
        <f>1000000000*MOR!BP15/(SUM(KMA.FROT!$B169:$C169,KMA.FROT!$H169:$I169,KMA.FROT!$P169:$R169))</f>
        <v>#DIV/0!</v>
      </c>
      <c r="AF15" s="564">
        <f>1000000000*MOR!AF15/SUM(KMA.FROT!$J17:$L17)</f>
        <v>14.40545574311979</v>
      </c>
      <c r="AG15" s="564">
        <f>1000000000*MOR!AG15/SUM(KMA.FROT!$J55:$L55)</f>
        <v>5.1739503892178318</v>
      </c>
      <c r="AH15" s="564">
        <f>1000000000*MOR!AH15/SUM(KMA.FROT!$J93:$L93)</f>
        <v>6.1954317967503689</v>
      </c>
      <c r="AI15" s="564">
        <f>1000000000*MOR!AI15/SUM(KMA.FROT!$J131:$L131)</f>
        <v>4.4532177101839547</v>
      </c>
      <c r="AJ15" s="564" t="e">
        <f>1000000000*MOR!AJ15/SUM(KMA.FROT!$J169:$L169)</f>
        <v>#DIV/0!</v>
      </c>
      <c r="AK15" s="564">
        <f>1000000000*MOR!AK15/SUM(KMA.FROT!$M17:$O17)</f>
        <v>6.6730103526380313</v>
      </c>
      <c r="AL15" s="564">
        <f>1000000000*MOR!AL15/SUM(KMA.FROT!$M55:$O55)</f>
        <v>4.1747706729184531</v>
      </c>
      <c r="AM15" s="564">
        <f>1000000000*MOR!AM15/SUM(KMA.FROT!$M93:$O93)</f>
        <v>6.2640463582885655</v>
      </c>
      <c r="AN15" s="564">
        <f>1000000000*MOR!AN15/SUM(KMA.FROT!$M131:$O131)</f>
        <v>3.4789797855355649</v>
      </c>
      <c r="AO15" s="564" t="e">
        <f>1000000000*MOR!AO15/SUM(KMA.FROT!$M169:$O169)</f>
        <v>#DIV/0!</v>
      </c>
      <c r="AP15" s="563">
        <f>1000000000*MOR!AU15/SUM(KMA.FROT!$B17:$R17)</f>
        <v>8.7702772823087258</v>
      </c>
      <c r="AQ15" s="563">
        <f>1000000000*MOR!AV15/SUM(KMA.FROT!$B55:$R55)</f>
        <v>23.194086162454223</v>
      </c>
      <c r="AR15" s="563">
        <f>1000000000*MOR!AW15/SUM(KMA.FROT!$B93:$R93)</f>
        <v>23.474505152937162</v>
      </c>
      <c r="AS15" s="564">
        <f>1000000000*MOR!AX15/SUM(KMA.FROT!$B131:$R131)</f>
        <v>29.084946743588745</v>
      </c>
      <c r="AT15" s="564" t="e">
        <f>1000000000*MOR!AY15/SUM(KMA.FROT!$B169:$R169)</f>
        <v>#DIV/0!</v>
      </c>
    </row>
    <row r="16" spans="1:46" s="1" customFormat="1">
      <c r="A16" s="21" t="s">
        <v>24</v>
      </c>
      <c r="B16" s="563">
        <f>1000000000*MOR!AZ16/SUM(KMA.FROT!$B18:$R18)</f>
        <v>109.72309229216644</v>
      </c>
      <c r="C16" s="563">
        <f>1000000000*MOR!BA16/SUM(KMA.FROT!$B56:$R56)</f>
        <v>103.55776849232811</v>
      </c>
      <c r="D16" s="563">
        <f>1000000000*MOR!BB16/SUM(KMA.FROT!$B94:$R94)</f>
        <v>103.61290461588878</v>
      </c>
      <c r="E16" s="564">
        <f>1000000000*MOR!BC16/SUM(KMA.FROT!$B132:$R132)</f>
        <v>98.600961169252656</v>
      </c>
      <c r="F16" s="564" t="e">
        <f>1000000000*MOR!BD16/SUM(KMA.FROT!$B170:$R170)</f>
        <v>#DIV/0!</v>
      </c>
      <c r="G16" s="563">
        <f>1000000000*MOR!B16/SUM(KMA.FROT!B18:R18)</f>
        <v>18.699426910026563</v>
      </c>
      <c r="H16" s="563">
        <f>1000000000*MOR!C16/SUM(KMA.FROT!$B56:$R56)</f>
        <v>19.00589633506257</v>
      </c>
      <c r="I16" s="563">
        <f>1000000000*MOR!D16/SUM(KMA.FROT!$B94:$R94)</f>
        <v>15.580887912163726</v>
      </c>
      <c r="J16" s="564">
        <f>1000000000*MOR!E16/SUM(KMA.FROT!$B132:$R132)</f>
        <v>14.563338090373879</v>
      </c>
      <c r="K16" s="564" t="e">
        <f>1000000000*MOR!F16/SUM(KMA.FROT!$B170:$R170)</f>
        <v>#DIV/0!</v>
      </c>
      <c r="L16" s="563">
        <f>1000000000*MOR!G16/SUM(KMA.FROT!$B18:$R18)</f>
        <v>4.5511832691069936</v>
      </c>
      <c r="M16" s="563">
        <f>1000000000*MOR!H16/SUM(KMA.FROT!$B56:$R56)</f>
        <v>3.2488711683867644</v>
      </c>
      <c r="N16" s="563">
        <f>1000000000*MOR!I16/SUM(KMA.FROT!$B94:$R94)</f>
        <v>3.399466453562995</v>
      </c>
      <c r="O16" s="564">
        <f>1000000000*MOR!J16/SUM(KMA.FROT!$B132:$R132)</f>
        <v>3.461777087056086</v>
      </c>
      <c r="P16" s="564" t="e">
        <f>1000000000*MOR!K16/SUM(KMA.FROT!$B170:$R170)</f>
        <v>#DIV/0!</v>
      </c>
      <c r="Q16" s="564">
        <f>1000000000*MOR!L16/SUM(KMA.FROT!$D18:$G18)</f>
        <v>64.985264045586646</v>
      </c>
      <c r="R16" s="564">
        <f>1000000000*MOR!M16/SUM(KMA.FROT!$D56:$G56)</f>
        <v>62.544172030833607</v>
      </c>
      <c r="S16" s="564">
        <f>1000000000*MOR!N16/SUM(KMA.FROT!$D94:$G94)</f>
        <v>71.898555520710161</v>
      </c>
      <c r="T16" s="564">
        <f>1000000000*MOR!O16/SUM(KMA.FROT!$D132:$G132)</f>
        <v>71.821929523620753</v>
      </c>
      <c r="U16" s="564" t="e">
        <f>1000000000*MOR!P16/SUM(KMA.FROT!$D170:$G170)</f>
        <v>#DIV/0!</v>
      </c>
      <c r="V16" s="563">
        <f>1000000000*MOR!Q16/SUM(KMA.FROT!$B18:$R18)</f>
        <v>0.29681630015915178</v>
      </c>
      <c r="W16" s="563">
        <f>1000000000*MOR!R16/SUM(KMA.FROT!$B56:$R56)</f>
        <v>8.1221779209669109E-2</v>
      </c>
      <c r="X16" s="563">
        <f>1000000000*MOR!S16/SUM(KMA.FROT!$B94:$R94)</f>
        <v>0.14164443556512479</v>
      </c>
      <c r="Y16" s="564">
        <f>1000000000*MOR!T16/SUM(KMA.FROT!$B132:$R132)</f>
        <v>0.23874324738317834</v>
      </c>
      <c r="Z16" s="564" t="e">
        <f>1000000000*MOR!U16/SUM(KMA.FROT!$B170:$R170)</f>
        <v>#DIV/0!</v>
      </c>
      <c r="AA16" s="564">
        <f>1000000000*MOR!BL16/(SUM(KMA.FROT!$B18:$C18,KMA.FROT!$H18:$I18,KMA.FROT!$P18:$R18))</f>
        <v>47.469338807020172</v>
      </c>
      <c r="AB16" s="564">
        <f>1000000000*MOR!BM16/(SUM(KMA.FROT!$B56:$C56,KMA.FROT!$H56:$I56,KMA.FROT!$P56:$R56))</f>
        <v>48.123445055399593</v>
      </c>
      <c r="AC16" s="564">
        <f>1000000000*MOR!BN16/(SUM(KMA.FROT!$B94:$C94,KMA.FROT!$H94:$I94,KMA.FROT!$P94:$R94))</f>
        <v>47.284973635182475</v>
      </c>
      <c r="AD16" s="564">
        <f>1000000000*MOR!BO16/(SUM(KMA.FROT!$B132:$C132,KMA.FROT!$H132:$I132,KMA.FROT!$P132:$R132))</f>
        <v>42.803765911892825</v>
      </c>
      <c r="AE16" s="564" t="e">
        <f>1000000000*MOR!BP16/(SUM(KMA.FROT!$B170:$C170,KMA.FROT!$H170:$I170,KMA.FROT!$P170:$R170))</f>
        <v>#DIV/0!</v>
      </c>
      <c r="AF16" s="564">
        <f>1000000000*MOR!AF16/SUM(KMA.FROT!$J18:$L18)</f>
        <v>15.632544369756097</v>
      </c>
      <c r="AG16" s="564">
        <f>1000000000*MOR!AG16/SUM(KMA.FROT!$J56:$L56)</f>
        <v>38.605851905522805</v>
      </c>
      <c r="AH16" s="564">
        <f>1000000000*MOR!AH16/SUM(KMA.FROT!$J94:$L94)</f>
        <v>26.001961465719166</v>
      </c>
      <c r="AI16" s="564">
        <f>1000000000*MOR!AI16/SUM(KMA.FROT!$J132:$L132)</f>
        <v>20.657068565349139</v>
      </c>
      <c r="AJ16" s="564" t="e">
        <f>1000000000*MOR!AJ16/SUM(KMA.FROT!$J170:$L170)</f>
        <v>#DIV/0!</v>
      </c>
      <c r="AK16" s="564">
        <f>1000000000*MOR!AK16/SUM(KMA.FROT!$M18:$O18)</f>
        <v>22.808448186179852</v>
      </c>
      <c r="AL16" s="564">
        <f>1000000000*MOR!AL16/SUM(KMA.FROT!$M56:$O56)</f>
        <v>7.6365756986488922</v>
      </c>
      <c r="AM16" s="564">
        <f>1000000000*MOR!AM16/SUM(KMA.FROT!$M94:$O94)</f>
        <v>12.860284569141896</v>
      </c>
      <c r="AN16" s="564">
        <f>1000000000*MOR!AN16/SUM(KMA.FROT!$M132:$O132)</f>
        <v>11.58754970004308</v>
      </c>
      <c r="AO16" s="564" t="e">
        <f>1000000000*MOR!AO16/SUM(KMA.FROT!$M170:$O170)</f>
        <v>#DIV/0!</v>
      </c>
      <c r="AP16" s="563">
        <f>1000000000*MOR!AU16/SUM(KMA.FROT!$B18:$R18)</f>
        <v>32.352976717347545</v>
      </c>
      <c r="AQ16" s="563">
        <f>1000000000*MOR!AV16/SUM(KMA.FROT!$B56:$R56)</f>
        <v>27.046852476819812</v>
      </c>
      <c r="AR16" s="563">
        <f>1000000000*MOR!AW16/SUM(KMA.FROT!$B94:$R94)</f>
        <v>25.4251761839399</v>
      </c>
      <c r="AS16" s="564">
        <f>1000000000*MOR!AX16/SUM(KMA.FROT!$B132:$R132)</f>
        <v>22.859665936939326</v>
      </c>
      <c r="AT16" s="564" t="e">
        <f>1000000000*MOR!AY16/SUM(KMA.FROT!$B170:$R170)</f>
        <v>#DIV/0!</v>
      </c>
    </row>
    <row r="17" spans="1:46" s="1" customFormat="1">
      <c r="A17" s="21" t="s">
        <v>25</v>
      </c>
      <c r="B17" s="563">
        <f>1000000000*MOR!AZ17/SUM(KMA.FROT!$B19:$R19)</f>
        <v>88.353209147742191</v>
      </c>
      <c r="C17" s="563">
        <f>1000000000*MOR!BA17/SUM(KMA.FROT!$B57:$R57)</f>
        <v>81.628092778416672</v>
      </c>
      <c r="D17" s="563">
        <f>1000000000*MOR!BB17/SUM(KMA.FROT!$B95:$R95)</f>
        <v>69.93364373091697</v>
      </c>
      <c r="E17" s="564">
        <f>1000000000*MOR!BC17/SUM(KMA.FROT!$B133:$R133)</f>
        <v>77.18054836496546</v>
      </c>
      <c r="F17" s="564" t="e">
        <f>1000000000*MOR!BD17/SUM(KMA.FROT!$B171:$R171)</f>
        <v>#DIV/0!</v>
      </c>
      <c r="G17" s="563">
        <f>1000000000*MOR!B17/SUM(KMA.FROT!B19:R19)</f>
        <v>7.6481460114970634</v>
      </c>
      <c r="H17" s="563">
        <f>1000000000*MOR!C17/SUM(KMA.FROT!$B57:$R57)</f>
        <v>9.354244648913852</v>
      </c>
      <c r="I17" s="563">
        <f>1000000000*MOR!D17/SUM(KMA.FROT!$B95:$R95)</f>
        <v>6.5283324710446795</v>
      </c>
      <c r="J17" s="564">
        <f>1000000000*MOR!E17/SUM(KMA.FROT!$B133:$R133)</f>
        <v>8.1954602903004563</v>
      </c>
      <c r="K17" s="564" t="e">
        <f>1000000000*MOR!F17/SUM(KMA.FROT!$B171:$R171)</f>
        <v>#DIV/0!</v>
      </c>
      <c r="L17" s="563">
        <f>1000000000*MOR!G17/SUM(KMA.FROT!$B19:$R19)</f>
        <v>1.8264229281187017</v>
      </c>
      <c r="M17" s="563">
        <f>1000000000*MOR!H17/SUM(KMA.FROT!$B57:$R57)</f>
        <v>1.6739174634898473</v>
      </c>
      <c r="N17" s="563">
        <f>1000000000*MOR!I17/SUM(KMA.FROT!$B95:$R95)</f>
        <v>1.7885842386423778</v>
      </c>
      <c r="O17" s="564">
        <f>1000000000*MOR!J17/SUM(KMA.FROT!$B133:$R133)</f>
        <v>1.4322163614117303</v>
      </c>
      <c r="P17" s="564" t="e">
        <f>1000000000*MOR!K17/SUM(KMA.FROT!$B171:$R171)</f>
        <v>#DIV/0!</v>
      </c>
      <c r="Q17" s="564">
        <f>1000000000*MOR!L17/SUM(KMA.FROT!$D19:$G19)</f>
        <v>63.848168545255952</v>
      </c>
      <c r="R17" s="564">
        <f>1000000000*MOR!M17/SUM(KMA.FROT!$D57:$G57)</f>
        <v>52.769738622380352</v>
      </c>
      <c r="S17" s="564">
        <f>1000000000*MOR!N17/SUM(KMA.FROT!$D95:$G95)</f>
        <v>51.788734896987528</v>
      </c>
      <c r="T17" s="564">
        <f>1000000000*MOR!O17/SUM(KMA.FROT!$D133:$G133)</f>
        <v>59.94631116806341</v>
      </c>
      <c r="U17" s="564" t="e">
        <f>1000000000*MOR!P17/SUM(KMA.FROT!$D171:$G171)</f>
        <v>#DIV/0!</v>
      </c>
      <c r="V17" s="563">
        <f>1000000000*MOR!Q17/SUM(KMA.FROT!$B19:$R19)</f>
        <v>0</v>
      </c>
      <c r="W17" s="563">
        <f>1000000000*MOR!R17/SUM(KMA.FROT!$B57:$R57)</f>
        <v>0</v>
      </c>
      <c r="X17" s="563">
        <f>1000000000*MOR!S17/SUM(KMA.FROT!$B95:$R95)</f>
        <v>0</v>
      </c>
      <c r="Y17" s="564">
        <f>1000000000*MOR!T17/SUM(KMA.FROT!$B133:$R133)</f>
        <v>0.15913515126797001</v>
      </c>
      <c r="Z17" s="564" t="e">
        <f>1000000000*MOR!U17/SUM(KMA.FROT!$B171:$R171)</f>
        <v>#DIV/0!</v>
      </c>
      <c r="AA17" s="564">
        <f>1000000000*MOR!BL17/(SUM(KMA.FROT!$B19:$C19,KMA.FROT!$H19:$I19,KMA.FROT!$P19:$R19))</f>
        <v>16.459675175899527</v>
      </c>
      <c r="AB17" s="564">
        <f>1000000000*MOR!BM17/(SUM(KMA.FROT!$B57:$C57,KMA.FROT!$H57:$I57,KMA.FROT!$P57:$R57))</f>
        <v>16.235341012519559</v>
      </c>
      <c r="AC17" s="564">
        <f>1000000000*MOR!BN17/(SUM(KMA.FROT!$B95:$C95,KMA.FROT!$H95:$I95,KMA.FROT!$P95:$R95))</f>
        <v>14.909761501363977</v>
      </c>
      <c r="AD17" s="564">
        <f>1000000000*MOR!BO17/(SUM(KMA.FROT!$B133:$C133,KMA.FROT!$H133:$I133,KMA.FROT!$P133:$R133))</f>
        <v>25.327307085059758</v>
      </c>
      <c r="AE17" s="564" t="e">
        <f>1000000000*MOR!BP17/(SUM(KMA.FROT!$B171:$C171,KMA.FROT!$H171:$I171,KMA.FROT!$P171:$R171))</f>
        <v>#DIV/0!</v>
      </c>
      <c r="AF17" s="564">
        <f>1000000000*MOR!AF17/SUM(KMA.FROT!$J19:$L19)</f>
        <v>9.0860522743179679</v>
      </c>
      <c r="AG17" s="564">
        <f>1000000000*MOR!AG17/SUM(KMA.FROT!$J57:$L57)</f>
        <v>2.864998420149881</v>
      </c>
      <c r="AH17" s="564">
        <f>1000000000*MOR!AH17/SUM(KMA.FROT!$J95:$L95)</f>
        <v>4.136836668423908</v>
      </c>
      <c r="AI17" s="564">
        <f>1000000000*MOR!AI17/SUM(KMA.FROT!$J133:$L133)</f>
        <v>16.958944271185491</v>
      </c>
      <c r="AJ17" s="564" t="e">
        <f>1000000000*MOR!AJ17/SUM(KMA.FROT!$J171:$L171)</f>
        <v>#DIV/0!</v>
      </c>
      <c r="AK17" s="564">
        <f>1000000000*MOR!AK17/SUM(KMA.FROT!$M19:$O19)</f>
        <v>26.240312954440146</v>
      </c>
      <c r="AL17" s="564">
        <f>1000000000*MOR!AL17/SUM(KMA.FROT!$M57:$O57)</f>
        <v>5.4951026672253356</v>
      </c>
      <c r="AM17" s="564">
        <f>1000000000*MOR!AM17/SUM(KMA.FROT!$M95:$O95)</f>
        <v>1.7242528544174798</v>
      </c>
      <c r="AN17" s="564">
        <f>1000000000*MOR!AN17/SUM(KMA.FROT!$M133:$O133)</f>
        <v>1.5849738960873685</v>
      </c>
      <c r="AO17" s="564" t="e">
        <f>1000000000*MOR!AO17/SUM(KMA.FROT!$M171:$O171)</f>
        <v>#DIV/0!</v>
      </c>
      <c r="AP17" s="563">
        <f>1000000000*MOR!AU17/SUM(KMA.FROT!$B19:$R19)</f>
        <v>44.290756006878517</v>
      </c>
      <c r="AQ17" s="563">
        <f>1000000000*MOR!AV17/SUM(KMA.FROT!$B57:$R57)</f>
        <v>40.174019123756338</v>
      </c>
      <c r="AR17" s="563">
        <f>1000000000*MOR!AW17/SUM(KMA.FROT!$B95:$R95)</f>
        <v>31.479082600105851</v>
      </c>
      <c r="AS17" s="564">
        <f>1000000000*MOR!AX17/SUM(KMA.FROT!$B133:$R133)</f>
        <v>27.609948744992799</v>
      </c>
      <c r="AT17" s="564" t="e">
        <f>1000000000*MOR!AY17/SUM(KMA.FROT!$B171:$R171)</f>
        <v>#DIV/0!</v>
      </c>
    </row>
    <row r="18" spans="1:46" s="1" customFormat="1">
      <c r="A18" s="21" t="s">
        <v>26</v>
      </c>
      <c r="B18" s="563">
        <f>1000000000*MOR!AZ18/SUM(KMA.FROT!$B20:$R20)</f>
        <v>91.039666633478745</v>
      </c>
      <c r="C18" s="563">
        <f>1000000000*MOR!BA18/SUM(KMA.FROT!$B58:$R58)</f>
        <v>85.228533013382815</v>
      </c>
      <c r="D18" s="563">
        <f>1000000000*MOR!BB18/SUM(KMA.FROT!$B96:$R96)</f>
        <v>77.029086975493371</v>
      </c>
      <c r="E18" s="564">
        <f>1000000000*MOR!BC18/SUM(KMA.FROT!$B134:$R134)</f>
        <v>70.990937874127255</v>
      </c>
      <c r="F18" s="564" t="e">
        <f>1000000000*MOR!BD18/SUM(KMA.FROT!$B172:$R172)</f>
        <v>#DIV/0!</v>
      </c>
      <c r="G18" s="563">
        <f>1000000000*MOR!B18/SUM(KMA.FROT!B20:R20)</f>
        <v>25.271355737913925</v>
      </c>
      <c r="H18" s="563">
        <f>1000000000*MOR!C18/SUM(KMA.FROT!$B58:$R58)</f>
        <v>22.285129570802003</v>
      </c>
      <c r="I18" s="563">
        <f>1000000000*MOR!D18/SUM(KMA.FROT!$B96:$R96)</f>
        <v>16.077353025141438</v>
      </c>
      <c r="J18" s="564">
        <f>1000000000*MOR!E18/SUM(KMA.FROT!$B134:$R134)</f>
        <v>13.796090465772778</v>
      </c>
      <c r="K18" s="564" t="e">
        <f>1000000000*MOR!F18/SUM(KMA.FROT!$B172:$R172)</f>
        <v>#DIV/0!</v>
      </c>
      <c r="L18" s="563">
        <f>1000000000*MOR!G18/SUM(KMA.FROT!$B20:$R20)</f>
        <v>3.0869772019397965</v>
      </c>
      <c r="M18" s="563">
        <f>1000000000*MOR!H18/SUM(KMA.FROT!$B58:$R58)</f>
        <v>2.197744533609665</v>
      </c>
      <c r="N18" s="563">
        <f>1000000000*MOR!I18/SUM(KMA.FROT!$B96:$R96)</f>
        <v>2.0936110818980249</v>
      </c>
      <c r="O18" s="564">
        <f>1000000000*MOR!J18/SUM(KMA.FROT!$B134:$R134)</f>
        <v>1.8371678258441135</v>
      </c>
      <c r="P18" s="564" t="e">
        <f>1000000000*MOR!K18/SUM(KMA.FROT!$B172:$R172)</f>
        <v>#DIV/0!</v>
      </c>
      <c r="Q18" s="564">
        <f>1000000000*MOR!L18/SUM(KMA.FROT!$D20:$G20)</f>
        <v>81.051258880217091</v>
      </c>
      <c r="R18" s="564">
        <f>1000000000*MOR!M18/SUM(KMA.FROT!$D58:$G58)</f>
        <v>78.604285313758695</v>
      </c>
      <c r="S18" s="564">
        <f>1000000000*MOR!N18/SUM(KMA.FROT!$D96:$G96)</f>
        <v>82.552222725385391</v>
      </c>
      <c r="T18" s="564">
        <f>1000000000*MOR!O18/SUM(KMA.FROT!$D134:$G134)</f>
        <v>76.356247204262587</v>
      </c>
      <c r="U18" s="564" t="e">
        <f>1000000000*MOR!P18/SUM(KMA.FROT!$D172:$G172)</f>
        <v>#DIV/0!</v>
      </c>
      <c r="V18" s="563">
        <f>1000000000*MOR!Q18/SUM(KMA.FROT!$B20:$R20)</f>
        <v>5.2321647490505024E-2</v>
      </c>
      <c r="W18" s="563">
        <f>1000000000*MOR!R18/SUM(KMA.FROT!$B58:$R58)</f>
        <v>4.3954890672193304E-2</v>
      </c>
      <c r="X18" s="563">
        <f>1000000000*MOR!S18/SUM(KMA.FROT!$B96:$R96)</f>
        <v>3.9502095884868395E-2</v>
      </c>
      <c r="Y18" s="564">
        <f>1000000000*MOR!T18/SUM(KMA.FROT!$B134:$R134)</f>
        <v>0.20798126330310721</v>
      </c>
      <c r="Z18" s="564" t="e">
        <f>1000000000*MOR!U18/SUM(KMA.FROT!$B172:$R172)</f>
        <v>#DIV/0!</v>
      </c>
      <c r="AA18" s="564">
        <f>1000000000*MOR!BL18/(SUM(KMA.FROT!$B20:$C20,KMA.FROT!$H20:$I20,KMA.FROT!$P20:$R20))</f>
        <v>32.305721441366948</v>
      </c>
      <c r="AB18" s="564">
        <f>1000000000*MOR!BM18/(SUM(KMA.FROT!$B58:$C58,KMA.FROT!$H58:$I58,KMA.FROT!$P58:$R58))</f>
        <v>31.410910456157318</v>
      </c>
      <c r="AC18" s="564">
        <f>1000000000*MOR!BN18/(SUM(KMA.FROT!$B96:$C96,KMA.FROT!$H96:$I96,KMA.FROT!$P96:$R96))</f>
        <v>29.468994305252544</v>
      </c>
      <c r="AD18" s="564">
        <f>1000000000*MOR!BO18/(SUM(KMA.FROT!$B134:$C134,KMA.FROT!$H134:$I134,KMA.FROT!$P134:$R134))</f>
        <v>31.629834309437431</v>
      </c>
      <c r="AE18" s="564" t="e">
        <f>1000000000*MOR!BP18/(SUM(KMA.FROT!$B172:$C172,KMA.FROT!$H172:$I172,KMA.FROT!$P172:$R172))</f>
        <v>#DIV/0!</v>
      </c>
      <c r="AF18" s="564">
        <f>1000000000*MOR!AF18/SUM(KMA.FROT!$J20:$L20)</f>
        <v>13.62997202401054</v>
      </c>
      <c r="AG18" s="564">
        <f>1000000000*MOR!AG18/SUM(KMA.FROT!$J58:$L58)</f>
        <v>15.156156215082543</v>
      </c>
      <c r="AH18" s="564">
        <f>1000000000*MOR!AH18/SUM(KMA.FROT!$J96:$L96)</f>
        <v>10.343431481094774</v>
      </c>
      <c r="AI18" s="564">
        <f>1000000000*MOR!AI18/SUM(KMA.FROT!$J134:$L134)</f>
        <v>10.435093460580246</v>
      </c>
      <c r="AJ18" s="564" t="e">
        <f>1000000000*MOR!AJ18/SUM(KMA.FROT!$J172:$L172)</f>
        <v>#DIV/0!</v>
      </c>
      <c r="AK18" s="564">
        <f>1000000000*MOR!AK18/SUM(KMA.FROT!$M20:$O20)</f>
        <v>5.3627377534021745</v>
      </c>
      <c r="AL18" s="564">
        <f>1000000000*MOR!AL18/SUM(KMA.FROT!$M58:$O58)</f>
        <v>5.2815424025522679</v>
      </c>
      <c r="AM18" s="564">
        <f>1000000000*MOR!AM18/SUM(KMA.FROT!$M96:$O96)</f>
        <v>2.1747123726633442</v>
      </c>
      <c r="AN18" s="564">
        <f>1000000000*MOR!AN18/SUM(KMA.FROT!$M134:$O134)</f>
        <v>3.8368545385847539</v>
      </c>
      <c r="AO18" s="564" t="e">
        <f>1000000000*MOR!AO18/SUM(KMA.FROT!$M172:$O172)</f>
        <v>#DIV/0!</v>
      </c>
      <c r="AP18" s="563">
        <f>1000000000*MOR!AU18/SUM(KMA.FROT!$B20:$R20)</f>
        <v>17.004535434414134</v>
      </c>
      <c r="AQ18" s="563">
        <f>1000000000*MOR!AV18/SUM(KMA.FROT!$B58:$R58)</f>
        <v>15.516076407284235</v>
      </c>
      <c r="AR18" s="563">
        <f>1000000000*MOR!AW18/SUM(KMA.FROT!$B96:$R96)</f>
        <v>12.640670683157886</v>
      </c>
      <c r="AS18" s="564">
        <f>1000000000*MOR!AX18/SUM(KMA.FROT!$B134:$R134)</f>
        <v>9.3591568486398238</v>
      </c>
      <c r="AT18" s="564" t="e">
        <f>1000000000*MOR!AY18/SUM(KMA.FROT!$B172:$R172)</f>
        <v>#DIV/0!</v>
      </c>
    </row>
    <row r="19" spans="1:46" s="1" customFormat="1">
      <c r="A19" s="21" t="s">
        <v>27</v>
      </c>
      <c r="B19" s="563">
        <f>1000000000*MOR!AZ19/SUM(KMA.FROT!$B21:$R21)</f>
        <v>127.69799244430486</v>
      </c>
      <c r="C19" s="563">
        <f>1000000000*MOR!BA19/SUM(KMA.FROT!$B59:$R59)</f>
        <v>123.78292293094962</v>
      </c>
      <c r="D19" s="563">
        <f>1000000000*MOR!BB19/SUM(KMA.FROT!$B97:$R97)</f>
        <v>120.23241906125917</v>
      </c>
      <c r="E19" s="564">
        <f>1000000000*MOR!BC19/SUM(KMA.FROT!$B135:$R135)</f>
        <v>108.73951542278395</v>
      </c>
      <c r="F19" s="564" t="e">
        <f>1000000000*MOR!BD19/SUM(KMA.FROT!$B173:$R173)</f>
        <v>#DIV/0!</v>
      </c>
      <c r="G19" s="563">
        <f>1000000000*MOR!B19/SUM(KMA.FROT!B21:R21)</f>
        <v>20.788045281631021</v>
      </c>
      <c r="H19" s="563">
        <f>1000000000*MOR!C19/SUM(KMA.FROT!$B59:$R59)</f>
        <v>21.57901530022302</v>
      </c>
      <c r="I19" s="563">
        <f>1000000000*MOR!D19/SUM(KMA.FROT!$B97:$R97)</f>
        <v>17.176059865894167</v>
      </c>
      <c r="J19" s="564">
        <f>1000000000*MOR!E19/SUM(KMA.FROT!$B135:$R135)</f>
        <v>13.467320738553996</v>
      </c>
      <c r="K19" s="564" t="e">
        <f>1000000000*MOR!F19/SUM(KMA.FROT!$B173:$R173)</f>
        <v>#DIV/0!</v>
      </c>
      <c r="L19" s="563">
        <f>1000000000*MOR!G19/SUM(KMA.FROT!$B21:$R21)</f>
        <v>8.202085893432649</v>
      </c>
      <c r="M19" s="563">
        <f>1000000000*MOR!H19/SUM(KMA.FROT!$B59:$R59)</f>
        <v>6.8768290517194233</v>
      </c>
      <c r="N19" s="563">
        <f>1000000000*MOR!I19/SUM(KMA.FROT!$B97:$R97)</f>
        <v>4.5433448677526505</v>
      </c>
      <c r="O19" s="564">
        <f>1000000000*MOR!J19/SUM(KMA.FROT!$B135:$R135)</f>
        <v>4.4587751093861199</v>
      </c>
      <c r="P19" s="564" t="e">
        <f>1000000000*MOR!K19/SUM(KMA.FROT!$B173:$R173)</f>
        <v>#DIV/0!</v>
      </c>
      <c r="Q19" s="564">
        <f>1000000000*MOR!L19/SUM(KMA.FROT!$D21:$G21)</f>
        <v>121.49024670638245</v>
      </c>
      <c r="R19" s="564">
        <f>1000000000*MOR!M19/SUM(KMA.FROT!$D59:$G59)</f>
        <v>126.3439347971275</v>
      </c>
      <c r="S19" s="564">
        <f>1000000000*MOR!N19/SUM(KMA.FROT!$D97:$G97)</f>
        <v>121.26550446117439</v>
      </c>
      <c r="T19" s="564">
        <f>1000000000*MOR!O19/SUM(KMA.FROT!$D135:$G135)</f>
        <v>113.43560672788473</v>
      </c>
      <c r="U19" s="564" t="e">
        <f>1000000000*MOR!P19/SUM(KMA.FROT!$D173:$G173)</f>
        <v>#DIV/0!</v>
      </c>
      <c r="V19" s="563">
        <f>1000000000*MOR!Q19/SUM(KMA.FROT!$B21:$R21)</f>
        <v>0</v>
      </c>
      <c r="W19" s="563">
        <f>1000000000*MOR!R19/SUM(KMA.FROT!$B59:$R59)</f>
        <v>0</v>
      </c>
      <c r="X19" s="563">
        <f>1000000000*MOR!S19/SUM(KMA.FROT!$B97:$R97)</f>
        <v>0.33243986837214518</v>
      </c>
      <c r="Y19" s="564">
        <f>1000000000*MOR!T19/SUM(KMA.FROT!$B135:$R135)</f>
        <v>0</v>
      </c>
      <c r="Z19" s="564" t="e">
        <f>1000000000*MOR!U19/SUM(KMA.FROT!$B173:$R173)</f>
        <v>#DIV/0!</v>
      </c>
      <c r="AA19" s="564">
        <f>1000000000*MOR!BL19/(SUM(KMA.FROT!$B21:$C21,KMA.FROT!$H21:$I21,KMA.FROT!$P21:$R21))</f>
        <v>42.024081383834009</v>
      </c>
      <c r="AB19" s="564">
        <f>1000000000*MOR!BM19/(SUM(KMA.FROT!$B59:$C59,KMA.FROT!$H59:$I59,KMA.FROT!$P59:$R59))</f>
        <v>47.294133187329209</v>
      </c>
      <c r="AC19" s="564">
        <f>1000000000*MOR!BN19/(SUM(KMA.FROT!$B97:$C97,KMA.FROT!$H97:$I97,KMA.FROT!$P97:$R97))</f>
        <v>50.847743373640071</v>
      </c>
      <c r="AD19" s="564">
        <f>1000000000*MOR!BO19/(SUM(KMA.FROT!$B135:$C135,KMA.FROT!$H135:$I135,KMA.FROT!$P135:$R135))</f>
        <v>49.218788156435181</v>
      </c>
      <c r="AE19" s="564" t="e">
        <f>1000000000*MOR!BP19/(SUM(KMA.FROT!$B173:$C173,KMA.FROT!$H173:$I173,KMA.FROT!$P173:$R173))</f>
        <v>#DIV/0!</v>
      </c>
      <c r="AF19" s="564">
        <f>1000000000*MOR!AF19/SUM(KMA.FROT!$J21:$L21)</f>
        <v>32.586521404667252</v>
      </c>
      <c r="AG19" s="564">
        <f>1000000000*MOR!AG19/SUM(KMA.FROT!$J59:$L59)</f>
        <v>25.197011105364496</v>
      </c>
      <c r="AH19" s="564">
        <f>1000000000*MOR!AH19/SUM(KMA.FROT!$J97:$L97)</f>
        <v>32.400160790594462</v>
      </c>
      <c r="AI19" s="564">
        <f>1000000000*MOR!AI19/SUM(KMA.FROT!$J135:$L135)</f>
        <v>17.746721371877403</v>
      </c>
      <c r="AJ19" s="564" t="e">
        <f>1000000000*MOR!AJ19/SUM(KMA.FROT!$J173:$L173)</f>
        <v>#DIV/0!</v>
      </c>
      <c r="AK19" s="564">
        <f>1000000000*MOR!AK19/SUM(KMA.FROT!$M21:$O21)</f>
        <v>2.09127643310448</v>
      </c>
      <c r="AL19" s="564">
        <f>1000000000*MOR!AL19/SUM(KMA.FROT!$M59:$O59)</f>
        <v>5.5988790482077242</v>
      </c>
      <c r="AM19" s="564">
        <f>1000000000*MOR!AM19/SUM(KMA.FROT!$M97:$O97)</f>
        <v>0</v>
      </c>
      <c r="AN19" s="564">
        <f>1000000000*MOR!AN19/SUM(KMA.FROT!$M135:$O135)</f>
        <v>3.0980106544878252</v>
      </c>
      <c r="AO19" s="564" t="e">
        <f>1000000000*MOR!AO19/SUM(KMA.FROT!$M173:$O173)</f>
        <v>#DIV/0!</v>
      </c>
      <c r="AP19" s="563">
        <f>1000000000*MOR!AU19/SUM(KMA.FROT!$B21:$R21)</f>
        <v>19.656723089433417</v>
      </c>
      <c r="AQ19" s="563">
        <f>1000000000*MOR!AV19/SUM(KMA.FROT!$B59:$R59)</f>
        <v>10.908073668244603</v>
      </c>
      <c r="AR19" s="563">
        <f>1000000000*MOR!AW19/SUM(KMA.FROT!$B97:$R97)</f>
        <v>13.075968155971044</v>
      </c>
      <c r="AS19" s="564">
        <f>1000000000*MOR!AX19/SUM(KMA.FROT!$B135:$R135)</f>
        <v>10.828453837080577</v>
      </c>
      <c r="AT19" s="564" t="e">
        <f>1000000000*MOR!AY19/SUM(KMA.FROT!$B173:$R173)</f>
        <v>#DIV/0!</v>
      </c>
    </row>
    <row r="20" spans="1:46" s="1" customFormat="1">
      <c r="A20" s="21" t="s">
        <v>28</v>
      </c>
      <c r="B20" s="563">
        <f>1000000000*MOR!AZ20/SUM(KMA.FROT!$B22:$R22)</f>
        <v>56.706595269995972</v>
      </c>
      <c r="C20" s="563">
        <f>1000000000*MOR!BA20/SUM(KMA.FROT!$B60:$R60)</f>
        <v>65.515785446387611</v>
      </c>
      <c r="D20" s="563">
        <f>1000000000*MOR!BB20/SUM(KMA.FROT!$B98:$R98)</f>
        <v>53.289581884030049</v>
      </c>
      <c r="E20" s="564">
        <f>1000000000*MOR!BC20/SUM(KMA.FROT!$B136:$R136)</f>
        <v>47.759013413159124</v>
      </c>
      <c r="F20" s="564" t="e">
        <f>1000000000*MOR!BD20/SUM(KMA.FROT!$B174:$R174)</f>
        <v>#DIV/0!</v>
      </c>
      <c r="G20" s="563">
        <f>1000000000*MOR!B20/SUM(KMA.FROT!B22:R22)</f>
        <v>8.1494508172449311</v>
      </c>
      <c r="H20" s="563">
        <f>1000000000*MOR!C20/SUM(KMA.FROT!$B60:$R60)</f>
        <v>10.700575126836805</v>
      </c>
      <c r="I20" s="563">
        <f>1000000000*MOR!D20/SUM(KMA.FROT!$B98:$R98)</f>
        <v>7.4063486686279045</v>
      </c>
      <c r="J20" s="564">
        <f>1000000000*MOR!E20/SUM(KMA.FROT!$B136:$R136)</f>
        <v>5.4922865425132992</v>
      </c>
      <c r="K20" s="564" t="e">
        <f>1000000000*MOR!F20/SUM(KMA.FROT!$B174:$R174)</f>
        <v>#DIV/0!</v>
      </c>
      <c r="L20" s="563">
        <f>1000000000*MOR!G20/SUM(KMA.FROT!$B22:$R22)</f>
        <v>1.0186813521556164</v>
      </c>
      <c r="M20" s="563">
        <f>1000000000*MOR!H20/SUM(KMA.FROT!$B60:$R60)</f>
        <v>2.018976439025812</v>
      </c>
      <c r="N20" s="563">
        <f>1000000000*MOR!I20/SUM(KMA.FROT!$B98:$R98)</f>
        <v>2.3483544559064087</v>
      </c>
      <c r="O20" s="564">
        <f>1000000000*MOR!J20/SUM(KMA.FROT!$B136:$R136)</f>
        <v>0.79598355688598543</v>
      </c>
      <c r="P20" s="564" t="e">
        <f>1000000000*MOR!K20/SUM(KMA.FROT!$B174:$R174)</f>
        <v>#DIV/0!</v>
      </c>
      <c r="Q20" s="564">
        <f>1000000000*MOR!L20/SUM(KMA.FROT!$D22:$G22)</f>
        <v>69.956878101451679</v>
      </c>
      <c r="R20" s="564">
        <f>1000000000*MOR!M20/SUM(KMA.FROT!$D60:$G60)</f>
        <v>71.000749851687857</v>
      </c>
      <c r="S20" s="564">
        <f>1000000000*MOR!N20/SUM(KMA.FROT!$D98:$G98)</f>
        <v>55.02093865269822</v>
      </c>
      <c r="T20" s="564">
        <f>1000000000*MOR!O20/SUM(KMA.FROT!$D136:$G136)</f>
        <v>52.161881108150247</v>
      </c>
      <c r="U20" s="564" t="e">
        <f>1000000000*MOR!P20/SUM(KMA.FROT!$D174:$G174)</f>
        <v>#DIV/0!</v>
      </c>
      <c r="V20" s="563">
        <f>1000000000*MOR!Q20/SUM(KMA.FROT!$B22:$R22)</f>
        <v>0.11318681690617959</v>
      </c>
      <c r="W20" s="563">
        <f>1000000000*MOR!R20/SUM(KMA.FROT!$B60:$R60)</f>
        <v>0.10094882195129061</v>
      </c>
      <c r="X20" s="563">
        <f>1000000000*MOR!S20/SUM(KMA.FROT!$B98:$R98)</f>
        <v>9.0321325227169569E-2</v>
      </c>
      <c r="Y20" s="564">
        <f>1000000000*MOR!T20/SUM(KMA.FROT!$B136:$R136)</f>
        <v>0</v>
      </c>
      <c r="Z20" s="564" t="e">
        <f>1000000000*MOR!U20/SUM(KMA.FROT!$B174:$R174)</f>
        <v>#DIV/0!</v>
      </c>
      <c r="AA20" s="564">
        <f>1000000000*MOR!BL20/(SUM(KMA.FROT!$B22:$C22,KMA.FROT!$H22:$I22,KMA.FROT!$P22:$R22))</f>
        <v>23.683107423684838</v>
      </c>
      <c r="AB20" s="564">
        <f>1000000000*MOR!BM20/(SUM(KMA.FROT!$B60:$C60,KMA.FROT!$H60:$I60,KMA.FROT!$P60:$R60))</f>
        <v>28.612645919563604</v>
      </c>
      <c r="AC20" s="564">
        <f>1000000000*MOR!BN20/(SUM(KMA.FROT!$B98:$C98,KMA.FROT!$H98:$I98,KMA.FROT!$P98:$R98))</f>
        <v>24.327784613633742</v>
      </c>
      <c r="AD20" s="564">
        <f>1000000000*MOR!BO20/(SUM(KMA.FROT!$B136:$C136,KMA.FROT!$H136:$I136,KMA.FROT!$P136:$R136))</f>
        <v>21.117480620357895</v>
      </c>
      <c r="AE20" s="564" t="e">
        <f>1000000000*MOR!BP20/(SUM(KMA.FROT!$B174:$C174,KMA.FROT!$H174:$I174,KMA.FROT!$P174:$R174))</f>
        <v>#DIV/0!</v>
      </c>
      <c r="AF20" s="564">
        <f>1000000000*MOR!AF20/SUM(KMA.FROT!$J22:$L22)</f>
        <v>1.3946526107349377</v>
      </c>
      <c r="AG20" s="564">
        <f>1000000000*MOR!AG20/SUM(KMA.FROT!$J60:$L60)</f>
        <v>4.0914689789531025</v>
      </c>
      <c r="AH20" s="564">
        <f>1000000000*MOR!AH20/SUM(KMA.FROT!$J98:$L98)</f>
        <v>2.5762635195170072</v>
      </c>
      <c r="AI20" s="564">
        <f>1000000000*MOR!AI20/SUM(KMA.FROT!$J136:$L136)</f>
        <v>4.429649249353961</v>
      </c>
      <c r="AJ20" s="564" t="e">
        <f>1000000000*MOR!AJ20/SUM(KMA.FROT!$J174:$L174)</f>
        <v>#DIV/0!</v>
      </c>
      <c r="AK20" s="564">
        <f>1000000000*MOR!AK20/SUM(KMA.FROT!$M22:$O22)</f>
        <v>0</v>
      </c>
      <c r="AL20" s="564">
        <f>1000000000*MOR!AL20/SUM(KMA.FROT!$M60:$O60)</f>
        <v>0</v>
      </c>
      <c r="AM20" s="564">
        <f>1000000000*MOR!AM20/SUM(KMA.FROT!$M98:$O98)</f>
        <v>3.3119670779156971</v>
      </c>
      <c r="AN20" s="564">
        <f>1000000000*MOR!AN20/SUM(KMA.FROT!$M136:$O136)</f>
        <v>1.3972695718229282</v>
      </c>
      <c r="AO20" s="564" t="e">
        <f>1000000000*MOR!AO20/SUM(KMA.FROT!$M174:$O174)</f>
        <v>#DIV/0!</v>
      </c>
      <c r="AP20" s="563">
        <f>1000000000*MOR!AU20/SUM(KMA.FROT!$B22:$R22)</f>
        <v>9.960439887743803</v>
      </c>
      <c r="AQ20" s="563">
        <f>1000000000*MOR!AV20/SUM(KMA.FROT!$B60:$R60)</f>
        <v>11.104370414641966</v>
      </c>
      <c r="AR20" s="563">
        <f>1000000000*MOR!AW20/SUM(KMA.FROT!$B98:$R98)</f>
        <v>8.5805258965811095</v>
      </c>
      <c r="AS20" s="564">
        <f>1000000000*MOR!AX20/SUM(KMA.FROT!$B136:$R136)</f>
        <v>9.6314010383204227</v>
      </c>
      <c r="AT20" s="564" t="e">
        <f>1000000000*MOR!AY20/SUM(KMA.FROT!$B174:$R174)</f>
        <v>#DIV/0!</v>
      </c>
    </row>
    <row r="21" spans="1:46" s="1" customFormat="1">
      <c r="A21" s="21" t="s">
        <v>29</v>
      </c>
      <c r="B21" s="563">
        <f>1000000000*MOR!AZ21/SUM(KMA.FROT!$B23:$R23)</f>
        <v>98.789356793334775</v>
      </c>
      <c r="C21" s="563">
        <f>1000000000*MOR!BA21/SUM(KMA.FROT!$B61:$R61)</f>
        <v>101.86185844929328</v>
      </c>
      <c r="D21" s="563">
        <f>1000000000*MOR!BB21/SUM(KMA.FROT!$B99:$R99)</f>
        <v>88.055675302305247</v>
      </c>
      <c r="E21" s="564">
        <f>1000000000*MOR!BC21/SUM(KMA.FROT!$B137:$R137)</f>
        <v>87.607658078562764</v>
      </c>
      <c r="F21" s="564" t="e">
        <f>1000000000*MOR!BD21/SUM(KMA.FROT!$B175:$R175)</f>
        <v>#DIV/0!</v>
      </c>
      <c r="G21" s="563">
        <f>1000000000*MOR!B21/SUM(KMA.FROT!B23:R23)</f>
        <v>21.459860277203809</v>
      </c>
      <c r="H21" s="563">
        <f>1000000000*MOR!C21/SUM(KMA.FROT!$B61:$R61)</f>
        <v>19.007715213026017</v>
      </c>
      <c r="I21" s="563">
        <f>1000000000*MOR!D21/SUM(KMA.FROT!$B99:$R99)</f>
        <v>16.715653616708792</v>
      </c>
      <c r="J21" s="564">
        <f>1000000000*MOR!E21/SUM(KMA.FROT!$B137:$R137)</f>
        <v>11.725948081284555</v>
      </c>
      <c r="K21" s="564" t="e">
        <f>1000000000*MOR!F21/SUM(KMA.FROT!$B175:$R175)</f>
        <v>#DIV/0!</v>
      </c>
      <c r="L21" s="563">
        <f>1000000000*MOR!G21/SUM(KMA.FROT!$B23:$R23)</f>
        <v>4.6249698873284073</v>
      </c>
      <c r="M21" s="563">
        <f>1000000000*MOR!H21/SUM(KMA.FROT!$B61:$R61)</f>
        <v>5.1986913403148085</v>
      </c>
      <c r="N21" s="563">
        <f>1000000000*MOR!I21/SUM(KMA.FROT!$B99:$R99)</f>
        <v>2.6864443312567703</v>
      </c>
      <c r="O21" s="564">
        <f>1000000000*MOR!J21/SUM(KMA.FROT!$B137:$R137)</f>
        <v>3.0999632858568362</v>
      </c>
      <c r="P21" s="564" t="e">
        <f>1000000000*MOR!K21/SUM(KMA.FROT!$B175:$R175)</f>
        <v>#DIV/0!</v>
      </c>
      <c r="Q21" s="564">
        <f>1000000000*MOR!L21/SUM(KMA.FROT!$D23:$G23)</f>
        <v>146.73754396014567</v>
      </c>
      <c r="R21" s="564">
        <f>1000000000*MOR!M21/SUM(KMA.FROT!$D61:$G61)</f>
        <v>131.06072682059016</v>
      </c>
      <c r="S21" s="564">
        <f>1000000000*MOR!N21/SUM(KMA.FROT!$D99:$G99)</f>
        <v>120.89867040064151</v>
      </c>
      <c r="T21" s="564">
        <f>1000000000*MOR!O21/SUM(KMA.FROT!$D137:$G137)</f>
        <v>137.9772372848085</v>
      </c>
      <c r="U21" s="564" t="e">
        <f>1000000000*MOR!P21/SUM(KMA.FROT!$D175:$G175)</f>
        <v>#DIV/0!</v>
      </c>
      <c r="V21" s="563">
        <f>1000000000*MOR!Q21/SUM(KMA.FROT!$B23:$R23)</f>
        <v>0</v>
      </c>
      <c r="W21" s="563">
        <f>1000000000*MOR!R21/SUM(KMA.FROT!$B61:$R61)</f>
        <v>0</v>
      </c>
      <c r="X21" s="563">
        <f>1000000000*MOR!S21/SUM(KMA.FROT!$B99:$R99)</f>
        <v>0</v>
      </c>
      <c r="Y21" s="564">
        <f>1000000000*MOR!T21/SUM(KMA.FROT!$B137:$R137)</f>
        <v>0</v>
      </c>
      <c r="Z21" s="564" t="e">
        <f>1000000000*MOR!U21/SUM(KMA.FROT!$B175:$R175)</f>
        <v>#DIV/0!</v>
      </c>
      <c r="AA21" s="564">
        <f>1000000000*MOR!BL21/(SUM(KMA.FROT!$B23:$C23,KMA.FROT!$H23:$I23,KMA.FROT!$P23:$R23))</f>
        <v>31.372539702841507</v>
      </c>
      <c r="AB21" s="564">
        <f>1000000000*MOR!BM21/(SUM(KMA.FROT!$B61:$C61,KMA.FROT!$H61:$I61,KMA.FROT!$P61:$R61))</f>
        <v>44.663295393898714</v>
      </c>
      <c r="AC21" s="564">
        <f>1000000000*MOR!BN21/(SUM(KMA.FROT!$B99:$C99,KMA.FROT!$H99:$I99,KMA.FROT!$P99:$R99))</f>
        <v>41.025476939914761</v>
      </c>
      <c r="AD21" s="564">
        <f>1000000000*MOR!BO21/(SUM(KMA.FROT!$B137:$C137,KMA.FROT!$H137:$I137,KMA.FROT!$P137:$R137))</f>
        <v>29.820622242647861</v>
      </c>
      <c r="AE21" s="564" t="e">
        <f>1000000000*MOR!BP21/(SUM(KMA.FROT!$B175:$C175,KMA.FROT!$H175:$I175,KMA.FROT!$P175:$R175))</f>
        <v>#DIV/0!</v>
      </c>
      <c r="AF21" s="564">
        <f>1000000000*MOR!AF21/SUM(KMA.FROT!$J23:$L23)</f>
        <v>29.116588161738466</v>
      </c>
      <c r="AG21" s="564">
        <f>1000000000*MOR!AG21/SUM(KMA.FROT!$J61:$L61)</f>
        <v>63.888977644055871</v>
      </c>
      <c r="AH21" s="564">
        <f>1000000000*MOR!AH21/SUM(KMA.FROT!$J99:$L99)</f>
        <v>26.641221311815166</v>
      </c>
      <c r="AI21" s="564">
        <f>1000000000*MOR!AI21/SUM(KMA.FROT!$J137:$L137)</f>
        <v>36.308941195226538</v>
      </c>
      <c r="AJ21" s="564" t="e">
        <f>1000000000*MOR!AJ21/SUM(KMA.FROT!$J175:$L175)</f>
        <v>#DIV/0!</v>
      </c>
      <c r="AK21" s="564">
        <f>1000000000*MOR!AK21/SUM(KMA.FROT!$M23:$O23)</f>
        <v>0</v>
      </c>
      <c r="AL21" s="564">
        <f>1000000000*MOR!AL21/SUM(KMA.FROT!$M61:$O61)</f>
        <v>0</v>
      </c>
      <c r="AM21" s="564">
        <f>1000000000*MOR!AM21/SUM(KMA.FROT!$M99:$O99)</f>
        <v>1.8258728781706175</v>
      </c>
      <c r="AN21" s="564">
        <f>1000000000*MOR!AN21/SUM(KMA.FROT!$M137:$O137)</f>
        <v>1.768446049888903</v>
      </c>
      <c r="AO21" s="564" t="e">
        <f>1000000000*MOR!AO21/SUM(KMA.FROT!$M175:$O175)</f>
        <v>#DIV/0!</v>
      </c>
      <c r="AP21" s="563">
        <f>1000000000*MOR!AU21/SUM(KMA.FROT!$B23:$R23)</f>
        <v>4.0699735008489979</v>
      </c>
      <c r="AQ21" s="563">
        <f>1000000000*MOR!AV21/SUM(KMA.FROT!$B61:$R61)</f>
        <v>2.761804774542242</v>
      </c>
      <c r="AR21" s="563">
        <f>1000000000*MOR!AW21/SUM(KMA.FROT!$B99:$R99)</f>
        <v>0.14924690729204279</v>
      </c>
      <c r="AS21" s="564">
        <f>1000000000*MOR!AX21/SUM(KMA.FROT!$B137:$R137)</f>
        <v>0.40434303728567428</v>
      </c>
      <c r="AT21" s="564" t="e">
        <f>1000000000*MOR!AY21/SUM(KMA.FROT!$B175:$R175)</f>
        <v>#DIV/0!</v>
      </c>
    </row>
    <row r="22" spans="1:46">
      <c r="A22" s="351" t="s">
        <v>30</v>
      </c>
      <c r="B22" s="348">
        <f>1000000000*MOR!AZ22/SUM(KMA.FROT!$B24:$R24)</f>
        <v>40.898339298684796</v>
      </c>
      <c r="C22" s="348">
        <f>1000000000*MOR!BA22/SUM(KMA.FROT!$B62:$R62)</f>
        <v>41.353092615795873</v>
      </c>
      <c r="D22" s="348">
        <f>1000000000*MOR!BB22/SUM(KMA.FROT!$B100:$R100)</f>
        <v>39.093107733042459</v>
      </c>
      <c r="E22" s="349">
        <f>1000000000*MOR!BC22/SUM(KMA.FROT!$B138:$R138)</f>
        <v>36.901024750916115</v>
      </c>
      <c r="F22" s="349" t="e">
        <f>1000000000*MOR!BD22/SUM(KMA.FROT!$B176:$R176)</f>
        <v>#DIV/0!</v>
      </c>
      <c r="G22" s="348">
        <f>1000000000*MOR!B22/SUM(KMA.FROT!B24:R24)</f>
        <v>11.077125221188792</v>
      </c>
      <c r="H22" s="348">
        <f>1000000000*MOR!C22/SUM(KMA.FROT!$B62:$R62)</f>
        <v>11.047689556022133</v>
      </c>
      <c r="I22" s="348">
        <f>1000000000*MOR!D22/SUM(KMA.FROT!$B100:$R100)</f>
        <v>9.8884923968510776</v>
      </c>
      <c r="J22" s="349">
        <f>1000000000*MOR!E22/SUM(KMA.FROT!$B138:$R138)</f>
        <v>8.7622908606882994</v>
      </c>
      <c r="K22" s="349" t="e">
        <f>1000000000*MOR!F22/SUM(KMA.FROT!$B176:$R176)</f>
        <v>#DIV/0!</v>
      </c>
      <c r="L22" s="348">
        <f>1000000000*MOR!G22/SUM(KMA.FROT!$B24:$R24)</f>
        <v>1.6755811253356148</v>
      </c>
      <c r="M22" s="348">
        <f>1000000000*MOR!H22/SUM(KMA.FROT!$B62:$R62)</f>
        <v>1.4634672012262424</v>
      </c>
      <c r="N22" s="348">
        <f>1000000000*MOR!I22/SUM(KMA.FROT!$B100:$R100)</f>
        <v>1.204752999717672</v>
      </c>
      <c r="O22" s="349">
        <f>1000000000*MOR!J22/SUM(KMA.FROT!$B138:$R138)</f>
        <v>1.1541277572163753</v>
      </c>
      <c r="P22" s="349" t="e">
        <f>1000000000*MOR!K22/SUM(KMA.FROT!$B176:$R176)</f>
        <v>#DIV/0!</v>
      </c>
      <c r="Q22" s="349">
        <f>1000000000*MOR!L22/SUM(KMA.FROT!$D24:$G24)</f>
        <v>40.376303162306741</v>
      </c>
      <c r="R22" s="349">
        <f>1000000000*MOR!M22/SUM(KMA.FROT!$D62:$G62)</f>
        <v>39.021474720777782</v>
      </c>
      <c r="S22" s="349">
        <f>1000000000*MOR!N22/SUM(KMA.FROT!$D100:$G100)</f>
        <v>35.157446160712198</v>
      </c>
      <c r="T22" s="349">
        <f>1000000000*MOR!O22/SUM(KMA.FROT!$D138:$G138)</f>
        <v>31.157789512090336</v>
      </c>
      <c r="U22" s="349" t="e">
        <f>1000000000*MOR!P22/SUM(KMA.FROT!$D176:$G176)</f>
        <v>#DIV/0!</v>
      </c>
      <c r="V22" s="348">
        <f>1000000000*MOR!Q22/SUM(KMA.FROT!$B24:$R24)</f>
        <v>5.3099401859227228E-2</v>
      </c>
      <c r="W22" s="348">
        <f>1000000000*MOR!R22/SUM(KMA.FROT!$B62:$R62)</f>
        <v>5.6807414465343979E-2</v>
      </c>
      <c r="X22" s="348">
        <f>1000000000*MOR!S22/SUM(KMA.FROT!$B100:$R100)</f>
        <v>5.2598363813037653E-2</v>
      </c>
      <c r="Y22" s="349">
        <f>1000000000*MOR!T22/SUM(KMA.FROT!$B138:$R138)</f>
        <v>3.3452978470039862E-2</v>
      </c>
      <c r="Z22" s="349" t="e">
        <f>1000000000*MOR!U22/SUM(KMA.FROT!$B176:$R176)</f>
        <v>#DIV/0!</v>
      </c>
      <c r="AA22" s="349">
        <f>1000000000*MOR!BL22/(SUM(KMA.FROT!$B24:$C24,KMA.FROT!$H24:$I24,KMA.FROT!$P24:$R24))</f>
        <v>16.333154364423471</v>
      </c>
      <c r="AB22" s="349">
        <f>1000000000*MOR!BM22/(SUM(KMA.FROT!$B62:$C62,KMA.FROT!$H62:$I62,KMA.FROT!$P62:$R62))</f>
        <v>17.070687498680307</v>
      </c>
      <c r="AC22" s="349">
        <f>1000000000*MOR!BN22/(SUM(KMA.FROT!$B100:$C100,KMA.FROT!$H100:$I100,KMA.FROT!$P100:$R100))</f>
        <v>17.485904207319944</v>
      </c>
      <c r="AD22" s="349">
        <f>1000000000*MOR!BO22/(SUM(KMA.FROT!$B138:$C138,KMA.FROT!$H138:$I138,KMA.FROT!$P138:$R138))</f>
        <v>16.551652198510364</v>
      </c>
      <c r="AE22" s="349" t="e">
        <f>1000000000*MOR!BP22/(SUM(KMA.FROT!$B176:$C176,KMA.FROT!$H176:$I176,KMA.FROT!$P176:$R176))</f>
        <v>#DIV/0!</v>
      </c>
      <c r="AF22" s="349">
        <f>1000000000*MOR!AF22/SUM(KMA.FROT!$J24:$L24)</f>
        <v>7.9495119633214992</v>
      </c>
      <c r="AG22" s="349">
        <f>1000000000*MOR!AG22/SUM(KMA.FROT!$J62:$L62)</f>
        <v>8.034539641633291</v>
      </c>
      <c r="AH22" s="349">
        <f>1000000000*MOR!AH22/SUM(KMA.FROT!$J100:$L100)</f>
        <v>8.2889762042012549</v>
      </c>
      <c r="AI22" s="349">
        <f>1000000000*MOR!AI22/SUM(KMA.FROT!$J138:$L138)</f>
        <v>7.4943989930833137</v>
      </c>
      <c r="AJ22" s="349" t="e">
        <f>1000000000*MOR!AJ22/SUM(KMA.FROT!$J176:$L176)</f>
        <v>#DIV/0!</v>
      </c>
      <c r="AK22" s="349">
        <f>1000000000*MOR!AK22/SUM(KMA.FROT!$M24:$O24)</f>
        <v>2.1682115398025146</v>
      </c>
      <c r="AL22" s="349">
        <f>1000000000*MOR!AL22/SUM(KMA.FROT!$M62:$O62)</f>
        <v>2.1315292637467582</v>
      </c>
      <c r="AM22" s="349">
        <f>1000000000*MOR!AM22/SUM(KMA.FROT!$M100:$O100)</f>
        <v>2.5050362821880703</v>
      </c>
      <c r="AN22" s="349">
        <f>1000000000*MOR!AN22/SUM(KMA.FROT!$M138:$O138)</f>
        <v>2.55513639783352</v>
      </c>
      <c r="AO22" s="349" t="e">
        <f>1000000000*MOR!AO22/SUM(KMA.FROT!$M176:$O176)</f>
        <v>#DIV/0!</v>
      </c>
      <c r="AP22" s="348">
        <f>1000000000*MOR!AU22/SUM(KMA.FROT!$B24:$R24)</f>
        <v>8.2510570555699196</v>
      </c>
      <c r="AQ22" s="348">
        <f>1000000000*MOR!AV22/SUM(KMA.FROT!$B62:$R62)</f>
        <v>8.6103809639614237</v>
      </c>
      <c r="AR22" s="348">
        <f>1000000000*MOR!AW22/SUM(KMA.FROT!$B100:$R100)</f>
        <v>7.9298295158131999</v>
      </c>
      <c r="AS22" s="349">
        <f>1000000000*MOR!AX22/SUM(KMA.FROT!$B138:$R138)</f>
        <v>8.3895291005935686</v>
      </c>
      <c r="AT22" s="349" t="e">
        <f>1000000000*MOR!AY22/SUM(KMA.FROT!$B176:$R176)</f>
        <v>#DIV/0!</v>
      </c>
    </row>
    <row r="23" spans="1:46" s="1" customFormat="1">
      <c r="A23" s="21" t="s">
        <v>31</v>
      </c>
      <c r="B23" s="563">
        <f>1000000000*MOR!AZ23/SUM(KMA.FROT!$B25:$R25)</f>
        <v>77.945784401925593</v>
      </c>
      <c r="C23" s="563">
        <f>1000000000*MOR!BA23/SUM(KMA.FROT!$B63:$R63)</f>
        <v>82.510033291374668</v>
      </c>
      <c r="D23" s="563">
        <f>1000000000*MOR!BB23/SUM(KMA.FROT!$B101:$R101)</f>
        <v>75.588369172687365</v>
      </c>
      <c r="E23" s="564">
        <f>1000000000*MOR!BC23/SUM(KMA.FROT!$B139:$R139)</f>
        <v>69.360389861280126</v>
      </c>
      <c r="F23" s="564" t="e">
        <f>1000000000*MOR!BD23/SUM(KMA.FROT!$B177:$R177)</f>
        <v>#DIV/0!</v>
      </c>
      <c r="G23" s="563">
        <f>1000000000*MOR!B23/SUM(KMA.FROT!B25:R25)</f>
        <v>16.679421505631261</v>
      </c>
      <c r="H23" s="563">
        <f>1000000000*MOR!C23/SUM(KMA.FROT!$B63:$R63)</f>
        <v>16.386507049118155</v>
      </c>
      <c r="I23" s="563">
        <f>1000000000*MOR!D23/SUM(KMA.FROT!$B101:$R101)</f>
        <v>14.803268139538426</v>
      </c>
      <c r="J23" s="564">
        <f>1000000000*MOR!E23/SUM(KMA.FROT!$B139:$R139)</f>
        <v>11.853467641267839</v>
      </c>
      <c r="K23" s="564" t="e">
        <f>1000000000*MOR!F23/SUM(KMA.FROT!$B177:$R177)</f>
        <v>#DIV/0!</v>
      </c>
      <c r="L23" s="563">
        <f>1000000000*MOR!G23/SUM(KMA.FROT!$B25:$R25)</f>
        <v>1.5458976029609461</v>
      </c>
      <c r="M23" s="563">
        <f>1000000000*MOR!H23/SUM(KMA.FROT!$B63:$R63)</f>
        <v>1.2993706030137744</v>
      </c>
      <c r="N23" s="563">
        <f>1000000000*MOR!I23/SUM(KMA.FROT!$B101:$R101)</f>
        <v>0.78601423749761556</v>
      </c>
      <c r="O23" s="564">
        <f>1000000000*MOR!J23/SUM(KMA.FROT!$B139:$R139)</f>
        <v>1.2909717233063982</v>
      </c>
      <c r="P23" s="564" t="e">
        <f>1000000000*MOR!K23/SUM(KMA.FROT!$B177:$R177)</f>
        <v>#DIV/0!</v>
      </c>
      <c r="Q23" s="564">
        <f>1000000000*MOR!L23/SUM(KMA.FROT!$D25:$G25)</f>
        <v>73.000466581870725</v>
      </c>
      <c r="R23" s="564">
        <f>1000000000*MOR!M23/SUM(KMA.FROT!$D63:$G63)</f>
        <v>74.707426836270457</v>
      </c>
      <c r="S23" s="564">
        <f>1000000000*MOR!N23/SUM(KMA.FROT!$D101:$G101)</f>
        <v>74.677763181027899</v>
      </c>
      <c r="T23" s="564">
        <f>1000000000*MOR!O23/SUM(KMA.FROT!$D139:$G139)</f>
        <v>64.541702366677129</v>
      </c>
      <c r="U23" s="564" t="e">
        <f>1000000000*MOR!P23/SUM(KMA.FROT!$D177:$G177)</f>
        <v>#DIV/0!</v>
      </c>
      <c r="V23" s="563">
        <f>1000000000*MOR!Q23/SUM(KMA.FROT!$B25:$R25)</f>
        <v>0</v>
      </c>
      <c r="W23" s="563">
        <f>1000000000*MOR!R23/SUM(KMA.FROT!$B63:$R63)</f>
        <v>0</v>
      </c>
      <c r="X23" s="563">
        <f>1000000000*MOR!S23/SUM(KMA.FROT!$B101:$R101)</f>
        <v>0</v>
      </c>
      <c r="Y23" s="564">
        <f>1000000000*MOR!T23/SUM(KMA.FROT!$B139:$R139)</f>
        <v>0</v>
      </c>
      <c r="Z23" s="564" t="e">
        <f>1000000000*MOR!U23/SUM(KMA.FROT!$B177:$R177)</f>
        <v>#DIV/0!</v>
      </c>
      <c r="AA23" s="564">
        <f>1000000000*MOR!BL23/(SUM(KMA.FROT!$B25:$C25,KMA.FROT!$H25:$I25,KMA.FROT!$P25:$R25))</f>
        <v>41.459207379184683</v>
      </c>
      <c r="AB23" s="564">
        <f>1000000000*MOR!BM23/(SUM(KMA.FROT!$B63:$C63,KMA.FROT!$H63:$I63,KMA.FROT!$P63:$R63))</f>
        <v>47.852110117845505</v>
      </c>
      <c r="AC23" s="564">
        <f>1000000000*MOR!BN23/(SUM(KMA.FROT!$B101:$C101,KMA.FROT!$H101:$I101,KMA.FROT!$P101:$R101))</f>
        <v>53.424521877604654</v>
      </c>
      <c r="AD23" s="564">
        <f>1000000000*MOR!BO23/(SUM(KMA.FROT!$B139:$C139,KMA.FROT!$H139:$I139,KMA.FROT!$P139:$R139))</f>
        <v>49.95846025267705</v>
      </c>
      <c r="AE23" s="564" t="e">
        <f>1000000000*MOR!BP23/(SUM(KMA.FROT!$B177:$C177,KMA.FROT!$H177:$I177,KMA.FROT!$P177:$R177))</f>
        <v>#DIV/0!</v>
      </c>
      <c r="AF23" s="564">
        <f>1000000000*MOR!AF23/SUM(KMA.FROT!$J25:$L25)</f>
        <v>10.181400427193497</v>
      </c>
      <c r="AG23" s="564">
        <f>1000000000*MOR!AG23/SUM(KMA.FROT!$J63:$L63)</f>
        <v>8.9014644093393205</v>
      </c>
      <c r="AH23" s="564">
        <f>1000000000*MOR!AH23/SUM(KMA.FROT!$J101:$L101)</f>
        <v>13.732305084565164</v>
      </c>
      <c r="AI23" s="564">
        <f>1000000000*MOR!AI23/SUM(KMA.FROT!$J139:$L139)</f>
        <v>15.691611973532497</v>
      </c>
      <c r="AJ23" s="564" t="e">
        <f>1000000000*MOR!AJ23/SUM(KMA.FROT!$J177:$L177)</f>
        <v>#DIV/0!</v>
      </c>
      <c r="AK23" s="564">
        <f>1000000000*MOR!AK23/SUM(KMA.FROT!$M25:$O25)</f>
        <v>1.7645092049550783</v>
      </c>
      <c r="AL23" s="564">
        <f>1000000000*MOR!AL23/SUM(KMA.FROT!$M63:$O63)</f>
        <v>0.78518746764968406</v>
      </c>
      <c r="AM23" s="564">
        <f>1000000000*MOR!AM23/SUM(KMA.FROT!$M101:$O101)</f>
        <v>0</v>
      </c>
      <c r="AN23" s="564">
        <f>1000000000*MOR!AN23/SUM(KMA.FROT!$M139:$O139)</f>
        <v>0.67959074724707613</v>
      </c>
      <c r="AO23" s="564" t="e">
        <f>1000000000*MOR!AO23/SUM(KMA.FROT!$M177:$O177)</f>
        <v>#DIV/0!</v>
      </c>
      <c r="AP23" s="563">
        <f>1000000000*MOR!AU23/SUM(KMA.FROT!$B25:$R25)</f>
        <v>14.645345712261594</v>
      </c>
      <c r="AQ23" s="563">
        <f>1000000000*MOR!AV23/SUM(KMA.FROT!$B63:$R63)</f>
        <v>15.881196259057242</v>
      </c>
      <c r="AR23" s="563">
        <f>1000000000*MOR!AW23/SUM(KMA.FROT!$B101:$R101)</f>
        <v>7.9911447478924247</v>
      </c>
      <c r="AS23" s="564">
        <f>1000000000*MOR!AX23/SUM(KMA.FROT!$B139:$R139)</f>
        <v>8.3326356686140244</v>
      </c>
      <c r="AT23" s="564" t="e">
        <f>1000000000*MOR!AY23/SUM(KMA.FROT!$B177:$R177)</f>
        <v>#DIV/0!</v>
      </c>
    </row>
    <row r="24" spans="1:46" s="1" customFormat="1">
      <c r="A24" s="21" t="s">
        <v>32</v>
      </c>
      <c r="B24" s="563">
        <f>1000000000*MOR!AZ24/SUM(KMA.FROT!$B26:$R26)</f>
        <v>50.66836893725295</v>
      </c>
      <c r="C24" s="563">
        <f>1000000000*MOR!BA24/SUM(KMA.FROT!$B64:$R64)</f>
        <v>49.921706065738178</v>
      </c>
      <c r="D24" s="563">
        <f>1000000000*MOR!BB24/SUM(KMA.FROT!$B102:$R102)</f>
        <v>49.052265221226712</v>
      </c>
      <c r="E24" s="564">
        <f>1000000000*MOR!BC24/SUM(KMA.FROT!$B140:$R140)</f>
        <v>45.223968131741927</v>
      </c>
      <c r="F24" s="564" t="e">
        <f>1000000000*MOR!BD24/SUM(KMA.FROT!$B178:$R178)</f>
        <v>#DIV/0!</v>
      </c>
      <c r="G24" s="563">
        <f>1000000000*MOR!B24/SUM(KMA.FROT!B26:R26)</f>
        <v>9.666732567112458</v>
      </c>
      <c r="H24" s="563">
        <f>1000000000*MOR!C24/SUM(KMA.FROT!$B64:$R64)</f>
        <v>9.0269067197730024</v>
      </c>
      <c r="I24" s="563">
        <f>1000000000*MOR!D24/SUM(KMA.FROT!$B102:$R102)</f>
        <v>7.7583221891447911</v>
      </c>
      <c r="J24" s="564">
        <f>1000000000*MOR!E24/SUM(KMA.FROT!$B140:$R140)</f>
        <v>6.9472413493231224</v>
      </c>
      <c r="K24" s="564" t="e">
        <f>1000000000*MOR!F24/SUM(KMA.FROT!$B178:$R178)</f>
        <v>#DIV/0!</v>
      </c>
      <c r="L24" s="563">
        <f>1000000000*MOR!G24/SUM(KMA.FROT!$B26:$R26)</f>
        <v>1.416563252711188</v>
      </c>
      <c r="M24" s="563">
        <f>1000000000*MOR!H24/SUM(KMA.FROT!$B64:$R64)</f>
        <v>1.4676003183114816</v>
      </c>
      <c r="N24" s="563">
        <f>1000000000*MOR!I24/SUM(KMA.FROT!$B102:$R102)</f>
        <v>1.2129207929508055</v>
      </c>
      <c r="O24" s="564">
        <f>1000000000*MOR!J24/SUM(KMA.FROT!$B140:$R140)</f>
        <v>1.3997404792710291</v>
      </c>
      <c r="P24" s="564" t="e">
        <f>1000000000*MOR!K24/SUM(KMA.FROT!$B178:$R178)</f>
        <v>#DIV/0!</v>
      </c>
      <c r="Q24" s="564">
        <f>1000000000*MOR!L24/SUM(KMA.FROT!$D26:$G26)</f>
        <v>31.892887582979771</v>
      </c>
      <c r="R24" s="564">
        <f>1000000000*MOR!M24/SUM(KMA.FROT!$D64:$G64)</f>
        <v>29.780426529744958</v>
      </c>
      <c r="S24" s="564">
        <f>1000000000*MOR!N24/SUM(KMA.FROT!$D102:$G102)</f>
        <v>31.71642376983807</v>
      </c>
      <c r="T24" s="564">
        <f>1000000000*MOR!O24/SUM(KMA.FROT!$D140:$G140)</f>
        <v>28.473493901063886</v>
      </c>
      <c r="U24" s="564" t="e">
        <f>1000000000*MOR!P24/SUM(KMA.FROT!$D178:$G178)</f>
        <v>#DIV/0!</v>
      </c>
      <c r="V24" s="563">
        <f>1000000000*MOR!Q24/SUM(KMA.FROT!$B26:$R26)</f>
        <v>7.8697958483954888E-2</v>
      </c>
      <c r="W24" s="563">
        <f>1000000000*MOR!R24/SUM(KMA.FROT!$B64:$R64)</f>
        <v>0.10482859416510584</v>
      </c>
      <c r="X24" s="563">
        <f>1000000000*MOR!S24/SUM(KMA.FROT!$B102:$R102)</f>
        <v>7.6490500456357094E-2</v>
      </c>
      <c r="Y24" s="564">
        <f>1000000000*MOR!T24/SUM(KMA.FROT!$B140:$R140)</f>
        <v>3.0876628219213876E-2</v>
      </c>
      <c r="Z24" s="564" t="e">
        <f>1000000000*MOR!U24/SUM(KMA.FROT!$B178:$R178)</f>
        <v>#DIV/0!</v>
      </c>
      <c r="AA24" s="564">
        <f>1000000000*MOR!BL24/(SUM(KMA.FROT!$B26:$C26,KMA.FROT!$H26:$I26,KMA.FROT!$P26:$R26))</f>
        <v>36.976306211499129</v>
      </c>
      <c r="AB24" s="564">
        <f>1000000000*MOR!BM24/(SUM(KMA.FROT!$B64:$C64,KMA.FROT!$H64:$I64,KMA.FROT!$P64:$R64))</f>
        <v>40.236301402360176</v>
      </c>
      <c r="AC24" s="564">
        <f>1000000000*MOR!BN24/(SUM(KMA.FROT!$B102:$C102,KMA.FROT!$H102:$I102,KMA.FROT!$P102:$R102))</f>
        <v>40.576227213050636</v>
      </c>
      <c r="AD24" s="564">
        <f>1000000000*MOR!BO24/(SUM(KMA.FROT!$B140:$C140,KMA.FROT!$H140:$I140,KMA.FROT!$P140:$R140))</f>
        <v>37.179709923057004</v>
      </c>
      <c r="AE24" s="564" t="e">
        <f>1000000000*MOR!BP24/(SUM(KMA.FROT!$B178:$C178,KMA.FROT!$H178:$I178,KMA.FROT!$P178:$R178))</f>
        <v>#DIV/0!</v>
      </c>
      <c r="AF24" s="564">
        <f>1000000000*MOR!AF24/SUM(KMA.FROT!$J26:$L26)</f>
        <v>7.2482041540370599</v>
      </c>
      <c r="AG24" s="564">
        <f>1000000000*MOR!AG24/SUM(KMA.FROT!$J64:$L64)</f>
        <v>7.9706634512727117</v>
      </c>
      <c r="AH24" s="564">
        <f>1000000000*MOR!AH24/SUM(KMA.FROT!$J102:$L102)</f>
        <v>9.2298424678486519</v>
      </c>
      <c r="AI24" s="564">
        <f>1000000000*MOR!AI24/SUM(KMA.FROT!$J140:$L140)</f>
        <v>7.0633689801576329</v>
      </c>
      <c r="AJ24" s="564" t="e">
        <f>1000000000*MOR!AJ24/SUM(KMA.FROT!$J178:$L178)</f>
        <v>#DIV/0!</v>
      </c>
      <c r="AK24" s="564">
        <f>1000000000*MOR!AK24/SUM(KMA.FROT!$M26:$O26)</f>
        <v>1.9995404725127721</v>
      </c>
      <c r="AL24" s="564">
        <f>1000000000*MOR!AL24/SUM(KMA.FROT!$M64:$O64)</f>
        <v>1.6781584860747154</v>
      </c>
      <c r="AM24" s="564">
        <f>1000000000*MOR!AM24/SUM(KMA.FROT!$M102:$O102)</f>
        <v>4.1101696251536453</v>
      </c>
      <c r="AN24" s="564">
        <f>1000000000*MOR!AN24/SUM(KMA.FROT!$M140:$O140)</f>
        <v>3.1179780310985081</v>
      </c>
      <c r="AO24" s="564" t="e">
        <f>1000000000*MOR!AO24/SUM(KMA.FROT!$M178:$O178)</f>
        <v>#DIV/0!</v>
      </c>
      <c r="AP24" s="563">
        <f>1000000000*MOR!AU24/SUM(KMA.FROT!$B26:$R26)</f>
        <v>11.293157042447525</v>
      </c>
      <c r="AQ24" s="563">
        <f>1000000000*MOR!AV24/SUM(KMA.FROT!$B64:$R64)</f>
        <v>10.121783147719663</v>
      </c>
      <c r="AR24" s="563">
        <f>1000000000*MOR!AW24/SUM(KMA.FROT!$B102:$R102)</f>
        <v>9.6596574862028106</v>
      </c>
      <c r="AS24" s="564">
        <f>1000000000*MOR!AX24/SUM(KMA.FROT!$B140:$R140)</f>
        <v>9.1806507905129262</v>
      </c>
      <c r="AT24" s="564" t="e">
        <f>1000000000*MOR!AY24/SUM(KMA.FROT!$B178:$R178)</f>
        <v>#DIV/0!</v>
      </c>
    </row>
    <row r="25" spans="1:46" s="1" customFormat="1">
      <c r="A25" s="21" t="s">
        <v>33</v>
      </c>
      <c r="B25" s="563">
        <f>1000000000*MOR!AZ25/SUM(KMA.FROT!$B27:$R27)</f>
        <v>44.980154170670126</v>
      </c>
      <c r="C25" s="563">
        <f>1000000000*MOR!BA25/SUM(KMA.FROT!$B65:$R65)</f>
        <v>52.428711649715972</v>
      </c>
      <c r="D25" s="563">
        <f>1000000000*MOR!BB25/SUM(KMA.FROT!$B103:$R103)</f>
        <v>45.881403193876267</v>
      </c>
      <c r="E25" s="564">
        <f>1000000000*MOR!BC25/SUM(KMA.FROT!$B141:$R141)</f>
        <v>48.681519992994154</v>
      </c>
      <c r="F25" s="564" t="e">
        <f>1000000000*MOR!BD25/SUM(KMA.FROT!$B179:$R179)</f>
        <v>#DIV/0!</v>
      </c>
      <c r="G25" s="563">
        <f>1000000000*MOR!B25/SUM(KMA.FROT!B27:R27)</f>
        <v>17.566680175235444</v>
      </c>
      <c r="H25" s="563">
        <f>1000000000*MOR!C25/SUM(KMA.FROT!$B65:$R65)</f>
        <v>21.720201503523196</v>
      </c>
      <c r="I25" s="563">
        <f>1000000000*MOR!D25/SUM(KMA.FROT!$B103:$R103)</f>
        <v>18.172700747278654</v>
      </c>
      <c r="J25" s="564">
        <f>1000000000*MOR!E25/SUM(KMA.FROT!$B141:$R141)</f>
        <v>15.636009596680276</v>
      </c>
      <c r="K25" s="564" t="e">
        <f>1000000000*MOR!F25/SUM(KMA.FROT!$B179:$R179)</f>
        <v>#DIV/0!</v>
      </c>
      <c r="L25" s="563">
        <f>1000000000*MOR!G25/SUM(KMA.FROT!$B27:$R27)</f>
        <v>2.5404728056114037</v>
      </c>
      <c r="M25" s="563">
        <f>1000000000*MOR!H25/SUM(KMA.FROT!$B65:$R65)</f>
        <v>2.2239114167429892</v>
      </c>
      <c r="N25" s="563">
        <f>1000000000*MOR!I25/SUM(KMA.FROT!$B103:$R103)</f>
        <v>1.408341887977711</v>
      </c>
      <c r="O25" s="564">
        <f>1000000000*MOR!J25/SUM(KMA.FROT!$B141:$R141)</f>
        <v>1.415538850063667</v>
      </c>
      <c r="P25" s="564" t="e">
        <f>1000000000*MOR!K25/SUM(KMA.FROT!$B179:$R179)</f>
        <v>#DIV/0!</v>
      </c>
      <c r="Q25" s="564">
        <f>1000000000*MOR!L25/SUM(KMA.FROT!$D27:$G27)</f>
        <v>68.783702168845366</v>
      </c>
      <c r="R25" s="564">
        <f>1000000000*MOR!M25/SUM(KMA.FROT!$D65:$G65)</f>
        <v>60.847139124178575</v>
      </c>
      <c r="S25" s="564">
        <f>1000000000*MOR!N25/SUM(KMA.FROT!$D103:$G103)</f>
        <v>44.722386687586997</v>
      </c>
      <c r="T25" s="564">
        <f>1000000000*MOR!O25/SUM(KMA.FROT!$D141:$G141)</f>
        <v>36.827111975124133</v>
      </c>
      <c r="U25" s="564" t="e">
        <f>1000000000*MOR!P25/SUM(KMA.FROT!$D179:$G179)</f>
        <v>#DIV/0!</v>
      </c>
      <c r="V25" s="563">
        <f>1000000000*MOR!Q25/SUM(KMA.FROT!$B27:$R27)</f>
        <v>3.9387175280796959E-2</v>
      </c>
      <c r="W25" s="563">
        <f>1000000000*MOR!R25/SUM(KMA.FROT!$B65:$R65)</f>
        <v>5.5597785418574727E-2</v>
      </c>
      <c r="X25" s="563">
        <f>1000000000*MOR!S25/SUM(KMA.FROT!$B103:$R103)</f>
        <v>3.393594910789665E-2</v>
      </c>
      <c r="Y25" s="564">
        <f>1000000000*MOR!T25/SUM(KMA.FROT!$B141:$R141)</f>
        <v>4.8811684484954036E-2</v>
      </c>
      <c r="Z25" s="564" t="e">
        <f>1000000000*MOR!U25/SUM(KMA.FROT!$B179:$R179)</f>
        <v>#DIV/0!</v>
      </c>
      <c r="AA25" s="564">
        <f>1000000000*MOR!BL25/(SUM(KMA.FROT!$B27:$C27,KMA.FROT!$H27:$I27,KMA.FROT!$P27:$R27))</f>
        <v>10.604877646389243</v>
      </c>
      <c r="AB25" s="564">
        <f>1000000000*MOR!BM25/(SUM(KMA.FROT!$B65:$C65,KMA.FROT!$H65:$I65,KMA.FROT!$P65:$R65))</f>
        <v>10.552915399019275</v>
      </c>
      <c r="AC25" s="564">
        <f>1000000000*MOR!BN25/(SUM(KMA.FROT!$B103:$C103,KMA.FROT!$H103:$I103,KMA.FROT!$P103:$R103))</f>
        <v>11.780043335527539</v>
      </c>
      <c r="AD25" s="564">
        <f>1000000000*MOR!BO25/(SUM(KMA.FROT!$B141:$C141,KMA.FROT!$H141:$I141,KMA.FROT!$P141:$R141))</f>
        <v>12.984222709744317</v>
      </c>
      <c r="AE25" s="564" t="e">
        <f>1000000000*MOR!BP25/(SUM(KMA.FROT!$B179:$C179,KMA.FROT!$H179:$I179,KMA.FROT!$P179:$R179))</f>
        <v>#DIV/0!</v>
      </c>
      <c r="AF25" s="564">
        <f>1000000000*MOR!AF25/SUM(KMA.FROT!$J27:$L27)</f>
        <v>25.453738286296701</v>
      </c>
      <c r="AG25" s="564">
        <f>1000000000*MOR!AG25/SUM(KMA.FROT!$J65:$L65)</f>
        <v>11.486678355942864</v>
      </c>
      <c r="AH25" s="564">
        <f>1000000000*MOR!AH25/SUM(KMA.FROT!$J103:$L103)</f>
        <v>16.906191594878745</v>
      </c>
      <c r="AI25" s="564">
        <f>1000000000*MOR!AI25/SUM(KMA.FROT!$J141:$L141)</f>
        <v>16.498230634430872</v>
      </c>
      <c r="AJ25" s="564" t="e">
        <f>1000000000*MOR!AJ25/SUM(KMA.FROT!$J179:$L179)</f>
        <v>#DIV/0!</v>
      </c>
      <c r="AK25" s="564">
        <f>1000000000*MOR!AK25/SUM(KMA.FROT!$M27:$O27)</f>
        <v>2.8870605590883427</v>
      </c>
      <c r="AL25" s="564">
        <f>1000000000*MOR!AL25/SUM(KMA.FROT!$M65:$O65)</f>
        <v>2.5270266930705678</v>
      </c>
      <c r="AM25" s="564">
        <f>1000000000*MOR!AM25/SUM(KMA.FROT!$M103:$O103)</f>
        <v>1.179066417911842</v>
      </c>
      <c r="AN25" s="564">
        <f>1000000000*MOR!AN25/SUM(KMA.FROT!$M141:$O141)</f>
        <v>3.1366687156428998</v>
      </c>
      <c r="AO25" s="564" t="e">
        <f>1000000000*MOR!AO25/SUM(KMA.FROT!$M179:$O179)</f>
        <v>#DIV/0!</v>
      </c>
      <c r="AP25" s="563">
        <f>1000000000*MOR!AU25/SUM(KMA.FROT!$B27:$R27)</f>
        <v>4.7264610336956343</v>
      </c>
      <c r="AQ25" s="563">
        <f>1000000000*MOR!AV25/SUM(KMA.FROT!$B65:$R65)</f>
        <v>9.8408080190877278</v>
      </c>
      <c r="AR25" s="563">
        <f>1000000000*MOR!AW25/SUM(KMA.FROT!$B103:$R103)</f>
        <v>8.9081866408228709</v>
      </c>
      <c r="AS25" s="564">
        <f>1000000000*MOR!AX25/SUM(KMA.FROT!$B141:$R141)</f>
        <v>14.513340853526334</v>
      </c>
      <c r="AT25" s="564" t="e">
        <f>1000000000*MOR!AY25/SUM(KMA.FROT!$B179:$R179)</f>
        <v>#DIV/0!</v>
      </c>
    </row>
    <row r="26" spans="1:46" s="1" customFormat="1">
      <c r="A26" s="21" t="s">
        <v>34</v>
      </c>
      <c r="B26" s="563">
        <f>1000000000*MOR!AZ26/SUM(KMA.FROT!$B28:$R28)</f>
        <v>33.871336088244782</v>
      </c>
      <c r="C26" s="563">
        <f>1000000000*MOR!BA26/SUM(KMA.FROT!$B66:$R66)</f>
        <v>32.553852908371979</v>
      </c>
      <c r="D26" s="563">
        <f>1000000000*MOR!BB26/SUM(KMA.FROT!$B104:$R104)</f>
        <v>31.126948388559306</v>
      </c>
      <c r="E26" s="564">
        <f>1000000000*MOR!BC26/SUM(KMA.FROT!$B142:$R142)</f>
        <v>28.340955767166871</v>
      </c>
      <c r="F26" s="564" t="e">
        <f>1000000000*MOR!BD26/SUM(KMA.FROT!$B180:$R180)</f>
        <v>#DIV/0!</v>
      </c>
      <c r="G26" s="563">
        <f>1000000000*MOR!B26/SUM(KMA.FROT!B28:R28)</f>
        <v>9.6266957575851784</v>
      </c>
      <c r="H26" s="563">
        <f>1000000000*MOR!C26/SUM(KMA.FROT!$B66:$R66)</f>
        <v>8.8459039770935384</v>
      </c>
      <c r="I26" s="563">
        <f>1000000000*MOR!D26/SUM(KMA.FROT!$B104:$R104)</f>
        <v>8.3208107453785445</v>
      </c>
      <c r="J26" s="564">
        <f>1000000000*MOR!E26/SUM(KMA.FROT!$B142:$R142)</f>
        <v>7.5397248142761031</v>
      </c>
      <c r="K26" s="564" t="e">
        <f>1000000000*MOR!F26/SUM(KMA.FROT!$B180:$R180)</f>
        <v>#DIV/0!</v>
      </c>
      <c r="L26" s="563">
        <f>1000000000*MOR!G26/SUM(KMA.FROT!$B28:$R28)</f>
        <v>1.56352372533398</v>
      </c>
      <c r="M26" s="563">
        <f>1000000000*MOR!H26/SUM(KMA.FROT!$B66:$R66)</f>
        <v>1.2828876448455027</v>
      </c>
      <c r="N26" s="563">
        <f>1000000000*MOR!I26/SUM(KMA.FROT!$B104:$R104)</f>
        <v>1.1788886939614116</v>
      </c>
      <c r="O26" s="564">
        <f>1000000000*MOR!J26/SUM(KMA.FROT!$B142:$R142)</f>
        <v>0.98111235964883126</v>
      </c>
      <c r="P26" s="564" t="e">
        <f>1000000000*MOR!K26/SUM(KMA.FROT!$B180:$R180)</f>
        <v>#DIV/0!</v>
      </c>
      <c r="Q26" s="564">
        <f>1000000000*MOR!L26/SUM(KMA.FROT!$D28:$G28)</f>
        <v>36.308543781445692</v>
      </c>
      <c r="R26" s="564">
        <f>1000000000*MOR!M26/SUM(KMA.FROT!$D66:$G66)</f>
        <v>36.323022698847751</v>
      </c>
      <c r="S26" s="564">
        <f>1000000000*MOR!N26/SUM(KMA.FROT!$D104:$G104)</f>
        <v>31.676597520481785</v>
      </c>
      <c r="T26" s="564">
        <f>1000000000*MOR!O26/SUM(KMA.FROT!$D142:$G142)</f>
        <v>28.328556294863912</v>
      </c>
      <c r="U26" s="564" t="e">
        <f>1000000000*MOR!P26/SUM(KMA.FROT!$D180:$G180)</f>
        <v>#DIV/0!</v>
      </c>
      <c r="V26" s="563">
        <f>1000000000*MOR!Q26/SUM(KMA.FROT!$B28:$R28)</f>
        <v>5.0112939914550646E-2</v>
      </c>
      <c r="W26" s="563">
        <f>1000000000*MOR!R26/SUM(KMA.FROT!$B66:$R66)</f>
        <v>4.1682270049131859E-2</v>
      </c>
      <c r="X26" s="563">
        <f>1000000000*MOR!S26/SUM(KMA.FROT!$B104:$R104)</f>
        <v>5.1442415736497958E-2</v>
      </c>
      <c r="Y26" s="564">
        <f>1000000000*MOR!T26/SUM(KMA.FROT!$B142:$R142)</f>
        <v>3.2978566710885088E-2</v>
      </c>
      <c r="Z26" s="564" t="e">
        <f>1000000000*MOR!U26/SUM(KMA.FROT!$B180:$R180)</f>
        <v>#DIV/0!</v>
      </c>
      <c r="AA26" s="564">
        <f>1000000000*MOR!BL26/(SUM(KMA.FROT!$B28:$C28,KMA.FROT!$H28:$I28,KMA.FROT!$P28:$R28))</f>
        <v>10.747009315870129</v>
      </c>
      <c r="AB26" s="564">
        <f>1000000000*MOR!BM26/(SUM(KMA.FROT!$B66:$C66,KMA.FROT!$H66:$I66,KMA.FROT!$P66:$R66))</f>
        <v>10.397689651018521</v>
      </c>
      <c r="AC26" s="564">
        <f>1000000000*MOR!BN26/(SUM(KMA.FROT!$B104:$C104,KMA.FROT!$H104:$I104,KMA.FROT!$P104:$R104))</f>
        <v>10.2799780629613</v>
      </c>
      <c r="AD26" s="564">
        <f>1000000000*MOR!BO26/(SUM(KMA.FROT!$B142:$C142,KMA.FROT!$H142:$I142,KMA.FROT!$P142:$R142))</f>
        <v>9.2174906610511247</v>
      </c>
      <c r="AE26" s="564" t="e">
        <f>1000000000*MOR!BP26/(SUM(KMA.FROT!$B180:$C180,KMA.FROT!$H180:$I180,KMA.FROT!$P180:$R180))</f>
        <v>#DIV/0!</v>
      </c>
      <c r="AF26" s="564">
        <f>1000000000*MOR!AF26/SUM(KMA.FROT!$J28:$L28)</f>
        <v>5.5832657771970791</v>
      </c>
      <c r="AG26" s="564">
        <f>1000000000*MOR!AG26/SUM(KMA.FROT!$J66:$L66)</f>
        <v>7.4746731295288793</v>
      </c>
      <c r="AH26" s="564">
        <f>1000000000*MOR!AH26/SUM(KMA.FROT!$J104:$L104)</f>
        <v>5.8645577320068867</v>
      </c>
      <c r="AI26" s="564">
        <f>1000000000*MOR!AI26/SUM(KMA.FROT!$J142:$L142)</f>
        <v>5.8183245940396455</v>
      </c>
      <c r="AJ26" s="564" t="e">
        <f>1000000000*MOR!AJ26/SUM(KMA.FROT!$J180:$L180)</f>
        <v>#DIV/0!</v>
      </c>
      <c r="AK26" s="564">
        <f>1000000000*MOR!AK26/SUM(KMA.FROT!$M28:$O28)</f>
        <v>2.0075203523535716</v>
      </c>
      <c r="AL26" s="564">
        <f>1000000000*MOR!AL26/SUM(KMA.FROT!$M66:$O66)</f>
        <v>2.3138791217787258</v>
      </c>
      <c r="AM26" s="564">
        <f>1000000000*MOR!AM26/SUM(KMA.FROT!$M104:$O104)</f>
        <v>2.4498016943676526</v>
      </c>
      <c r="AN26" s="564">
        <f>1000000000*MOR!AN26/SUM(KMA.FROT!$M142:$O142)</f>
        <v>2.2308375172629034</v>
      </c>
      <c r="AO26" s="564" t="e">
        <f>1000000000*MOR!AO26/SUM(KMA.FROT!$M180:$O180)</f>
        <v>#DIV/0!</v>
      </c>
      <c r="AP26" s="563">
        <f>1000000000*MOR!AU26/SUM(KMA.FROT!$B28:$R28)</f>
        <v>7.5971216910458779</v>
      </c>
      <c r="AQ26" s="563">
        <f>1000000000*MOR!AV26/SUM(KMA.FROT!$B66:$R66)</f>
        <v>7.2388208985325653</v>
      </c>
      <c r="AR26" s="563">
        <f>1000000000*MOR!AW26/SUM(KMA.FROT!$B104:$R104)</f>
        <v>7.0090291440978474</v>
      </c>
      <c r="AS26" s="564">
        <f>1000000000*MOR!AX26/SUM(KMA.FROT!$B142:$R142)</f>
        <v>6.5338785295941078</v>
      </c>
      <c r="AT26" s="564" t="e">
        <f>1000000000*MOR!AY26/SUM(KMA.FROT!$B180:$R180)</f>
        <v>#DIV/0!</v>
      </c>
    </row>
    <row r="27" spans="1:46">
      <c r="A27" s="351" t="s">
        <v>35</v>
      </c>
      <c r="B27" s="348">
        <f>1000000000*MOR!AZ27/SUM(KMA.FROT!$B29:$R29)</f>
        <v>54.825145095595126</v>
      </c>
      <c r="C27" s="348">
        <f>1000000000*MOR!BA27/SUM(KMA.FROT!$B67:$R67)</f>
        <v>52.596385921256946</v>
      </c>
      <c r="D27" s="348">
        <f>1000000000*MOR!BB27/SUM(KMA.FROT!$B105:$R105)</f>
        <v>49.002183432357697</v>
      </c>
      <c r="E27" s="349">
        <f>1000000000*MOR!BC27/SUM(KMA.FROT!$B143:$R143)</f>
        <v>46.486228269334326</v>
      </c>
      <c r="F27" s="349" t="e">
        <f>1000000000*MOR!BD27/SUM(KMA.FROT!$B181:$R181)</f>
        <v>#DIV/0!</v>
      </c>
      <c r="G27" s="348">
        <f>1000000000*MOR!B27/SUM(KMA.FROT!B29:R29)</f>
        <v>11.595478285866042</v>
      </c>
      <c r="H27" s="348">
        <f>1000000000*MOR!C27/SUM(KMA.FROT!$B67:$R67)</f>
        <v>10.534905499895199</v>
      </c>
      <c r="I27" s="348">
        <f>1000000000*MOR!D27/SUM(KMA.FROT!$B105:$R105)</f>
        <v>9.2008742618451222</v>
      </c>
      <c r="J27" s="349">
        <f>1000000000*MOR!E27/SUM(KMA.FROT!$B143:$R143)</f>
        <v>8.1014623994738475</v>
      </c>
      <c r="K27" s="349" t="e">
        <f>1000000000*MOR!F27/SUM(KMA.FROT!$B181:$R181)</f>
        <v>#DIV/0!</v>
      </c>
      <c r="L27" s="348">
        <f>1000000000*MOR!G27/SUM(KMA.FROT!$B29:$R29)</f>
        <v>2.6973652172214195</v>
      </c>
      <c r="M27" s="348">
        <f>1000000000*MOR!H27/SUM(KMA.FROT!$B67:$R67)</f>
        <v>2.2376906489999917</v>
      </c>
      <c r="N27" s="348">
        <f>1000000000*MOR!I27/SUM(KMA.FROT!$B105:$R105)</f>
        <v>2.0877620143241296</v>
      </c>
      <c r="O27" s="349">
        <f>1000000000*MOR!J27/SUM(KMA.FROT!$B143:$R143)</f>
        <v>1.992972090655029</v>
      </c>
      <c r="P27" s="349" t="e">
        <f>1000000000*MOR!K27/SUM(KMA.FROT!$B181:$R181)</f>
        <v>#DIV/0!</v>
      </c>
      <c r="Q27" s="349">
        <f>1000000000*MOR!L27/SUM(KMA.FROT!$D29:$G29)</f>
        <v>51.216650053732629</v>
      </c>
      <c r="R27" s="349">
        <f>1000000000*MOR!M27/SUM(KMA.FROT!$D67:$G67)</f>
        <v>48.674657925505535</v>
      </c>
      <c r="S27" s="349">
        <f>1000000000*MOR!N27/SUM(KMA.FROT!$D105:$G105)</f>
        <v>45.543183669060284</v>
      </c>
      <c r="T27" s="349">
        <f>1000000000*MOR!O27/SUM(KMA.FROT!$D143:$G143)</f>
        <v>44.578258197096048</v>
      </c>
      <c r="U27" s="349" t="e">
        <f>1000000000*MOR!P27/SUM(KMA.FROT!$D181:$G181)</f>
        <v>#DIV/0!</v>
      </c>
      <c r="V27" s="348">
        <f>1000000000*MOR!Q27/SUM(KMA.FROT!$B29:$R29)</f>
        <v>3.9901852325760642E-2</v>
      </c>
      <c r="W27" s="348">
        <f>1000000000*MOR!R27/SUM(KMA.FROT!$B67:$R67)</f>
        <v>0.11366047740952338</v>
      </c>
      <c r="X27" s="348">
        <f>1000000000*MOR!S27/SUM(KMA.FROT!$B105:$R105)</f>
        <v>8.0298539012466516E-2</v>
      </c>
      <c r="Y27" s="349">
        <f>1000000000*MOR!T27/SUM(KMA.FROT!$B143:$R143)</f>
        <v>0.16042499800938312</v>
      </c>
      <c r="Z27" s="349" t="e">
        <f>1000000000*MOR!U27/SUM(KMA.FROT!$B181:$R181)</f>
        <v>#DIV/0!</v>
      </c>
      <c r="AA27" s="349">
        <f>1000000000*MOR!BL27/(SUM(KMA.FROT!$B29:$C29,KMA.FROT!$H29:$I29,KMA.FROT!$P29:$R29))</f>
        <v>25.480564725786667</v>
      </c>
      <c r="AB27" s="349">
        <f>1000000000*MOR!BM27/(SUM(KMA.FROT!$B67:$C67,KMA.FROT!$H67:$I67,KMA.FROT!$P67:$R67))</f>
        <v>25.727835907928387</v>
      </c>
      <c r="AC27" s="349">
        <f>1000000000*MOR!BN27/(SUM(KMA.FROT!$B105:$C105,KMA.FROT!$H105:$I105,KMA.FROT!$P105:$R105))</f>
        <v>25.592861980915544</v>
      </c>
      <c r="AD27" s="349">
        <f>1000000000*MOR!BO27/(SUM(KMA.FROT!$B143:$C143,KMA.FROT!$H143:$I143,KMA.FROT!$P143:$R143))</f>
        <v>24.842239492742959</v>
      </c>
      <c r="AE27" s="349" t="e">
        <f>1000000000*MOR!BP27/(SUM(KMA.FROT!$B181:$C181,KMA.FROT!$H181:$I181,KMA.FROT!$P181:$R181))</f>
        <v>#DIV/0!</v>
      </c>
      <c r="AF27" s="349">
        <f>1000000000*MOR!AF27/SUM(KMA.FROT!$J29:$L29)</f>
        <v>9.3728727184229381</v>
      </c>
      <c r="AG27" s="349">
        <f>1000000000*MOR!AG27/SUM(KMA.FROT!$J67:$L67)</f>
        <v>6.729533281672305</v>
      </c>
      <c r="AH27" s="349">
        <f>1000000000*MOR!AH27/SUM(KMA.FROT!$J105:$L105)</f>
        <v>9.7352429074181064</v>
      </c>
      <c r="AI27" s="349">
        <f>1000000000*MOR!AI27/SUM(KMA.FROT!$J143:$L143)</f>
        <v>10.29129359829675</v>
      </c>
      <c r="AJ27" s="349" t="e">
        <f>1000000000*MOR!AJ27/SUM(KMA.FROT!$J181:$L181)</f>
        <v>#DIV/0!</v>
      </c>
      <c r="AK27" s="349">
        <f>1000000000*MOR!AK27/SUM(KMA.FROT!$M29:$O29)</f>
        <v>5.9736155075715303</v>
      </c>
      <c r="AL27" s="349">
        <f>1000000000*MOR!AL27/SUM(KMA.FROT!$M67:$O67)</f>
        <v>2.3187598270204539</v>
      </c>
      <c r="AM27" s="349">
        <f>1000000000*MOR!AM27/SUM(KMA.FROT!$M105:$O105)</f>
        <v>4.9220350125319099</v>
      </c>
      <c r="AN27" s="349">
        <f>1000000000*MOR!AN27/SUM(KMA.FROT!$M143:$O143)</f>
        <v>4.5578242788220482</v>
      </c>
      <c r="AO27" s="349" t="e">
        <f>1000000000*MOR!AO27/SUM(KMA.FROT!$M181:$O181)</f>
        <v>#DIV/0!</v>
      </c>
      <c r="AP27" s="348">
        <f>1000000000*MOR!AU27/SUM(KMA.FROT!$B29:$R29)</f>
        <v>12.178045329822147</v>
      </c>
      <c r="AQ27" s="348">
        <f>1000000000*MOR!AV27/SUM(KMA.FROT!$B67:$R67)</f>
        <v>12.225605101361859</v>
      </c>
      <c r="AR27" s="348">
        <f>1000000000*MOR!AW27/SUM(KMA.FROT!$B105:$R105)</f>
        <v>10.137690550323898</v>
      </c>
      <c r="AS27" s="349">
        <f>1000000000*MOR!AX27/SUM(KMA.FROT!$B143:$R143)</f>
        <v>9.0331614263744964</v>
      </c>
      <c r="AT27" s="349" t="e">
        <f>1000000000*MOR!AY27/SUM(KMA.FROT!$B181:$R181)</f>
        <v>#DIV/0!</v>
      </c>
    </row>
    <row r="28" spans="1:46" s="1" customFormat="1">
      <c r="A28" s="21" t="s">
        <v>36</v>
      </c>
      <c r="B28" s="563">
        <f>1000000000*MOR!AZ28/SUM(KMA.FROT!$B30:$R30)</f>
        <v>68.948812741832583</v>
      </c>
      <c r="C28" s="563">
        <f>1000000000*MOR!BA28/SUM(KMA.FROT!$B68:$R68)</f>
        <v>65.451044350021931</v>
      </c>
      <c r="D28" s="563">
        <f>1000000000*MOR!BB28/SUM(KMA.FROT!$B106:$R106)</f>
        <v>59.251472325955625</v>
      </c>
      <c r="E28" s="564">
        <f>1000000000*MOR!BC28/SUM(KMA.FROT!$B144:$R144)</f>
        <v>57.755266806049733</v>
      </c>
      <c r="F28" s="564" t="e">
        <f>1000000000*MOR!BD28/SUM(KMA.FROT!$B182:$R182)</f>
        <v>#DIV/0!</v>
      </c>
      <c r="G28" s="563">
        <f>1000000000*MOR!B28/SUM(KMA.FROT!B30:R30)</f>
        <v>15.451341601774759</v>
      </c>
      <c r="H28" s="563">
        <f>1000000000*MOR!C28/SUM(KMA.FROT!$B68:$R68)</f>
        <v>13.638853987932551</v>
      </c>
      <c r="I28" s="563">
        <f>1000000000*MOR!D28/SUM(KMA.FROT!$B106:$R106)</f>
        <v>11.768025593262543</v>
      </c>
      <c r="J28" s="564">
        <f>1000000000*MOR!E28/SUM(KMA.FROT!$B144:$R144)</f>
        <v>10.265096248731496</v>
      </c>
      <c r="K28" s="564" t="e">
        <f>1000000000*MOR!F28/SUM(KMA.FROT!$B182:$R182)</f>
        <v>#DIV/0!</v>
      </c>
      <c r="L28" s="563">
        <f>1000000000*MOR!G28/SUM(KMA.FROT!$B30:$R30)</f>
        <v>3.4485602995265401</v>
      </c>
      <c r="M28" s="563">
        <f>1000000000*MOR!H28/SUM(KMA.FROT!$B68:$R68)</f>
        <v>2.7432255896408249</v>
      </c>
      <c r="N28" s="563">
        <f>1000000000*MOR!I28/SUM(KMA.FROT!$B106:$R106)</f>
        <v>2.2892207840997041</v>
      </c>
      <c r="O28" s="564">
        <f>1000000000*MOR!J28/SUM(KMA.FROT!$B144:$R144)</f>
        <v>2.1754913556966278</v>
      </c>
      <c r="P28" s="564" t="e">
        <f>1000000000*MOR!K28/SUM(KMA.FROT!$B182:$R182)</f>
        <v>#DIV/0!</v>
      </c>
      <c r="Q28" s="564">
        <f>1000000000*MOR!L28/SUM(KMA.FROT!$D30:$G30)</f>
        <v>67.698845071340841</v>
      </c>
      <c r="R28" s="564">
        <f>1000000000*MOR!M28/SUM(KMA.FROT!$D68:$G68)</f>
        <v>68.067853839807327</v>
      </c>
      <c r="S28" s="564">
        <f>1000000000*MOR!N28/SUM(KMA.FROT!$D106:$G106)</f>
        <v>57.001323976040467</v>
      </c>
      <c r="T28" s="564">
        <f>1000000000*MOR!O28/SUM(KMA.FROT!$D144:$G144)</f>
        <v>57.603956647782475</v>
      </c>
      <c r="U28" s="564" t="e">
        <f>1000000000*MOR!P28/SUM(KMA.FROT!$D182:$G182)</f>
        <v>#DIV/0!</v>
      </c>
      <c r="V28" s="563">
        <f>1000000000*MOR!Q28/SUM(KMA.FROT!$B30:$R30)</f>
        <v>4.4786497396448577E-2</v>
      </c>
      <c r="W28" s="563">
        <f>1000000000*MOR!R28/SUM(KMA.FROT!$B68:$R68)</f>
        <v>0.17386641061103819</v>
      </c>
      <c r="X28" s="563">
        <f>1000000000*MOR!S28/SUM(KMA.FROT!$B106:$R106)</f>
        <v>0.12519176163045259</v>
      </c>
      <c r="Y28" s="564">
        <f>1000000000*MOR!T28/SUM(KMA.FROT!$B144:$R144)</f>
        <v>0.24172126174406977</v>
      </c>
      <c r="Z28" s="564" t="e">
        <f>1000000000*MOR!U28/SUM(KMA.FROT!$B182:$R182)</f>
        <v>#DIV/0!</v>
      </c>
      <c r="AA28" s="564">
        <f>1000000000*MOR!BL28/(SUM(KMA.FROT!$B30:$C30,KMA.FROT!$H30:$I30,KMA.FROT!$P30:$R30))</f>
        <v>36.111808405103503</v>
      </c>
      <c r="AB28" s="564">
        <f>1000000000*MOR!BM28/(SUM(KMA.FROT!$B68:$C68,KMA.FROT!$H68:$I68,KMA.FROT!$P68:$R68))</f>
        <v>32.556782554292965</v>
      </c>
      <c r="AC28" s="564">
        <f>1000000000*MOR!BN28/(SUM(KMA.FROT!$B106:$C106,KMA.FROT!$H106:$I106,KMA.FROT!$P106:$R106))</f>
        <v>30.044134651761457</v>
      </c>
      <c r="AD28" s="564">
        <f>1000000000*MOR!BO28/(SUM(KMA.FROT!$B144:$C144,KMA.FROT!$H144:$I144,KMA.FROT!$P144:$R144))</f>
        <v>30.395047017089023</v>
      </c>
      <c r="AE28" s="564" t="e">
        <f>1000000000*MOR!BP28/(SUM(KMA.FROT!$B182:$C182,KMA.FROT!$H182:$I182,KMA.FROT!$P182:$R182))</f>
        <v>#DIV/0!</v>
      </c>
      <c r="AF28" s="564">
        <f>1000000000*MOR!AF28/SUM(KMA.FROT!$J30:$L30)</f>
        <v>10.110259090490239</v>
      </c>
      <c r="AG28" s="564">
        <f>1000000000*MOR!AG28/SUM(KMA.FROT!$J68:$L68)</f>
        <v>7.1167869204854535</v>
      </c>
      <c r="AH28" s="564">
        <f>1000000000*MOR!AH28/SUM(KMA.FROT!$J106:$L106)</f>
        <v>9.6599848901697953</v>
      </c>
      <c r="AI28" s="564">
        <f>1000000000*MOR!AI28/SUM(KMA.FROT!$J144:$L144)</f>
        <v>10.388701575052327</v>
      </c>
      <c r="AJ28" s="564" t="e">
        <f>1000000000*MOR!AJ28/SUM(KMA.FROT!$J182:$L182)</f>
        <v>#DIV/0!</v>
      </c>
      <c r="AK28" s="564">
        <f>1000000000*MOR!AK28/SUM(KMA.FROT!$M30:$O30)</f>
        <v>9.0438537294542609</v>
      </c>
      <c r="AL28" s="564">
        <f>1000000000*MOR!AL28/SUM(KMA.FROT!$M68:$O68)</f>
        <v>3.8254954870202549</v>
      </c>
      <c r="AM28" s="564">
        <f>1000000000*MOR!AM28/SUM(KMA.FROT!$M106:$O106)</f>
        <v>1.6570149501773601</v>
      </c>
      <c r="AN28" s="564">
        <f>1000000000*MOR!AN28/SUM(KMA.FROT!$M144:$O144)</f>
        <v>5.7905858420415273</v>
      </c>
      <c r="AO28" s="564" t="e">
        <f>1000000000*MOR!AO28/SUM(KMA.FROT!$M182:$O182)</f>
        <v>#DIV/0!</v>
      </c>
      <c r="AP28" s="563">
        <f>1000000000*MOR!AU28/SUM(KMA.FROT!$B30:$R30)</f>
        <v>12.965690996271862</v>
      </c>
      <c r="AQ28" s="563">
        <f>1000000000*MOR!AV28/SUM(KMA.FROT!$B68:$R68)</f>
        <v>14.295682650240918</v>
      </c>
      <c r="AR28" s="563">
        <f>1000000000*MOR!AW28/SUM(KMA.FROT!$B106:$R106)</f>
        <v>13.431287569209983</v>
      </c>
      <c r="AS28" s="564">
        <f>1000000000*MOR!AX28/SUM(KMA.FROT!$B144:$R144)</f>
        <v>12.23109584424993</v>
      </c>
      <c r="AT28" s="564" t="e">
        <f>1000000000*MOR!AY28/SUM(KMA.FROT!$B182:$R182)</f>
        <v>#DIV/0!</v>
      </c>
    </row>
    <row r="29" spans="1:46" s="1" customFormat="1">
      <c r="A29" s="21" t="s">
        <v>37</v>
      </c>
      <c r="B29" s="563">
        <f>1000000000*MOR!AZ29/SUM(KMA.FROT!$B31:$R31)</f>
        <v>42.591906538294616</v>
      </c>
      <c r="C29" s="563">
        <f>1000000000*MOR!BA29/SUM(KMA.FROT!$B69:$R69)</f>
        <v>42.888851929114416</v>
      </c>
      <c r="D29" s="563">
        <f>1000000000*MOR!BB29/SUM(KMA.FROT!$B107:$R107)</f>
        <v>38.20562875544433</v>
      </c>
      <c r="E29" s="564">
        <f>1000000000*MOR!BC29/SUM(KMA.FROT!$B145:$R145)</f>
        <v>36.20662324196671</v>
      </c>
      <c r="F29" s="564" t="e">
        <f>1000000000*MOR!BD29/SUM(KMA.FROT!$B183:$R183)</f>
        <v>#DIV/0!</v>
      </c>
      <c r="G29" s="563">
        <f>1000000000*MOR!B29/SUM(KMA.FROT!B31:R31)</f>
        <v>9.0822559672361436</v>
      </c>
      <c r="H29" s="563">
        <f>1000000000*MOR!C29/SUM(KMA.FROT!$B69:$R69)</f>
        <v>8.849144139432136</v>
      </c>
      <c r="I29" s="563">
        <f>1000000000*MOR!D29/SUM(KMA.FROT!$B107:$R107)</f>
        <v>7.5848029568547961</v>
      </c>
      <c r="J29" s="564">
        <f>1000000000*MOR!E29/SUM(KMA.FROT!$B145:$R145)</f>
        <v>6.5207073896940049</v>
      </c>
      <c r="K29" s="564" t="e">
        <f>1000000000*MOR!F29/SUM(KMA.FROT!$B183:$R183)</f>
        <v>#DIV/0!</v>
      </c>
      <c r="L29" s="563">
        <f>1000000000*MOR!G29/SUM(KMA.FROT!$B31:$R31)</f>
        <v>1.3774037485855761</v>
      </c>
      <c r="M29" s="563">
        <f>1000000000*MOR!H29/SUM(KMA.FROT!$B69:$R69)</f>
        <v>1.1208915909947372</v>
      </c>
      <c r="N29" s="563">
        <f>1000000000*MOR!I29/SUM(KMA.FROT!$B107:$R107)</f>
        <v>1.5582639738092774</v>
      </c>
      <c r="O29" s="564">
        <f>1000000000*MOR!J29/SUM(KMA.FROT!$B145:$R145)</f>
        <v>1.3533543638987557</v>
      </c>
      <c r="P29" s="564" t="e">
        <f>1000000000*MOR!K29/SUM(KMA.FROT!$B183:$R183)</f>
        <v>#DIV/0!</v>
      </c>
      <c r="Q29" s="564">
        <f>1000000000*MOR!L29/SUM(KMA.FROT!$D31:$G31)</f>
        <v>30.487369570050372</v>
      </c>
      <c r="R29" s="564">
        <f>1000000000*MOR!M29/SUM(KMA.FROT!$D69:$G69)</f>
        <v>29.916718645234116</v>
      </c>
      <c r="S29" s="564">
        <f>1000000000*MOR!N29/SUM(KMA.FROT!$D107:$G107)</f>
        <v>28.904753318006101</v>
      </c>
      <c r="T29" s="564">
        <f>1000000000*MOR!O29/SUM(KMA.FROT!$D145:$G145)</f>
        <v>29.870383284258253</v>
      </c>
      <c r="U29" s="564" t="e">
        <f>1000000000*MOR!P29/SUM(KMA.FROT!$D183:$G183)</f>
        <v>#DIV/0!</v>
      </c>
      <c r="V29" s="563">
        <f>1000000000*MOR!Q29/SUM(KMA.FROT!$B31:$R31)</f>
        <v>4.3043867143299254E-2</v>
      </c>
      <c r="W29" s="563">
        <f>1000000000*MOR!R29/SUM(KMA.FROT!$B69:$R69)</f>
        <v>3.9329529508587271E-2</v>
      </c>
      <c r="X29" s="563">
        <f>1000000000*MOR!S29/SUM(KMA.FROT!$B107:$R107)</f>
        <v>1.877426474469009E-2</v>
      </c>
      <c r="Y29" s="564">
        <f>1000000000*MOR!T29/SUM(KMA.FROT!$B145:$R145)</f>
        <v>1.7576030699983841E-2</v>
      </c>
      <c r="Z29" s="564" t="e">
        <f>1000000000*MOR!U29/SUM(KMA.FROT!$B183:$R183)</f>
        <v>#DIV/0!</v>
      </c>
      <c r="AA29" s="564">
        <f>1000000000*MOR!BL29/(SUM(KMA.FROT!$B31:$C31,KMA.FROT!$H31:$I31,KMA.FROT!$P31:$R31))</f>
        <v>16.858844404195164</v>
      </c>
      <c r="AB29" s="564">
        <f>1000000000*MOR!BM29/(SUM(KMA.FROT!$B69:$C69,KMA.FROT!$H69:$I69,KMA.FROT!$P69:$R69))</f>
        <v>17.537513651076523</v>
      </c>
      <c r="AC29" s="564">
        <f>1000000000*MOR!BN29/(SUM(KMA.FROT!$B107:$C107,KMA.FROT!$H107:$I107,KMA.FROT!$P107:$R107))</f>
        <v>17.349105055621276</v>
      </c>
      <c r="AD29" s="564">
        <f>1000000000*MOR!BO29/(SUM(KMA.FROT!$B145:$C145,KMA.FROT!$H145:$I145,KMA.FROT!$P145:$R145))</f>
        <v>18.147876619988022</v>
      </c>
      <c r="AE29" s="564" t="e">
        <f>1000000000*MOR!BP29/(SUM(KMA.FROT!$B183:$C183,KMA.FROT!$H183:$I183,KMA.FROT!$P183:$R183))</f>
        <v>#DIV/0!</v>
      </c>
      <c r="AF29" s="564">
        <f>1000000000*MOR!AF29/SUM(KMA.FROT!$J31:$L31)</f>
        <v>6.5525254472057455</v>
      </c>
      <c r="AG29" s="564">
        <f>1000000000*MOR!AG29/SUM(KMA.FROT!$J69:$L69)</f>
        <v>5.5492925885556019</v>
      </c>
      <c r="AH29" s="564">
        <f>1000000000*MOR!AH29/SUM(KMA.FROT!$J107:$L107)</f>
        <v>9.5230822770513868</v>
      </c>
      <c r="AI29" s="564">
        <f>1000000000*MOR!AI29/SUM(KMA.FROT!$J145:$L145)</f>
        <v>8.7530263814059808</v>
      </c>
      <c r="AJ29" s="564" t="e">
        <f>1000000000*MOR!AJ29/SUM(KMA.FROT!$J183:$L183)</f>
        <v>#DIV/0!</v>
      </c>
      <c r="AK29" s="564">
        <f>1000000000*MOR!AK29/SUM(KMA.FROT!$M31:$O31)</f>
        <v>2.9909727475563201</v>
      </c>
      <c r="AL29" s="564">
        <f>1000000000*MOR!AL29/SUM(KMA.FROT!$M69:$O69)</f>
        <v>1.6998361117794445</v>
      </c>
      <c r="AM29" s="564">
        <f>1000000000*MOR!AM29/SUM(KMA.FROT!$M107:$O107)</f>
        <v>1.1341344672205886</v>
      </c>
      <c r="AN29" s="564">
        <f>1000000000*MOR!AN29/SUM(KMA.FROT!$M145:$O145)</f>
        <v>4.4505744034298758</v>
      </c>
      <c r="AO29" s="564" t="e">
        <f>1000000000*MOR!AO29/SUM(KMA.FROT!$M183:$O183)</f>
        <v>#DIV/0!</v>
      </c>
      <c r="AP29" s="563">
        <f>1000000000*MOR!AU29/SUM(KMA.FROT!$B31:$R31)</f>
        <v>14.182954223717104</v>
      </c>
      <c r="AQ29" s="563">
        <f>1000000000*MOR!AV29/SUM(KMA.FROT!$B69:$R69)</f>
        <v>14.70924403621164</v>
      </c>
      <c r="AR29" s="563">
        <f>1000000000*MOR!AW29/SUM(KMA.FROT!$B107:$R107)</f>
        <v>10.588685316005209</v>
      </c>
      <c r="AS29" s="564">
        <f>1000000000*MOR!AX29/SUM(KMA.FROT!$B145:$R145)</f>
        <v>8.8758955034918383</v>
      </c>
      <c r="AT29" s="564" t="e">
        <f>1000000000*MOR!AY29/SUM(KMA.FROT!$B183:$R183)</f>
        <v>#DIV/0!</v>
      </c>
    </row>
    <row r="30" spans="1:46" s="1" customFormat="1">
      <c r="A30" s="21" t="s">
        <v>38</v>
      </c>
      <c r="B30" s="563">
        <f>1000000000*MOR!AZ30/SUM(KMA.FROT!$B32:$R32)</f>
        <v>53.074054148577261</v>
      </c>
      <c r="C30" s="563">
        <f>1000000000*MOR!BA30/SUM(KMA.FROT!$B70:$R70)</f>
        <v>48.170244558587974</v>
      </c>
      <c r="D30" s="563">
        <f>1000000000*MOR!BB30/SUM(KMA.FROT!$B108:$R108)</f>
        <v>49.044680391400462</v>
      </c>
      <c r="E30" s="564">
        <f>1000000000*MOR!BC30/SUM(KMA.FROT!$B146:$R146)</f>
        <v>43.807245783993459</v>
      </c>
      <c r="F30" s="564" t="e">
        <f>1000000000*MOR!BD30/SUM(KMA.FROT!$B184:$R184)</f>
        <v>#DIV/0!</v>
      </c>
      <c r="G30" s="563">
        <f>1000000000*MOR!B30/SUM(KMA.FROT!B32:R32)</f>
        <v>9.9879980489320328</v>
      </c>
      <c r="H30" s="563">
        <f>1000000000*MOR!C30/SUM(KMA.FROT!$B70:$R70)</f>
        <v>8.5840163327837971</v>
      </c>
      <c r="I30" s="563">
        <f>1000000000*MOR!D30/SUM(KMA.FROT!$B108:$R108)</f>
        <v>7.7726506139282758</v>
      </c>
      <c r="J30" s="564">
        <f>1000000000*MOR!E30/SUM(KMA.FROT!$B146:$R146)</f>
        <v>7.0694232614380983</v>
      </c>
      <c r="K30" s="564" t="e">
        <f>1000000000*MOR!F30/SUM(KMA.FROT!$B184:$R184)</f>
        <v>#DIV/0!</v>
      </c>
      <c r="L30" s="563">
        <f>1000000000*MOR!G30/SUM(KMA.FROT!$B32:$R32)</f>
        <v>3.5148380230845868</v>
      </c>
      <c r="M30" s="563">
        <f>1000000000*MOR!H30/SUM(KMA.FROT!$B70:$R70)</f>
        <v>3.0450944789080134</v>
      </c>
      <c r="N30" s="563">
        <f>1000000000*MOR!I30/SUM(KMA.FROT!$B108:$R108)</f>
        <v>2.5081077060918715</v>
      </c>
      <c r="O30" s="564">
        <f>1000000000*MOR!J30/SUM(KMA.FROT!$B146:$R146)</f>
        <v>2.5728064984250127</v>
      </c>
      <c r="P30" s="564" t="e">
        <f>1000000000*MOR!K30/SUM(KMA.FROT!$B184:$R184)</f>
        <v>#DIV/0!</v>
      </c>
      <c r="Q30" s="564">
        <f>1000000000*MOR!L30/SUM(KMA.FROT!$D32:$G32)</f>
        <v>59.10066713841654</v>
      </c>
      <c r="R30" s="564">
        <f>1000000000*MOR!M30/SUM(KMA.FROT!$D70:$G70)</f>
        <v>50.443998300094478</v>
      </c>
      <c r="S30" s="564">
        <f>1000000000*MOR!N30/SUM(KMA.FROT!$D108:$G108)</f>
        <v>51.42470971803322</v>
      </c>
      <c r="T30" s="564">
        <f>1000000000*MOR!O30/SUM(KMA.FROT!$D146:$G146)</f>
        <v>45.692486183393569</v>
      </c>
      <c r="U30" s="564" t="e">
        <f>1000000000*MOR!P30/SUM(KMA.FROT!$D184:$G184)</f>
        <v>#DIV/0!</v>
      </c>
      <c r="V30" s="563">
        <f>1000000000*MOR!Q30/SUM(KMA.FROT!$B32:$R32)</f>
        <v>2.9290316859038223E-2</v>
      </c>
      <c r="W30" s="563">
        <f>1000000000*MOR!R30/SUM(KMA.FROT!$B70:$R70)</f>
        <v>0.13125407236672471</v>
      </c>
      <c r="X30" s="563">
        <f>1000000000*MOR!S30/SUM(KMA.FROT!$B108:$R108)</f>
        <v>9.9330998261064229E-2</v>
      </c>
      <c r="Y30" s="564">
        <f>1000000000*MOR!T30/SUM(KMA.FROT!$B146:$R146)</f>
        <v>0.23178436922747864</v>
      </c>
      <c r="Z30" s="564" t="e">
        <f>1000000000*MOR!U30/SUM(KMA.FROT!$B184:$R184)</f>
        <v>#DIV/0!</v>
      </c>
      <c r="AA30" s="564">
        <f>1000000000*MOR!BL30/(SUM(KMA.FROT!$B32:$C32,KMA.FROT!$H32:$I32,KMA.FROT!$P32:$R32))</f>
        <v>23.420685022234146</v>
      </c>
      <c r="AB30" s="564">
        <f>1000000000*MOR!BM30/(SUM(KMA.FROT!$B70:$C70,KMA.FROT!$H70:$I70,KMA.FROT!$P70:$R70))</f>
        <v>27.284658519986749</v>
      </c>
      <c r="AC30" s="564">
        <f>1000000000*MOR!BN30/(SUM(KMA.FROT!$B108:$C108,KMA.FROT!$H108:$I108,KMA.FROT!$P108:$R108))</f>
        <v>30.664655300296705</v>
      </c>
      <c r="AD30" s="564">
        <f>1000000000*MOR!BO30/(SUM(KMA.FROT!$B146:$C146,KMA.FROT!$H146:$I146,KMA.FROT!$P146:$R146))</f>
        <v>25.961802641853577</v>
      </c>
      <c r="AE30" s="564" t="e">
        <f>1000000000*MOR!BP30/(SUM(KMA.FROT!$B184:$C184,KMA.FROT!$H184:$I184,KMA.FROT!$P184:$R184))</f>
        <v>#DIV/0!</v>
      </c>
      <c r="AF30" s="564">
        <f>1000000000*MOR!AF30/SUM(KMA.FROT!$J32:$L32)</f>
        <v>12.169958661414773</v>
      </c>
      <c r="AG30" s="564">
        <f>1000000000*MOR!AG30/SUM(KMA.FROT!$J70:$L70)</f>
        <v>7.7426194661856966</v>
      </c>
      <c r="AH30" s="564">
        <f>1000000000*MOR!AH30/SUM(KMA.FROT!$J108:$L108)</f>
        <v>10.136960441396862</v>
      </c>
      <c r="AI30" s="564">
        <f>1000000000*MOR!AI30/SUM(KMA.FROT!$J146:$L146)</f>
        <v>12.121502817835342</v>
      </c>
      <c r="AJ30" s="564" t="e">
        <f>1000000000*MOR!AJ30/SUM(KMA.FROT!$J184:$L184)</f>
        <v>#DIV/0!</v>
      </c>
      <c r="AK30" s="564">
        <f>1000000000*MOR!AK30/SUM(KMA.FROT!$M32:$O32)</f>
        <v>6.1894041048086716</v>
      </c>
      <c r="AL30" s="564">
        <f>1000000000*MOR!AL30/SUM(KMA.FROT!$M70:$O70)</f>
        <v>0.58377818496429157</v>
      </c>
      <c r="AM30" s="564">
        <f>1000000000*MOR!AM30/SUM(KMA.FROT!$M108:$O108)</f>
        <v>19.025040336756476</v>
      </c>
      <c r="AN30" s="564">
        <f>1000000000*MOR!AN30/SUM(KMA.FROT!$M146:$O146)</f>
        <v>2.2132039088567441</v>
      </c>
      <c r="AO30" s="564" t="e">
        <f>1000000000*MOR!AO30/SUM(KMA.FROT!$M184:$O184)</f>
        <v>#DIV/0!</v>
      </c>
      <c r="AP30" s="563">
        <f>1000000000*MOR!AU30/SUM(KMA.FROT!$B32:$R32)</f>
        <v>8.4356112554030087</v>
      </c>
      <c r="AQ30" s="563">
        <f>1000000000*MOR!AV30/SUM(KMA.FROT!$B70:$R70)</f>
        <v>6.1164397722893717</v>
      </c>
      <c r="AR30" s="563">
        <f>1000000000*MOR!AW30/SUM(KMA.FROT!$B108:$R108)</f>
        <v>4.9665499130532114</v>
      </c>
      <c r="AS30" s="564">
        <f>1000000000*MOR!AX30/SUM(KMA.FROT!$B146:$R146)</f>
        <v>4.6356873845495725</v>
      </c>
      <c r="AT30" s="564" t="e">
        <f>1000000000*MOR!AY30/SUM(KMA.FROT!$B184:$R184)</f>
        <v>#DIV/0!</v>
      </c>
    </row>
    <row r="31" spans="1:46">
      <c r="A31" s="351" t="s">
        <v>39</v>
      </c>
      <c r="B31" s="348">
        <f>1000000000*MOR!AZ31/SUM(KMA.FROT!$B33:$R33)</f>
        <v>60.19578727617381</v>
      </c>
      <c r="C31" s="348">
        <f>1000000000*MOR!BA31/SUM(KMA.FROT!$B71:$R71)</f>
        <v>58.774824440889354</v>
      </c>
      <c r="D31" s="348">
        <f>1000000000*MOR!BB31/SUM(KMA.FROT!$B109:$R109)</f>
        <v>53.622230081364791</v>
      </c>
      <c r="E31" s="349">
        <f>1000000000*MOR!BC31/SUM(KMA.FROT!$B147:$R147)</f>
        <v>49.37810597271168</v>
      </c>
      <c r="F31" s="349" t="e">
        <f>1000000000*MOR!BD31/SUM(KMA.FROT!$B185:$R185)</f>
        <v>#DIV/0!</v>
      </c>
      <c r="G31" s="348">
        <f>1000000000*MOR!B31/SUM(KMA.FROT!B33:R33)</f>
        <v>10.099367118766782</v>
      </c>
      <c r="H31" s="348">
        <f>1000000000*MOR!C31/SUM(KMA.FROT!$B71:$R71)</f>
        <v>10.338544569444727</v>
      </c>
      <c r="I31" s="348">
        <f>1000000000*MOR!D31/SUM(KMA.FROT!$B109:$R109)</f>
        <v>8.4860026139268783</v>
      </c>
      <c r="J31" s="349">
        <f>1000000000*MOR!E31/SUM(KMA.FROT!$B147:$R147)</f>
        <v>7.0945554558493793</v>
      </c>
      <c r="K31" s="349" t="e">
        <f>1000000000*MOR!F31/SUM(KMA.FROT!$B185:$R185)</f>
        <v>#DIV/0!</v>
      </c>
      <c r="L31" s="348">
        <f>1000000000*MOR!G31/SUM(KMA.FROT!$B33:$R33)</f>
        <v>3.2033234914150146</v>
      </c>
      <c r="M31" s="348">
        <f>1000000000*MOR!H31/SUM(KMA.FROT!$B71:$R71)</f>
        <v>2.3695255799367554</v>
      </c>
      <c r="N31" s="348">
        <f>1000000000*MOR!I31/SUM(KMA.FROT!$B109:$R109)</f>
        <v>2.7674409678895735</v>
      </c>
      <c r="O31" s="349">
        <f>1000000000*MOR!J31/SUM(KMA.FROT!$B147:$R147)</f>
        <v>2.4230635556900957</v>
      </c>
      <c r="P31" s="349" t="e">
        <f>1000000000*MOR!K31/SUM(KMA.FROT!$B185:$R185)</f>
        <v>#DIV/0!</v>
      </c>
      <c r="Q31" s="349">
        <f>1000000000*MOR!L31/SUM(KMA.FROT!$D33:$G33)</f>
        <v>62.977866706986767</v>
      </c>
      <c r="R31" s="349">
        <f>1000000000*MOR!M31/SUM(KMA.FROT!$D71:$G71)</f>
        <v>63.363673594630988</v>
      </c>
      <c r="S31" s="349">
        <f>1000000000*MOR!N31/SUM(KMA.FROT!$D109:$G109)</f>
        <v>51.811184266889896</v>
      </c>
      <c r="T31" s="349">
        <f>1000000000*MOR!O31/SUM(KMA.FROT!$D147:$G147)</f>
        <v>50.42673095046014</v>
      </c>
      <c r="U31" s="349" t="e">
        <f>1000000000*MOR!P31/SUM(KMA.FROT!$D185:$G185)</f>
        <v>#DIV/0!</v>
      </c>
      <c r="V31" s="348">
        <f>1000000000*MOR!Q31/SUM(KMA.FROT!$B33:$R33)</f>
        <v>5.932080539657434E-2</v>
      </c>
      <c r="W31" s="348">
        <f>1000000000*MOR!R31/SUM(KMA.FROT!$B71:$R71)</f>
        <v>9.2663011505906639E-2</v>
      </c>
      <c r="X31" s="348">
        <f>1000000000*MOR!S31/SUM(KMA.FROT!$B109:$R109)</f>
        <v>6.1226570086052513E-2</v>
      </c>
      <c r="Y31" s="349">
        <f>1000000000*MOR!T31/SUM(KMA.FROT!$B147:$R147)</f>
        <v>4.3658802805226951E-2</v>
      </c>
      <c r="Z31" s="349" t="e">
        <f>1000000000*MOR!U31/SUM(KMA.FROT!$B185:$R185)</f>
        <v>#DIV/0!</v>
      </c>
      <c r="AA31" s="349">
        <f>1000000000*MOR!BL31/(SUM(KMA.FROT!$B33:$C33,KMA.FROT!$H33:$I33,KMA.FROT!$P33:$R33))</f>
        <v>30.684113826116992</v>
      </c>
      <c r="AB31" s="349">
        <f>1000000000*MOR!BM31/(SUM(KMA.FROT!$B71:$C71,KMA.FROT!$H71:$I71,KMA.FROT!$P71:$R71))</f>
        <v>29.36890542282211</v>
      </c>
      <c r="AC31" s="349">
        <f>1000000000*MOR!BN31/(SUM(KMA.FROT!$B109:$C109,KMA.FROT!$H109:$I109,KMA.FROT!$P109:$R109))</f>
        <v>29.762633899232103</v>
      </c>
      <c r="AD31" s="349">
        <f>1000000000*MOR!BO31/(SUM(KMA.FROT!$B147:$C147,KMA.FROT!$H147:$I147,KMA.FROT!$P147:$R147))</f>
        <v>27.650098852316042</v>
      </c>
      <c r="AE31" s="349" t="e">
        <f>1000000000*MOR!BP31/(SUM(KMA.FROT!$B185:$C185,KMA.FROT!$H185:$I185,KMA.FROT!$P185:$R185))</f>
        <v>#DIV/0!</v>
      </c>
      <c r="AF31" s="349">
        <f>1000000000*MOR!AF31/SUM(KMA.FROT!$J33:$L33)</f>
        <v>11.547548652274713</v>
      </c>
      <c r="AG31" s="349">
        <f>1000000000*MOR!AG31/SUM(KMA.FROT!$J71:$L71)</f>
        <v>9.3517902973497762</v>
      </c>
      <c r="AH31" s="349">
        <f>1000000000*MOR!AH31/SUM(KMA.FROT!$J109:$L109)</f>
        <v>11.163897095241913</v>
      </c>
      <c r="AI31" s="349">
        <f>1000000000*MOR!AI31/SUM(KMA.FROT!$J147:$L147)</f>
        <v>9.1025218592835166</v>
      </c>
      <c r="AJ31" s="349" t="e">
        <f>1000000000*MOR!AJ31/SUM(KMA.FROT!$J185:$L185)</f>
        <v>#DIV/0!</v>
      </c>
      <c r="AK31" s="349">
        <f>1000000000*MOR!AK31/SUM(KMA.FROT!$M33:$O33)</f>
        <v>4.2346002477422626</v>
      </c>
      <c r="AL31" s="349">
        <f>1000000000*MOR!AL31/SUM(KMA.FROT!$M71:$O71)</f>
        <v>7.5314730465512403</v>
      </c>
      <c r="AM31" s="349">
        <f>1000000000*MOR!AM31/SUM(KMA.FROT!$M109:$O109)</f>
        <v>5.1799302554824438</v>
      </c>
      <c r="AN31" s="349">
        <f>1000000000*MOR!AN31/SUM(KMA.FROT!$M147:$O147)</f>
        <v>1.9842498760182121</v>
      </c>
      <c r="AO31" s="349" t="e">
        <f>1000000000*MOR!AO31/SUM(KMA.FROT!$M185:$O185)</f>
        <v>#DIV/0!</v>
      </c>
      <c r="AP31" s="348">
        <f>1000000000*MOR!AU31/SUM(KMA.FROT!$B33:$R33)</f>
        <v>11.775179871220006</v>
      </c>
      <c r="AQ31" s="348">
        <f>1000000000*MOR!AV31/SUM(KMA.FROT!$B71:$R71)</f>
        <v>11.556401292093785</v>
      </c>
      <c r="AR31" s="348">
        <f>1000000000*MOR!AW31/SUM(KMA.FROT!$B109:$R109)</f>
        <v>10.102384064198665</v>
      </c>
      <c r="AS31" s="349">
        <f>1000000000*MOR!AX31/SUM(KMA.FROT!$B147:$R147)</f>
        <v>9.7468277262669165</v>
      </c>
      <c r="AT31" s="349" t="e">
        <f>1000000000*MOR!AY31/SUM(KMA.FROT!$B185:$R185)</f>
        <v>#DIV/0!</v>
      </c>
    </row>
    <row r="32" spans="1:46" s="1" customFormat="1">
      <c r="A32" s="21" t="s">
        <v>40</v>
      </c>
      <c r="B32" s="563">
        <f>1000000000*MOR!AZ32/SUM(KMA.FROT!$B34:$R34)</f>
        <v>44.127427852649333</v>
      </c>
      <c r="C32" s="563">
        <f>1000000000*MOR!BA32/SUM(KMA.FROT!$B72:$R72)</f>
        <v>45.092469199936886</v>
      </c>
      <c r="D32" s="563">
        <f>1000000000*MOR!BB32/SUM(KMA.FROT!$B110:$R110)</f>
        <v>42.459912832063367</v>
      </c>
      <c r="E32" s="564">
        <f>1000000000*MOR!BC32/SUM(KMA.FROT!$B148:$R148)</f>
        <v>34.567971751398204</v>
      </c>
      <c r="F32" s="564" t="e">
        <f>1000000000*MOR!BD32/SUM(KMA.FROT!$B186:$R186)</f>
        <v>#DIV/0!</v>
      </c>
      <c r="G32" s="563">
        <f>1000000000*MOR!B32/SUM(KMA.FROT!B34:R34)</f>
        <v>13.943041439552394</v>
      </c>
      <c r="H32" s="563">
        <f>1000000000*MOR!C32/SUM(KMA.FROT!$B72:$R72)</f>
        <v>16.661525569159071</v>
      </c>
      <c r="I32" s="563">
        <f>1000000000*MOR!D32/SUM(KMA.FROT!$B110:$R110)</f>
        <v>12.651861701909677</v>
      </c>
      <c r="J32" s="564">
        <f>1000000000*MOR!E32/SUM(KMA.FROT!$B148:$R148)</f>
        <v>9.5533303749318677</v>
      </c>
      <c r="K32" s="564" t="e">
        <f>1000000000*MOR!F32/SUM(KMA.FROT!$B186:$R186)</f>
        <v>#DIV/0!</v>
      </c>
      <c r="L32" s="563">
        <f>1000000000*MOR!G32/SUM(KMA.FROT!$B34:$R34)</f>
        <v>2.9111844763900598</v>
      </c>
      <c r="M32" s="563">
        <f>1000000000*MOR!H32/SUM(KMA.FROT!$B72:$R72)</f>
        <v>1.9852030465381021</v>
      </c>
      <c r="N32" s="563">
        <f>1000000000*MOR!I32/SUM(KMA.FROT!$B110:$R110)</f>
        <v>2.9145649993928053</v>
      </c>
      <c r="O32" s="564">
        <f>1000000000*MOR!J32/SUM(KMA.FROT!$B148:$R148)</f>
        <v>2.3254817360031521</v>
      </c>
      <c r="P32" s="564" t="e">
        <f>1000000000*MOR!K32/SUM(KMA.FROT!$B186:$R186)</f>
        <v>#DIV/0!</v>
      </c>
      <c r="Q32" s="564">
        <f>1000000000*MOR!L32/SUM(KMA.FROT!$D34:$G34)</f>
        <v>85.023695231835461</v>
      </c>
      <c r="R32" s="564">
        <f>1000000000*MOR!M32/SUM(KMA.FROT!$D72:$G72)</f>
        <v>81.834005264330273</v>
      </c>
      <c r="S32" s="564">
        <f>1000000000*MOR!N32/SUM(KMA.FROT!$D110:$G110)</f>
        <v>64.891559502008562</v>
      </c>
      <c r="T32" s="564">
        <f>1000000000*MOR!O32/SUM(KMA.FROT!$D148:$G148)</f>
        <v>59.193733887881052</v>
      </c>
      <c r="U32" s="564" t="e">
        <f>1000000000*MOR!P32/SUM(KMA.FROT!$D186:$G186)</f>
        <v>#DIV/0!</v>
      </c>
      <c r="V32" s="563">
        <f>1000000000*MOR!Q32/SUM(KMA.FROT!$B34:$R34)</f>
        <v>7.661011779973842E-2</v>
      </c>
      <c r="W32" s="563">
        <f>1000000000*MOR!R32/SUM(KMA.FROT!$B72:$R72)</f>
        <v>7.0900108804932221E-2</v>
      </c>
      <c r="X32" s="563">
        <f>1000000000*MOR!S32/SUM(KMA.FROT!$B110:$R110)</f>
        <v>0.19872034086769128</v>
      </c>
      <c r="Y32" s="564">
        <f>1000000000*MOR!T32/SUM(KMA.FROT!$B148:$R148)</f>
        <v>0</v>
      </c>
      <c r="Z32" s="564" t="e">
        <f>1000000000*MOR!U32/SUM(KMA.FROT!$B186:$R186)</f>
        <v>#DIV/0!</v>
      </c>
      <c r="AA32" s="564">
        <f>1000000000*MOR!BL32/(SUM(KMA.FROT!$B34:$C34,KMA.FROT!$H34:$I34,KMA.FROT!$P34:$R34))</f>
        <v>20.012462613600345</v>
      </c>
      <c r="AB32" s="564">
        <f>1000000000*MOR!BM32/(SUM(KMA.FROT!$B72:$C72,KMA.FROT!$H72:$I72,KMA.FROT!$P72:$R72))</f>
        <v>19.803852861653461</v>
      </c>
      <c r="AC32" s="564">
        <f>1000000000*MOR!BN32/(SUM(KMA.FROT!$B110:$C110,KMA.FROT!$H110:$I110,KMA.FROT!$P110:$R110))</f>
        <v>22.200689141246112</v>
      </c>
      <c r="AD32" s="564">
        <f>1000000000*MOR!BO32/(SUM(KMA.FROT!$B148:$C148,KMA.FROT!$H148:$I148,KMA.FROT!$P148:$R148))</f>
        <v>18.260254567617107</v>
      </c>
      <c r="AE32" s="564" t="e">
        <f>1000000000*MOR!BP32/(SUM(KMA.FROT!$B186:$C186,KMA.FROT!$H186:$I186,KMA.FROT!$P186:$R186))</f>
        <v>#DIV/0!</v>
      </c>
      <c r="AF32" s="564">
        <f>1000000000*MOR!AF32/SUM(KMA.FROT!$J34:$L34)</f>
        <v>3.9822158421032481</v>
      </c>
      <c r="AG32" s="564">
        <f>1000000000*MOR!AG32/SUM(KMA.FROT!$J72:$L72)</f>
        <v>4.8423580170761076</v>
      </c>
      <c r="AH32" s="564">
        <f>1000000000*MOR!AH32/SUM(KMA.FROT!$J110:$L110)</f>
        <v>8.4400298430442025</v>
      </c>
      <c r="AI32" s="564">
        <f>1000000000*MOR!AI32/SUM(KMA.FROT!$J148:$L148)</f>
        <v>4.4604530023393609</v>
      </c>
      <c r="AJ32" s="564" t="e">
        <f>1000000000*MOR!AJ32/SUM(KMA.FROT!$J186:$L186)</f>
        <v>#DIV/0!</v>
      </c>
      <c r="AK32" s="564">
        <f>1000000000*MOR!AK32/SUM(KMA.FROT!$M34:$O34)</f>
        <v>0</v>
      </c>
      <c r="AL32" s="564">
        <f>1000000000*MOR!AL32/SUM(KMA.FROT!$M72:$O72)</f>
        <v>3.4833475448799809</v>
      </c>
      <c r="AM32" s="564">
        <f>1000000000*MOR!AM32/SUM(KMA.FROT!$M110:$O110)</f>
        <v>3.5685881942726958</v>
      </c>
      <c r="AN32" s="564">
        <f>1000000000*MOR!AN32/SUM(KMA.FROT!$M148:$O148)</f>
        <v>1.1958451546733624</v>
      </c>
      <c r="AO32" s="564" t="e">
        <f>1000000000*MOR!AO32/SUM(KMA.FROT!$M186:$O186)</f>
        <v>#DIV/0!</v>
      </c>
      <c r="AP32" s="563">
        <f>1000000000*MOR!AU32/SUM(KMA.FROT!$B34:$R34)</f>
        <v>1.3023720025955532</v>
      </c>
      <c r="AQ32" s="563">
        <f>1000000000*MOR!AV32/SUM(KMA.FROT!$B72:$R72)</f>
        <v>0.14180021760986444</v>
      </c>
      <c r="AR32" s="563">
        <f>1000000000*MOR!AW32/SUM(KMA.FROT!$B110:$R110)</f>
        <v>0.26496045449025502</v>
      </c>
      <c r="AS32" s="564">
        <f>1000000000*MOR!AX32/SUM(KMA.FROT!$B148:$R148)</f>
        <v>0.56565771956833422</v>
      </c>
      <c r="AT32" s="564" t="e">
        <f>1000000000*MOR!AY32/SUM(KMA.FROT!$B186:$R186)</f>
        <v>#DIV/0!</v>
      </c>
    </row>
    <row r="33" spans="1:46" s="1" customFormat="1">
      <c r="A33" s="21" t="s">
        <v>41</v>
      </c>
      <c r="B33" s="563">
        <f>1000000000*MOR!AZ33/SUM(KMA.FROT!$B35:$R35)</f>
        <v>61.362279426386621</v>
      </c>
      <c r="C33" s="563">
        <f>1000000000*MOR!BA33/SUM(KMA.FROT!$B73:$R73)</f>
        <v>61.354676118471417</v>
      </c>
      <c r="D33" s="563">
        <f>1000000000*MOR!BB33/SUM(KMA.FROT!$B111:$R111)</f>
        <v>54.15946940233912</v>
      </c>
      <c r="E33" s="564">
        <f>1000000000*MOR!BC33/SUM(KMA.FROT!$B149:$R149)</f>
        <v>53.540938598303377</v>
      </c>
      <c r="F33" s="564" t="e">
        <f>1000000000*MOR!BD33/SUM(KMA.FROT!$B187:$R187)</f>
        <v>#DIV/0!</v>
      </c>
      <c r="G33" s="563">
        <f>1000000000*MOR!B33/SUM(KMA.FROT!B35:R35)</f>
        <v>9.1110361223436307</v>
      </c>
      <c r="H33" s="563">
        <f>1000000000*MOR!C33/SUM(KMA.FROT!$B73:$R73)</f>
        <v>9.1250324336364148</v>
      </c>
      <c r="I33" s="563">
        <f>1000000000*MOR!D33/SUM(KMA.FROT!$B111:$R111)</f>
        <v>7.4015959830858629</v>
      </c>
      <c r="J33" s="564">
        <f>1000000000*MOR!E33/SUM(KMA.FROT!$B149:$R149)</f>
        <v>7.5618313279579095</v>
      </c>
      <c r="K33" s="564" t="e">
        <f>1000000000*MOR!F33/SUM(KMA.FROT!$B187:$R187)</f>
        <v>#DIV/0!</v>
      </c>
      <c r="L33" s="563">
        <f>1000000000*MOR!G33/SUM(KMA.FROT!$B35:$R35)</f>
        <v>2.2686114039570486</v>
      </c>
      <c r="M33" s="563">
        <f>1000000000*MOR!H33/SUM(KMA.FROT!$B73:$R73)</f>
        <v>1.786719637355382</v>
      </c>
      <c r="N33" s="563">
        <f>1000000000*MOR!I33/SUM(KMA.FROT!$B111:$R111)</f>
        <v>1.6051653939222352</v>
      </c>
      <c r="O33" s="564">
        <f>1000000000*MOR!J33/SUM(KMA.FROT!$B149:$R149)</f>
        <v>1.7979179381158665</v>
      </c>
      <c r="P33" s="564" t="e">
        <f>1000000000*MOR!K33/SUM(KMA.FROT!$B187:$R187)</f>
        <v>#DIV/0!</v>
      </c>
      <c r="Q33" s="564">
        <f>1000000000*MOR!L33/SUM(KMA.FROT!$D35:$G35)</f>
        <v>49.975232634192466</v>
      </c>
      <c r="R33" s="564">
        <f>1000000000*MOR!M33/SUM(KMA.FROT!$D73:$G73)</f>
        <v>55.428615701853893</v>
      </c>
      <c r="S33" s="564">
        <f>1000000000*MOR!N33/SUM(KMA.FROT!$D111:$G111)</f>
        <v>42.977164307219766</v>
      </c>
      <c r="T33" s="564">
        <f>1000000000*MOR!O33/SUM(KMA.FROT!$D149:$G149)</f>
        <v>44.595207616904588</v>
      </c>
      <c r="U33" s="564" t="e">
        <f>1000000000*MOR!P33/SUM(KMA.FROT!$D187:$G187)</f>
        <v>#DIV/0!</v>
      </c>
      <c r="V33" s="563">
        <f>1000000000*MOR!Q33/SUM(KMA.FROT!$B35:$R35)</f>
        <v>0.1097715195463088</v>
      </c>
      <c r="W33" s="563">
        <f>1000000000*MOR!R33/SUM(KMA.FROT!$B73:$R73)</f>
        <v>0.12762283123967014</v>
      </c>
      <c r="X33" s="563">
        <f>1000000000*MOR!S33/SUM(KMA.FROT!$B111:$R111)</f>
        <v>2.9725285072633986E-2</v>
      </c>
      <c r="Y33" s="564">
        <f>1000000000*MOR!T33/SUM(KMA.FROT!$B149:$R149)</f>
        <v>5.2879939356349014E-2</v>
      </c>
      <c r="Z33" s="564" t="e">
        <f>1000000000*MOR!U33/SUM(KMA.FROT!$B187:$R187)</f>
        <v>#DIV/0!</v>
      </c>
      <c r="AA33" s="564">
        <f>1000000000*MOR!BL33/(SUM(KMA.FROT!$B35:$C35,KMA.FROT!$H35:$I35,KMA.FROT!$P35:$R35))</f>
        <v>27.596394887383042</v>
      </c>
      <c r="AB33" s="564">
        <f>1000000000*MOR!BM33/(SUM(KMA.FROT!$B73:$C73,KMA.FROT!$H73:$I73,KMA.FROT!$P73:$R73))</f>
        <v>24.554799071637227</v>
      </c>
      <c r="AC33" s="564">
        <f>1000000000*MOR!BN33/(SUM(KMA.FROT!$B111:$C111,KMA.FROT!$H111:$I111,KMA.FROT!$P111:$R111))</f>
        <v>25.993782534171231</v>
      </c>
      <c r="AD33" s="564">
        <f>1000000000*MOR!BO33/(SUM(KMA.FROT!$B149:$C149,KMA.FROT!$H149:$I149,KMA.FROT!$P149:$R149))</f>
        <v>25.672937065958518</v>
      </c>
      <c r="AE33" s="564" t="e">
        <f>1000000000*MOR!BP33/(SUM(KMA.FROT!$B187:$C187,KMA.FROT!$H187:$I187,KMA.FROT!$P187:$R187))</f>
        <v>#DIV/0!</v>
      </c>
      <c r="AF33" s="564">
        <f>1000000000*MOR!AF33/SUM(KMA.FROT!$J35:$L35)</f>
        <v>8.6563757791279645</v>
      </c>
      <c r="AG33" s="564">
        <f>1000000000*MOR!AG33/SUM(KMA.FROT!$J73:$L73)</f>
        <v>8.6423223361472363</v>
      </c>
      <c r="AH33" s="564">
        <f>1000000000*MOR!AH33/SUM(KMA.FROT!$J111:$L111)</f>
        <v>9.1547256867310161</v>
      </c>
      <c r="AI33" s="564">
        <f>1000000000*MOR!AI33/SUM(KMA.FROT!$J149:$L149)</f>
        <v>7.1189129357679599</v>
      </c>
      <c r="AJ33" s="564" t="e">
        <f>1000000000*MOR!AJ33/SUM(KMA.FROT!$J187:$L187)</f>
        <v>#DIV/0!</v>
      </c>
      <c r="AK33" s="564">
        <f>1000000000*MOR!AK33/SUM(KMA.FROT!$M35:$O35)</f>
        <v>4.4996679916584892</v>
      </c>
      <c r="AL33" s="564">
        <f>1000000000*MOR!AL33/SUM(KMA.FROT!$M73:$O73)</f>
        <v>12.789958986435078</v>
      </c>
      <c r="AM33" s="564">
        <f>1000000000*MOR!AM33/SUM(KMA.FROT!$M111:$O111)</f>
        <v>6.4228250468184376</v>
      </c>
      <c r="AN33" s="564">
        <f>1000000000*MOR!AN33/SUM(KMA.FROT!$M149:$O149)</f>
        <v>3.3675860749458661</v>
      </c>
      <c r="AO33" s="564" t="e">
        <f>1000000000*MOR!AO33/SUM(KMA.FROT!$M187:$O187)</f>
        <v>#DIV/0!</v>
      </c>
      <c r="AP33" s="563">
        <f>1000000000*MOR!AU33/SUM(KMA.FROT!$B35:$R35)</f>
        <v>19.466149466212094</v>
      </c>
      <c r="AQ33" s="563">
        <f>1000000000*MOR!AV33/SUM(KMA.FROT!$B73:$R73)</f>
        <v>19.622010303099284</v>
      </c>
      <c r="AR33" s="563">
        <f>1000000000*MOR!AW33/SUM(KMA.FROT!$B111:$R111)</f>
        <v>17.121764201837177</v>
      </c>
      <c r="AS33" s="564">
        <f>1000000000*MOR!AX33/SUM(KMA.FROT!$B149:$R149)</f>
        <v>16.577860988215416</v>
      </c>
      <c r="AT33" s="564" t="e">
        <f>1000000000*MOR!AY33/SUM(KMA.FROT!$B187:$R187)</f>
        <v>#DIV/0!</v>
      </c>
    </row>
    <row r="34" spans="1:46" s="1" customFormat="1">
      <c r="A34" s="21" t="s">
        <v>42</v>
      </c>
      <c r="B34" s="563">
        <f>1000000000*MOR!AZ34/SUM(KMA.FROT!$B36:$R36)</f>
        <v>71.024828835045952</v>
      </c>
      <c r="C34" s="563">
        <f>1000000000*MOR!BA34/SUM(KMA.FROT!$B74:$R74)</f>
        <v>64.340445896427383</v>
      </c>
      <c r="D34" s="563">
        <f>1000000000*MOR!BB34/SUM(KMA.FROT!$B112:$R112)</f>
        <v>56.880851212351189</v>
      </c>
      <c r="E34" s="564">
        <f>1000000000*MOR!BC34/SUM(KMA.FROT!$B150:$R150)</f>
        <v>51.075241159273041</v>
      </c>
      <c r="F34" s="564" t="e">
        <f>1000000000*MOR!BD34/SUM(KMA.FROT!$B188:$R188)</f>
        <v>#DIV/0!</v>
      </c>
      <c r="G34" s="563">
        <f>1000000000*MOR!B34/SUM(KMA.FROT!B36:R36)</f>
        <v>9.1914484374765362</v>
      </c>
      <c r="H34" s="563">
        <f>1000000000*MOR!C34/SUM(KMA.FROT!$B74:$R74)</f>
        <v>8.4581728512982508</v>
      </c>
      <c r="I34" s="563">
        <f>1000000000*MOR!D34/SUM(KMA.FROT!$B112:$R112)</f>
        <v>6.691864848511905</v>
      </c>
      <c r="J34" s="564">
        <f>1000000000*MOR!E34/SUM(KMA.FROT!$B150:$R150)</f>
        <v>5.451600543684437</v>
      </c>
      <c r="K34" s="564" t="e">
        <f>1000000000*MOR!F34/SUM(KMA.FROT!$B188:$R188)</f>
        <v>#DIV/0!</v>
      </c>
      <c r="L34" s="563">
        <f>1000000000*MOR!G34/SUM(KMA.FROT!$B36:$R36)</f>
        <v>3.2780690231559673</v>
      </c>
      <c r="M34" s="563">
        <f>1000000000*MOR!H34/SUM(KMA.FROT!$B74:$R74)</f>
        <v>2.2749568358664263</v>
      </c>
      <c r="N34" s="563">
        <f>1000000000*MOR!I34/SUM(KMA.FROT!$B112:$R112)</f>
        <v>2.8679420779336735</v>
      </c>
      <c r="O34" s="564">
        <f>1000000000*MOR!J34/SUM(KMA.FROT!$B150:$R150)</f>
        <v>2.0555215164711811</v>
      </c>
      <c r="P34" s="564" t="e">
        <f>1000000000*MOR!K34/SUM(KMA.FROT!$B188:$R188)</f>
        <v>#DIV/0!</v>
      </c>
      <c r="Q34" s="564">
        <f>1000000000*MOR!L34/SUM(KMA.FROT!$D36:$G36)</f>
        <v>72.524281270676966</v>
      </c>
      <c r="R34" s="564">
        <f>1000000000*MOR!M34/SUM(KMA.FROT!$D74:$G74)</f>
        <v>66.765306545945947</v>
      </c>
      <c r="S34" s="564">
        <f>1000000000*MOR!N34/SUM(KMA.FROT!$D112:$G112)</f>
        <v>52.94918790296007</v>
      </c>
      <c r="T34" s="564">
        <f>1000000000*MOR!O34/SUM(KMA.FROT!$D150:$G150)</f>
        <v>49.923132009483972</v>
      </c>
      <c r="U34" s="564" t="e">
        <f>1000000000*MOR!P34/SUM(KMA.FROT!$D188:$G188)</f>
        <v>#DIV/0!</v>
      </c>
      <c r="V34" s="563">
        <f>1000000000*MOR!Q34/SUM(KMA.FROT!$B36:$R36)</f>
        <v>0</v>
      </c>
      <c r="W34" s="563">
        <f>1000000000*MOR!R34/SUM(KMA.FROT!$B74:$R74)</f>
        <v>0.11666445312135519</v>
      </c>
      <c r="X34" s="563">
        <f>1000000000*MOR!S34/SUM(KMA.FROT!$B112:$R112)</f>
        <v>5.3110038480253211E-2</v>
      </c>
      <c r="Y34" s="564">
        <f>1000000000*MOR!T34/SUM(KMA.FROT!$B150:$R150)</f>
        <v>4.4685250358069153E-2</v>
      </c>
      <c r="Z34" s="564" t="e">
        <f>1000000000*MOR!U34/SUM(KMA.FROT!$B188:$R188)</f>
        <v>#DIV/0!</v>
      </c>
      <c r="AA34" s="564">
        <f>1000000000*MOR!BL34/(SUM(KMA.FROT!$B36:$C36,KMA.FROT!$H36:$I36,KMA.FROT!$P36:$R36))</f>
        <v>45.654637631906887</v>
      </c>
      <c r="AB34" s="564">
        <f>1000000000*MOR!BM34/(SUM(KMA.FROT!$B74:$C74,KMA.FROT!$H74:$I74,KMA.FROT!$P74:$R74))</f>
        <v>46.592160736345683</v>
      </c>
      <c r="AC34" s="564">
        <f>1000000000*MOR!BN34/(SUM(KMA.FROT!$B112:$C112,KMA.FROT!$H112:$I112,KMA.FROT!$P112:$R112))</f>
        <v>40.842651676122557</v>
      </c>
      <c r="AD34" s="564">
        <f>1000000000*MOR!BO34/(SUM(KMA.FROT!$B150:$C150,KMA.FROT!$H150:$I150,KMA.FROT!$P150:$R150))</f>
        <v>39.070035198934072</v>
      </c>
      <c r="AE34" s="564" t="e">
        <f>1000000000*MOR!BP34/(SUM(KMA.FROT!$B188:$C188,KMA.FROT!$H188:$I188,KMA.FROT!$P188:$R188))</f>
        <v>#DIV/0!</v>
      </c>
      <c r="AF34" s="564">
        <f>1000000000*MOR!AF34/SUM(KMA.FROT!$J36:$L36)</f>
        <v>13.55467702595397</v>
      </c>
      <c r="AG34" s="564">
        <f>1000000000*MOR!AG34/SUM(KMA.FROT!$J74:$L74)</f>
        <v>9.726239501713021</v>
      </c>
      <c r="AH34" s="564">
        <f>1000000000*MOR!AH34/SUM(KMA.FROT!$J112:$L112)</f>
        <v>12.11878846082535</v>
      </c>
      <c r="AI34" s="564">
        <f>1000000000*MOR!AI34/SUM(KMA.FROT!$J150:$L150)</f>
        <v>10.004062009280952</v>
      </c>
      <c r="AJ34" s="564" t="e">
        <f>1000000000*MOR!AJ34/SUM(KMA.FROT!$J188:$L188)</f>
        <v>#DIV/0!</v>
      </c>
      <c r="AK34" s="564">
        <f>1000000000*MOR!AK34/SUM(KMA.FROT!$M36:$O36)</f>
        <v>9.9147280596041938</v>
      </c>
      <c r="AL34" s="564">
        <f>1000000000*MOR!AL34/SUM(KMA.FROT!$M74:$O74)</f>
        <v>3.953075959114182</v>
      </c>
      <c r="AM34" s="564">
        <f>1000000000*MOR!AM34/SUM(KMA.FROT!$M112:$O112)</f>
        <v>3.4866853376902882</v>
      </c>
      <c r="AN34" s="564">
        <f>1000000000*MOR!AN34/SUM(KMA.FROT!$M150:$O150)</f>
        <v>0</v>
      </c>
      <c r="AO34" s="564" t="e">
        <f>1000000000*MOR!AO34/SUM(KMA.FROT!$M188:$O188)</f>
        <v>#DIV/0!</v>
      </c>
      <c r="AP34" s="563">
        <f>1000000000*MOR!AU34/SUM(KMA.FROT!$B36:$R36)</f>
        <v>13.240827819022142</v>
      </c>
      <c r="AQ34" s="563">
        <f>1000000000*MOR!AV34/SUM(KMA.FROT!$B74:$R74)</f>
        <v>10.791461913725355</v>
      </c>
      <c r="AR34" s="563">
        <f>1000000000*MOR!AW34/SUM(KMA.FROT!$B112:$R112)</f>
        <v>10.250237426688869</v>
      </c>
      <c r="AS34" s="564">
        <f>1000000000*MOR!AX34/SUM(KMA.FROT!$B150:$R150)</f>
        <v>8.847679570897693</v>
      </c>
      <c r="AT34" s="564" t="e">
        <f>1000000000*MOR!AY34/SUM(KMA.FROT!$B188:$R188)</f>
        <v>#DIV/0!</v>
      </c>
    </row>
    <row r="35" spans="1:46" s="1" customFormat="1" ht="15.75" thickBot="1">
      <c r="A35" s="33" t="s">
        <v>43</v>
      </c>
      <c r="B35" s="565">
        <f>1000000000*MOR!AZ35/SUM(KMA.FROT!$B37:$R37)</f>
        <v>61.671773112392003</v>
      </c>
      <c r="C35" s="565">
        <f>1000000000*MOR!BA35/SUM(KMA.FROT!$B75:$R75)</f>
        <v>60.9046418119527</v>
      </c>
      <c r="D35" s="565">
        <f>1000000000*MOR!BB35/SUM(KMA.FROT!$B113:$R113)</f>
        <v>60.212796120635311</v>
      </c>
      <c r="E35" s="566">
        <f>1000000000*MOR!BC35/SUM(KMA.FROT!$B151:$R151)</f>
        <v>51.534074919171474</v>
      </c>
      <c r="F35" s="566" t="e">
        <f>1000000000*MOR!BD35/SUM(KMA.FROT!$B189:$R189)</f>
        <v>#DIV/0!</v>
      </c>
      <c r="G35" s="565">
        <f>1000000000*MOR!B35/SUM(KMA.FROT!B37:R37)</f>
        <v>9.4135231426903623</v>
      </c>
      <c r="H35" s="565">
        <f>1000000000*MOR!C35/SUM(KMA.FROT!$B75:$R75)</f>
        <v>9.0026141495816976</v>
      </c>
      <c r="I35" s="565">
        <f>1000000000*MOR!D35/SUM(KMA.FROT!$B113:$R113)</f>
        <v>9.0497338548173776</v>
      </c>
      <c r="J35" s="566">
        <f>1000000000*MOR!E35/SUM(KMA.FROT!$B151:$R151)</f>
        <v>5.7544252391134405</v>
      </c>
      <c r="K35" s="566" t="e">
        <f>1000000000*MOR!F35/SUM(KMA.FROT!$B189:$R189)</f>
        <v>#DIV/0!</v>
      </c>
      <c r="L35" s="565">
        <f>1000000000*MOR!G35/SUM(KMA.FROT!$B37:$R37)</f>
        <v>5.718495367054893</v>
      </c>
      <c r="M35" s="565">
        <f>1000000000*MOR!H35/SUM(KMA.FROT!$B75:$R75)</f>
        <v>4.3838816728397827</v>
      </c>
      <c r="N35" s="565">
        <f>1000000000*MOR!I35/SUM(KMA.FROT!$B113:$R113)</f>
        <v>5.27307326973611</v>
      </c>
      <c r="O35" s="566">
        <f>1000000000*MOR!J35/SUM(KMA.FROT!$B151:$R151)</f>
        <v>4.5396021330783807</v>
      </c>
      <c r="P35" s="566" t="e">
        <f>1000000000*MOR!K35/SUM(KMA.FROT!$B189:$R189)</f>
        <v>#DIV/0!</v>
      </c>
      <c r="Q35" s="566">
        <f>1000000000*MOR!L35/SUM(KMA.FROT!$D37:$G37)</f>
        <v>69.817654023972793</v>
      </c>
      <c r="R35" s="566">
        <f>1000000000*MOR!M35/SUM(KMA.FROT!$D75:$G75)</f>
        <v>71.50502586664588</v>
      </c>
      <c r="S35" s="566">
        <f>1000000000*MOR!N35/SUM(KMA.FROT!$D113:$G113)</f>
        <v>65.813417208047881</v>
      </c>
      <c r="T35" s="566">
        <f>1000000000*MOR!O35/SUM(KMA.FROT!$D151:$G151)</f>
        <v>58.750406607227795</v>
      </c>
      <c r="U35" s="566" t="e">
        <f>1000000000*MOR!P35/SUM(KMA.FROT!$D189:$G189)</f>
        <v>#DIV/0!</v>
      </c>
      <c r="V35" s="565">
        <f>1000000000*MOR!Q35/SUM(KMA.FROT!$B37:$R37)</f>
        <v>0</v>
      </c>
      <c r="W35" s="565">
        <f>1000000000*MOR!R35/SUM(KMA.FROT!$B75:$R75)</f>
        <v>0</v>
      </c>
      <c r="X35" s="565">
        <f>1000000000*MOR!S35/SUM(KMA.FROT!$B113:$R113)</f>
        <v>0</v>
      </c>
      <c r="Y35" s="566">
        <f>1000000000*MOR!T35/SUM(KMA.FROT!$B151:$R151)</f>
        <v>6.3938058212371557E-2</v>
      </c>
      <c r="Z35" s="566" t="e">
        <f>1000000000*MOR!U35/SUM(KMA.FROT!$B189:$R189)</f>
        <v>#DIV/0!</v>
      </c>
      <c r="AA35" s="566">
        <f>1000000000*MOR!BL35/(SUM(KMA.FROT!$B37:$C37,KMA.FROT!$H37:$I37,KMA.FROT!$P37:$R37))</f>
        <v>42.629523581492521</v>
      </c>
      <c r="AB35" s="566">
        <f>1000000000*MOR!BM35/(SUM(KMA.FROT!$B75:$C75,KMA.FROT!$H75:$I75,KMA.FROT!$P75:$R75))</f>
        <v>40.947736290223801</v>
      </c>
      <c r="AC35" s="566">
        <f>1000000000*MOR!BN35/(SUM(KMA.FROT!$B113:$C113,KMA.FROT!$H113:$I113,KMA.FROT!$P113:$R113))</f>
        <v>41.316982123930082</v>
      </c>
      <c r="AD35" s="566">
        <f>1000000000*MOR!BO35/(SUM(KMA.FROT!$B151:$C151,KMA.FROT!$H151:$I151,KMA.FROT!$P151:$R151))</f>
        <v>35.924396963060339</v>
      </c>
      <c r="AE35" s="566" t="e">
        <f>1000000000*MOR!BP35/(SUM(KMA.FROT!$B189:$C189,KMA.FROT!$H189:$I189,KMA.FROT!$P189:$R189))</f>
        <v>#DIV/0!</v>
      </c>
      <c r="AF35" s="566">
        <f>1000000000*MOR!AF35/SUM(KMA.FROT!$J37:$L37)</f>
        <v>16.196078435228216</v>
      </c>
      <c r="AG35" s="566">
        <f>1000000000*MOR!AG35/SUM(KMA.FROT!$J75:$L75)</f>
        <v>11.473006409416737</v>
      </c>
      <c r="AH35" s="566">
        <f>1000000000*MOR!AH35/SUM(KMA.FROT!$J113:$L113)</f>
        <v>14.042886430721031</v>
      </c>
      <c r="AI35" s="566">
        <f>1000000000*MOR!AI35/SUM(KMA.FROT!$J151:$L151)</f>
        <v>12.778051203360816</v>
      </c>
      <c r="AJ35" s="566" t="e">
        <f>1000000000*MOR!AJ35/SUM(KMA.FROT!$J189:$L189)</f>
        <v>#DIV/0!</v>
      </c>
      <c r="AK35" s="566">
        <f>1000000000*MOR!AK35/SUM(KMA.FROT!$M37:$O37)</f>
        <v>3.339438393567844</v>
      </c>
      <c r="AL35" s="566">
        <f>1000000000*MOR!AL35/SUM(KMA.FROT!$M75:$O75)</f>
        <v>6.0104174235576879</v>
      </c>
      <c r="AM35" s="566">
        <f>1000000000*MOR!AM35/SUM(KMA.FROT!$M113:$O113)</f>
        <v>7.085128485379995</v>
      </c>
      <c r="AN35" s="566">
        <f>1000000000*MOR!AN35/SUM(KMA.FROT!$M151:$O151)</f>
        <v>2.6317122062159299</v>
      </c>
      <c r="AO35" s="566" t="e">
        <f>1000000000*MOR!AO35/SUM(KMA.FROT!$M189:$O189)</f>
        <v>#DIV/0!</v>
      </c>
      <c r="AP35" s="565">
        <f>1000000000*MOR!AU35/SUM(KMA.FROT!$B37:$R37)</f>
        <v>3.4310972202329362</v>
      </c>
      <c r="AQ35" s="565">
        <f>1000000000*MOR!AV35/SUM(KMA.FROT!$B75:$R75)</f>
        <v>5.5581356923504392</v>
      </c>
      <c r="AR35" s="565">
        <f>1000000000*MOR!AW35/SUM(KMA.FROT!$B113:$R113)</f>
        <v>3.705402838192942</v>
      </c>
      <c r="AS35" s="566">
        <f>1000000000*MOR!AX35/SUM(KMA.FROT!$B151:$R151)</f>
        <v>3.7723454345299219</v>
      </c>
      <c r="AT35" s="566" t="e">
        <f>1000000000*MOR!AY35/SUM(KMA.FROT!$B189:$R189)</f>
        <v>#DIV/0!</v>
      </c>
    </row>
    <row r="36" spans="1:46">
      <c r="A36" s="42"/>
      <c r="B36" s="43"/>
      <c r="C36" s="43"/>
      <c r="D36" s="43"/>
      <c r="E36" s="43"/>
      <c r="F36" s="43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5"/>
      <c r="AG36" s="45"/>
      <c r="AH36" s="45"/>
      <c r="AI36" s="45"/>
      <c r="AJ36" s="45"/>
      <c r="AK36" s="45"/>
      <c r="AL36" s="45"/>
      <c r="AM36" s="45"/>
      <c r="AN36" s="45"/>
      <c r="AO36" s="45"/>
      <c r="AP36" s="45"/>
      <c r="AQ36" s="45"/>
      <c r="AR36" s="45"/>
      <c r="AS36" s="45"/>
    </row>
  </sheetData>
  <mergeCells count="9">
    <mergeCell ref="AK1:AO1"/>
    <mergeCell ref="AP1:AT1"/>
    <mergeCell ref="B1:F1"/>
    <mergeCell ref="G1:K1"/>
    <mergeCell ref="L1:P1"/>
    <mergeCell ref="Q1:U1"/>
    <mergeCell ref="V1:Z1"/>
    <mergeCell ref="AA1:AE1"/>
    <mergeCell ref="AF1:AJ1"/>
  </mergeCells>
  <pageMargins left="0.511811024" right="0.511811024" top="0.78740157499999996" bottom="0.78740157499999996" header="0.31496062000000002" footer="0.31496062000000002"/>
  <pageSetup paperSize="9"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35"/>
  <sheetViews>
    <sheetView workbookViewId="0">
      <selection activeCell="C17" sqref="C17"/>
    </sheetView>
  </sheetViews>
  <sheetFormatPr defaultColWidth="8.85546875" defaultRowHeight="15"/>
  <cols>
    <col min="7" max="72" width="8.85546875" style="1"/>
  </cols>
  <sheetData>
    <row r="1" spans="1:6">
      <c r="A1" s="1040" t="s">
        <v>44</v>
      </c>
      <c r="B1" s="1042" t="s">
        <v>45</v>
      </c>
      <c r="C1" s="1043"/>
      <c r="D1" s="1043"/>
      <c r="E1" s="1043"/>
      <c r="F1" s="1044"/>
    </row>
    <row r="2" spans="1:6" ht="15.75" thickBot="1">
      <c r="A2" s="1041"/>
      <c r="B2" s="602">
        <v>2009</v>
      </c>
      <c r="C2" s="599">
        <v>2010</v>
      </c>
      <c r="D2" s="599">
        <v>2011</v>
      </c>
      <c r="E2" s="599">
        <v>2012</v>
      </c>
      <c r="F2" s="603">
        <v>2013</v>
      </c>
    </row>
    <row r="3" spans="1:6" ht="15.75" thickBot="1">
      <c r="A3" s="593" t="s">
        <v>11</v>
      </c>
      <c r="B3" s="604">
        <f>100000*MOR!AZ3/POP!B3</f>
        <v>19.335595332686847</v>
      </c>
      <c r="C3" s="604">
        <f>100000*MOR!BA3/POP!C3</f>
        <v>22.135631116514574</v>
      </c>
      <c r="D3" s="604" t="e">
        <f>100000*MOR!BB3/POP!D3</f>
        <v>#DIV/0!</v>
      </c>
      <c r="E3" s="604" t="e">
        <f>100000*MOR!BC3/POP!E3</f>
        <v>#DIV/0!</v>
      </c>
      <c r="F3" s="604" t="e">
        <f>100000*MOR!BD3/POP!F3</f>
        <v>#DIV/0!</v>
      </c>
    </row>
    <row r="4" spans="1:6" ht="15.75" thickBot="1">
      <c r="A4" s="594" t="s">
        <v>46</v>
      </c>
      <c r="B4" s="604">
        <f>100000*MOR!AZ4/POP!B4</f>
        <v>17.350661424792044</v>
      </c>
      <c r="C4" s="604">
        <f>100000*MOR!BA4/POP!C4</f>
        <v>21.002928937863224</v>
      </c>
      <c r="D4" s="604" t="e">
        <f>100000*MOR!BB4/POP!D4</f>
        <v>#DIV/0!</v>
      </c>
      <c r="E4" s="604" t="e">
        <f>100000*MOR!BC4/POP!E4</f>
        <v>#DIV/0!</v>
      </c>
      <c r="F4" s="604" t="e">
        <f>100000*MOR!BD4/POP!F4</f>
        <v>#DIV/0!</v>
      </c>
    </row>
    <row r="5" spans="1:6">
      <c r="A5" s="595" t="s">
        <v>47</v>
      </c>
      <c r="B5" s="606">
        <f>100000*MOR!AZ5/POP!B5</f>
        <v>17.217207368964754</v>
      </c>
      <c r="C5" s="606">
        <f>100000*MOR!BA5/POP!C5</f>
        <v>18.812392731872965</v>
      </c>
      <c r="D5" s="606" t="e">
        <f>100000*MOR!BB5/POP!D5</f>
        <v>#DIV/0!</v>
      </c>
      <c r="E5" s="606" t="e">
        <f>100000*MOR!BC5/POP!E5</f>
        <v>#DIV/0!</v>
      </c>
      <c r="F5" s="606" t="e">
        <f>100000*MOR!BD5/POP!F5</f>
        <v>#DIV/0!</v>
      </c>
    </row>
    <row r="6" spans="1:6">
      <c r="A6" s="596" t="s">
        <v>48</v>
      </c>
      <c r="B6" s="606">
        <f>100000*MOR!AZ6/POP!B6</f>
        <v>17.07609394724285</v>
      </c>
      <c r="C6" s="606">
        <f>100000*MOR!BA6/POP!C6</f>
        <v>18.072487102816023</v>
      </c>
      <c r="D6" s="606" t="e">
        <f>100000*MOR!BB6/POP!D6</f>
        <v>#DIV/0!</v>
      </c>
      <c r="E6" s="606" t="e">
        <f>100000*MOR!BC6/POP!E6</f>
        <v>#DIV/0!</v>
      </c>
      <c r="F6" s="606" t="e">
        <f>100000*MOR!BD6/POP!F6</f>
        <v>#DIV/0!</v>
      </c>
    </row>
    <row r="7" spans="1:6">
      <c r="A7" s="596" t="s">
        <v>49</v>
      </c>
      <c r="B7" s="606">
        <f>100000*MOR!AZ7/POP!B7</f>
        <v>10.75631004931105</v>
      </c>
      <c r="C7" s="606">
        <f>100000*MOR!BA7/POP!C7</f>
        <v>13.40419089060372</v>
      </c>
      <c r="D7" s="606" t="e">
        <f>100000*MOR!BB7/POP!D7</f>
        <v>#DIV/0!</v>
      </c>
      <c r="E7" s="606" t="e">
        <f>100000*MOR!BC7/POP!E7</f>
        <v>#DIV/0!</v>
      </c>
      <c r="F7" s="606" t="e">
        <f>100000*MOR!BD7/POP!F7</f>
        <v>#DIV/0!</v>
      </c>
    </row>
    <row r="8" spans="1:6">
      <c r="A8" s="596" t="s">
        <v>50</v>
      </c>
      <c r="B8" s="606">
        <f>100000*MOR!AZ8/POP!B8</f>
        <v>13.59163541151233</v>
      </c>
      <c r="C8" s="606">
        <f>100000*MOR!BA8/POP!C8</f>
        <v>17.688840241280531</v>
      </c>
      <c r="D8" s="606" t="e">
        <f>100000*MOR!BB8/POP!D8</f>
        <v>#DIV/0!</v>
      </c>
      <c r="E8" s="606" t="e">
        <f>100000*MOR!BC8/POP!E8</f>
        <v>#DIV/0!</v>
      </c>
      <c r="F8" s="606" t="e">
        <f>100000*MOR!BD8/POP!F8</f>
        <v>#DIV/0!</v>
      </c>
    </row>
    <row r="9" spans="1:6">
      <c r="A9" s="596" t="s">
        <v>51</v>
      </c>
      <c r="B9" s="606">
        <f>100000*MOR!AZ9/POP!B9</f>
        <v>32.448728681417983</v>
      </c>
      <c r="C9" s="606">
        <f>100000*MOR!BA9/POP!C9</f>
        <v>38.210225363525169</v>
      </c>
      <c r="D9" s="606" t="e">
        <f>100000*MOR!BB9/POP!D9</f>
        <v>#DIV/0!</v>
      </c>
      <c r="E9" s="606" t="e">
        <f>100000*MOR!BC9/POP!E9</f>
        <v>#DIV/0!</v>
      </c>
      <c r="F9" s="606" t="e">
        <f>100000*MOR!BD9/POP!F9</f>
        <v>#DIV/0!</v>
      </c>
    </row>
    <row r="10" spans="1:6">
      <c r="A10" s="596" t="s">
        <v>52</v>
      </c>
      <c r="B10" s="606">
        <f>100000*MOR!AZ10/POP!B10</f>
        <v>29.893451198940916</v>
      </c>
      <c r="C10" s="606">
        <f>100000*MOR!BA10/POP!C10</f>
        <v>32.187959927099818</v>
      </c>
      <c r="D10" s="606" t="e">
        <f>100000*MOR!BB10/POP!D10</f>
        <v>#DIV/0!</v>
      </c>
      <c r="E10" s="606" t="e">
        <f>100000*MOR!BC10/POP!E10</f>
        <v>#DIV/0!</v>
      </c>
      <c r="F10" s="606" t="e">
        <f>100000*MOR!BD10/POP!F10</f>
        <v>#DIV/0!</v>
      </c>
    </row>
    <row r="11" spans="1:6" ht="15.75" thickBot="1">
      <c r="A11" s="597" t="s">
        <v>53</v>
      </c>
      <c r="B11" s="606">
        <f>100000*MOR!AZ11/POP!B11</f>
        <v>34.828023091753266</v>
      </c>
      <c r="C11" s="606">
        <f>100000*MOR!BA11/POP!C11</f>
        <v>37.804177253161491</v>
      </c>
      <c r="D11" s="606" t="e">
        <f>100000*MOR!BB11/POP!D11</f>
        <v>#DIV/0!</v>
      </c>
      <c r="E11" s="606" t="e">
        <f>100000*MOR!BC11/POP!E11</f>
        <v>#DIV/0!</v>
      </c>
      <c r="F11" s="606" t="e">
        <f>100000*MOR!BD11/POP!F11</f>
        <v>#DIV/0!</v>
      </c>
    </row>
    <row r="12" spans="1:6" ht="15.75" thickBot="1">
      <c r="A12" s="594" t="s">
        <v>54</v>
      </c>
      <c r="B12" s="604">
        <f>100000*MOR!AZ12/POP!B12</f>
        <v>17.849912538973911</v>
      </c>
      <c r="C12" s="604">
        <f>100000*MOR!BA12/POP!C12</f>
        <v>22.158191249567885</v>
      </c>
      <c r="D12" s="604" t="e">
        <f>100000*MOR!BB12/POP!D12</f>
        <v>#DIV/0!</v>
      </c>
      <c r="E12" s="604" t="e">
        <f>100000*MOR!BC12/POP!E12</f>
        <v>#DIV/0!</v>
      </c>
      <c r="F12" s="604" t="e">
        <f>100000*MOR!BD12/POP!F12</f>
        <v>#DIV/0!</v>
      </c>
    </row>
    <row r="13" spans="1:6">
      <c r="A13" s="595" t="s">
        <v>55</v>
      </c>
      <c r="B13" s="606">
        <f>100000*MOR!AZ13/POP!B13</f>
        <v>20.880193631319148</v>
      </c>
      <c r="C13" s="606">
        <f>100000*MOR!BA13/POP!C13</f>
        <v>25.092180917508575</v>
      </c>
      <c r="D13" s="606" t="e">
        <f>100000*MOR!BB13/POP!D13</f>
        <v>#DIV/0!</v>
      </c>
      <c r="E13" s="606" t="e">
        <f>100000*MOR!BC13/POP!E13</f>
        <v>#DIV/0!</v>
      </c>
      <c r="F13" s="606" t="e">
        <f>100000*MOR!BD13/POP!F13</f>
        <v>#DIV/0!</v>
      </c>
    </row>
    <row r="14" spans="1:6">
      <c r="A14" s="596" t="s">
        <v>56</v>
      </c>
      <c r="B14" s="606">
        <f>100000*MOR!AZ14/POP!B14</f>
        <v>12.508966695132365</v>
      </c>
      <c r="C14" s="606">
        <f>100000*MOR!BA14/POP!C14</f>
        <v>18.556163535661863</v>
      </c>
      <c r="D14" s="606" t="e">
        <f>100000*MOR!BB14/POP!D14</f>
        <v>#DIV/0!</v>
      </c>
      <c r="E14" s="606" t="e">
        <f>100000*MOR!BC14/POP!E14</f>
        <v>#DIV/0!</v>
      </c>
      <c r="F14" s="606" t="e">
        <f>100000*MOR!BD14/POP!F14</f>
        <v>#DIV/0!</v>
      </c>
    </row>
    <row r="15" spans="1:6">
      <c r="A15" s="596" t="s">
        <v>57</v>
      </c>
      <c r="B15" s="606">
        <f>100000*MOR!AZ15/POP!B15</f>
        <v>17.723962446257786</v>
      </c>
      <c r="C15" s="606">
        <f>100000*MOR!BA15/POP!C15</f>
        <v>23.839436485411625</v>
      </c>
      <c r="D15" s="606" t="e">
        <f>100000*MOR!BB15/POP!D15</f>
        <v>#DIV/0!</v>
      </c>
      <c r="E15" s="606" t="e">
        <f>100000*MOR!BC15/POP!E15</f>
        <v>#DIV/0!</v>
      </c>
      <c r="F15" s="606" t="e">
        <f>100000*MOR!BD15/POP!F15</f>
        <v>#DIV/0!</v>
      </c>
    </row>
    <row r="16" spans="1:6">
      <c r="A16" s="596" t="s">
        <v>58</v>
      </c>
      <c r="B16" s="606">
        <f>100000*MOR!AZ16/POP!B16</f>
        <v>17.417632580930345</v>
      </c>
      <c r="C16" s="606">
        <f>100000*MOR!BA16/POP!C16</f>
        <v>19.392257302857931</v>
      </c>
      <c r="D16" s="606" t="e">
        <f>100000*MOR!BB16/POP!D16</f>
        <v>#DIV/0!</v>
      </c>
      <c r="E16" s="606" t="e">
        <f>100000*MOR!BC16/POP!E16</f>
        <v>#DIV/0!</v>
      </c>
      <c r="F16" s="606" t="e">
        <f>100000*MOR!BD16/POP!F16</f>
        <v>#DIV/0!</v>
      </c>
    </row>
    <row r="17" spans="1:6">
      <c r="A17" s="596" t="s">
        <v>59</v>
      </c>
      <c r="B17" s="606">
        <f>100000*MOR!AZ17/POP!B17</f>
        <v>20.530754486659518</v>
      </c>
      <c r="C17" s="606">
        <f>100000*MOR!BA17/POP!C17</f>
        <v>22.009659824644871</v>
      </c>
      <c r="D17" s="606" t="e">
        <f>100000*MOR!BB17/POP!D17</f>
        <v>#DIV/0!</v>
      </c>
      <c r="E17" s="606" t="e">
        <f>100000*MOR!BC17/POP!E17</f>
        <v>#DIV/0!</v>
      </c>
      <c r="F17" s="606" t="e">
        <f>100000*MOR!BD17/POP!F17</f>
        <v>#DIV/0!</v>
      </c>
    </row>
    <row r="18" spans="1:6">
      <c r="A18" s="596" t="s">
        <v>60</v>
      </c>
      <c r="B18" s="606">
        <f>100000*MOR!AZ18/POP!B18</f>
        <v>19.749570900846031</v>
      </c>
      <c r="C18" s="606">
        <f>100000*MOR!BA18/POP!C18</f>
        <v>22.042988260716143</v>
      </c>
      <c r="D18" s="606" t="e">
        <f>100000*MOR!BB18/POP!D18</f>
        <v>#DIV/0!</v>
      </c>
      <c r="E18" s="606" t="e">
        <f>100000*MOR!BC18/POP!E18</f>
        <v>#DIV/0!</v>
      </c>
      <c r="F18" s="606" t="e">
        <f>100000*MOR!BD18/POP!F18</f>
        <v>#DIV/0!</v>
      </c>
    </row>
    <row r="19" spans="1:6">
      <c r="A19" s="596" t="s">
        <v>61</v>
      </c>
      <c r="B19" s="606">
        <f>100000*MOR!AZ19/POP!B19</f>
        <v>28.71074449535859</v>
      </c>
      <c r="C19" s="606">
        <f>100000*MOR!BA19/POP!C19</f>
        <v>33.479136469169688</v>
      </c>
      <c r="D19" s="606" t="e">
        <f>100000*MOR!BB19/POP!D19</f>
        <v>#DIV/0!</v>
      </c>
      <c r="E19" s="606" t="e">
        <f>100000*MOR!BC19/POP!E19</f>
        <v>#DIV/0!</v>
      </c>
      <c r="F19" s="606" t="e">
        <f>100000*MOR!BD19/POP!F19</f>
        <v>#DIV/0!</v>
      </c>
    </row>
    <row r="20" spans="1:6">
      <c r="A20" s="596" t="s">
        <v>62</v>
      </c>
      <c r="B20" s="606">
        <f>100000*MOR!AZ20/POP!B20</f>
        <v>15.967384465934016</v>
      </c>
      <c r="C20" s="606">
        <f>100000*MOR!BA20/POP!C20</f>
        <v>20.485936515061265</v>
      </c>
      <c r="D20" s="606" t="e">
        <f>100000*MOR!BB20/POP!D20</f>
        <v>#DIV/0!</v>
      </c>
      <c r="E20" s="606" t="e">
        <f>100000*MOR!BC20/POP!E20</f>
        <v>#DIV/0!</v>
      </c>
      <c r="F20" s="606" t="e">
        <f>100000*MOR!BD20/POP!F20</f>
        <v>#DIV/0!</v>
      </c>
    </row>
    <row r="21" spans="1:6" ht="15.75" thickBot="1">
      <c r="A21" s="597" t="s">
        <v>63</v>
      </c>
      <c r="B21" s="606">
        <f>100000*MOR!AZ21/POP!B21</f>
        <v>26.438850256590527</v>
      </c>
      <c r="C21" s="606">
        <f>100000*MOR!BA21/POP!C21</f>
        <v>30.318899699567268</v>
      </c>
      <c r="D21" s="606" t="e">
        <f>100000*MOR!BB21/POP!D21</f>
        <v>#DIV/0!</v>
      </c>
      <c r="E21" s="606" t="e">
        <f>100000*MOR!BC21/POP!E21</f>
        <v>#DIV/0!</v>
      </c>
      <c r="F21" s="606" t="e">
        <f>100000*MOR!BD21/POP!F21</f>
        <v>#DIV/0!</v>
      </c>
    </row>
    <row r="22" spans="1:6" ht="15.75" thickBot="1">
      <c r="A22" s="594" t="s">
        <v>64</v>
      </c>
      <c r="B22" s="604">
        <f>100000*MOR!AZ22/POP!B22</f>
        <v>17.133894651289712</v>
      </c>
      <c r="C22" s="604">
        <f>100000*MOR!BA22/POP!C22</f>
        <v>19.022101947864734</v>
      </c>
      <c r="D22" s="604" t="e">
        <f>100000*MOR!BB22/POP!D22</f>
        <v>#DIV/0!</v>
      </c>
      <c r="E22" s="604" t="e">
        <f>100000*MOR!BC22/POP!E22</f>
        <v>#DIV/0!</v>
      </c>
      <c r="F22" s="604" t="e">
        <f>100000*MOR!BD22/POP!F22</f>
        <v>#DIV/0!</v>
      </c>
    </row>
    <row r="23" spans="1:6">
      <c r="A23" s="595" t="s">
        <v>65</v>
      </c>
      <c r="B23" s="606">
        <f>100000*MOR!AZ23/POP!B23</f>
        <v>27.472732309481763</v>
      </c>
      <c r="C23" s="606">
        <f>100000*MOR!BA23/POP!C23</f>
        <v>32.518224999943101</v>
      </c>
      <c r="D23" s="606" t="e">
        <f>100000*MOR!BB23/POP!D23</f>
        <v>#DIV/0!</v>
      </c>
      <c r="E23" s="606" t="e">
        <f>100000*MOR!BC23/POP!E23</f>
        <v>#DIV/0!</v>
      </c>
      <c r="F23" s="606" t="e">
        <f>100000*MOR!BD23/POP!F23</f>
        <v>#DIV/0!</v>
      </c>
    </row>
    <row r="24" spans="1:6">
      <c r="A24" s="596" t="s">
        <v>66</v>
      </c>
      <c r="B24" s="606">
        <f>100000*MOR!AZ24/POP!B24</f>
        <v>19.282154777551916</v>
      </c>
      <c r="C24" s="606">
        <f>100000*MOR!BA24/POP!C24</f>
        <v>21.870326212805519</v>
      </c>
      <c r="D24" s="606" t="e">
        <f>100000*MOR!BB24/POP!D24</f>
        <v>#DIV/0!</v>
      </c>
      <c r="E24" s="606" t="e">
        <f>100000*MOR!BC24/POP!E24</f>
        <v>#DIV/0!</v>
      </c>
      <c r="F24" s="606" t="e">
        <f>100000*MOR!BD24/POP!F24</f>
        <v>#DIV/0!</v>
      </c>
    </row>
    <row r="25" spans="1:6">
      <c r="A25" s="596" t="s">
        <v>67</v>
      </c>
      <c r="B25" s="606">
        <f>100000*MOR!AZ25/POP!B25</f>
        <v>14.265739751683688</v>
      </c>
      <c r="C25" s="606">
        <f>100000*MOR!BA25/POP!C25</f>
        <v>17.692386251371097</v>
      </c>
      <c r="D25" s="606" t="e">
        <f>100000*MOR!BB25/POP!D25</f>
        <v>#DIV/0!</v>
      </c>
      <c r="E25" s="606" t="e">
        <f>100000*MOR!BC25/POP!E25</f>
        <v>#DIV/0!</v>
      </c>
      <c r="F25" s="606" t="e">
        <f>100000*MOR!BD25/POP!F25</f>
        <v>#DIV/0!</v>
      </c>
    </row>
    <row r="26" spans="1:6" ht="15.75" thickBot="1">
      <c r="A26" s="597" t="s">
        <v>68</v>
      </c>
      <c r="B26" s="606">
        <f>100000*MOR!AZ26/POP!B26</f>
        <v>16.33236387056871</v>
      </c>
      <c r="C26" s="606">
        <f>100000*MOR!BA26/POP!C26</f>
        <v>17.034962193847207</v>
      </c>
      <c r="D26" s="606" t="e">
        <f>100000*MOR!BB26/POP!D26</f>
        <v>#DIV/0!</v>
      </c>
      <c r="E26" s="606" t="e">
        <f>100000*MOR!BC26/POP!E26</f>
        <v>#DIV/0!</v>
      </c>
      <c r="F26" s="606" t="e">
        <f>100000*MOR!BD26/POP!F26</f>
        <v>#DIV/0!</v>
      </c>
    </row>
    <row r="27" spans="1:6" ht="15.75" thickBot="1">
      <c r="A27" s="594" t="s">
        <v>69</v>
      </c>
      <c r="B27" s="604">
        <f>100000*MOR!AZ27/POP!B27</f>
        <v>24.784446565653152</v>
      </c>
      <c r="C27" s="604">
        <f>100000*MOR!BA27/POP!C27</f>
        <v>27.034832102701984</v>
      </c>
      <c r="D27" s="604" t="e">
        <f>100000*MOR!BB27/POP!D27</f>
        <v>#DIV/0!</v>
      </c>
      <c r="E27" s="604" t="e">
        <f>100000*MOR!BC27/POP!E27</f>
        <v>#DIV/0!</v>
      </c>
      <c r="F27" s="604" t="e">
        <f>100000*MOR!BD27/POP!F27</f>
        <v>#DIV/0!</v>
      </c>
    </row>
    <row r="28" spans="1:6">
      <c r="A28" s="595" t="s">
        <v>70</v>
      </c>
      <c r="B28" s="606">
        <f>100000*MOR!AZ28/POP!B28</f>
        <v>28.812785952161978</v>
      </c>
      <c r="C28" s="606">
        <f>100000*MOR!BA28/POP!C28</f>
        <v>32.438044579524238</v>
      </c>
      <c r="D28" s="606" t="e">
        <f>100000*MOR!BB28/POP!D28</f>
        <v>#DIV/0!</v>
      </c>
      <c r="E28" s="606" t="e">
        <f>100000*MOR!BC28/POP!E28</f>
        <v>#DIV/0!</v>
      </c>
      <c r="F28" s="606" t="e">
        <f>100000*MOR!BD28/POP!F28</f>
        <v>#DIV/0!</v>
      </c>
    </row>
    <row r="29" spans="1:6">
      <c r="A29" s="596" t="s">
        <v>71</v>
      </c>
      <c r="B29" s="606">
        <f>100000*MOR!AZ29/POP!B29</f>
        <v>18.132603851075523</v>
      </c>
      <c r="C29" s="606">
        <f>100000*MOR!BA29/POP!C29</f>
        <v>20.39474920770467</v>
      </c>
      <c r="D29" s="606" t="e">
        <f>100000*MOR!BB29/POP!D29</f>
        <v>#DIV/0!</v>
      </c>
      <c r="E29" s="606" t="e">
        <f>100000*MOR!BC29/POP!E29</f>
        <v>#DIV/0!</v>
      </c>
      <c r="F29" s="606" t="e">
        <f>100000*MOR!BD29/POP!F29</f>
        <v>#DIV/0!</v>
      </c>
    </row>
    <row r="30" spans="1:6" ht="15.75" thickBot="1">
      <c r="A30" s="597" t="s">
        <v>72</v>
      </c>
      <c r="B30" s="606">
        <f>100000*MOR!AZ30/POP!B30</f>
        <v>29.614003043443514</v>
      </c>
      <c r="C30" s="606">
        <f>100000*MOR!BA30/POP!C30</f>
        <v>29.367348885385077</v>
      </c>
      <c r="D30" s="606" t="e">
        <f>100000*MOR!BB30/POP!D30</f>
        <v>#DIV/0!</v>
      </c>
      <c r="E30" s="606" t="e">
        <f>100000*MOR!BC30/POP!E30</f>
        <v>#DIV/0!</v>
      </c>
      <c r="F30" s="606" t="e">
        <f>100000*MOR!BD30/POP!F30</f>
        <v>#DIV/0!</v>
      </c>
    </row>
    <row r="31" spans="1:6" ht="15.75" thickBot="1">
      <c r="A31" s="594" t="s">
        <v>73</v>
      </c>
      <c r="B31" s="604">
        <f>100000*MOR!AZ31/POP!B31</f>
        <v>29.21096498591951</v>
      </c>
      <c r="C31" s="604">
        <f>100000*MOR!BA31/POP!C31</f>
        <v>31.583228850226782</v>
      </c>
      <c r="D31" s="604" t="e">
        <f>100000*MOR!BB31/POP!D31</f>
        <v>#DIV/0!</v>
      </c>
      <c r="E31" s="604" t="e">
        <f>100000*MOR!BC31/POP!E31</f>
        <v>#DIV/0!</v>
      </c>
      <c r="F31" s="604" t="e">
        <f>100000*MOR!BD31/POP!F31</f>
        <v>#DIV/0!</v>
      </c>
    </row>
    <row r="32" spans="1:6">
      <c r="A32" s="595" t="s">
        <v>74</v>
      </c>
      <c r="B32" s="606">
        <f>100000*MOR!AZ32/POP!B32</f>
        <v>22.095344480230036</v>
      </c>
      <c r="C32" s="606">
        <f>100000*MOR!BA32/POP!C32</f>
        <v>24.745541133625924</v>
      </c>
      <c r="D32" s="606" t="e">
        <f>100000*MOR!BB32/POP!D32</f>
        <v>#DIV/0!</v>
      </c>
      <c r="E32" s="606" t="e">
        <f>100000*MOR!BC32/POP!E32</f>
        <v>#DIV/0!</v>
      </c>
      <c r="F32" s="606" t="e">
        <f>100000*MOR!BD32/POP!F32</f>
        <v>#DIV/0!</v>
      </c>
    </row>
    <row r="33" spans="1:6">
      <c r="A33" s="596" t="s">
        <v>75</v>
      </c>
      <c r="B33" s="606">
        <f>100000*MOR!AZ33/POP!B33</f>
        <v>28.297550515430519</v>
      </c>
      <c r="C33" s="606">
        <f>100000*MOR!BA33/POP!C33</f>
        <v>32.029778533152736</v>
      </c>
      <c r="D33" s="606" t="e">
        <f>100000*MOR!BB33/POP!D33</f>
        <v>#DIV/0!</v>
      </c>
      <c r="E33" s="606" t="e">
        <f>100000*MOR!BC33/POP!E33</f>
        <v>#DIV/0!</v>
      </c>
      <c r="F33" s="606" t="e">
        <f>100000*MOR!BD33/POP!F33</f>
        <v>#DIV/0!</v>
      </c>
    </row>
    <row r="34" spans="1:6">
      <c r="A34" s="596" t="s">
        <v>76</v>
      </c>
      <c r="B34" s="606">
        <f>100000*MOR!AZ34/POP!B34</f>
        <v>36.812166337689163</v>
      </c>
      <c r="C34" s="606">
        <f>100000*MOR!BA34/POP!C34</f>
        <v>36.341208030517386</v>
      </c>
      <c r="D34" s="606" t="e">
        <f>100000*MOR!BB34/POP!D34</f>
        <v>#DIV/0!</v>
      </c>
      <c r="E34" s="606" t="e">
        <f>100000*MOR!BC34/POP!E34</f>
        <v>#DIV/0!</v>
      </c>
      <c r="F34" s="606" t="e">
        <f>100000*MOR!BD34/POP!F34</f>
        <v>#DIV/0!</v>
      </c>
    </row>
    <row r="35" spans="1:6" ht="15.75" thickBot="1">
      <c r="A35" s="598" t="s">
        <v>77</v>
      </c>
      <c r="B35" s="606">
        <f>100000*MOR!AZ35/POP!B35</f>
        <v>29.696469043231449</v>
      </c>
      <c r="C35" s="606">
        <f>100000*MOR!BA35/POP!C35</f>
        <v>31.767757278001358</v>
      </c>
      <c r="D35" s="606" t="e">
        <f>100000*MOR!BB35/POP!D35</f>
        <v>#DIV/0!</v>
      </c>
      <c r="E35" s="606" t="e">
        <f>100000*MOR!BC35/POP!E35</f>
        <v>#DIV/0!</v>
      </c>
      <c r="F35" s="606" t="e">
        <f>100000*MOR!BD35/POP!F35</f>
        <v>#DIV/0!</v>
      </c>
    </row>
  </sheetData>
  <mergeCells count="2">
    <mergeCell ref="A1:A2"/>
    <mergeCell ref="B1:F1"/>
  </mergeCells>
  <pageMargins left="0.511811024" right="0.511811024" top="0.78740157499999996" bottom="0.78740157499999996" header="0.31496062000000002" footer="0.31496062000000002"/>
  <pageSetup paperSize="9"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6" tint="-0.249977111117893"/>
  </sheetPr>
  <dimension ref="A1:BT36"/>
  <sheetViews>
    <sheetView workbookViewId="0"/>
  </sheetViews>
  <sheetFormatPr defaultColWidth="8.85546875" defaultRowHeight="15"/>
  <cols>
    <col min="1" max="1" width="25.140625" style="3" bestFit="1" customWidth="1"/>
    <col min="2" max="5" width="8.85546875" style="3"/>
    <col min="6" max="72" width="8.85546875" style="1"/>
  </cols>
  <sheetData>
    <row r="1" spans="1:6" ht="15.75" thickBot="1">
      <c r="A1" s="345" t="s">
        <v>0</v>
      </c>
      <c r="B1" s="1037" t="s">
        <v>1</v>
      </c>
      <c r="C1" s="1038"/>
      <c r="D1" s="1038"/>
      <c r="E1" s="1038"/>
      <c r="F1" s="1039"/>
    </row>
    <row r="2" spans="1:6" ht="15.75" thickBot="1">
      <c r="A2" s="346" t="s">
        <v>10</v>
      </c>
      <c r="B2" s="602">
        <v>2009</v>
      </c>
      <c r="C2" s="599">
        <v>2010</v>
      </c>
      <c r="D2" s="599">
        <v>2011</v>
      </c>
      <c r="E2" s="599">
        <v>2012</v>
      </c>
      <c r="F2" s="603">
        <v>2013</v>
      </c>
    </row>
    <row r="3" spans="1:6" ht="15.75" thickBot="1">
      <c r="A3" s="347" t="s">
        <v>11</v>
      </c>
      <c r="B3" s="348">
        <f>MOR_VEIC!B3</f>
        <v>66.799588658583104</v>
      </c>
      <c r="C3" s="348">
        <f>MOR_VEIC!C3</f>
        <v>69.96256253157739</v>
      </c>
      <c r="D3" s="348">
        <f>MOR_VEIC!D3</f>
        <v>64.761066778208288</v>
      </c>
      <c r="E3" s="348">
        <f>MOR_VEIC!E3</f>
        <v>62.071105900203456</v>
      </c>
      <c r="F3" s="348">
        <f>MOR_VEIC!F3</f>
        <v>51.130670658591789</v>
      </c>
    </row>
    <row r="4" spans="1:6">
      <c r="A4" s="350" t="s">
        <v>12</v>
      </c>
      <c r="B4" s="348">
        <f>MOR_VEIC!B4</f>
        <v>116.5110853849194</v>
      </c>
      <c r="C4" s="348">
        <f>MOR_VEIC!C4</f>
        <v>128.39641661477376</v>
      </c>
      <c r="D4" s="348">
        <f>MOR_VEIC!D4</f>
        <v>115.6654646862587</v>
      </c>
      <c r="E4" s="348">
        <f>MOR_VEIC!E4</f>
        <v>109.20984870965366</v>
      </c>
      <c r="F4" s="348">
        <f>MOR_VEIC!F4</f>
        <v>86.91181231314151</v>
      </c>
    </row>
    <row r="5" spans="1:6">
      <c r="A5" s="21" t="s">
        <v>13</v>
      </c>
      <c r="B5" s="563">
        <f>MOR_VEIC!B5</f>
        <v>101.24988300958896</v>
      </c>
      <c r="C5" s="563">
        <f>MOR_VEIC!C5</f>
        <v>100.26519417299379</v>
      </c>
      <c r="D5" s="563">
        <f>MOR_VEIC!D5</f>
        <v>102.98465970835755</v>
      </c>
      <c r="E5" s="563">
        <f>MOR_VEIC!E5</f>
        <v>88.946801880913256</v>
      </c>
      <c r="F5" s="563">
        <f>MOR_VEIC!F5</f>
        <v>62.203258867609108</v>
      </c>
    </row>
    <row r="6" spans="1:6">
      <c r="A6" s="21" t="s">
        <v>14</v>
      </c>
      <c r="B6" s="563">
        <f>MOR_VEIC!B6</f>
        <v>116.40683645383436</v>
      </c>
      <c r="C6" s="563">
        <f>MOR_VEIC!C6</f>
        <v>115.0354137947426</v>
      </c>
      <c r="D6" s="563">
        <f>MOR_VEIC!D6</f>
        <v>123.58800701979879</v>
      </c>
      <c r="E6" s="563">
        <f>MOR_VEIC!E6</f>
        <v>91.34129450080485</v>
      </c>
      <c r="F6" s="563">
        <f>MOR_VEIC!F6</f>
        <v>74.688470458744447</v>
      </c>
    </row>
    <row r="7" spans="1:6">
      <c r="A7" s="21" t="s">
        <v>15</v>
      </c>
      <c r="B7" s="563">
        <f>MOR_VEIC!B7</f>
        <v>83.610316367692974</v>
      </c>
      <c r="C7" s="563">
        <f>MOR_VEIC!C7</f>
        <v>95.747341832362196</v>
      </c>
      <c r="D7" s="563">
        <f>MOR_VEIC!D7</f>
        <v>92.700648354929896</v>
      </c>
      <c r="E7" s="563">
        <f>MOR_VEIC!E7</f>
        <v>76.172125669006277</v>
      </c>
      <c r="F7" s="563">
        <f>MOR_VEIC!F7</f>
        <v>64.635891611459812</v>
      </c>
    </row>
    <row r="8" spans="1:6">
      <c r="A8" s="21" t="s">
        <v>16</v>
      </c>
      <c r="B8" s="563">
        <f>MOR_VEIC!B8</f>
        <v>130.92670178786244</v>
      </c>
      <c r="C8" s="563">
        <f>MOR_VEIC!C8</f>
        <v>152.15467356525292</v>
      </c>
      <c r="D8" s="563">
        <f>MOR_VEIC!D8</f>
        <v>133.37116632046846</v>
      </c>
      <c r="E8" s="563">
        <f>MOR_VEIC!E8</f>
        <v>130.82074443233142</v>
      </c>
      <c r="F8" s="563">
        <f>MOR_VEIC!F8</f>
        <v>108.23639781426886</v>
      </c>
    </row>
    <row r="9" spans="1:6">
      <c r="A9" s="21" t="s">
        <v>17</v>
      </c>
      <c r="B9" s="563">
        <f>MOR_VEIC!B9</f>
        <v>109.45336120506356</v>
      </c>
      <c r="C9" s="563">
        <f>MOR_VEIC!C9</f>
        <v>117.13116925159657</v>
      </c>
      <c r="D9" s="563">
        <f>MOR_VEIC!D9</f>
        <v>99.745400294944233</v>
      </c>
      <c r="E9" s="563">
        <f>MOR_VEIC!E9</f>
        <v>102.14803607689913</v>
      </c>
      <c r="F9" s="563">
        <f>MOR_VEIC!F9</f>
        <v>70.551807444995958</v>
      </c>
    </row>
    <row r="10" spans="1:6">
      <c r="A10" s="21" t="s">
        <v>18</v>
      </c>
      <c r="B10" s="563">
        <f>MOR_VEIC!B10</f>
        <v>124.24197603904747</v>
      </c>
      <c r="C10" s="563">
        <f>MOR_VEIC!C10</f>
        <v>125.91505509869135</v>
      </c>
      <c r="D10" s="563">
        <f>MOR_VEIC!D10</f>
        <v>103.21348245370798</v>
      </c>
      <c r="E10" s="563">
        <f>MOR_VEIC!E10</f>
        <v>103.24813037169326</v>
      </c>
      <c r="F10" s="563">
        <f>MOR_VEIC!F10</f>
        <v>91.32751498436545</v>
      </c>
    </row>
    <row r="11" spans="1:6">
      <c r="A11" s="21" t="s">
        <v>19</v>
      </c>
      <c r="B11" s="563">
        <f>MOR_VEIC!B11</f>
        <v>139.47174302486317</v>
      </c>
      <c r="C11" s="563">
        <f>MOR_VEIC!C11</f>
        <v>145.94914383943919</v>
      </c>
      <c r="D11" s="563">
        <f>MOR_VEIC!D11</f>
        <v>132.07990834454844</v>
      </c>
      <c r="E11" s="563">
        <f>MOR_VEIC!E11</f>
        <v>123.37307428011584</v>
      </c>
      <c r="F11" s="563">
        <f>MOR_VEIC!F11</f>
        <v>94.079622467579512</v>
      </c>
    </row>
    <row r="12" spans="1:6">
      <c r="A12" s="351" t="s">
        <v>20</v>
      </c>
      <c r="B12" s="348">
        <f>MOR_VEIC!B12</f>
        <v>125.17547597039128</v>
      </c>
      <c r="C12" s="348">
        <f>MOR_VEIC!C12</f>
        <v>135.5283971283927</v>
      </c>
      <c r="D12" s="348">
        <f>MOR_VEIC!D12</f>
        <v>120.98845567643399</v>
      </c>
      <c r="E12" s="348">
        <f>MOR_VEIC!E12</f>
        <v>118.99500557822863</v>
      </c>
      <c r="F12" s="348">
        <f>MOR_VEIC!F12</f>
        <v>96.276012158903114</v>
      </c>
    </row>
    <row r="13" spans="1:6">
      <c r="A13" s="21" t="s">
        <v>21</v>
      </c>
      <c r="B13" s="563">
        <f>MOR_VEIC!B13</f>
        <v>185.88094593374854</v>
      </c>
      <c r="C13" s="563">
        <f>MOR_VEIC!C13</f>
        <v>195.98665388456561</v>
      </c>
      <c r="D13" s="563">
        <f>MOR_VEIC!D13</f>
        <v>188.5428708470283</v>
      </c>
      <c r="E13" s="563">
        <f>MOR_VEIC!E13</f>
        <v>164.66455477840856</v>
      </c>
      <c r="F13" s="563">
        <f>MOR_VEIC!F13</f>
        <v>126.91883377863402</v>
      </c>
    </row>
    <row r="14" spans="1:6">
      <c r="A14" s="21" t="s">
        <v>22</v>
      </c>
      <c r="B14" s="563">
        <f>MOR_VEIC!B14</f>
        <v>97.663594521664407</v>
      </c>
      <c r="C14" s="563">
        <f>MOR_VEIC!C14</f>
        <v>122.46373877415728</v>
      </c>
      <c r="D14" s="563">
        <f>MOR_VEIC!D14</f>
        <v>109.11974517624088</v>
      </c>
      <c r="E14" s="563">
        <f>MOR_VEIC!E14</f>
        <v>106.19852378805713</v>
      </c>
      <c r="F14" s="563">
        <f>MOR_VEIC!F14</f>
        <v>84.22183143855321</v>
      </c>
    </row>
    <row r="15" spans="1:6">
      <c r="A15" s="21" t="s">
        <v>23</v>
      </c>
      <c r="B15" s="563">
        <f>MOR_VEIC!B15</f>
        <v>110.11502841185782</v>
      </c>
      <c r="C15" s="563">
        <f>MOR_VEIC!C15</f>
        <v>128.81292655297887</v>
      </c>
      <c r="D15" s="563">
        <f>MOR_VEIC!D15</f>
        <v>114.02788850631288</v>
      </c>
      <c r="E15" s="563">
        <f>MOR_VEIC!E15</f>
        <v>120.42115098367132</v>
      </c>
      <c r="F15" s="563">
        <f>MOR_VEIC!F15</f>
        <v>97.341254280435919</v>
      </c>
    </row>
    <row r="16" spans="1:6">
      <c r="A16" s="21" t="s">
        <v>24</v>
      </c>
      <c r="B16" s="563">
        <f>MOR_VEIC!B16</f>
        <v>184.73665448415329</v>
      </c>
      <c r="C16" s="563">
        <f>MOR_VEIC!C16</f>
        <v>179.57038313981982</v>
      </c>
      <c r="D16" s="563">
        <f>MOR_VEIC!D16</f>
        <v>170.90123240464925</v>
      </c>
      <c r="E16" s="563">
        <f>MOR_VEIC!E16</f>
        <v>166.22494299852892</v>
      </c>
      <c r="F16" s="563">
        <f>MOR_VEIC!F16</f>
        <v>128.26229680833384</v>
      </c>
    </row>
    <row r="17" spans="1:6">
      <c r="A17" s="21" t="s">
        <v>25</v>
      </c>
      <c r="B17" s="563">
        <f>MOR_VEIC!B17</f>
        <v>135.5134541749174</v>
      </c>
      <c r="C17" s="563">
        <f>MOR_VEIC!C17</f>
        <v>128.19144905820264</v>
      </c>
      <c r="D17" s="563">
        <f>MOR_VEIC!D17</f>
        <v>105.91068289366405</v>
      </c>
      <c r="E17" s="563">
        <f>MOR_VEIC!E17</f>
        <v>116.86352749545799</v>
      </c>
      <c r="F17" s="563">
        <f>MOR_VEIC!F17</f>
        <v>104.68310942200118</v>
      </c>
    </row>
    <row r="18" spans="1:6">
      <c r="A18" s="21" t="s">
        <v>26</v>
      </c>
      <c r="B18" s="563">
        <f>MOR_VEIC!B18</f>
        <v>119.82629319427974</v>
      </c>
      <c r="C18" s="563">
        <f>MOR_VEIC!C18</f>
        <v>118.79751670915562</v>
      </c>
      <c r="D18" s="563">
        <f>MOR_VEIC!D18</f>
        <v>105.68905196920383</v>
      </c>
      <c r="E18" s="563">
        <f>MOR_VEIC!E18</f>
        <v>99.517718089823489</v>
      </c>
      <c r="F18" s="563">
        <f>MOR_VEIC!F18</f>
        <v>77.355138525779623</v>
      </c>
    </row>
    <row r="19" spans="1:6">
      <c r="A19" s="21" t="s">
        <v>27</v>
      </c>
      <c r="B19" s="563">
        <f>MOR_VEIC!B19</f>
        <v>195.65570662477654</v>
      </c>
      <c r="C19" s="563">
        <f>MOR_VEIC!C19</f>
        <v>195.8323719914689</v>
      </c>
      <c r="D19" s="563">
        <f>MOR_VEIC!D19</f>
        <v>176.08605333541067</v>
      </c>
      <c r="E19" s="563">
        <f>MOR_VEIC!E19</f>
        <v>169.37645369644622</v>
      </c>
      <c r="F19" s="563">
        <f>MOR_VEIC!F19</f>
        <v>139.57647773965596</v>
      </c>
    </row>
    <row r="20" spans="1:6">
      <c r="A20" s="21" t="s">
        <v>28</v>
      </c>
      <c r="B20" s="563">
        <f>MOR_VEIC!B20</f>
        <v>82.317103226633279</v>
      </c>
      <c r="C20" s="563">
        <f>MOR_VEIC!C20</f>
        <v>95.527994559761666</v>
      </c>
      <c r="D20" s="563">
        <f>MOR_VEIC!D20</f>
        <v>78.060500857342447</v>
      </c>
      <c r="E20" s="563">
        <f>MOR_VEIC!E20</f>
        <v>71.993462993560186</v>
      </c>
      <c r="F20" s="563">
        <f>MOR_VEIC!F20</f>
        <v>62.235151695597743</v>
      </c>
    </row>
    <row r="21" spans="1:6">
      <c r="A21" s="21" t="s">
        <v>29</v>
      </c>
      <c r="B21" s="563">
        <f>MOR_VEIC!B21</f>
        <v>155.60211315828582</v>
      </c>
      <c r="C21" s="563">
        <f>MOR_VEIC!C21</f>
        <v>160.96238563198915</v>
      </c>
      <c r="D21" s="563">
        <f>MOR_VEIC!D21</f>
        <v>133.48204892682696</v>
      </c>
      <c r="E21" s="563">
        <f>MOR_VEIC!E21</f>
        <v>132.26382767447635</v>
      </c>
      <c r="F21" s="563">
        <f>MOR_VEIC!F21</f>
        <v>115.37592743827214</v>
      </c>
    </row>
    <row r="22" spans="1:6">
      <c r="A22" s="351" t="s">
        <v>30</v>
      </c>
      <c r="B22" s="348">
        <f>MOR_VEIC!B22</f>
        <v>47.691245281915492</v>
      </c>
      <c r="C22" s="348">
        <f>MOR_VEIC!C22</f>
        <v>48.799460489355766</v>
      </c>
      <c r="D22" s="348">
        <f>MOR_VEIC!D22</f>
        <v>46.154163244211858</v>
      </c>
      <c r="E22" s="348">
        <f>MOR_VEIC!E22</f>
        <v>42.599514332986303</v>
      </c>
      <c r="F22" s="348">
        <f>MOR_VEIC!F22</f>
        <v>35.341246360237108</v>
      </c>
    </row>
    <row r="23" spans="1:6">
      <c r="A23" s="21" t="s">
        <v>31</v>
      </c>
      <c r="B23" s="563">
        <f>MOR_VEIC!B23</f>
        <v>89.333171700593994</v>
      </c>
      <c r="C23" s="563">
        <f>MOR_VEIC!C23</f>
        <v>97.422107062037341</v>
      </c>
      <c r="D23" s="563">
        <f>MOR_VEIC!D23</f>
        <v>90.652003142183815</v>
      </c>
      <c r="E23" s="563">
        <f>MOR_VEIC!E23</f>
        <v>85.749543140653188</v>
      </c>
      <c r="F23" s="563">
        <f>MOR_VEIC!F23</f>
        <v>70.154364838026694</v>
      </c>
    </row>
    <row r="24" spans="1:6">
      <c r="A24" s="21" t="s">
        <v>32</v>
      </c>
      <c r="B24" s="563">
        <f>MOR_VEIC!B24</f>
        <v>64.994159274555486</v>
      </c>
      <c r="C24" s="563">
        <f>MOR_VEIC!C24</f>
        <v>65.93655445042512</v>
      </c>
      <c r="D24" s="563">
        <f>MOR_VEIC!D24</f>
        <v>62.793149517776868</v>
      </c>
      <c r="E24" s="563">
        <f>MOR_VEIC!E24</f>
        <v>56.555320215862672</v>
      </c>
      <c r="F24" s="563">
        <f>MOR_VEIC!F24</f>
        <v>46.799749185759772</v>
      </c>
    </row>
    <row r="25" spans="1:6">
      <c r="A25" s="21" t="s">
        <v>33</v>
      </c>
      <c r="B25" s="563">
        <f>MOR_VEIC!B25</f>
        <v>57.550838884108387</v>
      </c>
      <c r="C25" s="563">
        <f>MOR_VEIC!C25</f>
        <v>66.288136180997313</v>
      </c>
      <c r="D25" s="563">
        <f>MOR_VEIC!D25</f>
        <v>58.693993524993246</v>
      </c>
      <c r="E25" s="563">
        <f>MOR_VEIC!E25</f>
        <v>60.355313668098219</v>
      </c>
      <c r="F25" s="563">
        <f>MOR_VEIC!F25</f>
        <v>47.032296228401329</v>
      </c>
    </row>
    <row r="26" spans="1:6">
      <c r="A26" s="21" t="s">
        <v>34</v>
      </c>
      <c r="B26" s="563">
        <f>MOR_VEIC!B26</f>
        <v>37.372152156578871</v>
      </c>
      <c r="C26" s="563">
        <f>MOR_VEIC!C26</f>
        <v>36.259992970854114</v>
      </c>
      <c r="D26" s="563">
        <f>MOR_VEIC!D26</f>
        <v>34.928322857963238</v>
      </c>
      <c r="E26" s="563">
        <f>MOR_VEIC!E26</f>
        <v>31.043336045580197</v>
      </c>
      <c r="F26" s="563">
        <f>MOR_VEIC!F26</f>
        <v>26.298643634934272</v>
      </c>
    </row>
    <row r="27" spans="1:6">
      <c r="A27" s="351" t="s">
        <v>35</v>
      </c>
      <c r="B27" s="348">
        <f>MOR_VEIC!B27</f>
        <v>59.350041881950951</v>
      </c>
      <c r="C27" s="348">
        <f>MOR_VEIC!C27</f>
        <v>59.551606324953262</v>
      </c>
      <c r="D27" s="348">
        <f>MOR_VEIC!D27</f>
        <v>54.671865035524391</v>
      </c>
      <c r="E27" s="348">
        <f>MOR_VEIC!E27</f>
        <v>52.452663281541376</v>
      </c>
      <c r="F27" s="348">
        <f>MOR_VEIC!F27</f>
        <v>41.185507495184432</v>
      </c>
    </row>
    <row r="28" spans="1:6">
      <c r="A28" s="21" t="s">
        <v>36</v>
      </c>
      <c r="B28" s="563">
        <f>MOR_VEIC!B28</f>
        <v>69.157023278671801</v>
      </c>
      <c r="C28" s="563">
        <f>MOR_VEIC!C28</f>
        <v>70.775252225618473</v>
      </c>
      <c r="D28" s="563">
        <f>MOR_VEIC!D28</f>
        <v>64.100678890619051</v>
      </c>
      <c r="E28" s="563">
        <f>MOR_VEIC!E28</f>
        <v>64.648202125201422</v>
      </c>
      <c r="F28" s="563">
        <f>MOR_VEIC!F28</f>
        <v>49.061725980813335</v>
      </c>
    </row>
    <row r="29" spans="1:6">
      <c r="A29" s="21" t="s">
        <v>37</v>
      </c>
      <c r="B29" s="563">
        <f>MOR_VEIC!B29</f>
        <v>47.22351277552319</v>
      </c>
      <c r="C29" s="563">
        <f>MOR_VEIC!C29</f>
        <v>48.772808164313155</v>
      </c>
      <c r="D29" s="563">
        <f>MOR_VEIC!D29</f>
        <v>42.505444247687059</v>
      </c>
      <c r="E29" s="563">
        <f>MOR_VEIC!E29</f>
        <v>40.1905892369602</v>
      </c>
      <c r="F29" s="563">
        <f>MOR_VEIC!F29</f>
        <v>33.77860030519679</v>
      </c>
    </row>
    <row r="30" spans="1:6">
      <c r="A30" s="21" t="s">
        <v>38</v>
      </c>
      <c r="B30" s="563">
        <f>MOR_VEIC!B30</f>
        <v>61.790365613456935</v>
      </c>
      <c r="C30" s="563">
        <f>MOR_VEIC!C30</f>
        <v>57.810278951135665</v>
      </c>
      <c r="D30" s="563">
        <f>MOR_VEIC!D30</f>
        <v>57.439439926198318</v>
      </c>
      <c r="E30" s="563">
        <f>MOR_VEIC!E30</f>
        <v>51.164077511682464</v>
      </c>
      <c r="F30" s="563">
        <f>MOR_VEIC!F30</f>
        <v>39.654817429553788</v>
      </c>
    </row>
    <row r="31" spans="1:6">
      <c r="A31" s="351" t="s">
        <v>39</v>
      </c>
      <c r="B31" s="348">
        <f>MOR_VEIC!B31</f>
        <v>83.684406496334503</v>
      </c>
      <c r="C31" s="348">
        <f>MOR_VEIC!C31</f>
        <v>83.44429482523212</v>
      </c>
      <c r="D31" s="348">
        <f>MOR_VEIC!D31</f>
        <v>74.605213369376898</v>
      </c>
      <c r="E31" s="348">
        <f>MOR_VEIC!E31</f>
        <v>70.927056132086122</v>
      </c>
      <c r="F31" s="348">
        <f>MOR_VEIC!F31</f>
        <v>60.593647054807377</v>
      </c>
    </row>
    <row r="32" spans="1:6">
      <c r="A32" s="21" t="s">
        <v>40</v>
      </c>
      <c r="B32" s="563">
        <f>MOR_VEIC!B32</f>
        <v>53.002167935896821</v>
      </c>
      <c r="C32" s="563">
        <f>MOR_VEIC!C32</f>
        <v>54.165690804181658</v>
      </c>
      <c r="D32" s="563">
        <f>MOR_VEIC!D32</f>
        <v>50.344241514128591</v>
      </c>
      <c r="E32" s="563">
        <f>MOR_VEIC!E32</f>
        <v>40.620864057477782</v>
      </c>
      <c r="F32" s="563">
        <f>MOR_VEIC!F32</f>
        <v>35.470614316628172</v>
      </c>
    </row>
    <row r="33" spans="1:6">
      <c r="A33" s="21" t="s">
        <v>41</v>
      </c>
      <c r="B33" s="563">
        <f>MOR_VEIC!B33</f>
        <v>83.7920577920368</v>
      </c>
      <c r="C33" s="563">
        <f>MOR_VEIC!C33</f>
        <v>87.499294727473597</v>
      </c>
      <c r="D33" s="563">
        <f>MOR_VEIC!D33</f>
        <v>74.919580697064603</v>
      </c>
      <c r="E33" s="563">
        <f>MOR_VEIC!E33</f>
        <v>76.330698510703257</v>
      </c>
      <c r="F33" s="563">
        <f>MOR_VEIC!F33</f>
        <v>62.730981279156651</v>
      </c>
    </row>
    <row r="34" spans="1:6">
      <c r="A34" s="21" t="s">
        <v>42</v>
      </c>
      <c r="B34" s="563">
        <f>MOR_VEIC!B34</f>
        <v>116.40646398247056</v>
      </c>
      <c r="C34" s="563">
        <f>MOR_VEIC!C34</f>
        <v>104.17512755077948</v>
      </c>
      <c r="D34" s="563">
        <f>MOR_VEIC!D34</f>
        <v>90.498502254012649</v>
      </c>
      <c r="E34" s="563">
        <f>MOR_VEIC!E34</f>
        <v>87.736939631151756</v>
      </c>
      <c r="F34" s="563">
        <f>MOR_VEIC!F34</f>
        <v>76.130185171347208</v>
      </c>
    </row>
    <row r="35" spans="1:6" ht="15.75" thickBot="1">
      <c r="A35" s="33" t="s">
        <v>43</v>
      </c>
      <c r="B35" s="563">
        <f>MOR_VEIC!B35</f>
        <v>86.226513730434519</v>
      </c>
      <c r="C35" s="563">
        <f>MOR_VEIC!C35</f>
        <v>87.394716326636072</v>
      </c>
      <c r="D35" s="563">
        <f>MOR_VEIC!D35</f>
        <v>86.141600480354114</v>
      </c>
      <c r="E35" s="563">
        <f>MOR_VEIC!E35</f>
        <v>75.417886203205356</v>
      </c>
      <c r="F35" s="563">
        <f>MOR_VEIC!F35</f>
        <v>66.07091132374029</v>
      </c>
    </row>
    <row r="36" spans="1:6">
      <c r="A36" s="42"/>
      <c r="B36" s="43"/>
      <c r="C36" s="43"/>
      <c r="D36" s="43"/>
      <c r="E36" s="43"/>
    </row>
  </sheetData>
  <mergeCells count="1">
    <mergeCell ref="B1:F1"/>
  </mergeCells>
  <pageMargins left="0.511811024" right="0.511811024" top="0.78740157499999996" bottom="0.78740157499999996" header="0.31496062000000002" footer="0.3149606200000000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C00FF"/>
  </sheetPr>
  <dimension ref="A1:DP36"/>
  <sheetViews>
    <sheetView topLeftCell="D1" zoomScale="80" zoomScaleNormal="80" zoomScalePageLayoutView="80" workbookViewId="0">
      <selection activeCell="AL50" sqref="AL50"/>
    </sheetView>
  </sheetViews>
  <sheetFormatPr defaultColWidth="8.85546875" defaultRowHeight="15"/>
  <cols>
    <col min="1" max="1" width="25.140625" style="3" bestFit="1" customWidth="1"/>
    <col min="2" max="5" width="8.85546875" style="3"/>
    <col min="6" max="120" width="8.85546875" style="1"/>
  </cols>
  <sheetData>
    <row r="1" spans="1:6" ht="15.75" thickBot="1">
      <c r="A1" s="345" t="s">
        <v>0</v>
      </c>
      <c r="B1" s="1037" t="s">
        <v>1</v>
      </c>
      <c r="C1" s="1038"/>
      <c r="D1" s="1038"/>
      <c r="E1" s="1038"/>
      <c r="F1" s="1039"/>
    </row>
    <row r="2" spans="1:6" ht="15.75" thickBot="1">
      <c r="A2" s="346" t="s">
        <v>10</v>
      </c>
      <c r="B2" s="567">
        <v>2004</v>
      </c>
      <c r="C2" s="568">
        <v>2005</v>
      </c>
      <c r="D2" s="568">
        <v>2006</v>
      </c>
      <c r="E2" s="569">
        <v>2007</v>
      </c>
      <c r="F2" s="570">
        <v>2008</v>
      </c>
    </row>
    <row r="3" spans="1:6" ht="15.75" thickBot="1">
      <c r="A3" s="347" t="s">
        <v>11</v>
      </c>
      <c r="B3" s="348">
        <f>INDICE!B3</f>
        <v>53.840555458911041</v>
      </c>
      <c r="C3" s="348">
        <f>INDICE!C3</f>
        <v>55.100913425152235</v>
      </c>
      <c r="D3" s="348">
        <f>INDICE!D3</f>
        <v>51.403265036107854</v>
      </c>
      <c r="E3" s="348">
        <f>INDICE!E3</f>
        <v>49.286985356728458</v>
      </c>
      <c r="F3" s="349" t="e">
        <f>INDICE!F3</f>
        <v>#DIV/0!</v>
      </c>
    </row>
    <row r="4" spans="1:6">
      <c r="A4" s="350" t="s">
        <v>12</v>
      </c>
      <c r="B4" s="348">
        <f>INDICE!B4</f>
        <v>60.185494454873677</v>
      </c>
      <c r="C4" s="348">
        <f>INDICE!C4</f>
        <v>66.700328197249164</v>
      </c>
      <c r="D4" s="348">
        <f>INDICE!D4</f>
        <v>62.19825893341806</v>
      </c>
      <c r="E4" s="348">
        <f>INDICE!E4</f>
        <v>58.626650220005921</v>
      </c>
      <c r="F4" s="349" t="e">
        <f>INDICE!F4</f>
        <v>#DIV/0!</v>
      </c>
    </row>
    <row r="5" spans="1:6" s="1" customFormat="1">
      <c r="A5" s="21" t="s">
        <v>13</v>
      </c>
      <c r="B5" s="563">
        <f>INDICE!B5</f>
        <v>60.580812704081495</v>
      </c>
      <c r="C5" s="563">
        <f>INDICE!C5</f>
        <v>57.145053874874257</v>
      </c>
      <c r="D5" s="563">
        <f>INDICE!D5</f>
        <v>61.622473869153353</v>
      </c>
      <c r="E5" s="563">
        <f>INDICE!E5</f>
        <v>50.528436004315623</v>
      </c>
      <c r="F5" s="564" t="e">
        <f>INDICE!F5</f>
        <v>#DIV/0!</v>
      </c>
    </row>
    <row r="6" spans="1:6" s="1" customFormat="1">
      <c r="A6" s="21" t="s">
        <v>14</v>
      </c>
      <c r="B6" s="563">
        <f>INDICE!B6</f>
        <v>52.806405052168515</v>
      </c>
      <c r="C6" s="563">
        <f>INDICE!C6</f>
        <v>53.251059702799004</v>
      </c>
      <c r="D6" s="563">
        <f>INDICE!D6</f>
        <v>58.911619379056383</v>
      </c>
      <c r="E6" s="563">
        <f>INDICE!E6</f>
        <v>39.912310749223145</v>
      </c>
      <c r="F6" s="564" t="e">
        <f>INDICE!F6</f>
        <v>#DIV/0!</v>
      </c>
    </row>
    <row r="7" spans="1:6" s="1" customFormat="1">
      <c r="A7" s="21" t="s">
        <v>15</v>
      </c>
      <c r="B7" s="563">
        <f>INDICE!B7</f>
        <v>40.45893557462017</v>
      </c>
      <c r="C7" s="563">
        <f>INDICE!C7</f>
        <v>50.246207503553158</v>
      </c>
      <c r="D7" s="563">
        <f>INDICE!D7</f>
        <v>48.416360821514147</v>
      </c>
      <c r="E7" s="563">
        <f>INDICE!E7</f>
        <v>41.04470859312552</v>
      </c>
      <c r="F7" s="564" t="e">
        <f>INDICE!F7</f>
        <v>#DIV/0!</v>
      </c>
    </row>
    <row r="8" spans="1:6" s="1" customFormat="1">
      <c r="A8" s="21" t="s">
        <v>16</v>
      </c>
      <c r="B8" s="563">
        <f>INDICE!B8</f>
        <v>64.895170641801073</v>
      </c>
      <c r="C8" s="563">
        <f>INDICE!C8</f>
        <v>74.73655490008268</v>
      </c>
      <c r="D8" s="563">
        <f>INDICE!D8</f>
        <v>66.770543810762803</v>
      </c>
      <c r="E8" s="563">
        <f>INDICE!E8</f>
        <v>64.273818260982523</v>
      </c>
      <c r="F8" s="564" t="e">
        <f>INDICE!F8</f>
        <v>#DIV/0!</v>
      </c>
    </row>
    <row r="9" spans="1:6" s="1" customFormat="1">
      <c r="A9" s="21" t="s">
        <v>17</v>
      </c>
      <c r="B9" s="563">
        <f>INDICE!B9</f>
        <v>61.879304441709152</v>
      </c>
      <c r="C9" s="563">
        <f>INDICE!C9</f>
        <v>67.090830837959714</v>
      </c>
      <c r="D9" s="563">
        <f>INDICE!D9</f>
        <v>61.441338634516249</v>
      </c>
      <c r="E9" s="563">
        <f>INDICE!E9</f>
        <v>66.226425876853952</v>
      </c>
      <c r="F9" s="564" t="e">
        <f>INDICE!F9</f>
        <v>#DIV/0!</v>
      </c>
    </row>
    <row r="10" spans="1:6" s="1" customFormat="1">
      <c r="A10" s="21" t="s">
        <v>18</v>
      </c>
      <c r="B10" s="563">
        <f>INDICE!B10</f>
        <v>76.581625090385202</v>
      </c>
      <c r="C10" s="563">
        <f>INDICE!C10</f>
        <v>70.133806089867534</v>
      </c>
      <c r="D10" s="563">
        <f>INDICE!D10</f>
        <v>68.261468448644123</v>
      </c>
      <c r="E10" s="563">
        <f>INDICE!E10</f>
        <v>69.357024764846102</v>
      </c>
      <c r="F10" s="564" t="e">
        <f>INDICE!F10</f>
        <v>#DIV/0!</v>
      </c>
    </row>
    <row r="11" spans="1:6" s="1" customFormat="1">
      <c r="A11" s="21" t="s">
        <v>19</v>
      </c>
      <c r="B11" s="563">
        <f>INDICE!B11</f>
        <v>74.916719274056945</v>
      </c>
      <c r="C11" s="563">
        <f>INDICE!C11</f>
        <v>75.006725529793059</v>
      </c>
      <c r="D11" s="563">
        <f>INDICE!D11</f>
        <v>71.257133699634267</v>
      </c>
      <c r="E11" s="563">
        <f>INDICE!E11</f>
        <v>64.881143222824164</v>
      </c>
      <c r="F11" s="564" t="e">
        <f>INDICE!F11</f>
        <v>#DIV/0!</v>
      </c>
    </row>
    <row r="12" spans="1:6">
      <c r="A12" s="351" t="s">
        <v>20</v>
      </c>
      <c r="B12" s="348">
        <f>INDICE!B12</f>
        <v>84.856310418092022</v>
      </c>
      <c r="C12" s="348">
        <f>INDICE!C12</f>
        <v>89.421360404225979</v>
      </c>
      <c r="D12" s="348">
        <f>INDICE!D12</f>
        <v>82.039488634625656</v>
      </c>
      <c r="E12" s="348">
        <f>INDICE!E12</f>
        <v>79.375868300543758</v>
      </c>
      <c r="F12" s="349" t="e">
        <f>INDICE!F12</f>
        <v>#DIV/0!</v>
      </c>
    </row>
    <row r="13" spans="1:6" s="1" customFormat="1">
      <c r="A13" s="21" t="s">
        <v>21</v>
      </c>
      <c r="B13" s="563">
        <f>INDICE!B13</f>
        <v>126.21656178900706</v>
      </c>
      <c r="C13" s="563">
        <f>INDICE!C13</f>
        <v>127.11658016066335</v>
      </c>
      <c r="D13" s="563">
        <f>INDICE!D13</f>
        <v>120.9491222124268</v>
      </c>
      <c r="E13" s="563">
        <f>INDICE!E13</f>
        <v>105.82312268814296</v>
      </c>
      <c r="F13" s="564" t="e">
        <f>INDICE!F13</f>
        <v>#DIV/0!</v>
      </c>
    </row>
    <row r="14" spans="1:6" s="1" customFormat="1">
      <c r="A14" s="21" t="s">
        <v>22</v>
      </c>
      <c r="B14" s="563">
        <f>INDICE!B14</f>
        <v>59.389401424063209</v>
      </c>
      <c r="C14" s="563">
        <f>INDICE!C14</f>
        <v>74.121763185967197</v>
      </c>
      <c r="D14" s="563">
        <f>INDICE!D14</f>
        <v>67.85183092614858</v>
      </c>
      <c r="E14" s="563">
        <f>INDICE!E14</f>
        <v>65.777244631779013</v>
      </c>
      <c r="F14" s="564" t="e">
        <f>INDICE!F14</f>
        <v>#DIV/0!</v>
      </c>
    </row>
    <row r="15" spans="1:6" s="1" customFormat="1">
      <c r="A15" s="21" t="s">
        <v>23</v>
      </c>
      <c r="B15" s="563">
        <f>INDICE!B15</f>
        <v>87.414276859853416</v>
      </c>
      <c r="C15" s="563">
        <f>INDICE!C15</f>
        <v>98.185049616271556</v>
      </c>
      <c r="D15" s="563">
        <f>INDICE!D15</f>
        <v>89.890178268564256</v>
      </c>
      <c r="E15" s="563">
        <f>INDICE!E15</f>
        <v>92.362812529116027</v>
      </c>
      <c r="F15" s="564" t="e">
        <f>INDICE!F15</f>
        <v>#DIV/0!</v>
      </c>
    </row>
    <row r="16" spans="1:6" s="1" customFormat="1">
      <c r="A16" s="21" t="s">
        <v>24</v>
      </c>
      <c r="B16" s="563">
        <f>INDICE!B16</f>
        <v>109.72309229216644</v>
      </c>
      <c r="C16" s="563">
        <f>INDICE!C16</f>
        <v>103.55776849232811</v>
      </c>
      <c r="D16" s="563">
        <f>INDICE!D16</f>
        <v>103.61290461588878</v>
      </c>
      <c r="E16" s="563">
        <f>INDICE!E16</f>
        <v>98.600961169252656</v>
      </c>
      <c r="F16" s="564" t="e">
        <f>INDICE!F16</f>
        <v>#DIV/0!</v>
      </c>
    </row>
    <row r="17" spans="1:6" s="1" customFormat="1">
      <c r="A17" s="21" t="s">
        <v>25</v>
      </c>
      <c r="B17" s="563">
        <f>INDICE!B17</f>
        <v>88.353209147742191</v>
      </c>
      <c r="C17" s="563">
        <f>INDICE!C17</f>
        <v>81.628092778416672</v>
      </c>
      <c r="D17" s="563">
        <f>INDICE!D17</f>
        <v>69.93364373091697</v>
      </c>
      <c r="E17" s="563">
        <f>INDICE!E17</f>
        <v>77.18054836496546</v>
      </c>
      <c r="F17" s="564" t="e">
        <f>INDICE!F17</f>
        <v>#DIV/0!</v>
      </c>
    </row>
    <row r="18" spans="1:6" s="1" customFormat="1">
      <c r="A18" s="21" t="s">
        <v>26</v>
      </c>
      <c r="B18" s="563">
        <f>INDICE!B18</f>
        <v>91.039666633478745</v>
      </c>
      <c r="C18" s="563">
        <f>INDICE!C18</f>
        <v>85.228533013382815</v>
      </c>
      <c r="D18" s="563">
        <f>INDICE!D18</f>
        <v>77.029086975493371</v>
      </c>
      <c r="E18" s="563">
        <f>INDICE!E18</f>
        <v>70.990937874127255</v>
      </c>
      <c r="F18" s="564" t="e">
        <f>INDICE!F18</f>
        <v>#DIV/0!</v>
      </c>
    </row>
    <row r="19" spans="1:6" s="1" customFormat="1">
      <c r="A19" s="21" t="s">
        <v>27</v>
      </c>
      <c r="B19" s="563">
        <f>INDICE!B19</f>
        <v>127.69799244430486</v>
      </c>
      <c r="C19" s="563">
        <f>INDICE!C19</f>
        <v>123.78292293094962</v>
      </c>
      <c r="D19" s="563">
        <f>INDICE!D19</f>
        <v>120.23241906125917</v>
      </c>
      <c r="E19" s="563">
        <f>INDICE!E19</f>
        <v>108.73951542278395</v>
      </c>
      <c r="F19" s="564" t="e">
        <f>INDICE!F19</f>
        <v>#DIV/0!</v>
      </c>
    </row>
    <row r="20" spans="1:6" s="1" customFormat="1">
      <c r="A20" s="21" t="s">
        <v>28</v>
      </c>
      <c r="B20" s="563">
        <f>INDICE!B20</f>
        <v>56.706595269995972</v>
      </c>
      <c r="C20" s="563">
        <f>INDICE!C20</f>
        <v>65.515785446387611</v>
      </c>
      <c r="D20" s="563">
        <f>INDICE!D20</f>
        <v>53.289581884030049</v>
      </c>
      <c r="E20" s="563">
        <f>INDICE!E20</f>
        <v>47.759013413159124</v>
      </c>
      <c r="F20" s="564" t="e">
        <f>INDICE!F20</f>
        <v>#DIV/0!</v>
      </c>
    </row>
    <row r="21" spans="1:6" s="1" customFormat="1">
      <c r="A21" s="21" t="s">
        <v>29</v>
      </c>
      <c r="B21" s="563">
        <f>INDICE!B21</f>
        <v>98.789356793334775</v>
      </c>
      <c r="C21" s="563">
        <f>INDICE!C21</f>
        <v>101.86185844929328</v>
      </c>
      <c r="D21" s="563">
        <f>INDICE!D21</f>
        <v>88.055675302305247</v>
      </c>
      <c r="E21" s="563">
        <f>INDICE!E21</f>
        <v>87.607658078562764</v>
      </c>
      <c r="F21" s="564" t="e">
        <f>INDICE!F21</f>
        <v>#DIV/0!</v>
      </c>
    </row>
    <row r="22" spans="1:6">
      <c r="A22" s="351" t="s">
        <v>30</v>
      </c>
      <c r="B22" s="348">
        <f>INDICE!B22</f>
        <v>40.898339298684796</v>
      </c>
      <c r="C22" s="348">
        <f>INDICE!C22</f>
        <v>41.353092615795873</v>
      </c>
      <c r="D22" s="348">
        <f>INDICE!D22</f>
        <v>39.093107733042459</v>
      </c>
      <c r="E22" s="348">
        <f>INDICE!E22</f>
        <v>36.901024750916115</v>
      </c>
      <c r="F22" s="349" t="e">
        <f>INDICE!F22</f>
        <v>#DIV/0!</v>
      </c>
    </row>
    <row r="23" spans="1:6" s="1" customFormat="1">
      <c r="A23" s="21" t="s">
        <v>31</v>
      </c>
      <c r="B23" s="563">
        <f>INDICE!B23</f>
        <v>77.945784401925593</v>
      </c>
      <c r="C23" s="563">
        <f>INDICE!C23</f>
        <v>82.510033291374668</v>
      </c>
      <c r="D23" s="563">
        <f>INDICE!D23</f>
        <v>75.588369172687365</v>
      </c>
      <c r="E23" s="563">
        <f>INDICE!E23</f>
        <v>69.360389861280126</v>
      </c>
      <c r="F23" s="564" t="e">
        <f>INDICE!F23</f>
        <v>#DIV/0!</v>
      </c>
    </row>
    <row r="24" spans="1:6" s="1" customFormat="1">
      <c r="A24" s="21" t="s">
        <v>32</v>
      </c>
      <c r="B24" s="563">
        <f>INDICE!B24</f>
        <v>50.66836893725295</v>
      </c>
      <c r="C24" s="563">
        <f>INDICE!C24</f>
        <v>49.921706065738178</v>
      </c>
      <c r="D24" s="563">
        <f>INDICE!D24</f>
        <v>49.052265221226712</v>
      </c>
      <c r="E24" s="563">
        <f>INDICE!E24</f>
        <v>45.223968131741927</v>
      </c>
      <c r="F24" s="564" t="e">
        <f>INDICE!F24</f>
        <v>#DIV/0!</v>
      </c>
    </row>
    <row r="25" spans="1:6" s="1" customFormat="1">
      <c r="A25" s="21" t="s">
        <v>33</v>
      </c>
      <c r="B25" s="563">
        <f>INDICE!B25</f>
        <v>44.980154170670126</v>
      </c>
      <c r="C25" s="563">
        <f>INDICE!C25</f>
        <v>52.428711649715972</v>
      </c>
      <c r="D25" s="563">
        <f>INDICE!D25</f>
        <v>45.881403193876267</v>
      </c>
      <c r="E25" s="563">
        <f>INDICE!E25</f>
        <v>48.681519992994154</v>
      </c>
      <c r="F25" s="564" t="e">
        <f>INDICE!F25</f>
        <v>#DIV/0!</v>
      </c>
    </row>
    <row r="26" spans="1:6" s="1" customFormat="1">
      <c r="A26" s="21" t="s">
        <v>34</v>
      </c>
      <c r="B26" s="563">
        <f>INDICE!B26</f>
        <v>33.871336088244782</v>
      </c>
      <c r="C26" s="563">
        <f>INDICE!C26</f>
        <v>32.553852908371979</v>
      </c>
      <c r="D26" s="563">
        <f>INDICE!D26</f>
        <v>31.126948388559306</v>
      </c>
      <c r="E26" s="563">
        <f>INDICE!E26</f>
        <v>28.340955767166871</v>
      </c>
      <c r="F26" s="564" t="e">
        <f>INDICE!F26</f>
        <v>#DIV/0!</v>
      </c>
    </row>
    <row r="27" spans="1:6">
      <c r="A27" s="351" t="s">
        <v>35</v>
      </c>
      <c r="B27" s="348">
        <f>INDICE!B27</f>
        <v>54.825145095595126</v>
      </c>
      <c r="C27" s="348">
        <f>INDICE!C27</f>
        <v>52.596385921256946</v>
      </c>
      <c r="D27" s="348">
        <f>INDICE!D27</f>
        <v>49.002183432357697</v>
      </c>
      <c r="E27" s="348">
        <f>INDICE!E27</f>
        <v>46.486228269334326</v>
      </c>
      <c r="F27" s="349" t="e">
        <f>INDICE!F27</f>
        <v>#DIV/0!</v>
      </c>
    </row>
    <row r="28" spans="1:6" s="1" customFormat="1">
      <c r="A28" s="21" t="s">
        <v>36</v>
      </c>
      <c r="B28" s="563">
        <f>INDICE!B28</f>
        <v>68.948812741832583</v>
      </c>
      <c r="C28" s="563">
        <f>INDICE!C28</f>
        <v>65.451044350021931</v>
      </c>
      <c r="D28" s="563">
        <f>INDICE!D28</f>
        <v>59.251472325955625</v>
      </c>
      <c r="E28" s="563">
        <f>INDICE!E28</f>
        <v>57.755266806049733</v>
      </c>
      <c r="F28" s="564" t="e">
        <f>INDICE!F28</f>
        <v>#DIV/0!</v>
      </c>
    </row>
    <row r="29" spans="1:6" s="1" customFormat="1">
      <c r="A29" s="21" t="s">
        <v>37</v>
      </c>
      <c r="B29" s="563">
        <f>INDICE!B29</f>
        <v>42.591906538294616</v>
      </c>
      <c r="C29" s="563">
        <f>INDICE!C29</f>
        <v>42.888851929114416</v>
      </c>
      <c r="D29" s="563">
        <f>INDICE!D29</f>
        <v>38.20562875544433</v>
      </c>
      <c r="E29" s="563">
        <f>INDICE!E29</f>
        <v>36.20662324196671</v>
      </c>
      <c r="F29" s="564" t="e">
        <f>INDICE!F29</f>
        <v>#DIV/0!</v>
      </c>
    </row>
    <row r="30" spans="1:6" s="1" customFormat="1">
      <c r="A30" s="21" t="s">
        <v>38</v>
      </c>
      <c r="B30" s="563">
        <f>INDICE!B30</f>
        <v>53.074054148577261</v>
      </c>
      <c r="C30" s="563">
        <f>INDICE!C30</f>
        <v>48.170244558587974</v>
      </c>
      <c r="D30" s="563">
        <f>INDICE!D30</f>
        <v>49.044680391400462</v>
      </c>
      <c r="E30" s="563">
        <f>INDICE!E30</f>
        <v>43.807245783993459</v>
      </c>
      <c r="F30" s="564" t="e">
        <f>INDICE!F30</f>
        <v>#DIV/0!</v>
      </c>
    </row>
    <row r="31" spans="1:6">
      <c r="A31" s="351" t="s">
        <v>39</v>
      </c>
      <c r="B31" s="348">
        <f>INDICE!B31</f>
        <v>60.19578727617381</v>
      </c>
      <c r="C31" s="348">
        <f>INDICE!C31</f>
        <v>58.774824440889354</v>
      </c>
      <c r="D31" s="348">
        <f>INDICE!D31</f>
        <v>53.622230081364791</v>
      </c>
      <c r="E31" s="348">
        <f>INDICE!E31</f>
        <v>49.37810597271168</v>
      </c>
      <c r="F31" s="349" t="e">
        <f>INDICE!F31</f>
        <v>#DIV/0!</v>
      </c>
    </row>
    <row r="32" spans="1:6" s="1" customFormat="1">
      <c r="A32" s="21" t="s">
        <v>40</v>
      </c>
      <c r="B32" s="563">
        <f>INDICE!B32</f>
        <v>44.127427852649333</v>
      </c>
      <c r="C32" s="563">
        <f>INDICE!C32</f>
        <v>45.092469199936886</v>
      </c>
      <c r="D32" s="563">
        <f>INDICE!D32</f>
        <v>42.459912832063367</v>
      </c>
      <c r="E32" s="563">
        <f>INDICE!E32</f>
        <v>34.567971751398204</v>
      </c>
      <c r="F32" s="564" t="e">
        <f>INDICE!F32</f>
        <v>#DIV/0!</v>
      </c>
    </row>
    <row r="33" spans="1:6" s="1" customFormat="1">
      <c r="A33" s="21" t="s">
        <v>41</v>
      </c>
      <c r="B33" s="563">
        <f>INDICE!B33</f>
        <v>61.362279426386621</v>
      </c>
      <c r="C33" s="563">
        <f>INDICE!C33</f>
        <v>61.354676118471417</v>
      </c>
      <c r="D33" s="563">
        <f>INDICE!D33</f>
        <v>54.15946940233912</v>
      </c>
      <c r="E33" s="563">
        <f>INDICE!E33</f>
        <v>53.540938598303377</v>
      </c>
      <c r="F33" s="564" t="e">
        <f>INDICE!F33</f>
        <v>#DIV/0!</v>
      </c>
    </row>
    <row r="34" spans="1:6" s="1" customFormat="1">
      <c r="A34" s="21" t="s">
        <v>42</v>
      </c>
      <c r="B34" s="563">
        <f>INDICE!B34</f>
        <v>71.024828835045952</v>
      </c>
      <c r="C34" s="563">
        <f>INDICE!C34</f>
        <v>64.340445896427383</v>
      </c>
      <c r="D34" s="563">
        <f>INDICE!D34</f>
        <v>56.880851212351189</v>
      </c>
      <c r="E34" s="563">
        <f>INDICE!E34</f>
        <v>51.075241159273041</v>
      </c>
      <c r="F34" s="564" t="e">
        <f>INDICE!F34</f>
        <v>#DIV/0!</v>
      </c>
    </row>
    <row r="35" spans="1:6" s="1" customFormat="1" ht="15.75" thickBot="1">
      <c r="A35" s="33" t="s">
        <v>43</v>
      </c>
      <c r="B35" s="565">
        <f>INDICE!B35</f>
        <v>61.671773112392003</v>
      </c>
      <c r="C35" s="565">
        <f>INDICE!C35</f>
        <v>60.9046418119527</v>
      </c>
      <c r="D35" s="565">
        <f>INDICE!D35</f>
        <v>60.212796120635311</v>
      </c>
      <c r="E35" s="565">
        <f>INDICE!E35</f>
        <v>51.534074919171474</v>
      </c>
      <c r="F35" s="566" t="e">
        <f>INDICE!F35</f>
        <v>#DIV/0!</v>
      </c>
    </row>
    <row r="36" spans="1:6">
      <c r="A36" s="42"/>
      <c r="B36" s="43"/>
      <c r="C36" s="43"/>
      <c r="D36" s="43"/>
      <c r="E36" s="43"/>
    </row>
  </sheetData>
  <mergeCells count="1">
    <mergeCell ref="B1:F1"/>
  </mergeCells>
  <pageMargins left="0.511811024" right="0.511811024" top="0.78740157499999996" bottom="0.78740157499999996" header="0.31496062000000002" footer="0.31496062000000002"/>
  <pageSetup paperSize="9"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0.39997558519241921"/>
  </sheetPr>
  <dimension ref="A1:CT38"/>
  <sheetViews>
    <sheetView workbookViewId="0">
      <pane xSplit="1" topLeftCell="B1" activePane="topRight" state="frozen"/>
      <selection pane="topRight" activeCell="AZ5" sqref="AZ5"/>
    </sheetView>
  </sheetViews>
  <sheetFormatPr defaultColWidth="8.85546875" defaultRowHeight="15"/>
  <cols>
    <col min="1" max="1" width="25.140625" style="3" bestFit="1" customWidth="1"/>
    <col min="2" max="5" width="8.85546875" style="3"/>
    <col min="6" max="6" width="8.85546875" style="751"/>
    <col min="7" max="10" width="8.85546875" style="3"/>
    <col min="11" max="11" width="8.85546875" style="751"/>
    <col min="12" max="15" width="8.85546875" style="3"/>
    <col min="16" max="16" width="8.85546875" style="751"/>
    <col min="17" max="20" width="8.85546875" style="3"/>
    <col min="21" max="21" width="8.85546875" style="751"/>
    <col min="22" max="25" width="8.85546875" style="3"/>
    <col min="26" max="26" width="8.85546875" style="751"/>
    <col min="27" max="30" width="8.85546875" style="3"/>
    <col min="31" max="31" width="8.85546875" style="751"/>
    <col min="32" max="35" width="8.85546875" style="3"/>
    <col min="36" max="36" width="8.85546875" style="751"/>
    <col min="37" max="40" width="8.85546875" style="3"/>
    <col min="41" max="41" width="8.85546875" style="751"/>
    <col min="42" max="45" width="8.85546875" style="3"/>
    <col min="46" max="46" width="8.85546875" style="751"/>
    <col min="47" max="50" width="8.85546875" style="3"/>
    <col min="51" max="51" width="8.85546875" style="751"/>
    <col min="52" max="56" width="8.85546875" style="3"/>
    <col min="57" max="57" width="8.85546875" style="1"/>
    <col min="58" max="62" width="8.85546875" style="3"/>
    <col min="63" max="63" width="8.85546875" style="1"/>
    <col min="64" max="68" width="8.85546875" style="3"/>
    <col min="69" max="98" width="8.85546875" style="1"/>
  </cols>
  <sheetData>
    <row r="1" spans="1:75" ht="15.75" thickBot="1">
      <c r="A1" s="4" t="s">
        <v>0</v>
      </c>
      <c r="B1" s="1045" t="s">
        <v>2</v>
      </c>
      <c r="C1" s="1046"/>
      <c r="D1" s="1046"/>
      <c r="E1" s="1046"/>
      <c r="F1" s="1047"/>
      <c r="G1" s="1045" t="s">
        <v>3</v>
      </c>
      <c r="H1" s="1046"/>
      <c r="I1" s="1046"/>
      <c r="J1" s="1046"/>
      <c r="K1" s="1047"/>
      <c r="L1" s="1045" t="s">
        <v>4</v>
      </c>
      <c r="M1" s="1046"/>
      <c r="N1" s="1046"/>
      <c r="O1" s="1046"/>
      <c r="P1" s="1047"/>
      <c r="Q1" s="1045" t="s">
        <v>5</v>
      </c>
      <c r="R1" s="1046"/>
      <c r="S1" s="1046"/>
      <c r="T1" s="1046"/>
      <c r="U1" s="1047"/>
      <c r="V1" s="1045" t="s">
        <v>78</v>
      </c>
      <c r="W1" s="1046"/>
      <c r="X1" s="1046"/>
      <c r="Y1" s="1046"/>
      <c r="Z1" s="1047"/>
      <c r="AA1" s="1045" t="s">
        <v>79</v>
      </c>
      <c r="AB1" s="1046"/>
      <c r="AC1" s="1046"/>
      <c r="AD1" s="1046"/>
      <c r="AE1" s="1047"/>
      <c r="AF1" s="1045" t="s">
        <v>7</v>
      </c>
      <c r="AG1" s="1046"/>
      <c r="AH1" s="1046"/>
      <c r="AI1" s="1046"/>
      <c r="AJ1" s="1047"/>
      <c r="AK1" s="1045" t="s">
        <v>8</v>
      </c>
      <c r="AL1" s="1046"/>
      <c r="AM1" s="1046"/>
      <c r="AN1" s="1046"/>
      <c r="AO1" s="1047"/>
      <c r="AP1" s="1045" t="s">
        <v>80</v>
      </c>
      <c r="AQ1" s="1046"/>
      <c r="AR1" s="1046"/>
      <c r="AS1" s="1046"/>
      <c r="AT1" s="1047"/>
      <c r="AU1" s="1045" t="s">
        <v>9</v>
      </c>
      <c r="AV1" s="1046"/>
      <c r="AW1" s="1046"/>
      <c r="AX1" s="1046"/>
      <c r="AY1" s="1047"/>
      <c r="AZ1" s="1048" t="s">
        <v>81</v>
      </c>
      <c r="BA1" s="1049"/>
      <c r="BB1" s="1049"/>
      <c r="BC1" s="1049"/>
      <c r="BD1" s="1050"/>
      <c r="BF1" s="1048" t="s">
        <v>82</v>
      </c>
      <c r="BG1" s="1049"/>
      <c r="BH1" s="1049"/>
      <c r="BI1" s="1049"/>
      <c r="BJ1" s="1050"/>
      <c r="BL1" s="1048" t="s">
        <v>83</v>
      </c>
      <c r="BM1" s="1049"/>
      <c r="BN1" s="1049"/>
      <c r="BO1" s="1049"/>
      <c r="BP1" s="1050"/>
    </row>
    <row r="2" spans="1:75" ht="15.75" thickBot="1">
      <c r="A2" s="5" t="s">
        <v>10</v>
      </c>
      <c r="B2" s="6">
        <v>2009</v>
      </c>
      <c r="C2" s="7">
        <v>2010</v>
      </c>
      <c r="D2" s="7">
        <v>2011</v>
      </c>
      <c r="E2" s="8">
        <v>2012</v>
      </c>
      <c r="F2" s="745">
        <v>2013</v>
      </c>
      <c r="G2" s="6">
        <v>2009</v>
      </c>
      <c r="H2" s="7">
        <v>2010</v>
      </c>
      <c r="I2" s="7">
        <v>2011</v>
      </c>
      <c r="J2" s="8">
        <v>2012</v>
      </c>
      <c r="K2" s="745">
        <v>2013</v>
      </c>
      <c r="L2" s="6">
        <v>2009</v>
      </c>
      <c r="M2" s="7">
        <v>2010</v>
      </c>
      <c r="N2" s="7">
        <v>2011</v>
      </c>
      <c r="O2" s="8">
        <v>2012</v>
      </c>
      <c r="P2" s="745">
        <v>2013</v>
      </c>
      <c r="Q2" s="6">
        <v>2009</v>
      </c>
      <c r="R2" s="7">
        <v>2010</v>
      </c>
      <c r="S2" s="7">
        <v>2011</v>
      </c>
      <c r="T2" s="8">
        <v>2012</v>
      </c>
      <c r="U2" s="745">
        <v>2013</v>
      </c>
      <c r="V2" s="6">
        <v>2009</v>
      </c>
      <c r="W2" s="7">
        <v>2010</v>
      </c>
      <c r="X2" s="7">
        <v>2011</v>
      </c>
      <c r="Y2" s="8">
        <v>2012</v>
      </c>
      <c r="Z2" s="745">
        <v>2013</v>
      </c>
      <c r="AA2" s="6">
        <v>2009</v>
      </c>
      <c r="AB2" s="7">
        <v>2010</v>
      </c>
      <c r="AC2" s="7">
        <v>2011</v>
      </c>
      <c r="AD2" s="8">
        <v>2012</v>
      </c>
      <c r="AE2" s="745">
        <v>2013</v>
      </c>
      <c r="AF2" s="6">
        <v>2009</v>
      </c>
      <c r="AG2" s="7">
        <v>2010</v>
      </c>
      <c r="AH2" s="7">
        <v>2011</v>
      </c>
      <c r="AI2" s="8">
        <v>2012</v>
      </c>
      <c r="AJ2" s="745">
        <v>2013</v>
      </c>
      <c r="AK2" s="6">
        <v>2009</v>
      </c>
      <c r="AL2" s="7">
        <v>2010</v>
      </c>
      <c r="AM2" s="7">
        <v>2011</v>
      </c>
      <c r="AN2" s="8">
        <v>2012</v>
      </c>
      <c r="AO2" s="745">
        <v>2013</v>
      </c>
      <c r="AP2" s="6">
        <v>2009</v>
      </c>
      <c r="AQ2" s="7">
        <v>2010</v>
      </c>
      <c r="AR2" s="7">
        <v>2011</v>
      </c>
      <c r="AS2" s="8">
        <v>2012</v>
      </c>
      <c r="AT2" s="745">
        <v>2013</v>
      </c>
      <c r="AU2" s="6">
        <v>2009</v>
      </c>
      <c r="AV2" s="7">
        <v>2010</v>
      </c>
      <c r="AW2" s="7">
        <v>2011</v>
      </c>
      <c r="AX2" s="8">
        <v>2012</v>
      </c>
      <c r="AY2" s="745">
        <v>2013</v>
      </c>
      <c r="AZ2" s="6">
        <v>2009</v>
      </c>
      <c r="BA2" s="7">
        <v>2010</v>
      </c>
      <c r="BB2" s="7">
        <v>2011</v>
      </c>
      <c r="BC2" s="8">
        <v>2012</v>
      </c>
      <c r="BD2" s="745">
        <v>2013</v>
      </c>
      <c r="BF2" s="6">
        <v>2009</v>
      </c>
      <c r="BG2" s="7">
        <v>2010</v>
      </c>
      <c r="BH2" s="7">
        <v>2011</v>
      </c>
      <c r="BI2" s="8">
        <v>2012</v>
      </c>
      <c r="BJ2" s="745">
        <v>2013</v>
      </c>
      <c r="BL2" s="6">
        <v>2009</v>
      </c>
      <c r="BM2" s="7">
        <v>2010</v>
      </c>
      <c r="BN2" s="7">
        <v>2011</v>
      </c>
      <c r="BO2" s="8">
        <v>2012</v>
      </c>
      <c r="BP2" s="745">
        <v>2013</v>
      </c>
      <c r="BR2" s="1" t="s">
        <v>84</v>
      </c>
      <c r="BS2" s="1">
        <v>2009</v>
      </c>
      <c r="BT2" s="1">
        <v>2010</v>
      </c>
      <c r="BU2" s="1">
        <v>2011</v>
      </c>
      <c r="BV2" s="1">
        <v>2012</v>
      </c>
      <c r="BW2" s="1" t="s">
        <v>85</v>
      </c>
    </row>
    <row r="3" spans="1:75" ht="15.75" thickBot="1">
      <c r="A3" s="292" t="s">
        <v>86</v>
      </c>
      <c r="B3" s="293">
        <f t="shared" ref="B3:BD3" si="0">B4+B12+B22+B27+B31</f>
        <v>8560</v>
      </c>
      <c r="C3" s="293">
        <f t="shared" ref="C3:AY3" si="1">C4+C12+C22+C27+C31</f>
        <v>9679</v>
      </c>
      <c r="D3" s="293">
        <f t="shared" si="1"/>
        <v>9020</v>
      </c>
      <c r="E3" s="293">
        <f t="shared" si="1"/>
        <v>8604</v>
      </c>
      <c r="F3" s="293">
        <f t="shared" si="1"/>
        <v>7996</v>
      </c>
      <c r="G3" s="293">
        <f t="shared" si="1"/>
        <v>1508</v>
      </c>
      <c r="H3" s="293">
        <f t="shared" si="1"/>
        <v>1461</v>
      </c>
      <c r="I3" s="293">
        <f t="shared" si="1"/>
        <v>1397</v>
      </c>
      <c r="J3" s="293">
        <f t="shared" si="1"/>
        <v>1441</v>
      </c>
      <c r="K3" s="293">
        <f t="shared" si="1"/>
        <v>1271</v>
      </c>
      <c r="L3" s="293">
        <f t="shared" si="1"/>
        <v>9268</v>
      </c>
      <c r="M3" s="293">
        <f t="shared" si="1"/>
        <v>10825</v>
      </c>
      <c r="N3" s="293">
        <f t="shared" si="1"/>
        <v>11433</v>
      </c>
      <c r="O3" s="293">
        <f t="shared" si="1"/>
        <v>12480</v>
      </c>
      <c r="P3" s="293">
        <f t="shared" si="1"/>
        <v>11983</v>
      </c>
      <c r="Q3" s="293">
        <f t="shared" si="1"/>
        <v>38</v>
      </c>
      <c r="R3" s="293">
        <f t="shared" si="1"/>
        <v>69</v>
      </c>
      <c r="S3" s="293">
        <f t="shared" si="1"/>
        <v>52</v>
      </c>
      <c r="T3" s="293">
        <f t="shared" si="1"/>
        <v>64</v>
      </c>
      <c r="U3" s="293">
        <f t="shared" si="1"/>
        <v>57</v>
      </c>
      <c r="V3" s="293">
        <f>V4+V12+V22+V27+V31</f>
        <v>8133</v>
      </c>
      <c r="W3" s="293">
        <f>W4+W12+W22+W27+W31</f>
        <v>9059</v>
      </c>
      <c r="X3" s="293">
        <f t="shared" si="1"/>
        <v>9733</v>
      </c>
      <c r="Y3" s="293">
        <f t="shared" si="1"/>
        <v>10154</v>
      </c>
      <c r="Z3" s="293">
        <f t="shared" si="1"/>
        <v>9757</v>
      </c>
      <c r="AA3" s="293">
        <f t="shared" si="1"/>
        <v>305</v>
      </c>
      <c r="AB3" s="293">
        <f t="shared" si="1"/>
        <v>342</v>
      </c>
      <c r="AC3" s="293">
        <f t="shared" si="1"/>
        <v>379</v>
      </c>
      <c r="AD3" s="293">
        <f t="shared" si="1"/>
        <v>371</v>
      </c>
      <c r="AE3" s="293">
        <f t="shared" si="1"/>
        <v>327</v>
      </c>
      <c r="AF3" s="293">
        <f t="shared" si="1"/>
        <v>753</v>
      </c>
      <c r="AG3" s="293">
        <f t="shared" si="1"/>
        <v>780</v>
      </c>
      <c r="AH3" s="293">
        <f t="shared" si="1"/>
        <v>848</v>
      </c>
      <c r="AI3" s="293">
        <f t="shared" si="1"/>
        <v>863</v>
      </c>
      <c r="AJ3" s="293">
        <f t="shared" si="1"/>
        <v>818</v>
      </c>
      <c r="AK3" s="293">
        <f t="shared" si="1"/>
        <v>177</v>
      </c>
      <c r="AL3" s="293">
        <f t="shared" si="1"/>
        <v>160</v>
      </c>
      <c r="AM3" s="293">
        <f t="shared" si="1"/>
        <v>194</v>
      </c>
      <c r="AN3" s="293">
        <f t="shared" si="1"/>
        <v>193</v>
      </c>
      <c r="AO3" s="293">
        <f t="shared" si="1"/>
        <v>173</v>
      </c>
      <c r="AP3" s="293">
        <f t="shared" si="1"/>
        <v>283</v>
      </c>
      <c r="AQ3" s="293">
        <f t="shared" si="1"/>
        <v>270</v>
      </c>
      <c r="AR3" s="293">
        <f t="shared" si="1"/>
        <v>283</v>
      </c>
      <c r="AS3" s="293">
        <f t="shared" si="1"/>
        <v>251</v>
      </c>
      <c r="AT3" s="293">
        <f t="shared" si="1"/>
        <v>250</v>
      </c>
      <c r="AU3" s="293">
        <f t="shared" si="1"/>
        <v>7999</v>
      </c>
      <c r="AV3" s="293">
        <f t="shared" si="1"/>
        <v>9580</v>
      </c>
      <c r="AW3" s="293">
        <f t="shared" si="1"/>
        <v>9356</v>
      </c>
      <c r="AX3" s="293">
        <f t="shared" si="1"/>
        <v>9895</v>
      </c>
      <c r="AY3" s="293">
        <f t="shared" si="1"/>
        <v>9091</v>
      </c>
      <c r="AZ3" s="293">
        <f>AZ4+AZ12+AZ22+AZ27+AZ31</f>
        <v>37024</v>
      </c>
      <c r="BA3" s="293">
        <f t="shared" si="0"/>
        <v>42225</v>
      </c>
      <c r="BB3" s="293">
        <f t="shared" si="0"/>
        <v>42695</v>
      </c>
      <c r="BC3" s="293">
        <f t="shared" si="0"/>
        <v>44316</v>
      </c>
      <c r="BD3" s="293">
        <f t="shared" si="0"/>
        <v>41723</v>
      </c>
      <c r="BF3" s="791">
        <f>B3+G3+AP2</f>
        <v>12077</v>
      </c>
      <c r="BG3" s="791">
        <f t="shared" ref="BG3:BJ3" si="2">C3+H3+AQ2</f>
        <v>13150</v>
      </c>
      <c r="BH3" s="791">
        <f t="shared" si="2"/>
        <v>12428</v>
      </c>
      <c r="BI3" s="791">
        <f t="shared" si="2"/>
        <v>12057</v>
      </c>
      <c r="BJ3" s="792">
        <f t="shared" si="2"/>
        <v>11280</v>
      </c>
      <c r="BL3" s="793">
        <f>V3+AA3</f>
        <v>8438</v>
      </c>
      <c r="BM3" s="793">
        <f t="shared" ref="BM3:BP4" si="3">W3+AB3</f>
        <v>9401</v>
      </c>
      <c r="BN3" s="793">
        <f t="shared" si="3"/>
        <v>10112</v>
      </c>
      <c r="BO3" s="793">
        <f t="shared" si="3"/>
        <v>10525</v>
      </c>
      <c r="BP3" s="796">
        <f t="shared" si="3"/>
        <v>10084</v>
      </c>
      <c r="BR3" s="1" t="s">
        <v>85</v>
      </c>
      <c r="BS3" s="1">
        <v>37024</v>
      </c>
      <c r="BT3" s="1">
        <v>42225</v>
      </c>
      <c r="BU3" s="1">
        <v>42695</v>
      </c>
      <c r="BV3" s="1">
        <v>44316</v>
      </c>
      <c r="BW3" s="1">
        <v>166260</v>
      </c>
    </row>
    <row r="4" spans="1:75" ht="15.75" thickBot="1">
      <c r="A4" s="294" t="s">
        <v>87</v>
      </c>
      <c r="B4" s="431">
        <f t="shared" ref="B4:BD4" si="4">SUM(B5:B11)</f>
        <v>636</v>
      </c>
      <c r="C4" s="431">
        <f t="shared" ref="C4:AY4" si="5">SUM(C5:C11)</f>
        <v>887</v>
      </c>
      <c r="D4" s="431">
        <f t="shared" si="5"/>
        <v>906</v>
      </c>
      <c r="E4" s="431">
        <f t="shared" si="5"/>
        <v>885</v>
      </c>
      <c r="F4" s="431">
        <f t="shared" si="5"/>
        <v>809</v>
      </c>
      <c r="G4" s="431">
        <f t="shared" si="5"/>
        <v>91</v>
      </c>
      <c r="H4" s="431">
        <f t="shared" si="5"/>
        <v>83</v>
      </c>
      <c r="I4" s="431">
        <f t="shared" si="5"/>
        <v>97</v>
      </c>
      <c r="J4" s="431">
        <f t="shared" si="5"/>
        <v>122</v>
      </c>
      <c r="K4" s="431">
        <f t="shared" si="5"/>
        <v>100</v>
      </c>
      <c r="L4" s="431">
        <f t="shared" si="5"/>
        <v>705</v>
      </c>
      <c r="M4" s="431">
        <f t="shared" si="5"/>
        <v>860</v>
      </c>
      <c r="N4" s="431">
        <f t="shared" si="5"/>
        <v>954</v>
      </c>
      <c r="O4" s="431">
        <f t="shared" si="5"/>
        <v>1083</v>
      </c>
      <c r="P4" s="431">
        <f t="shared" si="5"/>
        <v>1183</v>
      </c>
      <c r="Q4" s="431">
        <f t="shared" si="5"/>
        <v>2</v>
      </c>
      <c r="R4" s="431">
        <f t="shared" si="5"/>
        <v>7</v>
      </c>
      <c r="S4" s="431">
        <f t="shared" si="5"/>
        <v>5</v>
      </c>
      <c r="T4" s="431">
        <f t="shared" si="5"/>
        <v>6</v>
      </c>
      <c r="U4" s="431">
        <f t="shared" si="5"/>
        <v>4</v>
      </c>
      <c r="V4" s="431">
        <f t="shared" si="5"/>
        <v>351</v>
      </c>
      <c r="W4" s="431">
        <f t="shared" si="5"/>
        <v>437</v>
      </c>
      <c r="X4" s="431">
        <f t="shared" si="5"/>
        <v>422</v>
      </c>
      <c r="Y4" s="431">
        <f t="shared" si="5"/>
        <v>530</v>
      </c>
      <c r="Z4" s="431">
        <f t="shared" si="5"/>
        <v>429</v>
      </c>
      <c r="AA4" s="431">
        <f t="shared" si="5"/>
        <v>25</v>
      </c>
      <c r="AB4" s="431">
        <f t="shared" si="5"/>
        <v>33</v>
      </c>
      <c r="AC4" s="431">
        <f t="shared" si="5"/>
        <v>25</v>
      </c>
      <c r="AD4" s="431">
        <f t="shared" si="5"/>
        <v>19</v>
      </c>
      <c r="AE4" s="431">
        <f t="shared" si="5"/>
        <v>24</v>
      </c>
      <c r="AF4" s="431">
        <f t="shared" si="5"/>
        <v>44</v>
      </c>
      <c r="AG4" s="431">
        <f t="shared" si="5"/>
        <v>51</v>
      </c>
      <c r="AH4" s="431">
        <f t="shared" si="5"/>
        <v>41</v>
      </c>
      <c r="AI4" s="431">
        <f t="shared" si="5"/>
        <v>52</v>
      </c>
      <c r="AJ4" s="431">
        <f t="shared" si="5"/>
        <v>39</v>
      </c>
      <c r="AK4" s="431">
        <f t="shared" si="5"/>
        <v>8</v>
      </c>
      <c r="AL4" s="431">
        <f t="shared" si="5"/>
        <v>15</v>
      </c>
      <c r="AM4" s="431">
        <f t="shared" si="5"/>
        <v>12</v>
      </c>
      <c r="AN4" s="431">
        <f t="shared" si="5"/>
        <v>22</v>
      </c>
      <c r="AO4" s="431">
        <f t="shared" si="5"/>
        <v>6</v>
      </c>
      <c r="AP4" s="431">
        <f t="shared" si="5"/>
        <v>22</v>
      </c>
      <c r="AQ4" s="431">
        <f t="shared" si="5"/>
        <v>24</v>
      </c>
      <c r="AR4" s="431">
        <f t="shared" si="5"/>
        <v>33</v>
      </c>
      <c r="AS4" s="431">
        <f t="shared" si="5"/>
        <v>21</v>
      </c>
      <c r="AT4" s="431">
        <f t="shared" si="5"/>
        <v>25</v>
      </c>
      <c r="AU4" s="431">
        <f t="shared" si="5"/>
        <v>781</v>
      </c>
      <c r="AV4" s="431">
        <f t="shared" si="5"/>
        <v>935</v>
      </c>
      <c r="AW4" s="431">
        <f t="shared" si="5"/>
        <v>916</v>
      </c>
      <c r="AX4" s="431">
        <f t="shared" si="5"/>
        <v>863</v>
      </c>
      <c r="AY4" s="431">
        <f t="shared" si="5"/>
        <v>804</v>
      </c>
      <c r="AZ4" s="431">
        <f>SUM(AZ5:AZ11)</f>
        <v>2665</v>
      </c>
      <c r="BA4" s="431">
        <f t="shared" si="4"/>
        <v>3332</v>
      </c>
      <c r="BB4" s="431">
        <f t="shared" si="4"/>
        <v>3411</v>
      </c>
      <c r="BC4" s="431">
        <f t="shared" si="4"/>
        <v>3603</v>
      </c>
      <c r="BD4" s="431">
        <f t="shared" si="4"/>
        <v>3423</v>
      </c>
      <c r="BF4" s="791">
        <f t="shared" ref="BF4:BF35" si="6">B4+G4+AP4</f>
        <v>749</v>
      </c>
      <c r="BG4" s="791">
        <f t="shared" ref="BG4" si="7">C4+H4+AQ4</f>
        <v>994</v>
      </c>
      <c r="BH4" s="791">
        <f t="shared" ref="BH4" si="8">D4+I4+AR4</f>
        <v>1036</v>
      </c>
      <c r="BI4" s="791">
        <f t="shared" ref="BI4" si="9">E4+J4+AS4</f>
        <v>1028</v>
      </c>
      <c r="BJ4" s="792">
        <f t="shared" ref="BJ4" si="10">F4+K4+AT4</f>
        <v>934</v>
      </c>
      <c r="BL4" s="791">
        <f t="shared" ref="BL4:BL35" si="11">V4+AA4</f>
        <v>376</v>
      </c>
      <c r="BM4" s="791">
        <f t="shared" si="3"/>
        <v>470</v>
      </c>
      <c r="BN4" s="791">
        <f t="shared" si="3"/>
        <v>447</v>
      </c>
      <c r="BO4" s="791">
        <f t="shared" si="3"/>
        <v>549</v>
      </c>
      <c r="BP4" s="791">
        <f t="shared" si="3"/>
        <v>453</v>
      </c>
      <c r="BS4" s="293"/>
      <c r="BT4" s="293"/>
      <c r="BU4" s="293"/>
      <c r="BV4" s="293"/>
    </row>
    <row r="5" spans="1:75">
      <c r="A5" s="12" t="s">
        <v>13</v>
      </c>
      <c r="B5" s="395">
        <v>5</v>
      </c>
      <c r="C5">
        <v>6</v>
      </c>
      <c r="D5" s="13">
        <v>12</v>
      </c>
      <c r="E5" s="14">
        <v>24</v>
      </c>
      <c r="F5" s="746">
        <v>11</v>
      </c>
      <c r="G5" s="395">
        <v>1</v>
      </c>
      <c r="H5">
        <v>1</v>
      </c>
      <c r="I5" s="13">
        <v>1</v>
      </c>
      <c r="J5" s="14">
        <v>10</v>
      </c>
      <c r="K5" s="746">
        <v>8</v>
      </c>
      <c r="L5" s="395">
        <v>6</v>
      </c>
      <c r="M5">
        <v>14</v>
      </c>
      <c r="N5" s="13">
        <v>13</v>
      </c>
      <c r="O5" s="14">
        <v>41</v>
      </c>
      <c r="P5" s="746">
        <v>43</v>
      </c>
      <c r="Q5" s="805"/>
      <c r="R5"/>
      <c r="S5" s="16"/>
      <c r="T5" s="17"/>
      <c r="U5" s="752">
        <v>0</v>
      </c>
      <c r="V5" s="395">
        <v>5</v>
      </c>
      <c r="W5">
        <v>3</v>
      </c>
      <c r="X5" s="13">
        <v>12</v>
      </c>
      <c r="Y5" s="14">
        <v>13</v>
      </c>
      <c r="Z5" s="746">
        <v>7</v>
      </c>
      <c r="AA5" s="805">
        <v>0</v>
      </c>
      <c r="AB5">
        <v>0</v>
      </c>
      <c r="AC5" s="16">
        <v>0</v>
      </c>
      <c r="AD5" s="17">
        <v>1</v>
      </c>
      <c r="AE5" s="752">
        <v>0</v>
      </c>
      <c r="AF5" s="805">
        <v>0</v>
      </c>
      <c r="AG5">
        <v>0</v>
      </c>
      <c r="AH5" s="16">
        <v>0</v>
      </c>
      <c r="AI5" s="17">
        <v>1</v>
      </c>
      <c r="AJ5" s="752">
        <v>1</v>
      </c>
      <c r="AK5" s="805">
        <v>0</v>
      </c>
      <c r="AL5">
        <v>1</v>
      </c>
      <c r="AM5" s="16">
        <v>0</v>
      </c>
      <c r="AN5" s="17">
        <v>0</v>
      </c>
      <c r="AO5" s="752">
        <v>0</v>
      </c>
      <c r="AP5" s="805">
        <v>0</v>
      </c>
      <c r="AQ5">
        <v>0</v>
      </c>
      <c r="AR5" s="16">
        <v>1</v>
      </c>
      <c r="AS5" s="17">
        <v>0</v>
      </c>
      <c r="AT5" s="752">
        <v>3</v>
      </c>
      <c r="AU5" s="395">
        <v>102</v>
      </c>
      <c r="AV5">
        <v>113</v>
      </c>
      <c r="AW5" s="16">
        <v>124</v>
      </c>
      <c r="AX5" s="17">
        <v>67</v>
      </c>
      <c r="AY5" s="752">
        <v>55</v>
      </c>
      <c r="AZ5" s="18">
        <f>B5+G5+L5+Q5+V5+AA5+AF5+AK5+AP5+AU5</f>
        <v>119</v>
      </c>
      <c r="BA5" s="19">
        <f>C5+H5+M5+R5+W5+AB5+AG5+AL5+AQ5+AV5</f>
        <v>138</v>
      </c>
      <c r="BB5" s="19">
        <f>D5+I5+N5+S5+X5+AC5+AH5+AM5+AR5+AW5</f>
        <v>163</v>
      </c>
      <c r="BC5" s="20">
        <f>E5+J5+O5+T5+Y5+AD5+AI5+AN5+AS5+AX5</f>
        <v>157</v>
      </c>
      <c r="BD5" s="20">
        <f>F5+K5+P5+U5+Z5+AE5+AJ5+AO5+AT5+AY5</f>
        <v>128</v>
      </c>
      <c r="BF5" s="707">
        <f t="shared" si="6"/>
        <v>6</v>
      </c>
      <c r="BG5" s="708">
        <f t="shared" ref="BG5:BG35" si="12">C5+H5+AQ5</f>
        <v>7</v>
      </c>
      <c r="BH5" s="708">
        <f t="shared" ref="BH5:BH35" si="13">D5+I5+AR5</f>
        <v>14</v>
      </c>
      <c r="BI5" s="708">
        <f t="shared" ref="BI5:BJ35" si="14">E5+J5+AS5</f>
        <v>34</v>
      </c>
      <c r="BJ5" s="709">
        <f t="shared" si="14"/>
        <v>22</v>
      </c>
      <c r="BL5" s="707">
        <f t="shared" si="11"/>
        <v>5</v>
      </c>
      <c r="BM5" s="708">
        <f t="shared" ref="BM5:BM35" si="15">W5+AB5</f>
        <v>3</v>
      </c>
      <c r="BN5" s="708">
        <f t="shared" ref="BN5:BN35" si="16">X5+AC5</f>
        <v>12</v>
      </c>
      <c r="BO5" s="708">
        <f t="shared" ref="BO5:BP35" si="17">Y5+AD5</f>
        <v>14</v>
      </c>
      <c r="BP5" s="709">
        <f t="shared" si="17"/>
        <v>7</v>
      </c>
      <c r="BR5" s="1" t="s">
        <v>17</v>
      </c>
      <c r="BS5" s="1">
        <v>488</v>
      </c>
      <c r="BT5" s="1">
        <v>597</v>
      </c>
      <c r="BU5" s="1">
        <v>581</v>
      </c>
      <c r="BV5" s="1">
        <v>663</v>
      </c>
      <c r="BW5" s="1">
        <v>2329</v>
      </c>
    </row>
    <row r="6" spans="1:75">
      <c r="A6" s="21" t="s">
        <v>14</v>
      </c>
      <c r="B6" s="395">
        <v>2</v>
      </c>
      <c r="C6">
        <v>3</v>
      </c>
      <c r="D6" s="22">
        <v>20</v>
      </c>
      <c r="E6" s="23">
        <v>8</v>
      </c>
      <c r="F6" s="747">
        <v>11</v>
      </c>
      <c r="G6" s="395">
        <v>1</v>
      </c>
      <c r="H6">
        <v>0</v>
      </c>
      <c r="I6" s="22">
        <v>0</v>
      </c>
      <c r="J6" s="23">
        <v>2</v>
      </c>
      <c r="K6" s="747">
        <v>1</v>
      </c>
      <c r="L6" s="395">
        <v>11</v>
      </c>
      <c r="M6">
        <v>5</v>
      </c>
      <c r="N6" s="22">
        <v>4</v>
      </c>
      <c r="O6" s="23">
        <v>5</v>
      </c>
      <c r="P6" s="747">
        <v>7</v>
      </c>
      <c r="Q6" s="805"/>
      <c r="R6"/>
      <c r="S6" s="25"/>
      <c r="T6" s="26"/>
      <c r="U6" s="753">
        <v>1</v>
      </c>
      <c r="V6" s="395">
        <v>5</v>
      </c>
      <c r="W6">
        <v>0</v>
      </c>
      <c r="X6" s="22">
        <v>1</v>
      </c>
      <c r="Y6" s="23">
        <v>6</v>
      </c>
      <c r="Z6" s="747">
        <v>2</v>
      </c>
      <c r="AA6" s="805"/>
      <c r="AB6"/>
      <c r="AC6" s="25"/>
      <c r="AD6" s="26"/>
      <c r="AE6" s="753">
        <v>1</v>
      </c>
      <c r="AF6" s="395">
        <v>2</v>
      </c>
      <c r="AG6">
        <v>0</v>
      </c>
      <c r="AH6" s="25">
        <v>0</v>
      </c>
      <c r="AI6" s="26">
        <v>0</v>
      </c>
      <c r="AJ6" s="753">
        <v>0</v>
      </c>
      <c r="AK6" s="805">
        <v>0</v>
      </c>
      <c r="AL6">
        <v>0</v>
      </c>
      <c r="AM6" s="25">
        <v>1</v>
      </c>
      <c r="AN6" s="26">
        <v>0</v>
      </c>
      <c r="AO6" s="753">
        <v>0</v>
      </c>
      <c r="AP6" s="805"/>
      <c r="AQ6"/>
      <c r="AR6" s="25"/>
      <c r="AS6" s="26"/>
      <c r="AT6" s="753">
        <v>0</v>
      </c>
      <c r="AU6" s="395">
        <v>86</v>
      </c>
      <c r="AV6">
        <v>113</v>
      </c>
      <c r="AW6" s="25">
        <v>124</v>
      </c>
      <c r="AX6" s="26">
        <v>101</v>
      </c>
      <c r="AY6" s="753">
        <v>91</v>
      </c>
      <c r="AZ6" s="27">
        <f t="shared" ref="AZ5:BD11" si="18">B6+G6+L6+Q6+V6+AA6+AF6+AK6+AP6+AU6</f>
        <v>107</v>
      </c>
      <c r="BA6" s="28">
        <f t="shared" si="18"/>
        <v>121</v>
      </c>
      <c r="BB6" s="28">
        <f t="shared" si="18"/>
        <v>150</v>
      </c>
      <c r="BC6" s="29">
        <f t="shared" si="18"/>
        <v>122</v>
      </c>
      <c r="BD6" s="29">
        <f t="shared" si="18"/>
        <v>114</v>
      </c>
      <c r="BF6" s="436">
        <f t="shared" si="6"/>
        <v>3</v>
      </c>
      <c r="BG6" s="435">
        <f t="shared" si="12"/>
        <v>3</v>
      </c>
      <c r="BH6" s="435">
        <f t="shared" si="13"/>
        <v>20</v>
      </c>
      <c r="BI6" s="435">
        <f t="shared" si="14"/>
        <v>10</v>
      </c>
      <c r="BJ6" s="437">
        <f t="shared" si="14"/>
        <v>12</v>
      </c>
      <c r="BL6" s="436">
        <f t="shared" si="11"/>
        <v>5</v>
      </c>
      <c r="BM6" s="435">
        <f t="shared" si="15"/>
        <v>0</v>
      </c>
      <c r="BN6" s="435">
        <f t="shared" si="16"/>
        <v>1</v>
      </c>
      <c r="BO6" s="435">
        <f t="shared" si="17"/>
        <v>6</v>
      </c>
      <c r="BP6" s="437">
        <f t="shared" si="17"/>
        <v>3</v>
      </c>
      <c r="BR6" s="1" t="s">
        <v>13</v>
      </c>
      <c r="BS6" s="1">
        <v>119</v>
      </c>
      <c r="BT6" s="1">
        <v>138</v>
      </c>
      <c r="BU6" s="1">
        <v>163</v>
      </c>
      <c r="BV6" s="1">
        <v>157</v>
      </c>
      <c r="BW6" s="1">
        <v>577</v>
      </c>
    </row>
    <row r="7" spans="1:75">
      <c r="A7" s="21" t="s">
        <v>15</v>
      </c>
      <c r="B7" s="395">
        <v>128</v>
      </c>
      <c r="C7">
        <v>180</v>
      </c>
      <c r="D7" s="22">
        <v>194</v>
      </c>
      <c r="E7" s="23">
        <v>158</v>
      </c>
      <c r="F7" s="747">
        <v>161</v>
      </c>
      <c r="G7" s="395">
        <v>1</v>
      </c>
      <c r="H7">
        <v>7</v>
      </c>
      <c r="I7" s="22">
        <v>8</v>
      </c>
      <c r="J7" s="23">
        <v>7</v>
      </c>
      <c r="K7" s="747">
        <v>8</v>
      </c>
      <c r="L7" s="395">
        <v>92</v>
      </c>
      <c r="M7">
        <v>91</v>
      </c>
      <c r="N7" s="22">
        <v>111</v>
      </c>
      <c r="O7" s="23">
        <v>123</v>
      </c>
      <c r="P7" s="747">
        <v>134</v>
      </c>
      <c r="Q7" s="805">
        <v>0</v>
      </c>
      <c r="R7">
        <v>0</v>
      </c>
      <c r="S7" s="25">
        <v>0</v>
      </c>
      <c r="T7" s="26">
        <v>2</v>
      </c>
      <c r="U7" s="753">
        <v>0</v>
      </c>
      <c r="V7" s="395">
        <v>53</v>
      </c>
      <c r="W7">
        <v>65</v>
      </c>
      <c r="X7" s="22">
        <v>46</v>
      </c>
      <c r="Y7" s="23">
        <v>52</v>
      </c>
      <c r="Z7" s="747">
        <v>60</v>
      </c>
      <c r="AA7" s="395">
        <v>1</v>
      </c>
      <c r="AB7">
        <v>0</v>
      </c>
      <c r="AC7" s="25">
        <v>0</v>
      </c>
      <c r="AD7" s="26">
        <v>3</v>
      </c>
      <c r="AE7" s="753">
        <v>2</v>
      </c>
      <c r="AF7" s="395">
        <v>2</v>
      </c>
      <c r="AG7">
        <v>5</v>
      </c>
      <c r="AH7" s="25">
        <v>4</v>
      </c>
      <c r="AI7" s="26">
        <v>7</v>
      </c>
      <c r="AJ7" s="753">
        <v>5</v>
      </c>
      <c r="AK7" s="395">
        <v>1</v>
      </c>
      <c r="AL7">
        <v>3</v>
      </c>
      <c r="AM7" s="25">
        <v>1</v>
      </c>
      <c r="AN7" s="26">
        <v>1</v>
      </c>
      <c r="AO7" s="753">
        <v>2</v>
      </c>
      <c r="AP7" s="805">
        <v>0</v>
      </c>
      <c r="AQ7">
        <v>0</v>
      </c>
      <c r="AR7" s="25">
        <v>4</v>
      </c>
      <c r="AS7" s="26">
        <v>1</v>
      </c>
      <c r="AT7" s="753">
        <v>1</v>
      </c>
      <c r="AU7" s="395">
        <v>87</v>
      </c>
      <c r="AV7">
        <v>116</v>
      </c>
      <c r="AW7" s="25">
        <v>138</v>
      </c>
      <c r="AX7" s="26">
        <v>103</v>
      </c>
      <c r="AY7" s="753">
        <v>80</v>
      </c>
      <c r="AZ7" s="27">
        <f t="shared" si="18"/>
        <v>365</v>
      </c>
      <c r="BA7" s="28">
        <f t="shared" si="18"/>
        <v>467</v>
      </c>
      <c r="BB7" s="28">
        <f t="shared" si="18"/>
        <v>506</v>
      </c>
      <c r="BC7" s="29">
        <f t="shared" si="18"/>
        <v>457</v>
      </c>
      <c r="BD7" s="29">
        <f t="shared" si="18"/>
        <v>453</v>
      </c>
      <c r="BF7" s="436">
        <f t="shared" si="6"/>
        <v>129</v>
      </c>
      <c r="BG7" s="435">
        <f t="shared" si="12"/>
        <v>187</v>
      </c>
      <c r="BH7" s="435">
        <f t="shared" si="13"/>
        <v>206</v>
      </c>
      <c r="BI7" s="435">
        <f t="shared" si="14"/>
        <v>166</v>
      </c>
      <c r="BJ7" s="437">
        <f t="shared" si="14"/>
        <v>170</v>
      </c>
      <c r="BL7" s="436">
        <f t="shared" si="11"/>
        <v>54</v>
      </c>
      <c r="BM7" s="435">
        <f t="shared" si="15"/>
        <v>65</v>
      </c>
      <c r="BN7" s="435">
        <f t="shared" si="16"/>
        <v>46</v>
      </c>
      <c r="BO7" s="435">
        <f t="shared" si="17"/>
        <v>55</v>
      </c>
      <c r="BP7" s="437">
        <f t="shared" si="17"/>
        <v>62</v>
      </c>
      <c r="BR7" s="1" t="s">
        <v>15</v>
      </c>
      <c r="BS7" s="1">
        <v>365</v>
      </c>
      <c r="BT7" s="1">
        <v>467</v>
      </c>
      <c r="BU7" s="1">
        <v>506</v>
      </c>
      <c r="BV7" s="1">
        <v>457</v>
      </c>
      <c r="BW7" s="1">
        <v>1795</v>
      </c>
    </row>
    <row r="8" spans="1:75">
      <c r="A8" s="21" t="s">
        <v>16</v>
      </c>
      <c r="B8" s="395">
        <v>391</v>
      </c>
      <c r="C8">
        <v>567</v>
      </c>
      <c r="D8" s="22">
        <v>572</v>
      </c>
      <c r="E8" s="23">
        <v>575</v>
      </c>
      <c r="F8" s="747">
        <v>498</v>
      </c>
      <c r="G8" s="395">
        <v>41</v>
      </c>
      <c r="H8">
        <v>28</v>
      </c>
      <c r="I8" s="22">
        <v>35</v>
      </c>
      <c r="J8" s="23">
        <v>46</v>
      </c>
      <c r="K8" s="747">
        <v>26</v>
      </c>
      <c r="L8" s="395">
        <v>282</v>
      </c>
      <c r="M8">
        <v>401</v>
      </c>
      <c r="N8" s="22">
        <v>440</v>
      </c>
      <c r="O8" s="23">
        <v>479</v>
      </c>
      <c r="P8" s="747">
        <v>537</v>
      </c>
      <c r="Q8" s="395">
        <v>1</v>
      </c>
      <c r="R8">
        <v>4</v>
      </c>
      <c r="S8" s="22">
        <v>1</v>
      </c>
      <c r="T8" s="23">
        <v>4</v>
      </c>
      <c r="U8" s="747">
        <v>3</v>
      </c>
      <c r="V8" s="395">
        <v>104</v>
      </c>
      <c r="W8">
        <v>125</v>
      </c>
      <c r="X8" s="22">
        <v>118</v>
      </c>
      <c r="Y8" s="23">
        <v>165</v>
      </c>
      <c r="Z8" s="747">
        <v>112</v>
      </c>
      <c r="AA8" s="395">
        <v>7</v>
      </c>
      <c r="AB8">
        <v>10</v>
      </c>
      <c r="AC8" s="25">
        <v>8</v>
      </c>
      <c r="AD8" s="26">
        <v>8</v>
      </c>
      <c r="AE8" s="753">
        <v>11</v>
      </c>
      <c r="AF8" s="395">
        <v>17</v>
      </c>
      <c r="AG8">
        <v>15</v>
      </c>
      <c r="AH8" s="25">
        <v>17</v>
      </c>
      <c r="AI8" s="26">
        <v>22</v>
      </c>
      <c r="AJ8" s="753">
        <v>13</v>
      </c>
      <c r="AK8" s="395">
        <v>5</v>
      </c>
      <c r="AL8">
        <v>5</v>
      </c>
      <c r="AM8" s="25">
        <v>3</v>
      </c>
      <c r="AN8" s="26">
        <v>15</v>
      </c>
      <c r="AO8" s="753">
        <v>0</v>
      </c>
      <c r="AP8" s="395">
        <v>8</v>
      </c>
      <c r="AQ8">
        <v>12</v>
      </c>
      <c r="AR8" s="25">
        <v>13</v>
      </c>
      <c r="AS8" s="26">
        <v>11</v>
      </c>
      <c r="AT8" s="753">
        <v>12</v>
      </c>
      <c r="AU8" s="395">
        <v>154</v>
      </c>
      <c r="AV8">
        <v>174</v>
      </c>
      <c r="AW8" s="25">
        <v>142</v>
      </c>
      <c r="AX8" s="26">
        <v>187</v>
      </c>
      <c r="AY8" s="753">
        <v>334</v>
      </c>
      <c r="AZ8" s="27">
        <f t="shared" si="18"/>
        <v>1010</v>
      </c>
      <c r="BA8" s="28">
        <f t="shared" si="18"/>
        <v>1341</v>
      </c>
      <c r="BB8" s="28">
        <f t="shared" si="18"/>
        <v>1349</v>
      </c>
      <c r="BC8" s="29">
        <f t="shared" si="18"/>
        <v>1512</v>
      </c>
      <c r="BD8" s="29">
        <f t="shared" si="18"/>
        <v>1546</v>
      </c>
      <c r="BF8" s="436">
        <f t="shared" si="6"/>
        <v>440</v>
      </c>
      <c r="BG8" s="435">
        <f t="shared" si="12"/>
        <v>607</v>
      </c>
      <c r="BH8" s="435">
        <f t="shared" si="13"/>
        <v>620</v>
      </c>
      <c r="BI8" s="435">
        <f t="shared" si="14"/>
        <v>632</v>
      </c>
      <c r="BJ8" s="437">
        <f t="shared" si="14"/>
        <v>536</v>
      </c>
      <c r="BL8" s="436">
        <f t="shared" si="11"/>
        <v>111</v>
      </c>
      <c r="BM8" s="435">
        <f t="shared" si="15"/>
        <v>135</v>
      </c>
      <c r="BN8" s="435">
        <f t="shared" si="16"/>
        <v>126</v>
      </c>
      <c r="BO8" s="435">
        <f t="shared" si="17"/>
        <v>173</v>
      </c>
      <c r="BP8" s="437">
        <f t="shared" si="17"/>
        <v>123</v>
      </c>
      <c r="BR8" s="1" t="s">
        <v>18</v>
      </c>
      <c r="BS8" s="1">
        <v>126</v>
      </c>
      <c r="BT8" s="1">
        <v>145</v>
      </c>
      <c r="BU8" s="1">
        <v>134</v>
      </c>
      <c r="BV8" s="1">
        <v>148</v>
      </c>
      <c r="BW8" s="1">
        <v>553</v>
      </c>
    </row>
    <row r="9" spans="1:75">
      <c r="A9" s="21" t="s">
        <v>17</v>
      </c>
      <c r="B9" s="395">
        <v>49</v>
      </c>
      <c r="C9">
        <v>57</v>
      </c>
      <c r="D9" s="22">
        <v>49</v>
      </c>
      <c r="E9" s="23">
        <v>51</v>
      </c>
      <c r="F9" s="747">
        <v>59</v>
      </c>
      <c r="G9" s="395">
        <v>22</v>
      </c>
      <c r="H9">
        <v>20</v>
      </c>
      <c r="I9" s="22">
        <v>25</v>
      </c>
      <c r="J9" s="23">
        <v>19</v>
      </c>
      <c r="K9" s="747">
        <v>30</v>
      </c>
      <c r="L9" s="395">
        <v>143</v>
      </c>
      <c r="M9">
        <v>139</v>
      </c>
      <c r="N9" s="22">
        <v>158</v>
      </c>
      <c r="O9" s="23">
        <v>177</v>
      </c>
      <c r="P9" s="747">
        <v>187</v>
      </c>
      <c r="Q9" s="395">
        <v>1</v>
      </c>
      <c r="R9">
        <v>0</v>
      </c>
      <c r="S9" s="22">
        <v>4</v>
      </c>
      <c r="T9" s="23">
        <v>0</v>
      </c>
      <c r="U9" s="747">
        <v>0</v>
      </c>
      <c r="V9" s="395">
        <v>32</v>
      </c>
      <c r="W9">
        <v>73</v>
      </c>
      <c r="X9" s="22">
        <v>68</v>
      </c>
      <c r="Y9" s="23">
        <v>110</v>
      </c>
      <c r="Z9" s="747">
        <v>98</v>
      </c>
      <c r="AA9" s="395">
        <v>8</v>
      </c>
      <c r="AB9">
        <v>12</v>
      </c>
      <c r="AC9" s="25">
        <v>4</v>
      </c>
      <c r="AD9" s="26">
        <v>5</v>
      </c>
      <c r="AE9" s="753">
        <v>4</v>
      </c>
      <c r="AF9" s="395">
        <v>9</v>
      </c>
      <c r="AG9">
        <v>12</v>
      </c>
      <c r="AH9" s="25">
        <v>11</v>
      </c>
      <c r="AI9" s="26">
        <v>16</v>
      </c>
      <c r="AJ9" s="753">
        <v>8</v>
      </c>
      <c r="AK9" s="395">
        <v>2</v>
      </c>
      <c r="AL9">
        <v>4</v>
      </c>
      <c r="AM9" s="25">
        <v>1</v>
      </c>
      <c r="AN9" s="26">
        <v>1</v>
      </c>
      <c r="AO9" s="753">
        <v>3</v>
      </c>
      <c r="AP9" s="395">
        <v>6</v>
      </c>
      <c r="AQ9">
        <v>2</v>
      </c>
      <c r="AR9" s="25">
        <v>5</v>
      </c>
      <c r="AS9" s="26">
        <v>3</v>
      </c>
      <c r="AT9" s="753">
        <v>2</v>
      </c>
      <c r="AU9" s="395">
        <v>216</v>
      </c>
      <c r="AV9">
        <v>278</v>
      </c>
      <c r="AW9" s="25">
        <v>256</v>
      </c>
      <c r="AX9" s="26">
        <v>281</v>
      </c>
      <c r="AY9" s="753">
        <v>144</v>
      </c>
      <c r="AZ9" s="27">
        <f t="shared" si="18"/>
        <v>488</v>
      </c>
      <c r="BA9" s="28">
        <f t="shared" si="18"/>
        <v>597</v>
      </c>
      <c r="BB9" s="28">
        <f t="shared" si="18"/>
        <v>581</v>
      </c>
      <c r="BC9" s="29">
        <f t="shared" si="18"/>
        <v>663</v>
      </c>
      <c r="BD9" s="29">
        <f t="shared" si="18"/>
        <v>535</v>
      </c>
      <c r="BF9" s="436">
        <f t="shared" si="6"/>
        <v>77</v>
      </c>
      <c r="BG9" s="435">
        <f t="shared" si="12"/>
        <v>79</v>
      </c>
      <c r="BH9" s="435">
        <f t="shared" si="13"/>
        <v>79</v>
      </c>
      <c r="BI9" s="435">
        <f t="shared" si="14"/>
        <v>73</v>
      </c>
      <c r="BJ9" s="437">
        <f t="shared" si="14"/>
        <v>91</v>
      </c>
      <c r="BL9" s="436">
        <f t="shared" si="11"/>
        <v>40</v>
      </c>
      <c r="BM9" s="435">
        <f t="shared" si="15"/>
        <v>85</v>
      </c>
      <c r="BN9" s="435">
        <f t="shared" si="16"/>
        <v>72</v>
      </c>
      <c r="BO9" s="435">
        <f t="shared" si="17"/>
        <v>115</v>
      </c>
      <c r="BP9" s="437">
        <f t="shared" si="17"/>
        <v>102</v>
      </c>
      <c r="BR9" s="1" t="s">
        <v>16</v>
      </c>
      <c r="BS9" s="1">
        <v>1010</v>
      </c>
      <c r="BT9" s="1">
        <v>1341</v>
      </c>
      <c r="BU9" s="1">
        <v>1349</v>
      </c>
      <c r="BV9" s="1">
        <v>1512</v>
      </c>
      <c r="BW9" s="1">
        <v>5212</v>
      </c>
    </row>
    <row r="10" spans="1:75">
      <c r="A10" s="21" t="s">
        <v>18</v>
      </c>
      <c r="B10" s="395">
        <v>9</v>
      </c>
      <c r="C10">
        <v>13</v>
      </c>
      <c r="D10" s="22">
        <v>12</v>
      </c>
      <c r="E10" s="23">
        <v>13</v>
      </c>
      <c r="F10" s="747">
        <v>19</v>
      </c>
      <c r="G10" s="395">
        <v>8</v>
      </c>
      <c r="H10">
        <v>15</v>
      </c>
      <c r="I10" s="22">
        <v>17</v>
      </c>
      <c r="J10" s="23">
        <v>19</v>
      </c>
      <c r="K10" s="747">
        <v>13</v>
      </c>
      <c r="L10" s="395">
        <v>29</v>
      </c>
      <c r="M10">
        <v>58</v>
      </c>
      <c r="N10" s="22">
        <v>51</v>
      </c>
      <c r="O10" s="23">
        <v>79</v>
      </c>
      <c r="P10" s="747">
        <v>71</v>
      </c>
      <c r="Q10" s="805">
        <v>0</v>
      </c>
      <c r="R10">
        <v>2</v>
      </c>
      <c r="S10" s="25">
        <v>0</v>
      </c>
      <c r="T10" s="26">
        <v>0</v>
      </c>
      <c r="U10" s="753">
        <v>0</v>
      </c>
      <c r="V10" s="395">
        <v>14</v>
      </c>
      <c r="W10">
        <v>28</v>
      </c>
      <c r="X10" s="22">
        <v>18</v>
      </c>
      <c r="Y10" s="23">
        <v>19</v>
      </c>
      <c r="Z10" s="747">
        <v>27</v>
      </c>
      <c r="AA10" s="395">
        <v>3</v>
      </c>
      <c r="AB10">
        <v>4</v>
      </c>
      <c r="AC10" s="25">
        <v>6</v>
      </c>
      <c r="AD10" s="26">
        <v>0</v>
      </c>
      <c r="AE10" s="753">
        <v>1</v>
      </c>
      <c r="AF10" s="395">
        <v>4</v>
      </c>
      <c r="AG10">
        <v>0</v>
      </c>
      <c r="AH10" s="25">
        <v>0</v>
      </c>
      <c r="AI10" s="26">
        <v>0</v>
      </c>
      <c r="AJ10" s="753">
        <v>0</v>
      </c>
      <c r="AK10" s="395">
        <v>0</v>
      </c>
      <c r="AL10">
        <v>0</v>
      </c>
      <c r="AM10" s="25">
        <v>1</v>
      </c>
      <c r="AN10" s="26">
        <v>0</v>
      </c>
      <c r="AO10" s="753">
        <v>0</v>
      </c>
      <c r="AP10" s="805">
        <v>0</v>
      </c>
      <c r="AQ10">
        <v>2</v>
      </c>
      <c r="AR10" s="25">
        <v>0</v>
      </c>
      <c r="AS10" s="26">
        <v>1</v>
      </c>
      <c r="AT10" s="753">
        <v>0</v>
      </c>
      <c r="AU10" s="395">
        <v>59</v>
      </c>
      <c r="AV10">
        <v>23</v>
      </c>
      <c r="AW10" s="25">
        <v>29</v>
      </c>
      <c r="AX10" s="26">
        <v>17</v>
      </c>
      <c r="AY10" s="753">
        <v>20</v>
      </c>
      <c r="AZ10" s="27">
        <f t="shared" si="18"/>
        <v>126</v>
      </c>
      <c r="BA10" s="28">
        <f t="shared" si="18"/>
        <v>145</v>
      </c>
      <c r="BB10" s="28">
        <f t="shared" si="18"/>
        <v>134</v>
      </c>
      <c r="BC10" s="29">
        <f t="shared" si="18"/>
        <v>148</v>
      </c>
      <c r="BD10" s="29">
        <f t="shared" si="18"/>
        <v>151</v>
      </c>
      <c r="BF10" s="436">
        <f t="shared" si="6"/>
        <v>17</v>
      </c>
      <c r="BG10" s="435">
        <f t="shared" si="12"/>
        <v>30</v>
      </c>
      <c r="BH10" s="435">
        <f t="shared" si="13"/>
        <v>29</v>
      </c>
      <c r="BI10" s="435">
        <f t="shared" si="14"/>
        <v>33</v>
      </c>
      <c r="BJ10" s="437">
        <f t="shared" si="14"/>
        <v>32</v>
      </c>
      <c r="BL10" s="436">
        <f t="shared" si="11"/>
        <v>17</v>
      </c>
      <c r="BM10" s="435">
        <f t="shared" si="15"/>
        <v>32</v>
      </c>
      <c r="BN10" s="435">
        <f t="shared" si="16"/>
        <v>24</v>
      </c>
      <c r="BO10" s="435">
        <f t="shared" si="17"/>
        <v>19</v>
      </c>
      <c r="BP10" s="437">
        <f t="shared" si="17"/>
        <v>28</v>
      </c>
      <c r="BR10" s="1" t="s">
        <v>14</v>
      </c>
      <c r="BS10" s="1">
        <v>107</v>
      </c>
      <c r="BT10" s="1">
        <v>121</v>
      </c>
      <c r="BU10" s="1">
        <v>150</v>
      </c>
      <c r="BV10" s="1">
        <v>122</v>
      </c>
      <c r="BW10" s="1">
        <v>500</v>
      </c>
    </row>
    <row r="11" spans="1:75" ht="15.75" thickBot="1">
      <c r="A11" s="33" t="s">
        <v>19</v>
      </c>
      <c r="B11" s="395">
        <v>52</v>
      </c>
      <c r="C11">
        <v>61</v>
      </c>
      <c r="D11" s="37">
        <v>47</v>
      </c>
      <c r="E11" s="38">
        <v>56</v>
      </c>
      <c r="F11" s="748">
        <v>50</v>
      </c>
      <c r="G11" s="395">
        <v>17</v>
      </c>
      <c r="H11">
        <v>12</v>
      </c>
      <c r="I11" s="37">
        <v>11</v>
      </c>
      <c r="J11" s="38">
        <v>19</v>
      </c>
      <c r="K11" s="748">
        <v>14</v>
      </c>
      <c r="L11" s="395">
        <v>142</v>
      </c>
      <c r="M11">
        <v>152</v>
      </c>
      <c r="N11" s="37">
        <v>177</v>
      </c>
      <c r="O11" s="38">
        <v>179</v>
      </c>
      <c r="P11" s="748">
        <v>204</v>
      </c>
      <c r="Q11" s="805">
        <v>0</v>
      </c>
      <c r="R11">
        <v>1</v>
      </c>
      <c r="S11" s="37">
        <v>0</v>
      </c>
      <c r="T11" s="38">
        <v>0</v>
      </c>
      <c r="U11" s="748">
        <v>0</v>
      </c>
      <c r="V11" s="395">
        <v>138</v>
      </c>
      <c r="W11">
        <v>143</v>
      </c>
      <c r="X11" s="37">
        <v>159</v>
      </c>
      <c r="Y11" s="38">
        <v>165</v>
      </c>
      <c r="Z11" s="748">
        <v>123</v>
      </c>
      <c r="AA11" s="395">
        <v>6</v>
      </c>
      <c r="AB11">
        <v>7</v>
      </c>
      <c r="AC11" s="40">
        <v>7</v>
      </c>
      <c r="AD11" s="41">
        <v>2</v>
      </c>
      <c r="AE11" s="755">
        <v>5</v>
      </c>
      <c r="AF11" s="395">
        <v>10</v>
      </c>
      <c r="AG11">
        <v>19</v>
      </c>
      <c r="AH11" s="40">
        <v>9</v>
      </c>
      <c r="AI11" s="41">
        <v>6</v>
      </c>
      <c r="AJ11" s="755">
        <v>12</v>
      </c>
      <c r="AK11" s="395">
        <v>0</v>
      </c>
      <c r="AL11">
        <v>2</v>
      </c>
      <c r="AM11" s="40">
        <v>5</v>
      </c>
      <c r="AN11" s="41">
        <v>5</v>
      </c>
      <c r="AO11" s="755">
        <v>1</v>
      </c>
      <c r="AP11" s="395">
        <v>8</v>
      </c>
      <c r="AQ11">
        <v>8</v>
      </c>
      <c r="AR11" s="40">
        <v>10</v>
      </c>
      <c r="AS11" s="41">
        <v>5</v>
      </c>
      <c r="AT11" s="755">
        <v>7</v>
      </c>
      <c r="AU11" s="395">
        <v>77</v>
      </c>
      <c r="AV11">
        <v>118</v>
      </c>
      <c r="AW11" s="40">
        <v>103</v>
      </c>
      <c r="AX11" s="41">
        <v>107</v>
      </c>
      <c r="AY11" s="755">
        <v>80</v>
      </c>
      <c r="AZ11" s="9">
        <f t="shared" si="18"/>
        <v>450</v>
      </c>
      <c r="BA11" s="10">
        <f t="shared" si="18"/>
        <v>523</v>
      </c>
      <c r="BB11" s="10">
        <f t="shared" si="18"/>
        <v>528</v>
      </c>
      <c r="BC11" s="11">
        <f t="shared" si="18"/>
        <v>544</v>
      </c>
      <c r="BD11" s="11">
        <f t="shared" si="18"/>
        <v>496</v>
      </c>
      <c r="BF11" s="715">
        <f t="shared" si="6"/>
        <v>77</v>
      </c>
      <c r="BG11" s="716">
        <f t="shared" si="12"/>
        <v>81</v>
      </c>
      <c r="BH11" s="716">
        <f t="shared" si="13"/>
        <v>68</v>
      </c>
      <c r="BI11" s="716">
        <f t="shared" si="14"/>
        <v>80</v>
      </c>
      <c r="BJ11" s="717">
        <f t="shared" si="14"/>
        <v>71</v>
      </c>
      <c r="BL11" s="715">
        <f t="shared" si="11"/>
        <v>144</v>
      </c>
      <c r="BM11" s="716">
        <f t="shared" si="15"/>
        <v>150</v>
      </c>
      <c r="BN11" s="716">
        <f t="shared" si="16"/>
        <v>166</v>
      </c>
      <c r="BO11" s="716">
        <f t="shared" si="17"/>
        <v>167</v>
      </c>
      <c r="BP11" s="717">
        <f t="shared" si="17"/>
        <v>128</v>
      </c>
      <c r="BR11" s="1" t="s">
        <v>19</v>
      </c>
      <c r="BS11" s="1">
        <v>450</v>
      </c>
      <c r="BT11" s="1">
        <v>523</v>
      </c>
      <c r="BU11" s="1">
        <v>528</v>
      </c>
      <c r="BV11" s="1">
        <v>544</v>
      </c>
      <c r="BW11" s="1">
        <v>2045</v>
      </c>
    </row>
    <row r="12" spans="1:75" s="1" customFormat="1" ht="15.75" thickBot="1">
      <c r="A12" s="42" t="s">
        <v>88</v>
      </c>
      <c r="B12" s="125">
        <f t="shared" ref="B12:BD12" si="19">SUM(B13:B21)</f>
        <v>2035</v>
      </c>
      <c r="C12" s="125">
        <f t="shared" si="19"/>
        <v>2444</v>
      </c>
      <c r="D12" s="125">
        <f t="shared" si="19"/>
        <v>2098</v>
      </c>
      <c r="E12" s="125">
        <f t="shared" si="19"/>
        <v>2089</v>
      </c>
      <c r="F12" s="125">
        <f t="shared" si="19"/>
        <v>1995</v>
      </c>
      <c r="G12" s="125">
        <f t="shared" si="19"/>
        <v>295</v>
      </c>
      <c r="H12" s="125">
        <f t="shared" si="19"/>
        <v>343</v>
      </c>
      <c r="I12" s="125">
        <f t="shared" si="19"/>
        <v>281</v>
      </c>
      <c r="J12" s="125">
        <f t="shared" si="19"/>
        <v>291</v>
      </c>
      <c r="K12" s="125">
        <f t="shared" si="19"/>
        <v>246</v>
      </c>
      <c r="L12" s="125">
        <f t="shared" si="19"/>
        <v>2913</v>
      </c>
      <c r="M12" s="125">
        <f t="shared" si="19"/>
        <v>3685</v>
      </c>
      <c r="N12" s="125">
        <f t="shared" si="19"/>
        <v>4032</v>
      </c>
      <c r="O12" s="125">
        <f t="shared" si="19"/>
        <v>4820</v>
      </c>
      <c r="P12" s="125">
        <f t="shared" si="19"/>
        <v>4624</v>
      </c>
      <c r="Q12" s="125">
        <f t="shared" si="19"/>
        <v>9</v>
      </c>
      <c r="R12" s="125">
        <f t="shared" si="19"/>
        <v>18</v>
      </c>
      <c r="S12" s="125">
        <f t="shared" si="19"/>
        <v>9</v>
      </c>
      <c r="T12" s="125">
        <f t="shared" si="19"/>
        <v>14</v>
      </c>
      <c r="U12" s="125">
        <f t="shared" si="19"/>
        <v>21</v>
      </c>
      <c r="V12" s="125">
        <f t="shared" si="19"/>
        <v>1840</v>
      </c>
      <c r="W12" s="125">
        <f t="shared" si="19"/>
        <v>1984</v>
      </c>
      <c r="X12" s="125">
        <f t="shared" si="19"/>
        <v>2264</v>
      </c>
      <c r="Y12" s="125">
        <f t="shared" si="19"/>
        <v>2467</v>
      </c>
      <c r="Z12" s="125">
        <f t="shared" si="19"/>
        <v>2217</v>
      </c>
      <c r="AA12" s="125">
        <f t="shared" si="19"/>
        <v>85</v>
      </c>
      <c r="AB12" s="125">
        <f t="shared" si="19"/>
        <v>93</v>
      </c>
      <c r="AC12" s="125">
        <f t="shared" si="19"/>
        <v>82</v>
      </c>
      <c r="AD12" s="125">
        <f t="shared" si="19"/>
        <v>89</v>
      </c>
      <c r="AE12" s="125">
        <f t="shared" si="19"/>
        <v>58</v>
      </c>
      <c r="AF12" s="125">
        <f t="shared" si="19"/>
        <v>129</v>
      </c>
      <c r="AG12" s="125">
        <f t="shared" si="19"/>
        <v>175</v>
      </c>
      <c r="AH12" s="125">
        <f t="shared" si="19"/>
        <v>127</v>
      </c>
      <c r="AI12" s="125">
        <f t="shared" si="19"/>
        <v>148</v>
      </c>
      <c r="AJ12" s="125">
        <f t="shared" si="19"/>
        <v>168</v>
      </c>
      <c r="AK12" s="125">
        <f t="shared" si="19"/>
        <v>48</v>
      </c>
      <c r="AL12" s="125">
        <f t="shared" si="19"/>
        <v>34</v>
      </c>
      <c r="AM12" s="125">
        <f t="shared" si="19"/>
        <v>41</v>
      </c>
      <c r="AN12" s="125">
        <f t="shared" si="19"/>
        <v>40</v>
      </c>
      <c r="AO12" s="125">
        <f t="shared" si="19"/>
        <v>32</v>
      </c>
      <c r="AP12" s="125">
        <f t="shared" si="19"/>
        <v>111</v>
      </c>
      <c r="AQ12" s="125">
        <f t="shared" si="19"/>
        <v>118</v>
      </c>
      <c r="AR12" s="125">
        <f t="shared" si="19"/>
        <v>106</v>
      </c>
      <c r="AS12" s="125">
        <f t="shared" si="19"/>
        <v>90</v>
      </c>
      <c r="AT12" s="125">
        <f t="shared" si="19"/>
        <v>95</v>
      </c>
      <c r="AU12" s="125">
        <f t="shared" si="19"/>
        <v>2101</v>
      </c>
      <c r="AV12" s="125">
        <f t="shared" si="19"/>
        <v>2868</v>
      </c>
      <c r="AW12" s="125">
        <f t="shared" si="19"/>
        <v>2934</v>
      </c>
      <c r="AX12" s="125">
        <f t="shared" si="19"/>
        <v>3164</v>
      </c>
      <c r="AY12" s="125">
        <f t="shared" si="19"/>
        <v>3182</v>
      </c>
      <c r="AZ12" s="125">
        <f t="shared" si="19"/>
        <v>9566</v>
      </c>
      <c r="BA12" s="125">
        <f t="shared" si="19"/>
        <v>11762</v>
      </c>
      <c r="BB12" s="125">
        <f t="shared" si="19"/>
        <v>11974</v>
      </c>
      <c r="BC12" s="125">
        <f t="shared" si="19"/>
        <v>13212</v>
      </c>
      <c r="BD12" s="125">
        <f t="shared" si="19"/>
        <v>12638</v>
      </c>
      <c r="BF12" s="791">
        <f t="shared" si="6"/>
        <v>2441</v>
      </c>
      <c r="BG12" s="791">
        <f t="shared" si="12"/>
        <v>2905</v>
      </c>
      <c r="BH12" s="791">
        <f t="shared" si="13"/>
        <v>2485</v>
      </c>
      <c r="BI12" s="791">
        <f t="shared" si="14"/>
        <v>2470</v>
      </c>
      <c r="BJ12" s="792">
        <f t="shared" si="14"/>
        <v>2336</v>
      </c>
      <c r="BL12" s="791">
        <f>V12+AA12</f>
        <v>1925</v>
      </c>
      <c r="BM12" s="794">
        <f>W12+AB12</f>
        <v>2077</v>
      </c>
      <c r="BN12" s="794">
        <f t="shared" si="16"/>
        <v>2346</v>
      </c>
      <c r="BO12" s="794">
        <f t="shared" si="17"/>
        <v>2556</v>
      </c>
      <c r="BP12" s="795">
        <f t="shared" si="17"/>
        <v>2275</v>
      </c>
    </row>
    <row r="13" spans="1:75">
      <c r="A13" s="47" t="s">
        <v>21</v>
      </c>
      <c r="B13" s="395">
        <v>165</v>
      </c>
      <c r="C13">
        <v>143</v>
      </c>
      <c r="D13" s="48">
        <v>121</v>
      </c>
      <c r="E13" s="49">
        <v>114</v>
      </c>
      <c r="F13" s="749">
        <v>85</v>
      </c>
      <c r="G13" s="395">
        <v>13</v>
      </c>
      <c r="H13">
        <v>10</v>
      </c>
      <c r="I13" s="48">
        <v>11</v>
      </c>
      <c r="J13" s="49">
        <v>6</v>
      </c>
      <c r="K13" s="749">
        <v>4</v>
      </c>
      <c r="L13" s="395">
        <v>116</v>
      </c>
      <c r="M13">
        <v>122</v>
      </c>
      <c r="N13" s="48">
        <v>117</v>
      </c>
      <c r="O13" s="49">
        <v>126</v>
      </c>
      <c r="P13" s="749">
        <v>139</v>
      </c>
      <c r="Q13" s="395">
        <v>1</v>
      </c>
      <c r="R13">
        <v>5</v>
      </c>
      <c r="S13" s="50">
        <v>0</v>
      </c>
      <c r="T13" s="51">
        <v>0</v>
      </c>
      <c r="U13" s="754">
        <v>0</v>
      </c>
      <c r="V13" s="395">
        <v>38</v>
      </c>
      <c r="W13">
        <v>13</v>
      </c>
      <c r="X13" s="48">
        <v>28</v>
      </c>
      <c r="Y13" s="49">
        <v>19</v>
      </c>
      <c r="Z13" s="749">
        <v>10</v>
      </c>
      <c r="AA13" s="395">
        <v>2</v>
      </c>
      <c r="AB13">
        <v>1</v>
      </c>
      <c r="AC13" s="50">
        <v>2</v>
      </c>
      <c r="AD13" s="51">
        <v>0</v>
      </c>
      <c r="AE13" s="754">
        <v>1</v>
      </c>
      <c r="AF13" s="395">
        <v>4</v>
      </c>
      <c r="AG13">
        <v>2</v>
      </c>
      <c r="AH13" s="50">
        <v>1</v>
      </c>
      <c r="AI13" s="51">
        <v>2</v>
      </c>
      <c r="AJ13" s="754">
        <v>3</v>
      </c>
      <c r="AK13" s="805">
        <v>0</v>
      </c>
      <c r="AL13">
        <v>0</v>
      </c>
      <c r="AM13" s="50">
        <v>1</v>
      </c>
      <c r="AN13" s="51">
        <v>0</v>
      </c>
      <c r="AO13" s="754">
        <v>1</v>
      </c>
      <c r="AP13" s="395">
        <v>2</v>
      </c>
      <c r="AQ13">
        <v>7</v>
      </c>
      <c r="AR13" s="50">
        <v>4</v>
      </c>
      <c r="AS13" s="51">
        <v>3</v>
      </c>
      <c r="AT13" s="754">
        <v>4</v>
      </c>
      <c r="AU13" s="395">
        <v>318</v>
      </c>
      <c r="AV13">
        <v>480</v>
      </c>
      <c r="AW13" s="50">
        <v>568</v>
      </c>
      <c r="AX13" s="51">
        <v>570</v>
      </c>
      <c r="AY13" s="754">
        <v>533</v>
      </c>
      <c r="AZ13" s="52">
        <f t="shared" ref="AZ13:AZ21" si="20">B13+G13+L13+Q13+V13+AA13+AF13+AK13+AP13+AU13</f>
        <v>659</v>
      </c>
      <c r="BA13" s="53">
        <f t="shared" ref="BA13:BA21" si="21">C13+H13+M13+R13+W13+AB13+AG13+AL13+AQ13+AV13</f>
        <v>783</v>
      </c>
      <c r="BB13" s="53">
        <f t="shared" ref="BB13:BB21" si="22">D13+I13+N13+S13+X13+AC13+AH13+AM13+AR13+AW13</f>
        <v>853</v>
      </c>
      <c r="BC13" s="54">
        <f t="shared" ref="BC13:BD21" si="23">E13+J13+O13+T13+Y13+AD13+AI13+AN13+AS13+AX13</f>
        <v>840</v>
      </c>
      <c r="BD13" s="54">
        <f t="shared" si="23"/>
        <v>780</v>
      </c>
      <c r="BF13" s="707">
        <f t="shared" si="6"/>
        <v>180</v>
      </c>
      <c r="BG13" s="708">
        <f t="shared" si="12"/>
        <v>160</v>
      </c>
      <c r="BH13" s="708">
        <f t="shared" si="13"/>
        <v>136</v>
      </c>
      <c r="BI13" s="708">
        <f t="shared" si="14"/>
        <v>123</v>
      </c>
      <c r="BJ13" s="709">
        <f t="shared" si="14"/>
        <v>93</v>
      </c>
      <c r="BL13" s="707">
        <f t="shared" si="11"/>
        <v>40</v>
      </c>
      <c r="BM13" s="708">
        <f t="shared" si="15"/>
        <v>14</v>
      </c>
      <c r="BN13" s="708">
        <f t="shared" si="16"/>
        <v>30</v>
      </c>
      <c r="BO13" s="708">
        <f t="shared" si="17"/>
        <v>19</v>
      </c>
      <c r="BP13" s="709">
        <f t="shared" si="17"/>
        <v>11</v>
      </c>
      <c r="BR13" s="1" t="s">
        <v>24</v>
      </c>
      <c r="BS13" s="1">
        <v>1109</v>
      </c>
      <c r="BT13" s="1">
        <v>1275</v>
      </c>
      <c r="BU13" s="1">
        <v>1463</v>
      </c>
      <c r="BV13" s="1">
        <v>1652</v>
      </c>
      <c r="BW13" s="1">
        <v>5499</v>
      </c>
    </row>
    <row r="14" spans="1:75">
      <c r="A14" s="21" t="s">
        <v>22</v>
      </c>
      <c r="B14" s="395">
        <v>327</v>
      </c>
      <c r="C14">
        <v>540</v>
      </c>
      <c r="D14" s="22">
        <v>470</v>
      </c>
      <c r="E14" s="23">
        <v>485</v>
      </c>
      <c r="F14" s="747">
        <v>434</v>
      </c>
      <c r="G14" s="395">
        <v>24</v>
      </c>
      <c r="H14">
        <v>34</v>
      </c>
      <c r="I14" s="22">
        <v>31</v>
      </c>
      <c r="J14" s="23">
        <v>42</v>
      </c>
      <c r="K14" s="747">
        <v>36</v>
      </c>
      <c r="L14" s="395">
        <v>323</v>
      </c>
      <c r="M14">
        <v>498</v>
      </c>
      <c r="N14" s="22">
        <v>468</v>
      </c>
      <c r="O14" s="23">
        <v>591</v>
      </c>
      <c r="P14" s="747">
        <v>679</v>
      </c>
      <c r="Q14" s="395">
        <v>2</v>
      </c>
      <c r="R14">
        <v>7</v>
      </c>
      <c r="S14" s="22">
        <v>0</v>
      </c>
      <c r="T14" s="23">
        <v>1</v>
      </c>
      <c r="U14" s="747">
        <v>0</v>
      </c>
      <c r="V14" s="395">
        <v>752</v>
      </c>
      <c r="W14">
        <v>828</v>
      </c>
      <c r="X14" s="22">
        <v>981</v>
      </c>
      <c r="Y14" s="23">
        <v>1020</v>
      </c>
      <c r="Z14" s="747">
        <v>906</v>
      </c>
      <c r="AA14" s="395">
        <v>5</v>
      </c>
      <c r="AB14">
        <v>13</v>
      </c>
      <c r="AC14" s="25">
        <v>11</v>
      </c>
      <c r="AD14" s="26">
        <v>30</v>
      </c>
      <c r="AE14" s="753">
        <v>7</v>
      </c>
      <c r="AF14" s="395">
        <v>22</v>
      </c>
      <c r="AG14">
        <v>40</v>
      </c>
      <c r="AH14" s="25">
        <v>24</v>
      </c>
      <c r="AI14" s="26">
        <v>37</v>
      </c>
      <c r="AJ14" s="753">
        <v>37</v>
      </c>
      <c r="AK14" s="395">
        <v>5</v>
      </c>
      <c r="AL14">
        <v>9</v>
      </c>
      <c r="AM14" s="25">
        <v>15</v>
      </c>
      <c r="AN14" s="26">
        <v>13</v>
      </c>
      <c r="AO14" s="753">
        <v>8</v>
      </c>
      <c r="AP14" s="395">
        <v>29</v>
      </c>
      <c r="AQ14">
        <v>33</v>
      </c>
      <c r="AR14" s="25">
        <v>32</v>
      </c>
      <c r="AS14" s="26">
        <v>27</v>
      </c>
      <c r="AT14" s="753">
        <v>32</v>
      </c>
      <c r="AU14" s="395">
        <v>342</v>
      </c>
      <c r="AV14">
        <v>599</v>
      </c>
      <c r="AW14" s="25">
        <v>588</v>
      </c>
      <c r="AX14" s="26">
        <v>588</v>
      </c>
      <c r="AY14" s="753">
        <v>521</v>
      </c>
      <c r="AZ14" s="27">
        <f t="shared" si="20"/>
        <v>1831</v>
      </c>
      <c r="BA14" s="28">
        <f t="shared" si="21"/>
        <v>2601</v>
      </c>
      <c r="BB14" s="28">
        <f t="shared" si="22"/>
        <v>2620</v>
      </c>
      <c r="BC14" s="29">
        <f t="shared" si="23"/>
        <v>2834</v>
      </c>
      <c r="BD14" s="29">
        <f t="shared" si="23"/>
        <v>2660</v>
      </c>
      <c r="BF14" s="436">
        <f t="shared" si="6"/>
        <v>380</v>
      </c>
      <c r="BG14" s="435">
        <f t="shared" si="12"/>
        <v>607</v>
      </c>
      <c r="BH14" s="435">
        <f t="shared" si="13"/>
        <v>533</v>
      </c>
      <c r="BI14" s="435">
        <f t="shared" si="14"/>
        <v>554</v>
      </c>
      <c r="BJ14" s="437">
        <f t="shared" si="14"/>
        <v>502</v>
      </c>
      <c r="BL14" s="436">
        <f t="shared" si="11"/>
        <v>757</v>
      </c>
      <c r="BM14" s="435">
        <f t="shared" si="15"/>
        <v>841</v>
      </c>
      <c r="BN14" s="435">
        <f t="shared" si="16"/>
        <v>992</v>
      </c>
      <c r="BO14" s="435">
        <f t="shared" si="17"/>
        <v>1050</v>
      </c>
      <c r="BP14" s="437">
        <f t="shared" si="17"/>
        <v>913</v>
      </c>
      <c r="BR14" s="1" t="s">
        <v>27</v>
      </c>
      <c r="BS14" s="1">
        <v>903</v>
      </c>
      <c r="BT14" s="1">
        <v>1044</v>
      </c>
      <c r="BU14" s="1">
        <v>1085</v>
      </c>
      <c r="BV14" s="1">
        <v>1195</v>
      </c>
      <c r="BW14" s="1">
        <v>4227</v>
      </c>
    </row>
    <row r="15" spans="1:75" ht="12.75" customHeight="1">
      <c r="A15" s="21" t="s">
        <v>23</v>
      </c>
      <c r="B15" s="395">
        <v>469</v>
      </c>
      <c r="C15">
        <v>520</v>
      </c>
      <c r="D15" s="22">
        <v>458</v>
      </c>
      <c r="E15" s="23">
        <v>441</v>
      </c>
      <c r="F15" s="747">
        <v>489</v>
      </c>
      <c r="G15" s="395">
        <v>45</v>
      </c>
      <c r="H15">
        <v>82</v>
      </c>
      <c r="I15" s="22">
        <v>33</v>
      </c>
      <c r="J15" s="23">
        <v>32</v>
      </c>
      <c r="K15" s="747">
        <v>50</v>
      </c>
      <c r="L15" s="395">
        <v>527</v>
      </c>
      <c r="M15">
        <v>709</v>
      </c>
      <c r="N15" s="22">
        <v>703</v>
      </c>
      <c r="O15" s="23">
        <v>835</v>
      </c>
      <c r="P15" s="747">
        <v>748</v>
      </c>
      <c r="Q15" s="395">
        <v>1</v>
      </c>
      <c r="R15">
        <v>3</v>
      </c>
      <c r="S15" s="22">
        <v>2</v>
      </c>
      <c r="T15" s="23">
        <v>1</v>
      </c>
      <c r="U15" s="747">
        <v>3</v>
      </c>
      <c r="V15" s="395">
        <v>280</v>
      </c>
      <c r="W15">
        <v>183</v>
      </c>
      <c r="X15" s="22">
        <v>275</v>
      </c>
      <c r="Y15" s="23">
        <v>322</v>
      </c>
      <c r="Z15" s="747">
        <v>245</v>
      </c>
      <c r="AA15" s="395">
        <v>8</v>
      </c>
      <c r="AB15">
        <v>15</v>
      </c>
      <c r="AC15" s="25">
        <v>14</v>
      </c>
      <c r="AD15" s="26">
        <v>7</v>
      </c>
      <c r="AE15" s="753">
        <v>2</v>
      </c>
      <c r="AF15" s="395">
        <v>20</v>
      </c>
      <c r="AG15">
        <v>8</v>
      </c>
      <c r="AH15" s="25">
        <v>10</v>
      </c>
      <c r="AI15" s="26">
        <v>8</v>
      </c>
      <c r="AJ15" s="753">
        <v>15</v>
      </c>
      <c r="AK15" s="395">
        <v>7</v>
      </c>
      <c r="AL15">
        <v>5</v>
      </c>
      <c r="AM15" s="25">
        <v>8</v>
      </c>
      <c r="AN15" s="26">
        <v>5</v>
      </c>
      <c r="AO15" s="753">
        <v>10</v>
      </c>
      <c r="AP15" s="395">
        <v>6</v>
      </c>
      <c r="AQ15">
        <v>14</v>
      </c>
      <c r="AR15" s="25">
        <v>5</v>
      </c>
      <c r="AS15" s="26">
        <v>9</v>
      </c>
      <c r="AT15" s="753">
        <v>3</v>
      </c>
      <c r="AU15" s="395">
        <v>152</v>
      </c>
      <c r="AV15">
        <v>476</v>
      </c>
      <c r="AW15" s="25">
        <v>533</v>
      </c>
      <c r="AX15" s="26">
        <v>763</v>
      </c>
      <c r="AY15" s="753">
        <v>756</v>
      </c>
      <c r="AZ15" s="27">
        <f t="shared" si="20"/>
        <v>1515</v>
      </c>
      <c r="BA15" s="28">
        <f t="shared" si="21"/>
        <v>2015</v>
      </c>
      <c r="BB15" s="28">
        <f t="shared" si="22"/>
        <v>2041</v>
      </c>
      <c r="BC15" s="29">
        <f t="shared" si="23"/>
        <v>2423</v>
      </c>
      <c r="BD15" s="29">
        <f t="shared" si="23"/>
        <v>2321</v>
      </c>
      <c r="BF15" s="436">
        <f t="shared" si="6"/>
        <v>520</v>
      </c>
      <c r="BG15" s="435">
        <f t="shared" si="12"/>
        <v>616</v>
      </c>
      <c r="BH15" s="435">
        <f t="shared" si="13"/>
        <v>496</v>
      </c>
      <c r="BI15" s="435">
        <f t="shared" si="14"/>
        <v>482</v>
      </c>
      <c r="BJ15" s="437">
        <f t="shared" si="14"/>
        <v>542</v>
      </c>
      <c r="BL15" s="436">
        <f t="shared" si="11"/>
        <v>288</v>
      </c>
      <c r="BM15" s="435">
        <f t="shared" si="15"/>
        <v>198</v>
      </c>
      <c r="BN15" s="435">
        <f t="shared" si="16"/>
        <v>289</v>
      </c>
      <c r="BO15" s="435">
        <f t="shared" si="17"/>
        <v>329</v>
      </c>
      <c r="BP15" s="437">
        <f t="shared" si="17"/>
        <v>247</v>
      </c>
      <c r="BR15" s="1" t="s">
        <v>23</v>
      </c>
      <c r="BS15" s="1">
        <v>1515</v>
      </c>
      <c r="BT15" s="1">
        <v>2015</v>
      </c>
      <c r="BU15" s="1">
        <v>2041</v>
      </c>
      <c r="BV15" s="1">
        <v>2423</v>
      </c>
      <c r="BW15" s="1">
        <v>7994</v>
      </c>
    </row>
    <row r="16" spans="1:75">
      <c r="A16" s="21" t="s">
        <v>24</v>
      </c>
      <c r="B16" s="395">
        <v>189</v>
      </c>
      <c r="C16">
        <v>234</v>
      </c>
      <c r="D16" s="22">
        <v>220</v>
      </c>
      <c r="E16" s="23">
        <v>244</v>
      </c>
      <c r="F16" s="747">
        <v>209</v>
      </c>
      <c r="G16" s="395">
        <v>46</v>
      </c>
      <c r="H16">
        <v>40</v>
      </c>
      <c r="I16" s="22">
        <v>48</v>
      </c>
      <c r="J16" s="23">
        <v>58</v>
      </c>
      <c r="K16" s="747">
        <v>47</v>
      </c>
      <c r="L16" s="395">
        <v>322</v>
      </c>
      <c r="M16">
        <v>404</v>
      </c>
      <c r="N16" s="22">
        <v>564</v>
      </c>
      <c r="O16" s="23">
        <v>697</v>
      </c>
      <c r="P16" s="747">
        <v>677</v>
      </c>
      <c r="Q16" s="395">
        <v>3</v>
      </c>
      <c r="R16">
        <v>1</v>
      </c>
      <c r="S16" s="22">
        <v>2</v>
      </c>
      <c r="T16" s="23">
        <v>4</v>
      </c>
      <c r="U16" s="747">
        <v>4</v>
      </c>
      <c r="V16" s="395">
        <v>165</v>
      </c>
      <c r="W16">
        <v>195</v>
      </c>
      <c r="X16" s="22">
        <v>208</v>
      </c>
      <c r="Y16" s="23">
        <v>214</v>
      </c>
      <c r="Z16" s="747">
        <v>200</v>
      </c>
      <c r="AA16" s="395">
        <v>14</v>
      </c>
      <c r="AB16">
        <v>14</v>
      </c>
      <c r="AC16" s="25">
        <v>12</v>
      </c>
      <c r="AD16" s="26">
        <v>11</v>
      </c>
      <c r="AE16" s="753">
        <v>8</v>
      </c>
      <c r="AF16" s="395">
        <v>12</v>
      </c>
      <c r="AG16">
        <v>33</v>
      </c>
      <c r="AH16" s="25">
        <v>24</v>
      </c>
      <c r="AI16" s="26">
        <v>21</v>
      </c>
      <c r="AJ16" s="753">
        <v>17</v>
      </c>
      <c r="AK16" s="395">
        <v>14</v>
      </c>
      <c r="AL16">
        <v>5</v>
      </c>
      <c r="AM16" s="25">
        <v>9</v>
      </c>
      <c r="AN16" s="26">
        <v>9</v>
      </c>
      <c r="AO16" s="753">
        <v>2</v>
      </c>
      <c r="AP16" s="395">
        <v>17</v>
      </c>
      <c r="AQ16">
        <v>16</v>
      </c>
      <c r="AR16" s="25">
        <v>17</v>
      </c>
      <c r="AS16" s="26">
        <v>11</v>
      </c>
      <c r="AT16" s="753">
        <v>14</v>
      </c>
      <c r="AU16" s="395">
        <v>327</v>
      </c>
      <c r="AV16">
        <v>333</v>
      </c>
      <c r="AW16" s="25">
        <v>359</v>
      </c>
      <c r="AX16" s="26">
        <v>383</v>
      </c>
      <c r="AY16" s="753">
        <v>381</v>
      </c>
      <c r="AZ16" s="27">
        <f t="shared" si="20"/>
        <v>1109</v>
      </c>
      <c r="BA16" s="28">
        <f t="shared" si="21"/>
        <v>1275</v>
      </c>
      <c r="BB16" s="28">
        <f t="shared" si="22"/>
        <v>1463</v>
      </c>
      <c r="BC16" s="29">
        <f t="shared" si="23"/>
        <v>1652</v>
      </c>
      <c r="BD16" s="29">
        <f t="shared" si="23"/>
        <v>1559</v>
      </c>
      <c r="BF16" s="436">
        <f t="shared" si="6"/>
        <v>252</v>
      </c>
      <c r="BG16" s="435">
        <f t="shared" si="12"/>
        <v>290</v>
      </c>
      <c r="BH16" s="435">
        <f t="shared" si="13"/>
        <v>285</v>
      </c>
      <c r="BI16" s="435">
        <f t="shared" si="14"/>
        <v>313</v>
      </c>
      <c r="BJ16" s="437">
        <f t="shared" si="14"/>
        <v>270</v>
      </c>
      <c r="BL16" s="436">
        <f t="shared" si="11"/>
        <v>179</v>
      </c>
      <c r="BM16" s="435">
        <f t="shared" si="15"/>
        <v>209</v>
      </c>
      <c r="BN16" s="435">
        <f t="shared" si="16"/>
        <v>220</v>
      </c>
      <c r="BO16" s="435">
        <f t="shared" si="17"/>
        <v>225</v>
      </c>
      <c r="BP16" s="437">
        <f t="shared" si="17"/>
        <v>208</v>
      </c>
      <c r="BR16" s="1" t="s">
        <v>28</v>
      </c>
      <c r="BS16" s="1">
        <v>501</v>
      </c>
      <c r="BT16" s="1">
        <v>649</v>
      </c>
      <c r="BU16" s="1">
        <v>590</v>
      </c>
      <c r="BV16" s="1">
        <v>600</v>
      </c>
      <c r="BW16" s="1">
        <v>2340</v>
      </c>
    </row>
    <row r="17" spans="1:75">
      <c r="A17" s="21" t="s">
        <v>25</v>
      </c>
      <c r="B17" s="395">
        <v>67</v>
      </c>
      <c r="C17">
        <v>95</v>
      </c>
      <c r="D17" s="22">
        <v>73</v>
      </c>
      <c r="E17" s="23">
        <v>103</v>
      </c>
      <c r="F17" s="747">
        <v>93</v>
      </c>
      <c r="G17" s="395">
        <v>16</v>
      </c>
      <c r="H17">
        <v>17</v>
      </c>
      <c r="I17" s="22">
        <v>20</v>
      </c>
      <c r="J17" s="23">
        <v>18</v>
      </c>
      <c r="K17" s="747">
        <v>15</v>
      </c>
      <c r="L17" s="395">
        <v>214</v>
      </c>
      <c r="M17">
        <v>220</v>
      </c>
      <c r="N17" s="22">
        <v>251</v>
      </c>
      <c r="O17" s="23">
        <v>343</v>
      </c>
      <c r="P17" s="747">
        <v>361</v>
      </c>
      <c r="Q17" s="395">
        <v>0</v>
      </c>
      <c r="R17">
        <v>0</v>
      </c>
      <c r="S17" s="22">
        <v>0</v>
      </c>
      <c r="T17" s="23">
        <v>2</v>
      </c>
      <c r="U17" s="747">
        <v>1</v>
      </c>
      <c r="V17" s="395">
        <v>66</v>
      </c>
      <c r="W17">
        <v>73</v>
      </c>
      <c r="X17" s="22">
        <v>72</v>
      </c>
      <c r="Y17" s="23">
        <v>137</v>
      </c>
      <c r="Z17" s="747">
        <v>131</v>
      </c>
      <c r="AA17" s="395">
        <v>4</v>
      </c>
      <c r="AB17">
        <v>4</v>
      </c>
      <c r="AC17" s="25">
        <v>3</v>
      </c>
      <c r="AD17" s="26">
        <v>1</v>
      </c>
      <c r="AE17" s="753">
        <v>1</v>
      </c>
      <c r="AF17" s="395">
        <v>6</v>
      </c>
      <c r="AG17">
        <v>2</v>
      </c>
      <c r="AH17" s="25">
        <v>3</v>
      </c>
      <c r="AI17" s="26">
        <v>13</v>
      </c>
      <c r="AJ17" s="753">
        <v>7</v>
      </c>
      <c r="AK17" s="395">
        <v>13</v>
      </c>
      <c r="AL17">
        <v>3</v>
      </c>
      <c r="AM17" s="25">
        <v>1</v>
      </c>
      <c r="AN17" s="26">
        <v>1</v>
      </c>
      <c r="AO17" s="753">
        <v>6</v>
      </c>
      <c r="AP17" s="395">
        <v>0</v>
      </c>
      <c r="AQ17">
        <v>7</v>
      </c>
      <c r="AR17" s="25">
        <v>7</v>
      </c>
      <c r="AS17" s="26">
        <v>5</v>
      </c>
      <c r="AT17" s="753">
        <v>3</v>
      </c>
      <c r="AU17" s="395">
        <v>388</v>
      </c>
      <c r="AV17">
        <v>408</v>
      </c>
      <c r="AW17" s="25">
        <v>352</v>
      </c>
      <c r="AX17" s="26">
        <v>347</v>
      </c>
      <c r="AY17" s="753">
        <v>386</v>
      </c>
      <c r="AZ17" s="27">
        <f t="shared" si="20"/>
        <v>774</v>
      </c>
      <c r="BA17" s="28">
        <f t="shared" si="21"/>
        <v>829</v>
      </c>
      <c r="BB17" s="28">
        <f t="shared" si="22"/>
        <v>782</v>
      </c>
      <c r="BC17" s="29">
        <f t="shared" si="23"/>
        <v>970</v>
      </c>
      <c r="BD17" s="29">
        <f t="shared" si="23"/>
        <v>1004</v>
      </c>
      <c r="BF17" s="436">
        <f t="shared" si="6"/>
        <v>83</v>
      </c>
      <c r="BG17" s="435">
        <f t="shared" si="12"/>
        <v>119</v>
      </c>
      <c r="BH17" s="435">
        <f t="shared" si="13"/>
        <v>100</v>
      </c>
      <c r="BI17" s="435">
        <f t="shared" si="14"/>
        <v>126</v>
      </c>
      <c r="BJ17" s="437">
        <f t="shared" si="14"/>
        <v>111</v>
      </c>
      <c r="BL17" s="436">
        <f t="shared" si="11"/>
        <v>70</v>
      </c>
      <c r="BM17" s="435">
        <f t="shared" si="15"/>
        <v>77</v>
      </c>
      <c r="BN17" s="435">
        <f t="shared" si="16"/>
        <v>75</v>
      </c>
      <c r="BO17" s="435">
        <f t="shared" si="17"/>
        <v>138</v>
      </c>
      <c r="BP17" s="437">
        <f t="shared" si="17"/>
        <v>132</v>
      </c>
      <c r="BR17" s="1" t="s">
        <v>25</v>
      </c>
      <c r="BS17" s="1">
        <v>774</v>
      </c>
      <c r="BT17" s="1">
        <v>829</v>
      </c>
      <c r="BU17" s="1">
        <v>782</v>
      </c>
      <c r="BV17" s="1">
        <v>970</v>
      </c>
      <c r="BW17" s="1">
        <v>3355</v>
      </c>
    </row>
    <row r="18" spans="1:75">
      <c r="A18" s="21" t="s">
        <v>26</v>
      </c>
      <c r="B18" s="395">
        <v>483</v>
      </c>
      <c r="C18">
        <v>507</v>
      </c>
      <c r="D18" s="22">
        <v>407</v>
      </c>
      <c r="E18" s="23">
        <v>398</v>
      </c>
      <c r="F18" s="747">
        <v>375</v>
      </c>
      <c r="G18" s="395">
        <v>59</v>
      </c>
      <c r="H18">
        <v>50</v>
      </c>
      <c r="I18" s="22">
        <v>53</v>
      </c>
      <c r="J18" s="23">
        <v>53</v>
      </c>
      <c r="K18" s="747">
        <v>27</v>
      </c>
      <c r="L18" s="395">
        <v>504</v>
      </c>
      <c r="M18">
        <v>627</v>
      </c>
      <c r="N18" s="22">
        <v>786</v>
      </c>
      <c r="O18" s="23">
        <v>861</v>
      </c>
      <c r="P18" s="747">
        <v>744</v>
      </c>
      <c r="Q18" s="395">
        <v>1</v>
      </c>
      <c r="R18">
        <v>1</v>
      </c>
      <c r="S18" s="22">
        <v>1</v>
      </c>
      <c r="T18" s="23">
        <v>6</v>
      </c>
      <c r="U18" s="747">
        <v>8</v>
      </c>
      <c r="V18" s="395">
        <v>278</v>
      </c>
      <c r="W18">
        <v>311</v>
      </c>
      <c r="X18" s="22">
        <v>318</v>
      </c>
      <c r="Y18" s="23">
        <v>385</v>
      </c>
      <c r="Z18" s="747">
        <v>326</v>
      </c>
      <c r="AA18" s="395">
        <v>24</v>
      </c>
      <c r="AB18">
        <v>27</v>
      </c>
      <c r="AC18" s="25">
        <v>22</v>
      </c>
      <c r="AD18" s="26">
        <v>20</v>
      </c>
      <c r="AE18" s="753">
        <v>15</v>
      </c>
      <c r="AF18" s="395">
        <v>28</v>
      </c>
      <c r="AG18">
        <v>35</v>
      </c>
      <c r="AH18" s="25">
        <v>25</v>
      </c>
      <c r="AI18" s="26">
        <v>28</v>
      </c>
      <c r="AJ18" s="753">
        <v>28</v>
      </c>
      <c r="AK18" s="395">
        <v>8</v>
      </c>
      <c r="AL18">
        <v>9</v>
      </c>
      <c r="AM18" s="25">
        <v>4</v>
      </c>
      <c r="AN18" s="26">
        <v>8</v>
      </c>
      <c r="AO18" s="753">
        <v>2</v>
      </c>
      <c r="AP18" s="395">
        <v>30</v>
      </c>
      <c r="AQ18">
        <v>19</v>
      </c>
      <c r="AR18" s="25">
        <v>14</v>
      </c>
      <c r="AS18" s="26">
        <v>19</v>
      </c>
      <c r="AT18" s="753">
        <v>13</v>
      </c>
      <c r="AU18" s="395">
        <v>325</v>
      </c>
      <c r="AV18">
        <v>353</v>
      </c>
      <c r="AW18" s="25">
        <v>320</v>
      </c>
      <c r="AX18" s="26">
        <v>270</v>
      </c>
      <c r="AY18" s="753">
        <v>316</v>
      </c>
      <c r="AZ18" s="27">
        <f t="shared" si="20"/>
        <v>1740</v>
      </c>
      <c r="BA18" s="28">
        <f t="shared" si="21"/>
        <v>1939</v>
      </c>
      <c r="BB18" s="28">
        <f t="shared" si="22"/>
        <v>1950</v>
      </c>
      <c r="BC18" s="29">
        <f t="shared" si="23"/>
        <v>2048</v>
      </c>
      <c r="BD18" s="29">
        <f t="shared" si="23"/>
        <v>1854</v>
      </c>
      <c r="BF18" s="436">
        <f t="shared" si="6"/>
        <v>572</v>
      </c>
      <c r="BG18" s="435">
        <f t="shared" si="12"/>
        <v>576</v>
      </c>
      <c r="BH18" s="435">
        <f t="shared" si="13"/>
        <v>474</v>
      </c>
      <c r="BI18" s="435">
        <f t="shared" si="14"/>
        <v>470</v>
      </c>
      <c r="BJ18" s="437">
        <f t="shared" si="14"/>
        <v>415</v>
      </c>
      <c r="BL18" s="436">
        <f t="shared" si="11"/>
        <v>302</v>
      </c>
      <c r="BM18" s="435">
        <f t="shared" si="15"/>
        <v>338</v>
      </c>
      <c r="BN18" s="435">
        <f t="shared" si="16"/>
        <v>340</v>
      </c>
      <c r="BO18" s="435">
        <f t="shared" si="17"/>
        <v>405</v>
      </c>
      <c r="BP18" s="437">
        <f t="shared" si="17"/>
        <v>341</v>
      </c>
      <c r="BR18" s="1" t="s">
        <v>26</v>
      </c>
      <c r="BS18" s="1">
        <v>1740</v>
      </c>
      <c r="BT18" s="1">
        <v>1939</v>
      </c>
      <c r="BU18" s="1">
        <v>1950</v>
      </c>
      <c r="BV18" s="1">
        <v>2048</v>
      </c>
      <c r="BW18" s="1">
        <v>7677</v>
      </c>
    </row>
    <row r="19" spans="1:75">
      <c r="A19" s="21" t="s">
        <v>27</v>
      </c>
      <c r="B19" s="395">
        <v>147</v>
      </c>
      <c r="C19">
        <v>182</v>
      </c>
      <c r="D19" s="22">
        <v>155</v>
      </c>
      <c r="E19" s="23">
        <v>148</v>
      </c>
      <c r="F19" s="747">
        <v>119</v>
      </c>
      <c r="G19" s="395">
        <v>58</v>
      </c>
      <c r="H19">
        <v>58</v>
      </c>
      <c r="I19" s="22">
        <v>41</v>
      </c>
      <c r="J19" s="23">
        <v>49</v>
      </c>
      <c r="K19" s="747">
        <v>38</v>
      </c>
      <c r="L19" s="395">
        <v>427</v>
      </c>
      <c r="M19">
        <v>550</v>
      </c>
      <c r="N19" s="22">
        <v>588</v>
      </c>
      <c r="O19" s="23">
        <v>688</v>
      </c>
      <c r="P19" s="747">
        <v>647</v>
      </c>
      <c r="Q19" s="395">
        <v>0</v>
      </c>
      <c r="R19">
        <v>0</v>
      </c>
      <c r="S19" s="22">
        <v>3</v>
      </c>
      <c r="T19" s="23">
        <v>0</v>
      </c>
      <c r="U19" s="747">
        <v>1</v>
      </c>
      <c r="V19" s="395">
        <v>77</v>
      </c>
      <c r="W19">
        <v>117</v>
      </c>
      <c r="X19" s="22">
        <v>139</v>
      </c>
      <c r="Y19" s="23">
        <v>153</v>
      </c>
      <c r="Z19" s="747">
        <v>171</v>
      </c>
      <c r="AA19" s="395">
        <v>24</v>
      </c>
      <c r="AB19">
        <v>15</v>
      </c>
      <c r="AC19" s="25">
        <v>8</v>
      </c>
      <c r="AD19" s="26">
        <v>16</v>
      </c>
      <c r="AE19" s="753">
        <v>18</v>
      </c>
      <c r="AF19" s="395">
        <v>22</v>
      </c>
      <c r="AG19">
        <v>19</v>
      </c>
      <c r="AH19" s="25">
        <v>24</v>
      </c>
      <c r="AI19" s="26">
        <v>15</v>
      </c>
      <c r="AJ19" s="753">
        <v>31</v>
      </c>
      <c r="AK19" s="395">
        <v>1</v>
      </c>
      <c r="AL19">
        <v>3</v>
      </c>
      <c r="AM19" s="25">
        <v>0</v>
      </c>
      <c r="AN19" s="26">
        <v>2</v>
      </c>
      <c r="AO19" s="753">
        <v>1</v>
      </c>
      <c r="AP19" s="395">
        <v>8</v>
      </c>
      <c r="AQ19">
        <v>8</v>
      </c>
      <c r="AR19" s="25">
        <v>9</v>
      </c>
      <c r="AS19" s="26">
        <v>5</v>
      </c>
      <c r="AT19" s="753">
        <v>13</v>
      </c>
      <c r="AU19" s="395">
        <v>139</v>
      </c>
      <c r="AV19">
        <v>92</v>
      </c>
      <c r="AW19" s="25">
        <v>118</v>
      </c>
      <c r="AX19" s="26">
        <v>119</v>
      </c>
      <c r="AY19" s="753">
        <v>155</v>
      </c>
      <c r="AZ19" s="27">
        <f t="shared" si="20"/>
        <v>903</v>
      </c>
      <c r="BA19" s="28">
        <f t="shared" si="21"/>
        <v>1044</v>
      </c>
      <c r="BB19" s="28">
        <f t="shared" si="22"/>
        <v>1085</v>
      </c>
      <c r="BC19" s="29">
        <f t="shared" si="23"/>
        <v>1195</v>
      </c>
      <c r="BD19" s="29">
        <f t="shared" si="23"/>
        <v>1194</v>
      </c>
      <c r="BF19" s="436">
        <f t="shared" si="6"/>
        <v>213</v>
      </c>
      <c r="BG19" s="435">
        <f t="shared" si="12"/>
        <v>248</v>
      </c>
      <c r="BH19" s="435">
        <f t="shared" si="13"/>
        <v>205</v>
      </c>
      <c r="BI19" s="435">
        <f t="shared" si="14"/>
        <v>202</v>
      </c>
      <c r="BJ19" s="437">
        <f t="shared" si="14"/>
        <v>170</v>
      </c>
      <c r="BL19" s="436">
        <f t="shared" si="11"/>
        <v>101</v>
      </c>
      <c r="BM19" s="435">
        <f t="shared" si="15"/>
        <v>132</v>
      </c>
      <c r="BN19" s="435">
        <f t="shared" si="16"/>
        <v>147</v>
      </c>
      <c r="BO19" s="435">
        <f t="shared" si="17"/>
        <v>169</v>
      </c>
      <c r="BP19" s="437">
        <f t="shared" si="17"/>
        <v>189</v>
      </c>
      <c r="BR19" s="1" t="s">
        <v>21</v>
      </c>
      <c r="BS19" s="1">
        <v>659</v>
      </c>
      <c r="BT19" s="1">
        <v>783</v>
      </c>
      <c r="BU19" s="1">
        <v>853</v>
      </c>
      <c r="BV19" s="1">
        <v>840</v>
      </c>
      <c r="BW19" s="1">
        <v>3135</v>
      </c>
    </row>
    <row r="20" spans="1:75">
      <c r="A20" s="21" t="s">
        <v>28</v>
      </c>
      <c r="B20" s="395">
        <v>72</v>
      </c>
      <c r="C20">
        <v>106</v>
      </c>
      <c r="D20" s="22">
        <v>82</v>
      </c>
      <c r="E20" s="23">
        <v>69</v>
      </c>
      <c r="F20" s="747">
        <v>82</v>
      </c>
      <c r="G20" s="395">
        <v>9</v>
      </c>
      <c r="H20">
        <v>20</v>
      </c>
      <c r="I20" s="22">
        <v>26</v>
      </c>
      <c r="J20" s="23">
        <v>10</v>
      </c>
      <c r="K20" s="747">
        <v>15</v>
      </c>
      <c r="L20" s="395">
        <v>222</v>
      </c>
      <c r="M20">
        <v>268</v>
      </c>
      <c r="N20" s="22">
        <v>246</v>
      </c>
      <c r="O20" s="23">
        <v>272</v>
      </c>
      <c r="P20" s="747">
        <v>282</v>
      </c>
      <c r="Q20" s="395">
        <v>1</v>
      </c>
      <c r="R20">
        <v>1</v>
      </c>
      <c r="S20" s="22">
        <v>1</v>
      </c>
      <c r="T20" s="23">
        <v>0</v>
      </c>
      <c r="U20" s="747">
        <v>3</v>
      </c>
      <c r="V20" s="395">
        <v>100</v>
      </c>
      <c r="W20">
        <v>134</v>
      </c>
      <c r="X20" s="22">
        <v>117</v>
      </c>
      <c r="Y20" s="23">
        <v>117</v>
      </c>
      <c r="Z20" s="747">
        <v>81</v>
      </c>
      <c r="AA20" s="395">
        <v>4</v>
      </c>
      <c r="AB20">
        <v>4</v>
      </c>
      <c r="AC20" s="25">
        <v>10</v>
      </c>
      <c r="AD20" s="26">
        <v>4</v>
      </c>
      <c r="AE20" s="753">
        <v>6</v>
      </c>
      <c r="AF20" s="395">
        <v>1</v>
      </c>
      <c r="AG20">
        <v>3</v>
      </c>
      <c r="AH20" s="25">
        <v>2</v>
      </c>
      <c r="AI20" s="26">
        <v>4</v>
      </c>
      <c r="AJ20" s="753">
        <v>5</v>
      </c>
      <c r="AK20" s="395">
        <v>0</v>
      </c>
      <c r="AL20">
        <v>0</v>
      </c>
      <c r="AM20" s="25">
        <v>2</v>
      </c>
      <c r="AN20" s="26">
        <v>1</v>
      </c>
      <c r="AO20" s="753">
        <v>2</v>
      </c>
      <c r="AP20" s="395">
        <v>4</v>
      </c>
      <c r="AQ20">
        <v>3</v>
      </c>
      <c r="AR20" s="25">
        <v>9</v>
      </c>
      <c r="AS20" s="26">
        <v>2</v>
      </c>
      <c r="AT20" s="753">
        <v>2</v>
      </c>
      <c r="AU20" s="395">
        <v>88</v>
      </c>
      <c r="AV20">
        <v>110</v>
      </c>
      <c r="AW20" s="25">
        <v>95</v>
      </c>
      <c r="AX20" s="26">
        <v>121</v>
      </c>
      <c r="AY20" s="753">
        <v>124</v>
      </c>
      <c r="AZ20" s="27">
        <f t="shared" si="20"/>
        <v>501</v>
      </c>
      <c r="BA20" s="28">
        <f t="shared" si="21"/>
        <v>649</v>
      </c>
      <c r="BB20" s="28">
        <f t="shared" si="22"/>
        <v>590</v>
      </c>
      <c r="BC20" s="29">
        <f t="shared" si="23"/>
        <v>600</v>
      </c>
      <c r="BD20" s="29">
        <f t="shared" si="23"/>
        <v>602</v>
      </c>
      <c r="BF20" s="436">
        <f t="shared" si="6"/>
        <v>85</v>
      </c>
      <c r="BG20" s="435">
        <f t="shared" si="12"/>
        <v>129</v>
      </c>
      <c r="BH20" s="435">
        <f t="shared" si="13"/>
        <v>117</v>
      </c>
      <c r="BI20" s="435">
        <f t="shared" si="14"/>
        <v>81</v>
      </c>
      <c r="BJ20" s="437">
        <f t="shared" si="14"/>
        <v>99</v>
      </c>
      <c r="BL20" s="436">
        <f t="shared" si="11"/>
        <v>104</v>
      </c>
      <c r="BM20" s="435">
        <f t="shared" si="15"/>
        <v>138</v>
      </c>
      <c r="BN20" s="435">
        <f t="shared" si="16"/>
        <v>127</v>
      </c>
      <c r="BO20" s="435">
        <f t="shared" si="17"/>
        <v>121</v>
      </c>
      <c r="BP20" s="437">
        <f t="shared" si="17"/>
        <v>87</v>
      </c>
      <c r="BR20" s="1" t="s">
        <v>29</v>
      </c>
      <c r="BS20" s="1">
        <v>534</v>
      </c>
      <c r="BT20" s="1">
        <v>627</v>
      </c>
      <c r="BU20" s="1">
        <v>590</v>
      </c>
      <c r="BV20" s="1">
        <v>650</v>
      </c>
      <c r="BW20" s="1">
        <v>2401</v>
      </c>
    </row>
    <row r="21" spans="1:75" ht="15.75" thickBot="1">
      <c r="A21" s="33" t="s">
        <v>29</v>
      </c>
      <c r="B21" s="395">
        <v>116</v>
      </c>
      <c r="C21">
        <v>117</v>
      </c>
      <c r="D21" s="37">
        <v>112</v>
      </c>
      <c r="E21" s="38">
        <v>87</v>
      </c>
      <c r="F21" s="748">
        <v>109</v>
      </c>
      <c r="G21" s="395">
        <v>25</v>
      </c>
      <c r="H21">
        <v>32</v>
      </c>
      <c r="I21" s="37">
        <v>18</v>
      </c>
      <c r="J21" s="38">
        <v>23</v>
      </c>
      <c r="K21" s="748">
        <v>14</v>
      </c>
      <c r="L21" s="395">
        <v>258</v>
      </c>
      <c r="M21">
        <v>287</v>
      </c>
      <c r="N21" s="37">
        <v>309</v>
      </c>
      <c r="O21" s="38">
        <v>407</v>
      </c>
      <c r="P21" s="748">
        <v>347</v>
      </c>
      <c r="Q21" s="395"/>
      <c r="R21"/>
      <c r="S21" s="37"/>
      <c r="T21" s="38"/>
      <c r="U21" s="748">
        <v>1</v>
      </c>
      <c r="V21" s="395">
        <v>84</v>
      </c>
      <c r="W21">
        <v>130</v>
      </c>
      <c r="X21" s="37">
        <v>126</v>
      </c>
      <c r="Y21" s="38">
        <v>100</v>
      </c>
      <c r="Z21" s="748">
        <v>147</v>
      </c>
      <c r="AA21" s="395"/>
      <c r="AB21"/>
      <c r="AC21" s="40"/>
      <c r="AD21" s="41"/>
      <c r="AE21" s="755">
        <v>0</v>
      </c>
      <c r="AF21" s="395">
        <v>14</v>
      </c>
      <c r="AG21">
        <v>33</v>
      </c>
      <c r="AH21" s="40">
        <v>14</v>
      </c>
      <c r="AI21" s="41">
        <v>20</v>
      </c>
      <c r="AJ21" s="755">
        <v>25</v>
      </c>
      <c r="AK21" s="395">
        <v>0</v>
      </c>
      <c r="AL21">
        <v>0</v>
      </c>
      <c r="AM21" s="40">
        <v>1</v>
      </c>
      <c r="AN21" s="41">
        <v>1</v>
      </c>
      <c r="AO21" s="755">
        <v>0</v>
      </c>
      <c r="AP21" s="395">
        <v>15</v>
      </c>
      <c r="AQ21">
        <v>11</v>
      </c>
      <c r="AR21" s="40">
        <v>9</v>
      </c>
      <c r="AS21" s="41">
        <v>9</v>
      </c>
      <c r="AT21" s="755">
        <v>11</v>
      </c>
      <c r="AU21" s="395">
        <v>22</v>
      </c>
      <c r="AV21">
        <v>17</v>
      </c>
      <c r="AW21" s="40">
        <v>1</v>
      </c>
      <c r="AX21" s="41">
        <v>3</v>
      </c>
      <c r="AY21" s="755">
        <v>10</v>
      </c>
      <c r="AZ21" s="9">
        <f t="shared" si="20"/>
        <v>534</v>
      </c>
      <c r="BA21" s="10">
        <f t="shared" si="21"/>
        <v>627</v>
      </c>
      <c r="BB21" s="10">
        <f t="shared" si="22"/>
        <v>590</v>
      </c>
      <c r="BC21" s="11">
        <f t="shared" si="23"/>
        <v>650</v>
      </c>
      <c r="BD21" s="11">
        <f t="shared" si="23"/>
        <v>664</v>
      </c>
      <c r="BF21" s="715">
        <f t="shared" si="6"/>
        <v>156</v>
      </c>
      <c r="BG21" s="716">
        <f t="shared" si="12"/>
        <v>160</v>
      </c>
      <c r="BH21" s="716">
        <f t="shared" si="13"/>
        <v>139</v>
      </c>
      <c r="BI21" s="716">
        <f t="shared" si="14"/>
        <v>119</v>
      </c>
      <c r="BJ21" s="717">
        <f t="shared" si="14"/>
        <v>134</v>
      </c>
      <c r="BL21" s="715">
        <f t="shared" si="11"/>
        <v>84</v>
      </c>
      <c r="BM21" s="716">
        <f t="shared" si="15"/>
        <v>130</v>
      </c>
      <c r="BN21" s="716">
        <f t="shared" si="16"/>
        <v>126</v>
      </c>
      <c r="BO21" s="716">
        <f t="shared" si="17"/>
        <v>100</v>
      </c>
      <c r="BP21" s="717">
        <f t="shared" si="17"/>
        <v>147</v>
      </c>
      <c r="BR21" s="1" t="s">
        <v>89</v>
      </c>
      <c r="BS21" s="1">
        <v>1831</v>
      </c>
      <c r="BT21" s="1">
        <v>2601</v>
      </c>
      <c r="BU21" s="1">
        <v>2620</v>
      </c>
      <c r="BV21" s="1">
        <v>2834</v>
      </c>
      <c r="BW21" s="1">
        <v>9886</v>
      </c>
    </row>
    <row r="22" spans="1:75" s="1" customFormat="1" ht="15.75" thickBot="1">
      <c r="A22" s="42" t="s">
        <v>90</v>
      </c>
      <c r="B22" s="224">
        <f t="shared" ref="B22:BD22" si="24">SUM(B23:B26)</f>
        <v>3755</v>
      </c>
      <c r="C22" s="224">
        <f t="shared" si="24"/>
        <v>4084</v>
      </c>
      <c r="D22" s="224">
        <f t="shared" si="24"/>
        <v>3948</v>
      </c>
      <c r="E22" s="224">
        <f t="shared" si="24"/>
        <v>3667</v>
      </c>
      <c r="F22" s="224">
        <f t="shared" si="24"/>
        <v>3297</v>
      </c>
      <c r="G22" s="224">
        <f t="shared" si="24"/>
        <v>568</v>
      </c>
      <c r="H22" s="224">
        <f t="shared" si="24"/>
        <v>541</v>
      </c>
      <c r="I22" s="224">
        <f t="shared" si="24"/>
        <v>481</v>
      </c>
      <c r="J22" s="224">
        <f t="shared" si="24"/>
        <v>483</v>
      </c>
      <c r="K22" s="224">
        <f t="shared" si="24"/>
        <v>463</v>
      </c>
      <c r="L22" s="224">
        <f t="shared" si="24"/>
        <v>2989</v>
      </c>
      <c r="M22" s="224">
        <f t="shared" si="24"/>
        <v>3289</v>
      </c>
      <c r="N22" s="224">
        <f t="shared" si="24"/>
        <v>3489</v>
      </c>
      <c r="O22" s="224">
        <f t="shared" si="24"/>
        <v>3358</v>
      </c>
      <c r="P22" s="224">
        <f t="shared" si="24"/>
        <v>3216</v>
      </c>
      <c r="Q22" s="224">
        <f t="shared" si="24"/>
        <v>18</v>
      </c>
      <c r="R22" s="224">
        <f t="shared" si="24"/>
        <v>21</v>
      </c>
      <c r="S22" s="224">
        <f t="shared" si="24"/>
        <v>21</v>
      </c>
      <c r="T22" s="224">
        <f t="shared" si="24"/>
        <v>14</v>
      </c>
      <c r="U22" s="224">
        <f t="shared" si="24"/>
        <v>20</v>
      </c>
      <c r="V22" s="224">
        <f t="shared" si="24"/>
        <v>3284</v>
      </c>
      <c r="W22" s="224">
        <f t="shared" si="24"/>
        <v>3670</v>
      </c>
      <c r="X22" s="224">
        <f t="shared" si="24"/>
        <v>3928</v>
      </c>
      <c r="Y22" s="224">
        <f t="shared" si="24"/>
        <v>3872</v>
      </c>
      <c r="Z22" s="224">
        <f t="shared" si="24"/>
        <v>3815</v>
      </c>
      <c r="AA22" s="224">
        <f t="shared" si="24"/>
        <v>54</v>
      </c>
      <c r="AB22" s="224">
        <f t="shared" si="24"/>
        <v>72</v>
      </c>
      <c r="AC22" s="224">
        <f t="shared" si="24"/>
        <v>104</v>
      </c>
      <c r="AD22" s="224">
        <f t="shared" si="24"/>
        <v>88</v>
      </c>
      <c r="AE22" s="224">
        <f t="shared" si="24"/>
        <v>88</v>
      </c>
      <c r="AF22" s="224">
        <f t="shared" si="24"/>
        <v>269</v>
      </c>
      <c r="AG22" s="224">
        <f t="shared" si="24"/>
        <v>298</v>
      </c>
      <c r="AH22" s="224">
        <f t="shared" si="24"/>
        <v>324</v>
      </c>
      <c r="AI22" s="224">
        <f t="shared" si="24"/>
        <v>301</v>
      </c>
      <c r="AJ22" s="224">
        <f t="shared" si="24"/>
        <v>270</v>
      </c>
      <c r="AK22" s="224">
        <f t="shared" si="24"/>
        <v>58</v>
      </c>
      <c r="AL22" s="224">
        <f t="shared" si="24"/>
        <v>62</v>
      </c>
      <c r="AM22" s="224">
        <f t="shared" si="24"/>
        <v>76</v>
      </c>
      <c r="AN22" s="224">
        <f t="shared" si="24"/>
        <v>80</v>
      </c>
      <c r="AO22" s="224">
        <f t="shared" si="24"/>
        <v>78</v>
      </c>
      <c r="AP22" s="224">
        <f t="shared" si="24"/>
        <v>72</v>
      </c>
      <c r="AQ22" s="224">
        <f t="shared" si="24"/>
        <v>67</v>
      </c>
      <c r="AR22" s="224">
        <f t="shared" si="24"/>
        <v>71</v>
      </c>
      <c r="AS22" s="224">
        <f t="shared" si="24"/>
        <v>69</v>
      </c>
      <c r="AT22" s="224">
        <f t="shared" si="24"/>
        <v>60</v>
      </c>
      <c r="AU22" s="224">
        <f t="shared" si="24"/>
        <v>2797</v>
      </c>
      <c r="AV22" s="224">
        <f t="shared" si="24"/>
        <v>3183</v>
      </c>
      <c r="AW22" s="224">
        <f t="shared" si="24"/>
        <v>3166</v>
      </c>
      <c r="AX22" s="224">
        <f t="shared" si="24"/>
        <v>3511</v>
      </c>
      <c r="AY22" s="224">
        <f t="shared" si="24"/>
        <v>3041</v>
      </c>
      <c r="AZ22" s="224">
        <f t="shared" si="24"/>
        <v>13864</v>
      </c>
      <c r="BA22" s="224">
        <f t="shared" si="24"/>
        <v>15287</v>
      </c>
      <c r="BB22" s="224">
        <f t="shared" si="24"/>
        <v>15608</v>
      </c>
      <c r="BC22" s="224">
        <f t="shared" si="24"/>
        <v>15443</v>
      </c>
      <c r="BD22" s="224">
        <f t="shared" si="24"/>
        <v>14348</v>
      </c>
      <c r="BF22" s="791">
        <f t="shared" si="6"/>
        <v>4395</v>
      </c>
      <c r="BG22" s="791">
        <f t="shared" si="12"/>
        <v>4692</v>
      </c>
      <c r="BH22" s="791">
        <f t="shared" si="13"/>
        <v>4500</v>
      </c>
      <c r="BI22" s="791">
        <f t="shared" si="14"/>
        <v>4219</v>
      </c>
      <c r="BJ22" s="792">
        <f t="shared" si="14"/>
        <v>3820</v>
      </c>
      <c r="BL22" s="791">
        <f t="shared" si="11"/>
        <v>3338</v>
      </c>
      <c r="BM22" s="791">
        <f t="shared" si="15"/>
        <v>3742</v>
      </c>
      <c r="BN22" s="791">
        <f t="shared" si="16"/>
        <v>4032</v>
      </c>
      <c r="BO22" s="791">
        <f t="shared" si="17"/>
        <v>3960</v>
      </c>
      <c r="BP22" s="791">
        <f t="shared" si="17"/>
        <v>3903</v>
      </c>
    </row>
    <row r="23" spans="1:75">
      <c r="A23" s="47" t="s">
        <v>31</v>
      </c>
      <c r="B23" s="395">
        <v>205</v>
      </c>
      <c r="C23">
        <v>227</v>
      </c>
      <c r="D23" s="48">
        <v>226</v>
      </c>
      <c r="E23" s="49">
        <v>202</v>
      </c>
      <c r="F23" s="749">
        <v>190</v>
      </c>
      <c r="G23" s="395">
        <v>19</v>
      </c>
      <c r="H23">
        <v>18</v>
      </c>
      <c r="I23" s="48">
        <v>12</v>
      </c>
      <c r="J23" s="49">
        <v>22</v>
      </c>
      <c r="K23" s="749">
        <v>27</v>
      </c>
      <c r="L23" s="395">
        <v>269</v>
      </c>
      <c r="M23">
        <v>326</v>
      </c>
      <c r="N23" s="48">
        <v>368</v>
      </c>
      <c r="O23" s="49">
        <v>369</v>
      </c>
      <c r="P23" s="749">
        <v>318</v>
      </c>
      <c r="Q23" s="805"/>
      <c r="R23"/>
      <c r="S23" s="50"/>
      <c r="T23" s="51"/>
      <c r="U23" s="754">
        <v>0</v>
      </c>
      <c r="V23" s="395">
        <v>262</v>
      </c>
      <c r="W23">
        <v>332</v>
      </c>
      <c r="X23" s="48">
        <v>402</v>
      </c>
      <c r="Y23" s="49">
        <v>417</v>
      </c>
      <c r="Z23" s="749">
        <v>390</v>
      </c>
      <c r="AA23" s="395">
        <v>3</v>
      </c>
      <c r="AB23">
        <v>2</v>
      </c>
      <c r="AC23" s="50">
        <v>1</v>
      </c>
      <c r="AD23" s="51">
        <v>2</v>
      </c>
      <c r="AE23" s="754">
        <v>3</v>
      </c>
      <c r="AF23" s="395">
        <v>11</v>
      </c>
      <c r="AG23">
        <v>11</v>
      </c>
      <c r="AH23" s="50">
        <v>19</v>
      </c>
      <c r="AI23" s="51">
        <v>23</v>
      </c>
      <c r="AJ23" s="754">
        <v>28</v>
      </c>
      <c r="AK23" s="395">
        <v>2</v>
      </c>
      <c r="AL23">
        <v>1</v>
      </c>
      <c r="AM23" s="50">
        <v>0</v>
      </c>
      <c r="AN23" s="51">
        <v>1</v>
      </c>
      <c r="AO23" s="754">
        <v>2</v>
      </c>
      <c r="AP23" s="395">
        <v>7</v>
      </c>
      <c r="AQ23">
        <v>6</v>
      </c>
      <c r="AR23" s="50">
        <v>4</v>
      </c>
      <c r="AS23" s="51">
        <v>4</v>
      </c>
      <c r="AT23" s="754">
        <v>1</v>
      </c>
      <c r="AU23" s="395">
        <v>180</v>
      </c>
      <c r="AV23">
        <v>220</v>
      </c>
      <c r="AW23" s="50">
        <v>122</v>
      </c>
      <c r="AX23" s="51">
        <v>142</v>
      </c>
      <c r="AY23" s="754">
        <v>153</v>
      </c>
      <c r="AZ23" s="52">
        <f t="shared" ref="AZ23:BD26" si="25">B23+G23+L23+Q23+V23+AA23+AF23+AK23+AP23+AU23</f>
        <v>958</v>
      </c>
      <c r="BA23" s="53">
        <f t="shared" si="25"/>
        <v>1143</v>
      </c>
      <c r="BB23" s="53">
        <f t="shared" si="25"/>
        <v>1154</v>
      </c>
      <c r="BC23" s="54">
        <f t="shared" si="25"/>
        <v>1182</v>
      </c>
      <c r="BD23" s="54">
        <f t="shared" si="25"/>
        <v>1112</v>
      </c>
      <c r="BF23" s="707">
        <f t="shared" si="6"/>
        <v>231</v>
      </c>
      <c r="BG23" s="708">
        <f t="shared" si="12"/>
        <v>251</v>
      </c>
      <c r="BH23" s="708">
        <f t="shared" si="13"/>
        <v>242</v>
      </c>
      <c r="BI23" s="708">
        <f t="shared" si="14"/>
        <v>228</v>
      </c>
      <c r="BJ23" s="709">
        <f t="shared" si="14"/>
        <v>218</v>
      </c>
      <c r="BL23" s="707">
        <f t="shared" si="11"/>
        <v>265</v>
      </c>
      <c r="BM23" s="708">
        <f t="shared" si="15"/>
        <v>334</v>
      </c>
      <c r="BN23" s="708">
        <f t="shared" si="16"/>
        <v>403</v>
      </c>
      <c r="BO23" s="708">
        <f t="shared" si="17"/>
        <v>419</v>
      </c>
      <c r="BP23" s="709">
        <f t="shared" si="17"/>
        <v>393</v>
      </c>
      <c r="BR23" s="1" t="s">
        <v>32</v>
      </c>
      <c r="BS23" s="1">
        <v>3863</v>
      </c>
      <c r="BT23" s="1">
        <v>4286</v>
      </c>
      <c r="BU23" s="1">
        <v>4489</v>
      </c>
      <c r="BV23" s="1">
        <v>4394</v>
      </c>
      <c r="BW23" s="1">
        <v>17032</v>
      </c>
    </row>
    <row r="24" spans="1:75">
      <c r="A24" s="21" t="s">
        <v>32</v>
      </c>
      <c r="B24" s="395">
        <v>737</v>
      </c>
      <c r="C24">
        <v>775</v>
      </c>
      <c r="D24" s="22">
        <v>710</v>
      </c>
      <c r="E24" s="23">
        <v>675</v>
      </c>
      <c r="F24" s="747">
        <v>604</v>
      </c>
      <c r="G24" s="395">
        <v>108</v>
      </c>
      <c r="H24">
        <v>126</v>
      </c>
      <c r="I24" s="22">
        <v>111</v>
      </c>
      <c r="J24" s="23">
        <v>136</v>
      </c>
      <c r="K24" s="747">
        <v>109</v>
      </c>
      <c r="L24" s="395">
        <v>668</v>
      </c>
      <c r="M24">
        <v>739</v>
      </c>
      <c r="N24" s="22">
        <v>862</v>
      </c>
      <c r="O24" s="23">
        <v>839</v>
      </c>
      <c r="P24" s="747">
        <v>830</v>
      </c>
      <c r="Q24" s="395">
        <v>6</v>
      </c>
      <c r="R24">
        <v>9</v>
      </c>
      <c r="S24" s="22">
        <v>7</v>
      </c>
      <c r="T24" s="23">
        <v>3</v>
      </c>
      <c r="U24" s="747">
        <v>6</v>
      </c>
      <c r="V24" s="395">
        <v>1326</v>
      </c>
      <c r="W24">
        <v>1586</v>
      </c>
      <c r="X24" s="22">
        <v>1687</v>
      </c>
      <c r="Y24" s="23">
        <v>1654</v>
      </c>
      <c r="Z24" s="747">
        <v>1690</v>
      </c>
      <c r="AA24" s="395">
        <v>14</v>
      </c>
      <c r="AB24">
        <v>27</v>
      </c>
      <c r="AC24" s="25">
        <v>24</v>
      </c>
      <c r="AD24" s="26">
        <v>24</v>
      </c>
      <c r="AE24" s="753">
        <v>42</v>
      </c>
      <c r="AF24" s="395">
        <v>91</v>
      </c>
      <c r="AG24">
        <v>110</v>
      </c>
      <c r="AH24" s="25">
        <v>135</v>
      </c>
      <c r="AI24" s="26">
        <v>105</v>
      </c>
      <c r="AJ24" s="753">
        <v>104</v>
      </c>
      <c r="AK24" s="395">
        <v>13</v>
      </c>
      <c r="AL24">
        <v>12</v>
      </c>
      <c r="AM24" s="25">
        <v>31</v>
      </c>
      <c r="AN24" s="26">
        <v>24</v>
      </c>
      <c r="AO24" s="753">
        <v>16</v>
      </c>
      <c r="AP24" s="395">
        <v>39</v>
      </c>
      <c r="AQ24">
        <v>33</v>
      </c>
      <c r="AR24" s="25">
        <v>38</v>
      </c>
      <c r="AS24" s="26">
        <v>42</v>
      </c>
      <c r="AT24" s="753">
        <v>33</v>
      </c>
      <c r="AU24" s="395">
        <v>861</v>
      </c>
      <c r="AV24">
        <v>869</v>
      </c>
      <c r="AW24" s="25">
        <v>884</v>
      </c>
      <c r="AX24" s="26">
        <v>892</v>
      </c>
      <c r="AY24" s="753">
        <v>724</v>
      </c>
      <c r="AZ24" s="27">
        <f t="shared" si="25"/>
        <v>3863</v>
      </c>
      <c r="BA24" s="28">
        <f t="shared" si="25"/>
        <v>4286</v>
      </c>
      <c r="BB24" s="28">
        <f t="shared" si="25"/>
        <v>4489</v>
      </c>
      <c r="BC24" s="29">
        <f t="shared" si="25"/>
        <v>4394</v>
      </c>
      <c r="BD24" s="29">
        <f t="shared" si="25"/>
        <v>4158</v>
      </c>
      <c r="BF24" s="436">
        <f t="shared" si="6"/>
        <v>884</v>
      </c>
      <c r="BG24" s="435">
        <f t="shared" si="12"/>
        <v>934</v>
      </c>
      <c r="BH24" s="435">
        <f t="shared" si="13"/>
        <v>859</v>
      </c>
      <c r="BI24" s="435">
        <f t="shared" si="14"/>
        <v>853</v>
      </c>
      <c r="BJ24" s="437">
        <f t="shared" si="14"/>
        <v>746</v>
      </c>
      <c r="BL24" s="436">
        <f t="shared" si="11"/>
        <v>1340</v>
      </c>
      <c r="BM24" s="435">
        <f t="shared" si="15"/>
        <v>1613</v>
      </c>
      <c r="BN24" s="435">
        <f t="shared" si="16"/>
        <v>1711</v>
      </c>
      <c r="BO24" s="435">
        <f t="shared" si="17"/>
        <v>1678</v>
      </c>
      <c r="BP24" s="437">
        <f t="shared" si="17"/>
        <v>1732</v>
      </c>
      <c r="BR24" s="1" t="s">
        <v>31</v>
      </c>
      <c r="BS24" s="1">
        <v>958</v>
      </c>
      <c r="BT24" s="1">
        <v>1143</v>
      </c>
      <c r="BU24" s="1">
        <v>1154</v>
      </c>
      <c r="BV24" s="1">
        <v>1182</v>
      </c>
      <c r="BW24" s="1">
        <v>4437</v>
      </c>
    </row>
    <row r="25" spans="1:75">
      <c r="A25" s="21" t="s">
        <v>33</v>
      </c>
      <c r="B25" s="395">
        <v>892</v>
      </c>
      <c r="C25">
        <v>1172</v>
      </c>
      <c r="D25" s="22">
        <v>1071</v>
      </c>
      <c r="E25" s="23">
        <v>961</v>
      </c>
      <c r="F25" s="747">
        <v>799</v>
      </c>
      <c r="G25" s="395">
        <v>129</v>
      </c>
      <c r="H25">
        <v>120</v>
      </c>
      <c r="I25" s="22">
        <v>83</v>
      </c>
      <c r="J25" s="23">
        <v>87</v>
      </c>
      <c r="K25" s="747">
        <v>84</v>
      </c>
      <c r="L25" s="395">
        <v>562</v>
      </c>
      <c r="M25">
        <v>563</v>
      </c>
      <c r="N25" s="22">
        <v>495</v>
      </c>
      <c r="O25" s="23">
        <v>450</v>
      </c>
      <c r="P25" s="747">
        <v>473</v>
      </c>
      <c r="Q25" s="395">
        <v>2</v>
      </c>
      <c r="R25">
        <v>3</v>
      </c>
      <c r="S25" s="22">
        <v>2</v>
      </c>
      <c r="T25" s="23">
        <v>3</v>
      </c>
      <c r="U25" s="747">
        <v>2</v>
      </c>
      <c r="V25" s="395">
        <v>361</v>
      </c>
      <c r="W25">
        <v>376</v>
      </c>
      <c r="X25" s="22">
        <v>451</v>
      </c>
      <c r="Y25" s="23">
        <v>508</v>
      </c>
      <c r="Z25" s="747">
        <v>437</v>
      </c>
      <c r="AA25" s="395">
        <v>7</v>
      </c>
      <c r="AB25">
        <v>7</v>
      </c>
      <c r="AC25" s="25">
        <v>6</v>
      </c>
      <c r="AD25" s="26">
        <v>11</v>
      </c>
      <c r="AE25" s="753">
        <v>12</v>
      </c>
      <c r="AF25" s="395">
        <v>69</v>
      </c>
      <c r="AG25">
        <v>33</v>
      </c>
      <c r="AH25" s="25">
        <v>53</v>
      </c>
      <c r="AI25" s="26">
        <v>53</v>
      </c>
      <c r="AJ25" s="753">
        <v>41</v>
      </c>
      <c r="AK25" s="395">
        <v>15</v>
      </c>
      <c r="AL25">
        <v>14</v>
      </c>
      <c r="AM25" s="25">
        <v>7</v>
      </c>
      <c r="AN25" s="26">
        <v>19</v>
      </c>
      <c r="AO25" s="753">
        <v>25</v>
      </c>
      <c r="AP25" s="395">
        <v>7</v>
      </c>
      <c r="AQ25">
        <v>10</v>
      </c>
      <c r="AR25" s="25">
        <v>11</v>
      </c>
      <c r="AS25" s="26">
        <v>8</v>
      </c>
      <c r="AT25" s="753">
        <v>8</v>
      </c>
      <c r="AU25" s="395">
        <v>240</v>
      </c>
      <c r="AV25">
        <v>531</v>
      </c>
      <c r="AW25" s="25">
        <v>525</v>
      </c>
      <c r="AX25" s="26">
        <v>892</v>
      </c>
      <c r="AY25" s="753">
        <v>738</v>
      </c>
      <c r="AZ25" s="27">
        <f t="shared" si="25"/>
        <v>2284</v>
      </c>
      <c r="BA25" s="28">
        <f t="shared" si="25"/>
        <v>2829</v>
      </c>
      <c r="BB25" s="28">
        <f t="shared" si="25"/>
        <v>2704</v>
      </c>
      <c r="BC25" s="29">
        <f t="shared" si="25"/>
        <v>2992</v>
      </c>
      <c r="BD25" s="29">
        <f t="shared" si="25"/>
        <v>2619</v>
      </c>
      <c r="BF25" s="436">
        <f t="shared" si="6"/>
        <v>1028</v>
      </c>
      <c r="BG25" s="435">
        <f t="shared" si="12"/>
        <v>1302</v>
      </c>
      <c r="BH25" s="435">
        <f t="shared" si="13"/>
        <v>1165</v>
      </c>
      <c r="BI25" s="435">
        <f t="shared" si="14"/>
        <v>1056</v>
      </c>
      <c r="BJ25" s="437">
        <f t="shared" si="14"/>
        <v>891</v>
      </c>
      <c r="BL25" s="436">
        <f t="shared" si="11"/>
        <v>368</v>
      </c>
      <c r="BM25" s="435">
        <f t="shared" si="15"/>
        <v>383</v>
      </c>
      <c r="BN25" s="435">
        <f t="shared" si="16"/>
        <v>457</v>
      </c>
      <c r="BO25" s="435">
        <f t="shared" si="17"/>
        <v>519</v>
      </c>
      <c r="BP25" s="437">
        <f t="shared" si="17"/>
        <v>449</v>
      </c>
      <c r="BR25" s="1" t="s">
        <v>33</v>
      </c>
      <c r="BS25" s="1">
        <v>2284</v>
      </c>
      <c r="BT25" s="1">
        <v>2829</v>
      </c>
      <c r="BU25" s="1">
        <v>2704</v>
      </c>
      <c r="BV25" s="1">
        <v>2992</v>
      </c>
      <c r="BW25" s="1">
        <v>10809</v>
      </c>
    </row>
    <row r="26" spans="1:75" ht="15.75" thickBot="1">
      <c r="A26" s="33" t="s">
        <v>34</v>
      </c>
      <c r="B26" s="395">
        <v>1921</v>
      </c>
      <c r="C26">
        <v>1910</v>
      </c>
      <c r="D26" s="37">
        <v>1941</v>
      </c>
      <c r="E26" s="38">
        <v>1829</v>
      </c>
      <c r="F26" s="748">
        <v>1704</v>
      </c>
      <c r="G26" s="395">
        <v>312</v>
      </c>
      <c r="H26">
        <v>277</v>
      </c>
      <c r="I26" s="37">
        <v>275</v>
      </c>
      <c r="J26" s="38">
        <v>238</v>
      </c>
      <c r="K26" s="748">
        <v>243</v>
      </c>
      <c r="L26" s="395">
        <v>1490</v>
      </c>
      <c r="M26">
        <v>1661</v>
      </c>
      <c r="N26" s="37">
        <v>1764</v>
      </c>
      <c r="O26" s="38">
        <v>1700</v>
      </c>
      <c r="P26" s="748">
        <v>1595</v>
      </c>
      <c r="Q26" s="395">
        <v>10</v>
      </c>
      <c r="R26">
        <v>9</v>
      </c>
      <c r="S26" s="37">
        <v>12</v>
      </c>
      <c r="T26" s="38">
        <v>8</v>
      </c>
      <c r="U26" s="748">
        <v>12</v>
      </c>
      <c r="V26" s="395">
        <v>1335</v>
      </c>
      <c r="W26">
        <v>1376</v>
      </c>
      <c r="X26" s="37">
        <v>1388</v>
      </c>
      <c r="Y26" s="38">
        <v>1293</v>
      </c>
      <c r="Z26" s="748">
        <v>1298</v>
      </c>
      <c r="AA26" s="395">
        <v>30</v>
      </c>
      <c r="AB26">
        <v>36</v>
      </c>
      <c r="AC26" s="40">
        <v>73</v>
      </c>
      <c r="AD26" s="41">
        <v>51</v>
      </c>
      <c r="AE26" s="755">
        <v>31</v>
      </c>
      <c r="AF26" s="395">
        <v>98</v>
      </c>
      <c r="AG26">
        <v>144</v>
      </c>
      <c r="AH26" s="40">
        <v>117</v>
      </c>
      <c r="AI26" s="41">
        <v>120</v>
      </c>
      <c r="AJ26" s="755">
        <v>97</v>
      </c>
      <c r="AK26" s="395">
        <v>28</v>
      </c>
      <c r="AL26">
        <v>35</v>
      </c>
      <c r="AM26" s="40">
        <v>38</v>
      </c>
      <c r="AN26" s="41">
        <v>36</v>
      </c>
      <c r="AO26" s="755">
        <v>35</v>
      </c>
      <c r="AP26" s="395">
        <v>19</v>
      </c>
      <c r="AQ26">
        <v>18</v>
      </c>
      <c r="AR26" s="40">
        <v>18</v>
      </c>
      <c r="AS26" s="41">
        <v>15</v>
      </c>
      <c r="AT26" s="755">
        <v>18</v>
      </c>
      <c r="AU26" s="395">
        <v>1516</v>
      </c>
      <c r="AV26">
        <v>1563</v>
      </c>
      <c r="AW26" s="40">
        <v>1635</v>
      </c>
      <c r="AX26" s="41">
        <v>1585</v>
      </c>
      <c r="AY26" s="755">
        <v>1426</v>
      </c>
      <c r="AZ26" s="9">
        <f t="shared" si="25"/>
        <v>6759</v>
      </c>
      <c r="BA26" s="10">
        <f t="shared" si="25"/>
        <v>7029</v>
      </c>
      <c r="BB26" s="10">
        <f t="shared" si="25"/>
        <v>7261</v>
      </c>
      <c r="BC26" s="11">
        <f t="shared" si="25"/>
        <v>6875</v>
      </c>
      <c r="BD26" s="11">
        <f t="shared" si="25"/>
        <v>6459</v>
      </c>
      <c r="BF26" s="715">
        <f t="shared" si="6"/>
        <v>2252</v>
      </c>
      <c r="BG26" s="716">
        <f t="shared" si="12"/>
        <v>2205</v>
      </c>
      <c r="BH26" s="716">
        <f t="shared" si="13"/>
        <v>2234</v>
      </c>
      <c r="BI26" s="716">
        <f t="shared" si="14"/>
        <v>2082</v>
      </c>
      <c r="BJ26" s="717">
        <f t="shared" si="14"/>
        <v>1965</v>
      </c>
      <c r="BL26" s="715">
        <f t="shared" si="11"/>
        <v>1365</v>
      </c>
      <c r="BM26" s="716">
        <f t="shared" si="15"/>
        <v>1412</v>
      </c>
      <c r="BN26" s="716">
        <f t="shared" si="16"/>
        <v>1461</v>
      </c>
      <c r="BO26" s="716">
        <f t="shared" si="17"/>
        <v>1344</v>
      </c>
      <c r="BP26" s="717">
        <f t="shared" si="17"/>
        <v>1329</v>
      </c>
      <c r="BR26" s="1" t="s">
        <v>34</v>
      </c>
      <c r="BS26" s="1">
        <v>6759</v>
      </c>
      <c r="BT26" s="1">
        <v>7029</v>
      </c>
      <c r="BU26" s="1">
        <v>7261</v>
      </c>
      <c r="BV26" s="1">
        <v>6875</v>
      </c>
      <c r="BW26" s="1">
        <v>27924</v>
      </c>
    </row>
    <row r="27" spans="1:75" s="1" customFormat="1" ht="15.75" thickBot="1">
      <c r="A27" s="42" t="s">
        <v>91</v>
      </c>
      <c r="B27" s="224">
        <f t="shared" ref="B27:BD27" si="26">SUM(B28:B30)</f>
        <v>1453</v>
      </c>
      <c r="C27" s="224">
        <f t="shared" si="26"/>
        <v>1483</v>
      </c>
      <c r="D27" s="224">
        <f t="shared" si="26"/>
        <v>1375</v>
      </c>
      <c r="E27" s="224">
        <f t="shared" si="26"/>
        <v>1313</v>
      </c>
      <c r="F27" s="224">
        <f t="shared" si="26"/>
        <v>1212</v>
      </c>
      <c r="G27" s="224">
        <f t="shared" si="26"/>
        <v>338</v>
      </c>
      <c r="H27" s="224">
        <f t="shared" si="26"/>
        <v>315</v>
      </c>
      <c r="I27" s="224">
        <f t="shared" si="26"/>
        <v>312</v>
      </c>
      <c r="J27" s="224">
        <f t="shared" si="26"/>
        <v>323</v>
      </c>
      <c r="K27" s="224">
        <f t="shared" si="26"/>
        <v>274</v>
      </c>
      <c r="L27" s="224">
        <f t="shared" si="26"/>
        <v>1550</v>
      </c>
      <c r="M27" s="224">
        <f t="shared" si="26"/>
        <v>1704</v>
      </c>
      <c r="N27" s="224">
        <f t="shared" si="26"/>
        <v>1765</v>
      </c>
      <c r="O27" s="224">
        <f t="shared" si="26"/>
        <v>1905</v>
      </c>
      <c r="P27" s="224">
        <f t="shared" si="26"/>
        <v>1641</v>
      </c>
      <c r="Q27" s="224">
        <f t="shared" si="26"/>
        <v>5</v>
      </c>
      <c r="R27" s="224">
        <f t="shared" si="26"/>
        <v>16</v>
      </c>
      <c r="S27" s="224">
        <f t="shared" si="26"/>
        <v>12</v>
      </c>
      <c r="T27" s="224">
        <f t="shared" si="26"/>
        <v>26</v>
      </c>
      <c r="U27" s="224">
        <f t="shared" si="26"/>
        <v>8</v>
      </c>
      <c r="V27" s="224">
        <f t="shared" si="26"/>
        <v>1672</v>
      </c>
      <c r="W27" s="224">
        <f t="shared" si="26"/>
        <v>1909</v>
      </c>
      <c r="X27" s="224">
        <f t="shared" si="26"/>
        <v>1994</v>
      </c>
      <c r="Y27" s="224">
        <f t="shared" si="26"/>
        <v>2122</v>
      </c>
      <c r="Z27" s="224">
        <f t="shared" si="26"/>
        <v>2072</v>
      </c>
      <c r="AA27" s="224">
        <f t="shared" si="26"/>
        <v>72</v>
      </c>
      <c r="AB27" s="224">
        <f t="shared" si="26"/>
        <v>74</v>
      </c>
      <c r="AC27" s="224">
        <f t="shared" si="26"/>
        <v>79</v>
      </c>
      <c r="AD27" s="224">
        <f t="shared" si="26"/>
        <v>85</v>
      </c>
      <c r="AE27" s="224">
        <f t="shared" si="26"/>
        <v>63</v>
      </c>
      <c r="AF27" s="224">
        <f t="shared" si="26"/>
        <v>174</v>
      </c>
      <c r="AG27" s="224">
        <f t="shared" si="26"/>
        <v>135</v>
      </c>
      <c r="AH27" s="224">
        <f t="shared" si="26"/>
        <v>202</v>
      </c>
      <c r="AI27" s="224">
        <f t="shared" si="26"/>
        <v>219</v>
      </c>
      <c r="AJ27" s="224">
        <f t="shared" si="26"/>
        <v>207</v>
      </c>
      <c r="AK27" s="224">
        <f t="shared" si="26"/>
        <v>48</v>
      </c>
      <c r="AL27" s="224">
        <f t="shared" si="26"/>
        <v>20</v>
      </c>
      <c r="AM27" s="224">
        <f t="shared" si="26"/>
        <v>44</v>
      </c>
      <c r="AN27" s="224">
        <f t="shared" si="26"/>
        <v>42</v>
      </c>
      <c r="AO27" s="224">
        <f t="shared" si="26"/>
        <v>37</v>
      </c>
      <c r="AP27" s="224">
        <f t="shared" si="26"/>
        <v>32</v>
      </c>
      <c r="AQ27" s="224">
        <f t="shared" si="26"/>
        <v>27</v>
      </c>
      <c r="AR27" s="224">
        <f t="shared" si="26"/>
        <v>25</v>
      </c>
      <c r="AS27" s="224">
        <f t="shared" si="26"/>
        <v>35</v>
      </c>
      <c r="AT27" s="224">
        <f t="shared" si="26"/>
        <v>36</v>
      </c>
      <c r="AU27" s="224">
        <f t="shared" si="26"/>
        <v>1526</v>
      </c>
      <c r="AV27" s="224">
        <f t="shared" si="26"/>
        <v>1721</v>
      </c>
      <c r="AW27" s="224">
        <f t="shared" si="26"/>
        <v>1515</v>
      </c>
      <c r="AX27" s="224">
        <f t="shared" si="26"/>
        <v>1464</v>
      </c>
      <c r="AY27" s="224">
        <f t="shared" si="26"/>
        <v>1220</v>
      </c>
      <c r="AZ27" s="224">
        <f t="shared" si="26"/>
        <v>6870</v>
      </c>
      <c r="BA27" s="224">
        <f t="shared" si="26"/>
        <v>7404</v>
      </c>
      <c r="BB27" s="224">
        <f t="shared" si="26"/>
        <v>7323</v>
      </c>
      <c r="BC27" s="224">
        <f t="shared" si="26"/>
        <v>7534</v>
      </c>
      <c r="BD27" s="224">
        <f t="shared" si="26"/>
        <v>6770</v>
      </c>
      <c r="BF27" s="791">
        <f t="shared" si="6"/>
        <v>1823</v>
      </c>
      <c r="BG27" s="791">
        <f t="shared" si="12"/>
        <v>1825</v>
      </c>
      <c r="BH27" s="791">
        <f t="shared" si="13"/>
        <v>1712</v>
      </c>
      <c r="BI27" s="791">
        <f t="shared" si="14"/>
        <v>1671</v>
      </c>
      <c r="BJ27" s="792">
        <f t="shared" si="14"/>
        <v>1522</v>
      </c>
      <c r="BL27" s="791">
        <f t="shared" si="11"/>
        <v>1744</v>
      </c>
      <c r="BM27" s="791">
        <f t="shared" si="15"/>
        <v>1983</v>
      </c>
      <c r="BN27" s="791">
        <f t="shared" si="16"/>
        <v>2073</v>
      </c>
      <c r="BO27" s="791">
        <f t="shared" si="17"/>
        <v>2207</v>
      </c>
      <c r="BP27" s="791">
        <f t="shared" si="17"/>
        <v>2135</v>
      </c>
    </row>
    <row r="28" spans="1:75">
      <c r="A28" s="47" t="s">
        <v>36</v>
      </c>
      <c r="B28" s="395">
        <v>690</v>
      </c>
      <c r="C28">
        <v>706</v>
      </c>
      <c r="D28" s="48">
        <v>658</v>
      </c>
      <c r="E28" s="49">
        <v>637</v>
      </c>
      <c r="F28" s="749">
        <v>583</v>
      </c>
      <c r="G28" s="395">
        <v>154</v>
      </c>
      <c r="H28">
        <v>142</v>
      </c>
      <c r="I28" s="48">
        <v>128</v>
      </c>
      <c r="J28" s="49">
        <v>135</v>
      </c>
      <c r="K28" s="749">
        <v>123</v>
      </c>
      <c r="L28" s="395">
        <v>652</v>
      </c>
      <c r="M28">
        <v>773</v>
      </c>
      <c r="N28" s="48">
        <v>766</v>
      </c>
      <c r="O28" s="49">
        <v>879</v>
      </c>
      <c r="P28" s="749">
        <v>721</v>
      </c>
      <c r="Q28" s="395">
        <v>2</v>
      </c>
      <c r="R28">
        <v>9</v>
      </c>
      <c r="S28" s="48">
        <v>7</v>
      </c>
      <c r="T28" s="49">
        <v>15</v>
      </c>
      <c r="U28" s="749">
        <v>3</v>
      </c>
      <c r="V28" s="395">
        <v>856</v>
      </c>
      <c r="W28">
        <v>901</v>
      </c>
      <c r="X28" s="48">
        <v>872</v>
      </c>
      <c r="Y28" s="49">
        <v>989</v>
      </c>
      <c r="Z28" s="749">
        <v>957</v>
      </c>
      <c r="AA28" s="395">
        <v>22</v>
      </c>
      <c r="AB28">
        <v>34</v>
      </c>
      <c r="AC28" s="50">
        <v>31</v>
      </c>
      <c r="AD28" s="51">
        <v>37</v>
      </c>
      <c r="AE28" s="754">
        <v>29</v>
      </c>
      <c r="AF28" s="395">
        <v>77</v>
      </c>
      <c r="AG28">
        <v>59</v>
      </c>
      <c r="AH28" s="50">
        <v>85</v>
      </c>
      <c r="AI28" s="51">
        <v>96</v>
      </c>
      <c r="AJ28" s="754">
        <v>95</v>
      </c>
      <c r="AK28" s="395">
        <v>28</v>
      </c>
      <c r="AL28">
        <v>13</v>
      </c>
      <c r="AM28" s="50">
        <v>6</v>
      </c>
      <c r="AN28" s="51">
        <v>22</v>
      </c>
      <c r="AO28" s="754">
        <v>12</v>
      </c>
      <c r="AP28" s="395">
        <v>19</v>
      </c>
      <c r="AQ28">
        <v>11</v>
      </c>
      <c r="AR28" s="50">
        <v>9</v>
      </c>
      <c r="AS28" s="51">
        <v>15</v>
      </c>
      <c r="AT28" s="754">
        <v>12</v>
      </c>
      <c r="AU28" s="395">
        <v>579</v>
      </c>
      <c r="AV28">
        <v>740</v>
      </c>
      <c r="AW28" s="50">
        <v>751</v>
      </c>
      <c r="AX28" s="51">
        <v>759</v>
      </c>
      <c r="AY28" s="754">
        <v>581</v>
      </c>
      <c r="AZ28" s="52">
        <f t="shared" ref="AZ28:BD30" si="27">B28+G28+L28+Q28+V28+AA28+AF28+AK28+AP28+AU28</f>
        <v>3079</v>
      </c>
      <c r="BA28" s="53">
        <f t="shared" si="27"/>
        <v>3388</v>
      </c>
      <c r="BB28" s="53">
        <f t="shared" si="27"/>
        <v>3313</v>
      </c>
      <c r="BC28" s="54">
        <f t="shared" si="27"/>
        <v>3584</v>
      </c>
      <c r="BD28" s="54">
        <f t="shared" si="27"/>
        <v>3116</v>
      </c>
      <c r="BF28" s="707">
        <f t="shared" si="6"/>
        <v>863</v>
      </c>
      <c r="BG28" s="708">
        <f t="shared" si="12"/>
        <v>859</v>
      </c>
      <c r="BH28" s="708">
        <f t="shared" si="13"/>
        <v>795</v>
      </c>
      <c r="BI28" s="708">
        <f t="shared" si="14"/>
        <v>787</v>
      </c>
      <c r="BJ28" s="709">
        <f t="shared" si="14"/>
        <v>718</v>
      </c>
      <c r="BL28" s="707">
        <f t="shared" si="11"/>
        <v>878</v>
      </c>
      <c r="BM28" s="708">
        <f t="shared" si="15"/>
        <v>935</v>
      </c>
      <c r="BN28" s="708">
        <f t="shared" si="16"/>
        <v>903</v>
      </c>
      <c r="BO28" s="708">
        <f t="shared" si="17"/>
        <v>1026</v>
      </c>
      <c r="BP28" s="709">
        <f t="shared" si="17"/>
        <v>986</v>
      </c>
      <c r="BR28" s="1" t="s">
        <v>36</v>
      </c>
      <c r="BS28" s="1">
        <v>3079</v>
      </c>
      <c r="BT28" s="1">
        <v>3388</v>
      </c>
      <c r="BU28" s="1">
        <v>3313</v>
      </c>
      <c r="BV28" s="1">
        <v>3584</v>
      </c>
      <c r="BW28" s="1">
        <v>13364</v>
      </c>
    </row>
    <row r="29" spans="1:75">
      <c r="A29" s="21" t="s">
        <v>37</v>
      </c>
      <c r="B29" s="395">
        <v>422</v>
      </c>
      <c r="C29">
        <v>450</v>
      </c>
      <c r="D29" s="22">
        <v>404</v>
      </c>
      <c r="E29" s="23">
        <v>371</v>
      </c>
      <c r="F29" s="747">
        <v>382</v>
      </c>
      <c r="G29" s="395">
        <v>64</v>
      </c>
      <c r="H29">
        <v>57</v>
      </c>
      <c r="I29" s="22">
        <v>83</v>
      </c>
      <c r="J29" s="23">
        <v>77</v>
      </c>
      <c r="K29" s="747">
        <v>70</v>
      </c>
      <c r="L29" s="395">
        <v>338</v>
      </c>
      <c r="M29">
        <v>375</v>
      </c>
      <c r="N29" s="22">
        <v>389</v>
      </c>
      <c r="O29" s="23">
        <v>436</v>
      </c>
      <c r="P29" s="747">
        <v>396</v>
      </c>
      <c r="Q29" s="395">
        <v>2</v>
      </c>
      <c r="R29">
        <v>2</v>
      </c>
      <c r="S29" s="22">
        <v>1</v>
      </c>
      <c r="T29" s="23">
        <v>1</v>
      </c>
      <c r="U29" s="747">
        <v>2</v>
      </c>
      <c r="V29" s="395">
        <v>401</v>
      </c>
      <c r="W29">
        <v>471</v>
      </c>
      <c r="X29" s="22">
        <v>486</v>
      </c>
      <c r="Y29" s="23">
        <v>552</v>
      </c>
      <c r="Z29" s="747">
        <v>559</v>
      </c>
      <c r="AA29" s="395">
        <v>31</v>
      </c>
      <c r="AB29">
        <v>19</v>
      </c>
      <c r="AC29" s="25">
        <v>25</v>
      </c>
      <c r="AD29" s="26">
        <v>26</v>
      </c>
      <c r="AE29" s="753">
        <v>22</v>
      </c>
      <c r="AF29" s="395">
        <v>42</v>
      </c>
      <c r="AG29">
        <v>38</v>
      </c>
      <c r="AH29" s="25">
        <v>65</v>
      </c>
      <c r="AI29" s="26">
        <v>60</v>
      </c>
      <c r="AJ29" s="753">
        <v>57</v>
      </c>
      <c r="AK29" s="395">
        <v>10</v>
      </c>
      <c r="AL29">
        <v>6</v>
      </c>
      <c r="AM29" s="25">
        <v>4</v>
      </c>
      <c r="AN29" s="26">
        <v>16</v>
      </c>
      <c r="AO29" s="753">
        <v>14</v>
      </c>
      <c r="AP29" s="395">
        <v>10</v>
      </c>
      <c r="AQ29">
        <v>15</v>
      </c>
      <c r="AR29" s="25">
        <v>14</v>
      </c>
      <c r="AS29" s="26">
        <v>16</v>
      </c>
      <c r="AT29" s="753">
        <v>20</v>
      </c>
      <c r="AU29" s="395">
        <v>659</v>
      </c>
      <c r="AV29">
        <v>748</v>
      </c>
      <c r="AW29" s="25">
        <v>564</v>
      </c>
      <c r="AX29" s="26">
        <v>505</v>
      </c>
      <c r="AY29" s="753">
        <v>466</v>
      </c>
      <c r="AZ29" s="27">
        <f t="shared" si="27"/>
        <v>1979</v>
      </c>
      <c r="BA29" s="28">
        <f t="shared" si="27"/>
        <v>2181</v>
      </c>
      <c r="BB29" s="28">
        <f t="shared" si="27"/>
        <v>2035</v>
      </c>
      <c r="BC29" s="29">
        <f t="shared" si="27"/>
        <v>2060</v>
      </c>
      <c r="BD29" s="29">
        <f t="shared" si="27"/>
        <v>1988</v>
      </c>
      <c r="BF29" s="436">
        <f t="shared" si="6"/>
        <v>496</v>
      </c>
      <c r="BG29" s="435">
        <f t="shared" si="12"/>
        <v>522</v>
      </c>
      <c r="BH29" s="435">
        <f t="shared" si="13"/>
        <v>501</v>
      </c>
      <c r="BI29" s="435">
        <f t="shared" si="14"/>
        <v>464</v>
      </c>
      <c r="BJ29" s="437">
        <f t="shared" si="14"/>
        <v>472</v>
      </c>
      <c r="BL29" s="436">
        <f t="shared" si="11"/>
        <v>432</v>
      </c>
      <c r="BM29" s="435">
        <f t="shared" si="15"/>
        <v>490</v>
      </c>
      <c r="BN29" s="435">
        <f t="shared" si="16"/>
        <v>511</v>
      </c>
      <c r="BO29" s="435">
        <f t="shared" si="17"/>
        <v>578</v>
      </c>
      <c r="BP29" s="437">
        <f t="shared" si="17"/>
        <v>581</v>
      </c>
      <c r="BR29" s="1" t="s">
        <v>38</v>
      </c>
      <c r="BS29" s="1">
        <v>1812</v>
      </c>
      <c r="BT29" s="1">
        <v>1835</v>
      </c>
      <c r="BU29" s="1">
        <v>1975</v>
      </c>
      <c r="BV29" s="1">
        <v>1890</v>
      </c>
      <c r="BW29" s="1">
        <v>7512</v>
      </c>
    </row>
    <row r="30" spans="1:75" ht="15.75" thickBot="1">
      <c r="A30" s="33" t="s">
        <v>38</v>
      </c>
      <c r="B30" s="395">
        <v>341</v>
      </c>
      <c r="C30">
        <v>327</v>
      </c>
      <c r="D30" s="37">
        <v>313</v>
      </c>
      <c r="E30" s="38">
        <v>305</v>
      </c>
      <c r="F30" s="748">
        <v>247</v>
      </c>
      <c r="G30" s="395">
        <v>120</v>
      </c>
      <c r="H30">
        <v>116</v>
      </c>
      <c r="I30" s="37">
        <v>101</v>
      </c>
      <c r="J30" s="38">
        <v>111</v>
      </c>
      <c r="K30" s="748">
        <v>81</v>
      </c>
      <c r="L30" s="395">
        <v>560</v>
      </c>
      <c r="M30">
        <v>556</v>
      </c>
      <c r="N30" s="37">
        <v>610</v>
      </c>
      <c r="O30" s="38">
        <v>590</v>
      </c>
      <c r="P30" s="748">
        <v>524</v>
      </c>
      <c r="Q30" s="395">
        <v>1</v>
      </c>
      <c r="R30">
        <v>5</v>
      </c>
      <c r="S30" s="37">
        <v>4</v>
      </c>
      <c r="T30" s="38">
        <v>10</v>
      </c>
      <c r="U30" s="748">
        <v>3</v>
      </c>
      <c r="V30" s="395">
        <v>415</v>
      </c>
      <c r="W30">
        <v>537</v>
      </c>
      <c r="X30" s="37">
        <v>636</v>
      </c>
      <c r="Y30" s="38">
        <v>581</v>
      </c>
      <c r="Z30" s="748">
        <v>556</v>
      </c>
      <c r="AA30" s="395">
        <v>19</v>
      </c>
      <c r="AB30">
        <v>21</v>
      </c>
      <c r="AC30" s="40">
        <v>23</v>
      </c>
      <c r="AD30" s="41">
        <v>22</v>
      </c>
      <c r="AE30" s="755">
        <v>12</v>
      </c>
      <c r="AF30" s="395">
        <v>55</v>
      </c>
      <c r="AG30">
        <v>38</v>
      </c>
      <c r="AH30" s="40">
        <v>52</v>
      </c>
      <c r="AI30" s="41">
        <v>63</v>
      </c>
      <c r="AJ30" s="755">
        <v>55</v>
      </c>
      <c r="AK30" s="395">
        <v>10</v>
      </c>
      <c r="AL30">
        <v>1</v>
      </c>
      <c r="AM30" s="40">
        <v>34</v>
      </c>
      <c r="AN30" s="41">
        <v>4</v>
      </c>
      <c r="AO30" s="755">
        <v>11</v>
      </c>
      <c r="AP30" s="395">
        <v>3</v>
      </c>
      <c r="AQ30">
        <v>1</v>
      </c>
      <c r="AR30" s="40">
        <v>2</v>
      </c>
      <c r="AS30" s="41">
        <v>4</v>
      </c>
      <c r="AT30" s="755">
        <v>4</v>
      </c>
      <c r="AU30" s="395">
        <v>288</v>
      </c>
      <c r="AV30">
        <v>233</v>
      </c>
      <c r="AW30" s="40">
        <v>200</v>
      </c>
      <c r="AX30" s="41">
        <v>200</v>
      </c>
      <c r="AY30" s="755">
        <v>173</v>
      </c>
      <c r="AZ30" s="9">
        <f t="shared" si="27"/>
        <v>1812</v>
      </c>
      <c r="BA30" s="10">
        <f t="shared" si="27"/>
        <v>1835</v>
      </c>
      <c r="BB30" s="10">
        <f t="shared" si="27"/>
        <v>1975</v>
      </c>
      <c r="BC30" s="11">
        <f t="shared" si="27"/>
        <v>1890</v>
      </c>
      <c r="BD30" s="11">
        <f t="shared" si="27"/>
        <v>1666</v>
      </c>
      <c r="BF30" s="715">
        <f t="shared" si="6"/>
        <v>464</v>
      </c>
      <c r="BG30" s="716">
        <f t="shared" si="12"/>
        <v>444</v>
      </c>
      <c r="BH30" s="716">
        <f t="shared" si="13"/>
        <v>416</v>
      </c>
      <c r="BI30" s="716">
        <f t="shared" si="14"/>
        <v>420</v>
      </c>
      <c r="BJ30" s="717">
        <f t="shared" si="14"/>
        <v>332</v>
      </c>
      <c r="BL30" s="715">
        <f t="shared" si="11"/>
        <v>434</v>
      </c>
      <c r="BM30" s="716">
        <f t="shared" si="15"/>
        <v>558</v>
      </c>
      <c r="BN30" s="716">
        <f t="shared" si="16"/>
        <v>659</v>
      </c>
      <c r="BO30" s="716">
        <f t="shared" si="17"/>
        <v>603</v>
      </c>
      <c r="BP30" s="717">
        <f t="shared" si="17"/>
        <v>568</v>
      </c>
      <c r="BR30" s="1" t="s">
        <v>37</v>
      </c>
      <c r="BS30" s="1">
        <v>1979</v>
      </c>
      <c r="BT30" s="1">
        <v>2181</v>
      </c>
      <c r="BU30" s="1">
        <v>2035</v>
      </c>
      <c r="BV30" s="1">
        <v>2060</v>
      </c>
      <c r="BW30" s="1">
        <v>8255</v>
      </c>
    </row>
    <row r="31" spans="1:75" s="1" customFormat="1" ht="15.75" thickBot="1">
      <c r="A31" s="42" t="s">
        <v>92</v>
      </c>
      <c r="B31" s="224">
        <f t="shared" ref="B31:BD31" si="28">SUM(B32:B35)</f>
        <v>681</v>
      </c>
      <c r="C31" s="224">
        <f t="shared" si="28"/>
        <v>781</v>
      </c>
      <c r="D31" s="224">
        <f t="shared" si="28"/>
        <v>693</v>
      </c>
      <c r="E31" s="224">
        <f t="shared" si="28"/>
        <v>650</v>
      </c>
      <c r="F31" s="224">
        <f t="shared" si="28"/>
        <v>683</v>
      </c>
      <c r="G31" s="224">
        <f t="shared" si="28"/>
        <v>216</v>
      </c>
      <c r="H31" s="224">
        <f t="shared" si="28"/>
        <v>179</v>
      </c>
      <c r="I31" s="224">
        <f t="shared" si="28"/>
        <v>226</v>
      </c>
      <c r="J31" s="224">
        <f t="shared" si="28"/>
        <v>222</v>
      </c>
      <c r="K31" s="224">
        <f t="shared" si="28"/>
        <v>188</v>
      </c>
      <c r="L31" s="224">
        <f t="shared" si="28"/>
        <v>1111</v>
      </c>
      <c r="M31" s="224">
        <f t="shared" si="28"/>
        <v>1287</v>
      </c>
      <c r="N31" s="224">
        <f t="shared" si="28"/>
        <v>1193</v>
      </c>
      <c r="O31" s="224">
        <f t="shared" si="28"/>
        <v>1314</v>
      </c>
      <c r="P31" s="224">
        <f t="shared" si="28"/>
        <v>1319</v>
      </c>
      <c r="Q31" s="224">
        <f t="shared" si="28"/>
        <v>4</v>
      </c>
      <c r="R31" s="224">
        <f t="shared" si="28"/>
        <v>7</v>
      </c>
      <c r="S31" s="224">
        <f t="shared" si="28"/>
        <v>5</v>
      </c>
      <c r="T31" s="224">
        <f t="shared" si="28"/>
        <v>4</v>
      </c>
      <c r="U31" s="224">
        <f t="shared" si="28"/>
        <v>4</v>
      </c>
      <c r="V31" s="224">
        <f t="shared" si="28"/>
        <v>986</v>
      </c>
      <c r="W31" s="224">
        <f t="shared" si="28"/>
        <v>1059</v>
      </c>
      <c r="X31" s="224">
        <f t="shared" si="28"/>
        <v>1125</v>
      </c>
      <c r="Y31" s="224">
        <f t="shared" si="28"/>
        <v>1163</v>
      </c>
      <c r="Z31" s="224">
        <f t="shared" si="28"/>
        <v>1224</v>
      </c>
      <c r="AA31" s="224">
        <f t="shared" si="28"/>
        <v>69</v>
      </c>
      <c r="AB31" s="224">
        <f t="shared" si="28"/>
        <v>70</v>
      </c>
      <c r="AC31" s="224">
        <f t="shared" si="28"/>
        <v>89</v>
      </c>
      <c r="AD31" s="224">
        <f t="shared" si="28"/>
        <v>90</v>
      </c>
      <c r="AE31" s="224">
        <f t="shared" si="28"/>
        <v>94</v>
      </c>
      <c r="AF31" s="224">
        <f t="shared" si="28"/>
        <v>137</v>
      </c>
      <c r="AG31" s="224">
        <f t="shared" si="28"/>
        <v>121</v>
      </c>
      <c r="AH31" s="224">
        <f t="shared" si="28"/>
        <v>154</v>
      </c>
      <c r="AI31" s="224">
        <f t="shared" si="28"/>
        <v>143</v>
      </c>
      <c r="AJ31" s="224">
        <f t="shared" si="28"/>
        <v>134</v>
      </c>
      <c r="AK31" s="224">
        <f t="shared" si="28"/>
        <v>15</v>
      </c>
      <c r="AL31" s="224">
        <f t="shared" si="28"/>
        <v>29</v>
      </c>
      <c r="AM31" s="224">
        <f t="shared" si="28"/>
        <v>21</v>
      </c>
      <c r="AN31" s="224">
        <f t="shared" si="28"/>
        <v>9</v>
      </c>
      <c r="AO31" s="224">
        <f t="shared" si="28"/>
        <v>20</v>
      </c>
      <c r="AP31" s="224">
        <f t="shared" si="28"/>
        <v>46</v>
      </c>
      <c r="AQ31" s="224">
        <f t="shared" si="28"/>
        <v>34</v>
      </c>
      <c r="AR31" s="224">
        <f t="shared" si="28"/>
        <v>48</v>
      </c>
      <c r="AS31" s="224">
        <f t="shared" si="28"/>
        <v>36</v>
      </c>
      <c r="AT31" s="224">
        <f t="shared" si="28"/>
        <v>34</v>
      </c>
      <c r="AU31" s="224">
        <f t="shared" si="28"/>
        <v>794</v>
      </c>
      <c r="AV31" s="224">
        <f t="shared" si="28"/>
        <v>873</v>
      </c>
      <c r="AW31" s="224">
        <f t="shared" si="28"/>
        <v>825</v>
      </c>
      <c r="AX31" s="224">
        <f t="shared" si="28"/>
        <v>893</v>
      </c>
      <c r="AY31" s="224">
        <f t="shared" si="28"/>
        <v>844</v>
      </c>
      <c r="AZ31" s="224">
        <f t="shared" si="28"/>
        <v>4059</v>
      </c>
      <c r="BA31" s="224">
        <f t="shared" si="28"/>
        <v>4440</v>
      </c>
      <c r="BB31" s="224">
        <f t="shared" si="28"/>
        <v>4379</v>
      </c>
      <c r="BC31" s="224">
        <f t="shared" si="28"/>
        <v>4524</v>
      </c>
      <c r="BD31" s="224">
        <f t="shared" si="28"/>
        <v>4544</v>
      </c>
      <c r="BF31" s="791">
        <f t="shared" si="6"/>
        <v>943</v>
      </c>
      <c r="BG31" s="791">
        <f t="shared" si="12"/>
        <v>994</v>
      </c>
      <c r="BH31" s="791">
        <f t="shared" si="13"/>
        <v>967</v>
      </c>
      <c r="BI31" s="791">
        <f t="shared" si="14"/>
        <v>908</v>
      </c>
      <c r="BJ31" s="792">
        <f t="shared" si="14"/>
        <v>905</v>
      </c>
      <c r="BL31" s="791">
        <f t="shared" si="11"/>
        <v>1055</v>
      </c>
      <c r="BM31" s="791">
        <f t="shared" si="15"/>
        <v>1129</v>
      </c>
      <c r="BN31" s="791">
        <f t="shared" si="16"/>
        <v>1214</v>
      </c>
      <c r="BO31" s="791">
        <f t="shared" si="17"/>
        <v>1253</v>
      </c>
      <c r="BP31" s="791">
        <f t="shared" si="17"/>
        <v>1318</v>
      </c>
    </row>
    <row r="32" spans="1:75">
      <c r="A32" s="47" t="s">
        <v>40</v>
      </c>
      <c r="B32" s="395">
        <v>182</v>
      </c>
      <c r="C32">
        <v>235</v>
      </c>
      <c r="D32" s="48">
        <v>191</v>
      </c>
      <c r="E32" s="49">
        <v>152</v>
      </c>
      <c r="F32" s="749">
        <v>169</v>
      </c>
      <c r="G32" s="395">
        <v>38</v>
      </c>
      <c r="H32">
        <v>28</v>
      </c>
      <c r="I32" s="48">
        <v>44</v>
      </c>
      <c r="J32" s="49">
        <v>37</v>
      </c>
      <c r="K32" s="749">
        <v>31</v>
      </c>
      <c r="L32" s="395">
        <v>133</v>
      </c>
      <c r="M32">
        <v>148</v>
      </c>
      <c r="N32" s="48">
        <v>131</v>
      </c>
      <c r="O32" s="49">
        <v>129</v>
      </c>
      <c r="P32" s="749">
        <v>130</v>
      </c>
      <c r="Q32" s="395">
        <v>1</v>
      </c>
      <c r="R32">
        <v>1</v>
      </c>
      <c r="S32" s="50">
        <v>3</v>
      </c>
      <c r="T32" s="51">
        <v>0</v>
      </c>
      <c r="U32" s="754">
        <v>0</v>
      </c>
      <c r="V32" s="395">
        <v>193</v>
      </c>
      <c r="W32">
        <v>206</v>
      </c>
      <c r="X32" s="48">
        <v>247</v>
      </c>
      <c r="Y32" s="49">
        <v>207</v>
      </c>
      <c r="Z32" s="749">
        <v>147</v>
      </c>
      <c r="AA32" s="395">
        <v>0</v>
      </c>
      <c r="AB32">
        <v>0</v>
      </c>
      <c r="AC32" s="50">
        <v>1</v>
      </c>
      <c r="AD32" s="51">
        <v>8</v>
      </c>
      <c r="AE32" s="754">
        <v>2</v>
      </c>
      <c r="AF32" s="395">
        <v>4</v>
      </c>
      <c r="AG32">
        <v>5</v>
      </c>
      <c r="AH32" s="50">
        <v>9</v>
      </c>
      <c r="AI32" s="51">
        <v>5</v>
      </c>
      <c r="AJ32" s="754">
        <v>12</v>
      </c>
      <c r="AK32" s="395">
        <v>0</v>
      </c>
      <c r="AL32">
        <v>3</v>
      </c>
      <c r="AM32" s="50">
        <v>3</v>
      </c>
      <c r="AN32" s="51">
        <v>1</v>
      </c>
      <c r="AO32" s="754">
        <v>3</v>
      </c>
      <c r="AP32" s="395">
        <v>8</v>
      </c>
      <c r="AQ32">
        <v>8</v>
      </c>
      <c r="AR32" s="50">
        <v>8</v>
      </c>
      <c r="AS32" s="51">
        <v>2</v>
      </c>
      <c r="AT32" s="754">
        <v>4</v>
      </c>
      <c r="AU32" s="395">
        <v>17</v>
      </c>
      <c r="AV32">
        <v>2</v>
      </c>
      <c r="AW32" s="50">
        <v>4</v>
      </c>
      <c r="AX32" s="51">
        <v>9</v>
      </c>
      <c r="AY32" s="754">
        <v>38</v>
      </c>
      <c r="AZ32" s="52">
        <f t="shared" ref="AZ32:BD35" si="29">B32+G32+L32+Q32+V32+AA32+AF32+AK32+AP32+AU32</f>
        <v>576</v>
      </c>
      <c r="BA32" s="53">
        <f t="shared" si="29"/>
        <v>636</v>
      </c>
      <c r="BB32" s="53">
        <f t="shared" si="29"/>
        <v>641</v>
      </c>
      <c r="BC32" s="54">
        <f t="shared" si="29"/>
        <v>550</v>
      </c>
      <c r="BD32" s="54">
        <f t="shared" si="29"/>
        <v>536</v>
      </c>
      <c r="BF32" s="707">
        <f t="shared" si="6"/>
        <v>228</v>
      </c>
      <c r="BG32" s="708">
        <f t="shared" si="12"/>
        <v>271</v>
      </c>
      <c r="BH32" s="708">
        <f t="shared" si="13"/>
        <v>243</v>
      </c>
      <c r="BI32" s="708">
        <f t="shared" si="14"/>
        <v>191</v>
      </c>
      <c r="BJ32" s="709">
        <f t="shared" si="14"/>
        <v>204</v>
      </c>
      <c r="BL32" s="707">
        <f t="shared" si="11"/>
        <v>193</v>
      </c>
      <c r="BM32" s="708">
        <f t="shared" si="15"/>
        <v>206</v>
      </c>
      <c r="BN32" s="708">
        <f t="shared" si="16"/>
        <v>248</v>
      </c>
      <c r="BO32" s="708">
        <f t="shared" si="17"/>
        <v>215</v>
      </c>
      <c r="BP32" s="709">
        <f t="shared" si="17"/>
        <v>149</v>
      </c>
      <c r="BR32" s="1" t="s">
        <v>43</v>
      </c>
      <c r="BS32" s="1">
        <v>701</v>
      </c>
      <c r="BT32" s="1">
        <v>778</v>
      </c>
      <c r="BU32" s="1">
        <v>845</v>
      </c>
      <c r="BV32" s="1">
        <v>806</v>
      </c>
      <c r="BW32" s="1">
        <v>3130</v>
      </c>
    </row>
    <row r="33" spans="1:75">
      <c r="A33" s="21" t="s">
        <v>41</v>
      </c>
      <c r="B33" s="395">
        <v>249</v>
      </c>
      <c r="C33">
        <v>286</v>
      </c>
      <c r="D33" s="22">
        <v>249</v>
      </c>
      <c r="E33" s="23">
        <v>286</v>
      </c>
      <c r="F33" s="747">
        <v>299</v>
      </c>
      <c r="G33" s="395">
        <v>62</v>
      </c>
      <c r="H33">
        <v>56</v>
      </c>
      <c r="I33" s="22">
        <v>54</v>
      </c>
      <c r="J33" s="23">
        <v>68</v>
      </c>
      <c r="K33" s="747">
        <v>61</v>
      </c>
      <c r="L33" s="395">
        <v>388</v>
      </c>
      <c r="M33">
        <v>492</v>
      </c>
      <c r="N33" s="22">
        <v>428</v>
      </c>
      <c r="O33" s="23">
        <v>503</v>
      </c>
      <c r="P33" s="747">
        <v>502</v>
      </c>
      <c r="Q33" s="395">
        <v>3</v>
      </c>
      <c r="R33">
        <v>4</v>
      </c>
      <c r="S33" s="22">
        <v>1</v>
      </c>
      <c r="T33" s="23">
        <v>2</v>
      </c>
      <c r="U33" s="747">
        <v>0</v>
      </c>
      <c r="V33" s="395">
        <v>361</v>
      </c>
      <c r="W33">
        <v>376</v>
      </c>
      <c r="X33" s="22">
        <v>410</v>
      </c>
      <c r="Y33" s="23">
        <v>457</v>
      </c>
      <c r="Z33" s="747">
        <v>567</v>
      </c>
      <c r="AA33" s="395">
        <v>21</v>
      </c>
      <c r="AB33">
        <v>17</v>
      </c>
      <c r="AC33" s="25">
        <v>26</v>
      </c>
      <c r="AD33" s="26">
        <v>20</v>
      </c>
      <c r="AE33" s="753">
        <v>14</v>
      </c>
      <c r="AF33" s="395">
        <v>38</v>
      </c>
      <c r="AG33">
        <v>43</v>
      </c>
      <c r="AH33" s="25">
        <v>49</v>
      </c>
      <c r="AI33" s="26">
        <v>44</v>
      </c>
      <c r="AJ33" s="753">
        <v>45</v>
      </c>
      <c r="AK33" s="395">
        <v>6</v>
      </c>
      <c r="AL33">
        <v>19</v>
      </c>
      <c r="AM33" s="25">
        <v>10</v>
      </c>
      <c r="AN33" s="26">
        <v>6</v>
      </c>
      <c r="AO33" s="753">
        <v>10</v>
      </c>
      <c r="AP33" s="395">
        <v>17</v>
      </c>
      <c r="AQ33">
        <v>15</v>
      </c>
      <c r="AR33" s="25">
        <v>19</v>
      </c>
      <c r="AS33" s="26">
        <v>12</v>
      </c>
      <c r="AT33" s="753">
        <v>13</v>
      </c>
      <c r="AU33" s="395">
        <v>532</v>
      </c>
      <c r="AV33">
        <v>615</v>
      </c>
      <c r="AW33" s="25">
        <v>576</v>
      </c>
      <c r="AX33" s="26">
        <v>627</v>
      </c>
      <c r="AY33" s="753">
        <v>477</v>
      </c>
      <c r="AZ33" s="27">
        <f t="shared" si="29"/>
        <v>1677</v>
      </c>
      <c r="BA33" s="28">
        <f t="shared" si="29"/>
        <v>1923</v>
      </c>
      <c r="BB33" s="28">
        <f t="shared" si="29"/>
        <v>1822</v>
      </c>
      <c r="BC33" s="29">
        <f t="shared" si="29"/>
        <v>2025</v>
      </c>
      <c r="BD33" s="29">
        <f t="shared" si="29"/>
        <v>1988</v>
      </c>
      <c r="BF33" s="436">
        <f t="shared" si="6"/>
        <v>328</v>
      </c>
      <c r="BG33" s="435">
        <f t="shared" si="12"/>
        <v>357</v>
      </c>
      <c r="BH33" s="435">
        <f t="shared" si="13"/>
        <v>322</v>
      </c>
      <c r="BI33" s="435">
        <f t="shared" si="14"/>
        <v>366</v>
      </c>
      <c r="BJ33" s="437">
        <f t="shared" si="14"/>
        <v>373</v>
      </c>
      <c r="BL33" s="436">
        <f t="shared" si="11"/>
        <v>382</v>
      </c>
      <c r="BM33" s="435">
        <f t="shared" si="15"/>
        <v>393</v>
      </c>
      <c r="BN33" s="435">
        <f t="shared" si="16"/>
        <v>436</v>
      </c>
      <c r="BO33" s="435">
        <f t="shared" si="17"/>
        <v>477</v>
      </c>
      <c r="BP33" s="437">
        <f t="shared" si="17"/>
        <v>581</v>
      </c>
      <c r="BR33" s="1" t="s">
        <v>42</v>
      </c>
      <c r="BS33" s="1">
        <v>1105</v>
      </c>
      <c r="BT33" s="1">
        <v>1103</v>
      </c>
      <c r="BU33" s="1">
        <v>1071</v>
      </c>
      <c r="BV33" s="1">
        <v>1143</v>
      </c>
      <c r="BW33" s="1">
        <v>4422</v>
      </c>
    </row>
    <row r="34" spans="1:75">
      <c r="A34" s="21" t="s">
        <v>42</v>
      </c>
      <c r="B34" s="395">
        <v>143</v>
      </c>
      <c r="C34">
        <v>145</v>
      </c>
      <c r="D34" s="22">
        <v>126</v>
      </c>
      <c r="E34" s="23">
        <v>122</v>
      </c>
      <c r="F34" s="747">
        <v>121</v>
      </c>
      <c r="G34" s="395">
        <v>51</v>
      </c>
      <c r="H34">
        <v>39</v>
      </c>
      <c r="I34" s="22">
        <v>54</v>
      </c>
      <c r="J34" s="23">
        <v>46</v>
      </c>
      <c r="K34" s="747">
        <v>41</v>
      </c>
      <c r="L34" s="395">
        <v>372</v>
      </c>
      <c r="M34">
        <v>384</v>
      </c>
      <c r="N34" s="22">
        <v>352</v>
      </c>
      <c r="O34" s="23">
        <v>394</v>
      </c>
      <c r="P34" s="747">
        <v>419</v>
      </c>
      <c r="Q34" s="395">
        <v>0</v>
      </c>
      <c r="R34">
        <v>2</v>
      </c>
      <c r="S34" s="22">
        <v>1</v>
      </c>
      <c r="T34" s="23">
        <v>1</v>
      </c>
      <c r="U34" s="747">
        <v>2</v>
      </c>
      <c r="V34" s="395">
        <v>231</v>
      </c>
      <c r="W34">
        <v>268</v>
      </c>
      <c r="X34" s="22">
        <v>247</v>
      </c>
      <c r="Y34" s="23">
        <v>289</v>
      </c>
      <c r="Z34" s="747">
        <v>270</v>
      </c>
      <c r="AA34" s="395">
        <v>31</v>
      </c>
      <c r="AB34">
        <v>31</v>
      </c>
      <c r="AC34" s="25">
        <v>30</v>
      </c>
      <c r="AD34" s="26">
        <v>26</v>
      </c>
      <c r="AE34" s="753">
        <v>29</v>
      </c>
      <c r="AF34" s="395">
        <v>54</v>
      </c>
      <c r="AG34">
        <v>41</v>
      </c>
      <c r="AH34" s="25">
        <v>55</v>
      </c>
      <c r="AI34" s="26">
        <v>54</v>
      </c>
      <c r="AJ34" s="753">
        <v>48</v>
      </c>
      <c r="AK34" s="395">
        <v>7</v>
      </c>
      <c r="AL34">
        <v>3</v>
      </c>
      <c r="AM34" s="25">
        <v>3</v>
      </c>
      <c r="AN34" s="26">
        <v>0</v>
      </c>
      <c r="AO34" s="753">
        <v>2</v>
      </c>
      <c r="AP34" s="395">
        <v>10</v>
      </c>
      <c r="AQ34">
        <v>5</v>
      </c>
      <c r="AR34" s="25">
        <v>10</v>
      </c>
      <c r="AS34" s="26">
        <v>13</v>
      </c>
      <c r="AT34" s="753">
        <v>9</v>
      </c>
      <c r="AU34" s="395">
        <v>206</v>
      </c>
      <c r="AV34">
        <v>185</v>
      </c>
      <c r="AW34" s="25">
        <v>193</v>
      </c>
      <c r="AX34" s="26">
        <v>198</v>
      </c>
      <c r="AY34" s="753">
        <v>251</v>
      </c>
      <c r="AZ34" s="27">
        <f t="shared" si="29"/>
        <v>1105</v>
      </c>
      <c r="BA34" s="28">
        <f t="shared" si="29"/>
        <v>1103</v>
      </c>
      <c r="BB34" s="28">
        <f t="shared" si="29"/>
        <v>1071</v>
      </c>
      <c r="BC34" s="29">
        <f t="shared" si="29"/>
        <v>1143</v>
      </c>
      <c r="BD34" s="29">
        <f t="shared" si="29"/>
        <v>1192</v>
      </c>
      <c r="BF34" s="436">
        <f t="shared" si="6"/>
        <v>204</v>
      </c>
      <c r="BG34" s="435">
        <f t="shared" si="12"/>
        <v>189</v>
      </c>
      <c r="BH34" s="435">
        <f t="shared" si="13"/>
        <v>190</v>
      </c>
      <c r="BI34" s="435">
        <f t="shared" si="14"/>
        <v>181</v>
      </c>
      <c r="BJ34" s="437">
        <f t="shared" si="14"/>
        <v>171</v>
      </c>
      <c r="BL34" s="436">
        <f t="shared" si="11"/>
        <v>262</v>
      </c>
      <c r="BM34" s="435">
        <f t="shared" si="15"/>
        <v>299</v>
      </c>
      <c r="BN34" s="435">
        <f t="shared" si="16"/>
        <v>277</v>
      </c>
      <c r="BO34" s="435">
        <f t="shared" si="17"/>
        <v>315</v>
      </c>
      <c r="BP34" s="437">
        <f t="shared" si="17"/>
        <v>299</v>
      </c>
      <c r="BR34" s="1" t="s">
        <v>41</v>
      </c>
      <c r="BS34" s="1">
        <v>1677</v>
      </c>
      <c r="BT34" s="1">
        <v>1923</v>
      </c>
      <c r="BU34" s="1">
        <v>1822</v>
      </c>
      <c r="BV34" s="1">
        <v>2025</v>
      </c>
      <c r="BW34" s="1">
        <v>7447</v>
      </c>
    </row>
    <row r="35" spans="1:75" ht="15.75" thickBot="1">
      <c r="A35" s="33" t="s">
        <v>43</v>
      </c>
      <c r="B35" s="395">
        <v>107</v>
      </c>
      <c r="C35">
        <v>115</v>
      </c>
      <c r="D35" s="37">
        <v>127</v>
      </c>
      <c r="E35" s="38">
        <v>90</v>
      </c>
      <c r="F35" s="748">
        <v>94</v>
      </c>
      <c r="G35" s="395">
        <v>65</v>
      </c>
      <c r="H35">
        <v>56</v>
      </c>
      <c r="I35" s="37">
        <v>74</v>
      </c>
      <c r="J35" s="38">
        <v>71</v>
      </c>
      <c r="K35" s="748">
        <v>55</v>
      </c>
      <c r="L35" s="395">
        <v>218</v>
      </c>
      <c r="M35">
        <v>263</v>
      </c>
      <c r="N35" s="37">
        <v>282</v>
      </c>
      <c r="O35" s="38">
        <v>288</v>
      </c>
      <c r="P35" s="748">
        <v>268</v>
      </c>
      <c r="Q35" s="395">
        <v>0</v>
      </c>
      <c r="R35">
        <v>0</v>
      </c>
      <c r="S35" s="37">
        <v>0</v>
      </c>
      <c r="T35" s="38">
        <v>1</v>
      </c>
      <c r="U35" s="748">
        <v>2</v>
      </c>
      <c r="V35" s="395">
        <v>201</v>
      </c>
      <c r="W35">
        <v>209</v>
      </c>
      <c r="X35" s="37">
        <v>221</v>
      </c>
      <c r="Y35" s="38">
        <v>210</v>
      </c>
      <c r="Z35" s="748">
        <v>240</v>
      </c>
      <c r="AA35" s="395">
        <v>17</v>
      </c>
      <c r="AB35">
        <v>22</v>
      </c>
      <c r="AC35" s="40">
        <v>32</v>
      </c>
      <c r="AD35" s="41">
        <v>36</v>
      </c>
      <c r="AE35" s="755">
        <v>49</v>
      </c>
      <c r="AF35" s="395">
        <v>41</v>
      </c>
      <c r="AG35">
        <v>32</v>
      </c>
      <c r="AH35" s="40">
        <v>41</v>
      </c>
      <c r="AI35" s="41">
        <v>40</v>
      </c>
      <c r="AJ35" s="755">
        <v>29</v>
      </c>
      <c r="AK35" s="395">
        <v>2</v>
      </c>
      <c r="AL35">
        <v>4</v>
      </c>
      <c r="AM35" s="40">
        <v>5</v>
      </c>
      <c r="AN35" s="41">
        <v>2</v>
      </c>
      <c r="AO35" s="755">
        <v>5</v>
      </c>
      <c r="AP35" s="395">
        <v>11</v>
      </c>
      <c r="AQ35">
        <v>6</v>
      </c>
      <c r="AR35" s="40">
        <v>11</v>
      </c>
      <c r="AS35" s="41">
        <v>9</v>
      </c>
      <c r="AT35" s="755">
        <v>8</v>
      </c>
      <c r="AU35" s="395">
        <v>39</v>
      </c>
      <c r="AV35">
        <v>71</v>
      </c>
      <c r="AW35" s="40">
        <v>52</v>
      </c>
      <c r="AX35" s="41">
        <v>59</v>
      </c>
      <c r="AY35" s="755">
        <v>78</v>
      </c>
      <c r="AZ35" s="9">
        <f t="shared" si="29"/>
        <v>701</v>
      </c>
      <c r="BA35" s="10">
        <f t="shared" si="29"/>
        <v>778</v>
      </c>
      <c r="BB35" s="10">
        <f t="shared" si="29"/>
        <v>845</v>
      </c>
      <c r="BC35" s="11">
        <f t="shared" si="29"/>
        <v>806</v>
      </c>
      <c r="BD35" s="11">
        <f t="shared" si="29"/>
        <v>828</v>
      </c>
      <c r="BF35" s="438">
        <f t="shared" si="6"/>
        <v>183</v>
      </c>
      <c r="BG35" s="439">
        <f t="shared" si="12"/>
        <v>177</v>
      </c>
      <c r="BH35" s="439">
        <f t="shared" si="13"/>
        <v>212</v>
      </c>
      <c r="BI35" s="439">
        <f t="shared" si="14"/>
        <v>170</v>
      </c>
      <c r="BJ35" s="440">
        <f t="shared" si="14"/>
        <v>157</v>
      </c>
      <c r="BL35" s="438">
        <f t="shared" si="11"/>
        <v>218</v>
      </c>
      <c r="BM35" s="439">
        <f t="shared" si="15"/>
        <v>231</v>
      </c>
      <c r="BN35" s="439">
        <f t="shared" si="16"/>
        <v>253</v>
      </c>
      <c r="BO35" s="439">
        <f t="shared" si="17"/>
        <v>246</v>
      </c>
      <c r="BP35" s="440">
        <f t="shared" si="17"/>
        <v>289</v>
      </c>
      <c r="BR35" s="1" t="s">
        <v>40</v>
      </c>
      <c r="BS35" s="1">
        <v>576</v>
      </c>
      <c r="BT35" s="1">
        <v>636</v>
      </c>
      <c r="BU35" s="1">
        <v>641</v>
      </c>
      <c r="BV35" s="1">
        <v>550</v>
      </c>
      <c r="BW35" s="1">
        <v>2403</v>
      </c>
    </row>
    <row r="36" spans="1:75">
      <c r="A36" s="42"/>
      <c r="B36" s="44"/>
      <c r="C36"/>
      <c r="D36" s="44"/>
      <c r="E36" s="44"/>
      <c r="F36" s="750"/>
      <c r="G36" s="44"/>
      <c r="H36" s="44"/>
      <c r="I36" s="44"/>
      <c r="J36" s="44"/>
      <c r="K36" s="750"/>
      <c r="L36" s="44"/>
      <c r="M36" s="44"/>
      <c r="N36" s="44"/>
      <c r="O36" s="44"/>
      <c r="P36" s="750"/>
      <c r="Q36" s="44"/>
      <c r="R36" s="44"/>
      <c r="S36" s="44"/>
      <c r="T36" s="44"/>
      <c r="U36" s="750"/>
      <c r="V36" s="44"/>
      <c r="W36" s="44"/>
      <c r="X36" s="44"/>
      <c r="Y36" s="44"/>
      <c r="Z36" s="750"/>
      <c r="AA36" s="45"/>
      <c r="AB36" s="45"/>
      <c r="AC36" s="45"/>
      <c r="AD36" s="45"/>
      <c r="AE36" s="756"/>
      <c r="AF36" s="45"/>
      <c r="AG36" s="45"/>
      <c r="AH36" s="45"/>
      <c r="AI36" s="45"/>
      <c r="AJ36" s="756"/>
      <c r="AK36" s="45"/>
      <c r="AL36" s="45"/>
      <c r="AM36" s="45"/>
      <c r="AN36" s="45"/>
      <c r="AO36" s="756"/>
      <c r="AP36" s="45"/>
      <c r="AQ36" s="45"/>
      <c r="AR36" s="45"/>
      <c r="AS36" s="45"/>
      <c r="AT36" s="756"/>
      <c r="AU36" s="45"/>
      <c r="AV36" s="45"/>
      <c r="AW36" s="45"/>
      <c r="AX36" s="45"/>
      <c r="AY36" s="756"/>
      <c r="AZ36" s="46"/>
      <c r="BA36" s="46"/>
      <c r="BB36" s="46"/>
      <c r="BC36" s="46"/>
      <c r="BD36" s="46"/>
      <c r="BF36" s="46"/>
      <c r="BG36" s="46"/>
      <c r="BH36" s="46"/>
      <c r="BI36" s="46"/>
      <c r="BJ36" s="46"/>
      <c r="BL36" s="46"/>
      <c r="BM36" s="46"/>
      <c r="BN36" s="46"/>
      <c r="BO36" s="46"/>
      <c r="BP36" s="46"/>
    </row>
    <row r="37" spans="1:75">
      <c r="BR37" s="1" t="s">
        <v>93</v>
      </c>
    </row>
    <row r="38" spans="1:75">
      <c r="BR38" s="1" t="s">
        <v>94</v>
      </c>
    </row>
  </sheetData>
  <sortState xmlns:xlrd2="http://schemas.microsoft.com/office/spreadsheetml/2017/richdata2" ref="A30:BA33">
    <sortCondition ref="A30:A33"/>
  </sortState>
  <mergeCells count="13">
    <mergeCell ref="B1:F1"/>
    <mergeCell ref="BL1:BP1"/>
    <mergeCell ref="BF1:BJ1"/>
    <mergeCell ref="AZ1:BD1"/>
    <mergeCell ref="AU1:AY1"/>
    <mergeCell ref="AP1:AT1"/>
    <mergeCell ref="AK1:AO1"/>
    <mergeCell ref="AF1:AJ1"/>
    <mergeCell ref="AA1:AE1"/>
    <mergeCell ref="V1:Z1"/>
    <mergeCell ref="Q1:U1"/>
    <mergeCell ref="L1:P1"/>
    <mergeCell ref="G1:K1"/>
  </mergeCells>
  <pageMargins left="0.511811024" right="0.511811024" top="0.78740157499999996" bottom="0.78740157499999996" header="0.31496062000000002" footer="0.31496062000000002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5" tint="0.39997558519241921"/>
  </sheetPr>
  <dimension ref="A1:BN190"/>
  <sheetViews>
    <sheetView zoomScale="90" zoomScaleNormal="90" zoomScalePageLayoutView="90" workbookViewId="0">
      <pane xSplit="1" topLeftCell="B9" activePane="topRight" state="frozen"/>
      <selection pane="topRight" activeCell="B9" sqref="B9"/>
      <selection activeCell="A145" sqref="A145"/>
    </sheetView>
  </sheetViews>
  <sheetFormatPr defaultColWidth="8.85546875" defaultRowHeight="15"/>
  <cols>
    <col min="1" max="1" width="22.42578125" customWidth="1"/>
    <col min="2" max="2" width="15.28515625" style="272" bestFit="1" customWidth="1"/>
    <col min="3" max="3" width="14.42578125" style="272" bestFit="1" customWidth="1"/>
    <col min="4" max="4" width="13.85546875" style="272" bestFit="1" customWidth="1"/>
    <col min="5" max="5" width="14.85546875" style="272" bestFit="1" customWidth="1"/>
    <col min="6" max="6" width="12.7109375" style="272" bestFit="1" customWidth="1"/>
    <col min="7" max="7" width="11.140625" style="272" bestFit="1" customWidth="1"/>
    <col min="8" max="8" width="13.85546875" style="272" bestFit="1" customWidth="1"/>
    <col min="9" max="9" width="14.42578125" style="272" bestFit="1" customWidth="1"/>
    <col min="10" max="12" width="13.85546875" style="272" bestFit="1" customWidth="1"/>
    <col min="13" max="14" width="13.140625" style="272" bestFit="1" customWidth="1"/>
    <col min="15" max="15" width="13.85546875" style="272" bestFit="1" customWidth="1"/>
    <col min="16" max="16" width="11.140625" style="272" bestFit="1" customWidth="1"/>
    <col min="17" max="17" width="14.42578125" style="272" bestFit="1" customWidth="1"/>
    <col min="18" max="18" width="14.85546875" style="272" bestFit="1" customWidth="1"/>
    <col min="19" max="19" width="17.28515625" bestFit="1" customWidth="1"/>
    <col min="20" max="20" width="8.85546875" style="665"/>
    <col min="21" max="21" width="10.42578125" style="665" bestFit="1" customWidth="1"/>
    <col min="22" max="22" width="11.42578125" style="665" bestFit="1" customWidth="1"/>
    <col min="23" max="23" width="10" style="665" bestFit="1" customWidth="1"/>
    <col min="24" max="25" width="8.85546875" style="665"/>
    <col min="26" max="26" width="11" style="665" bestFit="1" customWidth="1"/>
    <col min="27" max="27" width="8.85546875" style="665"/>
    <col min="28" max="28" width="15.85546875" style="665" bestFit="1" customWidth="1"/>
    <col min="29" max="31" width="14.85546875" style="665" bestFit="1" customWidth="1"/>
    <col min="32" max="32" width="8.85546875" style="665"/>
    <col min="33" max="33" width="15.85546875" style="665" bestFit="1" customWidth="1"/>
    <col min="34" max="36" width="14.85546875" style="665" bestFit="1" customWidth="1"/>
    <col min="37" max="39" width="8.85546875" style="665"/>
    <col min="40" max="45" width="8.85546875" style="273"/>
    <col min="46" max="48" width="14" style="273" bestFit="1" customWidth="1"/>
    <col min="49" max="50" width="13.140625" style="273" bestFit="1" customWidth="1"/>
    <col min="51" max="51" width="8.85546875" style="273"/>
    <col min="52" max="52" width="13" style="273" bestFit="1" customWidth="1"/>
    <col min="53" max="66" width="8.85546875" style="273"/>
  </cols>
  <sheetData>
    <row r="1" spans="1:66" ht="15.75" customHeight="1" thickBot="1">
      <c r="A1" s="1051" t="s">
        <v>95</v>
      </c>
      <c r="B1" s="1054">
        <v>2009</v>
      </c>
      <c r="C1" s="1055"/>
      <c r="D1" s="1055"/>
      <c r="E1" s="1055"/>
      <c r="F1" s="1055"/>
      <c r="G1" s="1055"/>
      <c r="H1" s="1055"/>
      <c r="I1" s="1055"/>
      <c r="J1" s="1055"/>
      <c r="K1" s="1055"/>
      <c r="L1" s="1055"/>
      <c r="M1" s="1055"/>
      <c r="N1" s="1055"/>
      <c r="O1" s="1055"/>
      <c r="P1" s="1055"/>
      <c r="Q1" s="1055"/>
      <c r="R1" s="1056"/>
      <c r="S1" s="1057" t="s">
        <v>96</v>
      </c>
    </row>
    <row r="2" spans="1:66" ht="15.75" thickBot="1">
      <c r="A2" s="1052"/>
      <c r="B2" s="1060" t="s">
        <v>97</v>
      </c>
      <c r="C2" s="1061"/>
      <c r="D2" s="1061"/>
      <c r="E2" s="1061"/>
      <c r="F2" s="1061"/>
      <c r="G2" s="1061"/>
      <c r="H2" s="1061" t="s">
        <v>98</v>
      </c>
      <c r="I2" s="1061"/>
      <c r="J2" s="1061" t="s">
        <v>99</v>
      </c>
      <c r="K2" s="1061"/>
      <c r="L2" s="1061"/>
      <c r="M2" s="1061"/>
      <c r="N2" s="1061"/>
      <c r="O2" s="1061"/>
      <c r="P2" s="1061"/>
      <c r="Q2" s="1061"/>
      <c r="R2" s="689" t="s">
        <v>100</v>
      </c>
      <c r="S2" s="1058"/>
      <c r="U2" s="1068">
        <v>2009</v>
      </c>
      <c r="V2" s="1069"/>
      <c r="W2" s="1069"/>
      <c r="X2" s="1070"/>
      <c r="AB2" s="1068">
        <v>2009</v>
      </c>
      <c r="AC2" s="1069"/>
      <c r="AD2" s="1069"/>
      <c r="AE2" s="1070"/>
      <c r="AG2" s="1068">
        <v>2009</v>
      </c>
      <c r="AH2" s="1069"/>
      <c r="AI2" s="1069"/>
      <c r="AJ2" s="1070"/>
    </row>
    <row r="3" spans="1:66" ht="15" customHeight="1">
      <c r="A3" s="1052"/>
      <c r="B3" s="1062" t="s">
        <v>101</v>
      </c>
      <c r="C3" s="1064" t="s">
        <v>102</v>
      </c>
      <c r="D3" s="1064" t="s">
        <v>103</v>
      </c>
      <c r="E3" s="1064"/>
      <c r="F3" s="1064"/>
      <c r="G3" s="1064"/>
      <c r="H3" s="1062" t="s">
        <v>101</v>
      </c>
      <c r="I3" s="1064" t="s">
        <v>102</v>
      </c>
      <c r="J3" s="1064" t="s">
        <v>104</v>
      </c>
      <c r="K3" s="1064"/>
      <c r="L3" s="1064"/>
      <c r="M3" s="1064" t="s">
        <v>105</v>
      </c>
      <c r="N3" s="1064"/>
      <c r="O3" s="1064"/>
      <c r="P3" s="1062" t="s">
        <v>101</v>
      </c>
      <c r="Q3" s="1064" t="s">
        <v>102</v>
      </c>
      <c r="R3" s="1066" t="s">
        <v>101</v>
      </c>
      <c r="S3" s="1058"/>
      <c r="U3" s="1075" t="s">
        <v>101</v>
      </c>
      <c r="V3" s="1077" t="s">
        <v>103</v>
      </c>
      <c r="W3" s="1071" t="s">
        <v>104</v>
      </c>
      <c r="X3" s="1073" t="s">
        <v>105</v>
      </c>
      <c r="AB3" s="1075" t="s">
        <v>101</v>
      </c>
      <c r="AC3" s="1077" t="s">
        <v>103</v>
      </c>
      <c r="AD3" s="1071" t="s">
        <v>104</v>
      </c>
      <c r="AE3" s="1073" t="s">
        <v>105</v>
      </c>
      <c r="AG3" s="1075" t="s">
        <v>101</v>
      </c>
      <c r="AH3" s="1077" t="s">
        <v>103</v>
      </c>
      <c r="AI3" s="1071" t="s">
        <v>104</v>
      </c>
      <c r="AJ3" s="1073" t="s">
        <v>105</v>
      </c>
    </row>
    <row r="4" spans="1:66" ht="15.75" thickBot="1">
      <c r="A4" s="1053"/>
      <c r="B4" s="1063"/>
      <c r="C4" s="1065"/>
      <c r="D4" s="290" t="s">
        <v>106</v>
      </c>
      <c r="E4" s="290" t="s">
        <v>107</v>
      </c>
      <c r="F4" s="290" t="s">
        <v>108</v>
      </c>
      <c r="G4" s="290" t="s">
        <v>109</v>
      </c>
      <c r="H4" s="1063"/>
      <c r="I4" s="1065"/>
      <c r="J4" s="290" t="s">
        <v>110</v>
      </c>
      <c r="K4" s="290" t="s">
        <v>111</v>
      </c>
      <c r="L4" s="290" t="s">
        <v>112</v>
      </c>
      <c r="M4" s="290" t="s">
        <v>113</v>
      </c>
      <c r="N4" s="290" t="s">
        <v>114</v>
      </c>
      <c r="O4" s="290" t="s">
        <v>115</v>
      </c>
      <c r="P4" s="1063"/>
      <c r="Q4" s="1065"/>
      <c r="R4" s="1067"/>
      <c r="S4" s="1059"/>
      <c r="U4" s="1076"/>
      <c r="V4" s="1074"/>
      <c r="W4" s="1072"/>
      <c r="X4" s="1074"/>
      <c r="AB4" s="1076"/>
      <c r="AC4" s="1074"/>
      <c r="AD4" s="1072"/>
      <c r="AE4" s="1074"/>
      <c r="AG4" s="1076"/>
      <c r="AH4" s="1074"/>
      <c r="AI4" s="1072"/>
      <c r="AJ4" s="1074"/>
    </row>
    <row r="5" spans="1:66" ht="15.75" thickBot="1">
      <c r="A5" s="164" t="s">
        <v>11</v>
      </c>
      <c r="B5" s="291">
        <v>184478950901.70276</v>
      </c>
      <c r="C5" s="291">
        <v>24717463915.854031</v>
      </c>
      <c r="D5" s="291">
        <v>12926618384.471903</v>
      </c>
      <c r="E5" s="291">
        <v>161535809398.12253</v>
      </c>
      <c r="F5" s="291">
        <v>2262921259.2476902</v>
      </c>
      <c r="G5" s="291">
        <v>669988876.3974818</v>
      </c>
      <c r="H5" s="291">
        <v>102196985390.71045</v>
      </c>
      <c r="I5" s="291">
        <v>11997874157.395878</v>
      </c>
      <c r="J5" s="291">
        <v>33595022313.040955</v>
      </c>
      <c r="K5" s="291">
        <v>32101166396.981747</v>
      </c>
      <c r="L5" s="291">
        <v>19831999679.373425</v>
      </c>
      <c r="M5" s="291">
        <v>7795296922.0943623</v>
      </c>
      <c r="N5" s="291">
        <v>38088664315.901428</v>
      </c>
      <c r="O5" s="291">
        <v>4795463537.2474146</v>
      </c>
      <c r="P5" s="291">
        <v>612551762.70303226</v>
      </c>
      <c r="Q5" s="291">
        <v>22750994969.932487</v>
      </c>
      <c r="R5" s="291">
        <v>29002015277.999996</v>
      </c>
      <c r="S5" s="690">
        <v>689359787459.17761</v>
      </c>
      <c r="U5" s="733">
        <f>AVERAGE(U38,U71,U104)</f>
        <v>9360.990372742679</v>
      </c>
      <c r="V5" s="733">
        <f t="shared" ref="V5:X5" si="0">AVERAGE(V38,V71,V104)</f>
        <v>13140.74696507403</v>
      </c>
      <c r="W5" s="733">
        <f t="shared" si="0"/>
        <v>36282.910047309662</v>
      </c>
      <c r="X5" s="733">
        <f t="shared" si="0"/>
        <v>75103.612668714908</v>
      </c>
      <c r="AB5" s="733">
        <v>375756836376.29858</v>
      </c>
      <c r="AC5" s="734">
        <v>177395337918.23959</v>
      </c>
      <c r="AD5" s="734">
        <v>85528188389.396133</v>
      </c>
      <c r="AE5" s="735">
        <v>50679424775.243202</v>
      </c>
      <c r="AG5" s="944">
        <v>0.54508087534559024</v>
      </c>
      <c r="AH5" s="944">
        <v>0.25733345800757862</v>
      </c>
      <c r="AI5" s="944">
        <v>0.12406901293827054</v>
      </c>
      <c r="AJ5" s="944">
        <v>7.3516653708560462E-2</v>
      </c>
      <c r="AL5" s="945">
        <v>0.99999999999999978</v>
      </c>
    </row>
    <row r="6" spans="1:66" s="665" customFormat="1" ht="15.75" thickBot="1">
      <c r="A6" s="127" t="s">
        <v>13</v>
      </c>
      <c r="B6" s="291">
        <v>479369395.03069562</v>
      </c>
      <c r="C6" s="291">
        <v>74098903.888578713</v>
      </c>
      <c r="D6" s="291">
        <v>62150854.066968806</v>
      </c>
      <c r="E6" s="291">
        <v>650929979.94897926</v>
      </c>
      <c r="F6" s="291">
        <v>9120120.3592218682</v>
      </c>
      <c r="G6" s="291">
        <v>2700167.1624466027</v>
      </c>
      <c r="H6" s="291">
        <v>72122149.597860992</v>
      </c>
      <c r="I6" s="291">
        <v>10672902.382119885</v>
      </c>
      <c r="J6" s="291">
        <v>186625474.72753289</v>
      </c>
      <c r="K6" s="291">
        <v>178312203.38064089</v>
      </c>
      <c r="L6" s="291">
        <v>48430608.272240564</v>
      </c>
      <c r="M6" s="291">
        <v>7224285.6302786199</v>
      </c>
      <c r="N6" s="291">
        <v>50143480.831597462</v>
      </c>
      <c r="O6" s="291">
        <v>8791013.9824199677</v>
      </c>
      <c r="P6" s="291">
        <v>3107989.4144784603</v>
      </c>
      <c r="Q6" s="291">
        <v>139297565.43276557</v>
      </c>
      <c r="R6" s="291">
        <v>0</v>
      </c>
      <c r="S6" s="690">
        <v>1983097094.1088264</v>
      </c>
      <c r="U6" s="733">
        <f t="shared" ref="U6:X32" si="1">AVERAGE(U39,U72,U105)</f>
        <v>13601.106995899338</v>
      </c>
      <c r="V6" s="733">
        <f t="shared" si="1"/>
        <v>12389.839543288203</v>
      </c>
      <c r="W6" s="733">
        <f t="shared" si="1"/>
        <v>90288.827273388204</v>
      </c>
      <c r="X6" s="733">
        <f t="shared" si="1"/>
        <v>107745.1822090854</v>
      </c>
      <c r="AB6" s="733">
        <v>778668905.7464993</v>
      </c>
      <c r="AC6" s="734">
        <v>724901121.53761649</v>
      </c>
      <c r="AD6" s="734">
        <v>413368286.38041437</v>
      </c>
      <c r="AE6" s="735">
        <v>66158780.444296047</v>
      </c>
      <c r="AG6" s="944">
        <v>0.39265294072573953</v>
      </c>
      <c r="AH6" s="944">
        <v>0.36553990406777132</v>
      </c>
      <c r="AI6" s="944">
        <v>0.20844581317193436</v>
      </c>
      <c r="AJ6" s="944">
        <v>3.3361342034554688E-2</v>
      </c>
      <c r="AL6" s="945">
        <v>0.99999999999999989</v>
      </c>
      <c r="AN6" s="273"/>
      <c r="AO6" s="273"/>
      <c r="AP6" s="273"/>
      <c r="AQ6" s="273"/>
      <c r="AR6" s="273"/>
      <c r="AS6" s="273"/>
      <c r="AT6" s="273"/>
      <c r="AU6" s="273"/>
      <c r="AV6" s="273"/>
      <c r="AW6" s="273"/>
      <c r="AX6" s="273"/>
      <c r="AY6" s="273"/>
      <c r="AZ6" s="273"/>
      <c r="BA6" s="273"/>
      <c r="BB6" s="273"/>
      <c r="BC6" s="273"/>
      <c r="BD6" s="273"/>
      <c r="BE6" s="273"/>
      <c r="BF6" s="273"/>
      <c r="BG6" s="273"/>
      <c r="BH6" s="273"/>
      <c r="BI6" s="273"/>
      <c r="BJ6" s="273"/>
      <c r="BK6" s="273"/>
      <c r="BL6" s="273"/>
      <c r="BM6" s="273"/>
      <c r="BN6" s="273"/>
    </row>
    <row r="7" spans="1:66" s="665" customFormat="1" ht="15.75" thickBot="1">
      <c r="A7" s="127" t="s">
        <v>14</v>
      </c>
      <c r="B7" s="291">
        <v>633535847.79768884</v>
      </c>
      <c r="C7" s="291">
        <v>110832130.1705903</v>
      </c>
      <c r="D7" s="291">
        <v>39988875.404878445</v>
      </c>
      <c r="E7" s="291">
        <v>443600177.08786851</v>
      </c>
      <c r="F7" s="291">
        <v>6215958.6024364457</v>
      </c>
      <c r="G7" s="291">
        <v>1838752.1520296293</v>
      </c>
      <c r="H7" s="291">
        <v>49111002.0836486</v>
      </c>
      <c r="I7" s="291">
        <v>8332811.4606862571</v>
      </c>
      <c r="J7" s="291">
        <v>208849231.12157047</v>
      </c>
      <c r="K7" s="291">
        <v>199515187.27256182</v>
      </c>
      <c r="L7" s="291">
        <v>41312308.878543206</v>
      </c>
      <c r="M7" s="291">
        <v>23469047.260330975</v>
      </c>
      <c r="N7" s="291">
        <v>93468519.865620062</v>
      </c>
      <c r="O7" s="291">
        <v>16333365.377296282</v>
      </c>
      <c r="P7" s="291">
        <v>3072715.6655278634</v>
      </c>
      <c r="Q7" s="291">
        <v>155948881.67415854</v>
      </c>
      <c r="R7" s="291">
        <v>0</v>
      </c>
      <c r="S7" s="690">
        <v>2035424811.8754363</v>
      </c>
      <c r="U7" s="733">
        <f t="shared" si="1"/>
        <v>16474.850032739032</v>
      </c>
      <c r="V7" s="733">
        <f t="shared" si="1"/>
        <v>14049.299005622926</v>
      </c>
      <c r="W7" s="733">
        <f t="shared" si="1"/>
        <v>151042.71563438326</v>
      </c>
      <c r="X7" s="733">
        <f t="shared" si="1"/>
        <v>173003.26754221597</v>
      </c>
      <c r="AB7" s="733">
        <v>960833388.85230029</v>
      </c>
      <c r="AC7" s="734">
        <v>491643763.24721301</v>
      </c>
      <c r="AD7" s="734">
        <v>449676727.27267545</v>
      </c>
      <c r="AE7" s="735">
        <v>133270932.50324732</v>
      </c>
      <c r="AG7" s="944">
        <v>0.47205545655454123</v>
      </c>
      <c r="AH7" s="944">
        <v>0.24154356396698015</v>
      </c>
      <c r="AI7" s="944">
        <v>0.22092524599734256</v>
      </c>
      <c r="AJ7" s="944">
        <v>6.5475733481135931E-2</v>
      </c>
      <c r="AL7" s="945">
        <v>0.99999999999999978</v>
      </c>
      <c r="AN7" s="273"/>
      <c r="AO7" s="273"/>
      <c r="AP7" s="273"/>
      <c r="AQ7" s="273"/>
      <c r="AR7" s="273"/>
      <c r="AS7" s="273"/>
      <c r="AT7" s="273"/>
      <c r="AU7" s="273"/>
      <c r="AV7" s="273"/>
      <c r="AW7" s="273"/>
      <c r="AX7" s="273"/>
      <c r="AY7" s="273"/>
      <c r="AZ7" s="273"/>
      <c r="BA7" s="273"/>
      <c r="BB7" s="273"/>
      <c r="BC7" s="273"/>
      <c r="BD7" s="273"/>
      <c r="BE7" s="273"/>
      <c r="BF7" s="273"/>
      <c r="BG7" s="273"/>
      <c r="BH7" s="273"/>
      <c r="BI7" s="273"/>
      <c r="BJ7" s="273"/>
      <c r="BK7" s="273"/>
      <c r="BL7" s="273"/>
      <c r="BM7" s="273"/>
      <c r="BN7" s="273"/>
    </row>
    <row r="8" spans="1:66" s="665" customFormat="1" ht="15.75" thickBot="1">
      <c r="A8" s="127" t="s">
        <v>15</v>
      </c>
      <c r="B8" s="291">
        <v>3101085593.4704518</v>
      </c>
      <c r="C8" s="291">
        <v>579532035.27439976</v>
      </c>
      <c r="D8" s="291">
        <v>171828114.27921173</v>
      </c>
      <c r="E8" s="291">
        <v>1564730841.0554864</v>
      </c>
      <c r="F8" s="291">
        <v>21920798.446409605</v>
      </c>
      <c r="G8" s="291">
        <v>6490530.8936226415</v>
      </c>
      <c r="H8" s="291">
        <v>468627980.09010142</v>
      </c>
      <c r="I8" s="291">
        <v>82389956.049576864</v>
      </c>
      <c r="J8" s="291">
        <v>719947115.20189762</v>
      </c>
      <c r="K8" s="291">
        <v>687979981.4937222</v>
      </c>
      <c r="L8" s="291">
        <v>297322628.79871815</v>
      </c>
      <c r="M8" s="291">
        <v>128676963.149919</v>
      </c>
      <c r="N8" s="291">
        <v>671880134.29087663</v>
      </c>
      <c r="O8" s="291">
        <v>117712453.45908226</v>
      </c>
      <c r="P8" s="291">
        <v>7957473.7769766208</v>
      </c>
      <c r="Q8" s="291">
        <v>428049919.64420956</v>
      </c>
      <c r="R8" s="291">
        <v>0</v>
      </c>
      <c r="S8" s="690">
        <v>9056132519.3746605</v>
      </c>
      <c r="U8" s="733">
        <f t="shared" si="1"/>
        <v>14941.630942421181</v>
      </c>
      <c r="V8" s="733">
        <f t="shared" si="1"/>
        <v>13786.813773606855</v>
      </c>
      <c r="W8" s="733">
        <f t="shared" si="1"/>
        <v>80795.826991069815</v>
      </c>
      <c r="X8" s="733">
        <f t="shared" si="1"/>
        <v>91830.4185300385</v>
      </c>
      <c r="AB8" s="733">
        <v>4667642958.3057156</v>
      </c>
      <c r="AC8" s="734">
        <v>1764970284.6747305</v>
      </c>
      <c r="AD8" s="734">
        <v>1705249725.494338</v>
      </c>
      <c r="AE8" s="735">
        <v>918269550.89987791</v>
      </c>
      <c r="AG8" s="944">
        <v>0.51541239577929931</v>
      </c>
      <c r="AH8" s="944">
        <v>0.19489227668640657</v>
      </c>
      <c r="AI8" s="944">
        <v>0.18829778847053444</v>
      </c>
      <c r="AJ8" s="944">
        <v>0.10139753906375984</v>
      </c>
      <c r="AL8" s="945">
        <v>1.0000000000000002</v>
      </c>
      <c r="AN8" s="273"/>
      <c r="AO8" s="273"/>
      <c r="AP8" s="273"/>
      <c r="AQ8" s="273"/>
      <c r="AR8" s="273"/>
      <c r="AS8" s="273"/>
      <c r="AT8" s="273"/>
      <c r="AU8" s="273"/>
      <c r="AV8" s="273"/>
      <c r="AW8" s="273"/>
      <c r="AX8" s="273"/>
      <c r="AY8" s="273"/>
      <c r="AZ8" s="273"/>
      <c r="BA8" s="273"/>
      <c r="BB8" s="273"/>
      <c r="BC8" s="273"/>
      <c r="BD8" s="273"/>
      <c r="BE8" s="273"/>
      <c r="BF8" s="273"/>
      <c r="BG8" s="273"/>
      <c r="BH8" s="273"/>
      <c r="BI8" s="273"/>
      <c r="BJ8" s="273"/>
      <c r="BK8" s="273"/>
      <c r="BL8" s="273"/>
      <c r="BM8" s="273"/>
      <c r="BN8" s="273"/>
    </row>
    <row r="9" spans="1:66" s="665" customFormat="1" ht="15.75" thickBot="1">
      <c r="A9" s="127" t="s">
        <v>16</v>
      </c>
      <c r="B9" s="291">
        <v>3969180604.5330753</v>
      </c>
      <c r="C9" s="291">
        <v>555373233.30176222</v>
      </c>
      <c r="D9" s="291">
        <v>468534256.10988647</v>
      </c>
      <c r="E9" s="291">
        <v>4389587324.4501438</v>
      </c>
      <c r="F9" s="291">
        <v>61493149.097669564</v>
      </c>
      <c r="G9" s="291">
        <v>18206215.740489904</v>
      </c>
      <c r="H9" s="291">
        <v>282076091.70874733</v>
      </c>
      <c r="I9" s="291">
        <v>38025642.01451651</v>
      </c>
      <c r="J9" s="291">
        <v>1639313000.2747095</v>
      </c>
      <c r="K9" s="291">
        <v>1566382737.7359169</v>
      </c>
      <c r="L9" s="291">
        <v>506279646.23903412</v>
      </c>
      <c r="M9" s="291">
        <v>226243846.70981413</v>
      </c>
      <c r="N9" s="291">
        <v>991118241.08690226</v>
      </c>
      <c r="O9" s="291">
        <v>173684112.44162309</v>
      </c>
      <c r="P9" s="291">
        <v>18555472.189302143</v>
      </c>
      <c r="Q9" s="291">
        <v>757263278.07509267</v>
      </c>
      <c r="R9" s="291">
        <v>0</v>
      </c>
      <c r="S9" s="690">
        <v>15661316851.708687</v>
      </c>
      <c r="U9" s="733">
        <f t="shared" si="1"/>
        <v>14520.25732615675</v>
      </c>
      <c r="V9" s="733">
        <f t="shared" si="1"/>
        <v>13453.929867052078</v>
      </c>
      <c r="W9" s="733">
        <f t="shared" si="1"/>
        <v>93301.419885937939</v>
      </c>
      <c r="X9" s="733">
        <f t="shared" si="1"/>
        <v>105571.9014142056</v>
      </c>
      <c r="AB9" s="733">
        <v>5620474321.8224964</v>
      </c>
      <c r="AC9" s="734">
        <v>4937820945.3981895</v>
      </c>
      <c r="AD9" s="734">
        <v>3711975384.2496605</v>
      </c>
      <c r="AE9" s="735">
        <v>1391046200.2383394</v>
      </c>
      <c r="AG9" s="944">
        <v>0.35887622829170263</v>
      </c>
      <c r="AH9" s="944">
        <v>0.31528772402427074</v>
      </c>
      <c r="AI9" s="944">
        <v>0.23701553447880566</v>
      </c>
      <c r="AJ9" s="944">
        <v>8.8820513205220858E-2</v>
      </c>
      <c r="AL9" s="945">
        <v>0.99999999999999989</v>
      </c>
      <c r="AN9" s="273"/>
      <c r="AO9" s="273"/>
      <c r="AP9" s="273"/>
      <c r="AQ9" s="273"/>
      <c r="AR9" s="273"/>
      <c r="AS9" s="273"/>
      <c r="AT9" s="273"/>
      <c r="AU9" s="273"/>
      <c r="AV9" s="273"/>
      <c r="AW9" s="273"/>
      <c r="AX9" s="273"/>
      <c r="AY9" s="273"/>
      <c r="AZ9" s="273"/>
      <c r="BA9" s="273"/>
      <c r="BB9" s="273"/>
      <c r="BC9" s="273"/>
      <c r="BD9" s="273"/>
      <c r="BE9" s="273"/>
      <c r="BF9" s="273"/>
      <c r="BG9" s="273"/>
      <c r="BH9" s="273"/>
      <c r="BI9" s="273"/>
      <c r="BJ9" s="273"/>
      <c r="BK9" s="273"/>
      <c r="BL9" s="273"/>
      <c r="BM9" s="273"/>
      <c r="BN9" s="273"/>
    </row>
    <row r="10" spans="1:66" s="665" customFormat="1" ht="15.75" thickBot="1">
      <c r="A10" s="127" t="s">
        <v>17</v>
      </c>
      <c r="B10" s="291">
        <v>1209394761.9780619</v>
      </c>
      <c r="C10" s="291">
        <v>210238893.6698246</v>
      </c>
      <c r="D10" s="291">
        <v>346279664.63360357</v>
      </c>
      <c r="E10" s="291">
        <v>2670632863.9626894</v>
      </c>
      <c r="F10" s="291">
        <v>37413811.413550973</v>
      </c>
      <c r="G10" s="291">
        <v>11077255.556168303</v>
      </c>
      <c r="H10" s="291">
        <v>338735074.29185498</v>
      </c>
      <c r="I10" s="291">
        <v>57203820.546276264</v>
      </c>
      <c r="J10" s="291">
        <v>854622698.0589118</v>
      </c>
      <c r="K10" s="291">
        <v>816656056.70257926</v>
      </c>
      <c r="L10" s="291">
        <v>505996995.65902269</v>
      </c>
      <c r="M10" s="291">
        <v>31202809.831508663</v>
      </c>
      <c r="N10" s="291">
        <v>329334138.2570622</v>
      </c>
      <c r="O10" s="291">
        <v>57729622.661095545</v>
      </c>
      <c r="P10" s="291">
        <v>8394913.4711198062</v>
      </c>
      <c r="Q10" s="291">
        <v>425288002.08849192</v>
      </c>
      <c r="R10" s="291">
        <v>0</v>
      </c>
      <c r="S10" s="690">
        <v>7910201382.7818222</v>
      </c>
      <c r="U10" s="733">
        <f t="shared" si="1"/>
        <v>12134.003460900727</v>
      </c>
      <c r="V10" s="733">
        <f t="shared" si="1"/>
        <v>11071.611885501887</v>
      </c>
      <c r="W10" s="733">
        <f t="shared" si="1"/>
        <v>80782.558073476233</v>
      </c>
      <c r="X10" s="733">
        <f t="shared" si="1"/>
        <v>96936.583806529772</v>
      </c>
      <c r="AB10" s="733">
        <v>2249255466.0456295</v>
      </c>
      <c r="AC10" s="734">
        <v>3065403595.5660119</v>
      </c>
      <c r="AD10" s="734">
        <v>2177275750.4205136</v>
      </c>
      <c r="AE10" s="735">
        <v>418266570.74966639</v>
      </c>
      <c r="AG10" s="944">
        <v>0.28434869824447151</v>
      </c>
      <c r="AH10" s="944">
        <v>0.38752535456789916</v>
      </c>
      <c r="AI10" s="944">
        <v>0.27524909228730909</v>
      </c>
      <c r="AJ10" s="944">
        <v>5.2876854900320173E-2</v>
      </c>
      <c r="AL10" s="945">
        <v>0.99999999999999989</v>
      </c>
      <c r="AN10" s="273"/>
      <c r="AO10" s="273"/>
      <c r="AP10" s="273"/>
      <c r="AQ10" s="273"/>
      <c r="AR10" s="273"/>
      <c r="AS10" s="273"/>
      <c r="AT10" s="273"/>
      <c r="AU10" s="273"/>
      <c r="AV10" s="273"/>
      <c r="AW10" s="273"/>
      <c r="AX10" s="273"/>
      <c r="AY10" s="273"/>
      <c r="AZ10" s="273"/>
      <c r="BA10" s="273"/>
      <c r="BB10" s="273"/>
      <c r="BC10" s="273"/>
      <c r="BD10" s="273"/>
      <c r="BE10" s="273"/>
      <c r="BF10" s="273"/>
      <c r="BG10" s="273"/>
      <c r="BH10" s="273"/>
      <c r="BI10" s="273"/>
      <c r="BJ10" s="273"/>
      <c r="BK10" s="273"/>
      <c r="BL10" s="273"/>
      <c r="BM10" s="273"/>
      <c r="BN10" s="273"/>
    </row>
    <row r="11" spans="1:66" s="665" customFormat="1" ht="15.75" thickBot="1">
      <c r="A11" s="127" t="s">
        <v>18</v>
      </c>
      <c r="B11" s="291">
        <v>462666253.59489286</v>
      </c>
      <c r="C11" s="291">
        <v>97478621.098391473</v>
      </c>
      <c r="D11" s="291">
        <v>66522858.867835887</v>
      </c>
      <c r="E11" s="291">
        <v>590322253.43500936</v>
      </c>
      <c r="F11" s="291">
        <v>8269979.6535504488</v>
      </c>
      <c r="G11" s="291">
        <v>2447224.4592430172</v>
      </c>
      <c r="H11" s="291">
        <v>16713257.658542708</v>
      </c>
      <c r="I11" s="291">
        <v>3403310.0842350763</v>
      </c>
      <c r="J11" s="291">
        <v>106818316.5519121</v>
      </c>
      <c r="K11" s="291">
        <v>102027619.40637785</v>
      </c>
      <c r="L11" s="291">
        <v>33347282.865091816</v>
      </c>
      <c r="M11" s="291">
        <v>15968243.820093259</v>
      </c>
      <c r="N11" s="291">
        <v>52391457.646878682</v>
      </c>
      <c r="O11" s="291">
        <v>9177660.0406694859</v>
      </c>
      <c r="P11" s="291">
        <v>1716086.934793832</v>
      </c>
      <c r="Q11" s="291">
        <v>104348055.4637606</v>
      </c>
      <c r="R11" s="291">
        <v>0</v>
      </c>
      <c r="S11" s="690">
        <v>1673618481.5812783</v>
      </c>
      <c r="U11" s="733">
        <f t="shared" si="1"/>
        <v>13341.400153794608</v>
      </c>
      <c r="V11" s="733">
        <f t="shared" si="1"/>
        <v>11851.047395887937</v>
      </c>
      <c r="W11" s="733">
        <f t="shared" si="1"/>
        <v>82597.330028696335</v>
      </c>
      <c r="X11" s="733">
        <f t="shared" si="1"/>
        <v>87640.273808578568</v>
      </c>
      <c r="AB11" s="733">
        <v>686325584.83461654</v>
      </c>
      <c r="AC11" s="734">
        <v>667562316.4156388</v>
      </c>
      <c r="AD11" s="734">
        <v>242193218.82338178</v>
      </c>
      <c r="AE11" s="735">
        <v>77537361.50764142</v>
      </c>
      <c r="AG11" s="944">
        <v>0.41008485051273946</v>
      </c>
      <c r="AH11" s="944">
        <v>0.39887365236604494</v>
      </c>
      <c r="AI11" s="944">
        <v>0.14471232332147249</v>
      </c>
      <c r="AJ11" s="944">
        <v>4.6329173799743238E-2</v>
      </c>
      <c r="AL11" s="945">
        <v>1.0000000000000002</v>
      </c>
      <c r="AN11" s="273"/>
      <c r="AO11" s="273"/>
      <c r="AP11" s="273"/>
      <c r="AQ11" s="273"/>
      <c r="AR11" s="273"/>
      <c r="AS11" s="273"/>
      <c r="AT11" s="273"/>
      <c r="AU11" s="273"/>
      <c r="AV11" s="273"/>
      <c r="AW11" s="273"/>
      <c r="AX11" s="273"/>
      <c r="AY11" s="273"/>
      <c r="AZ11" s="273"/>
      <c r="BA11" s="273"/>
      <c r="BB11" s="273"/>
      <c r="BC11" s="273"/>
      <c r="BD11" s="273"/>
      <c r="BE11" s="273"/>
      <c r="BF11" s="273"/>
      <c r="BG11" s="273"/>
      <c r="BH11" s="273"/>
      <c r="BI11" s="273"/>
      <c r="BJ11" s="273"/>
      <c r="BK11" s="273"/>
      <c r="BL11" s="273"/>
      <c r="BM11" s="273"/>
      <c r="BN11" s="273"/>
    </row>
    <row r="12" spans="1:66" s="665" customFormat="1" ht="15.75" thickBot="1">
      <c r="A12" s="128" t="s">
        <v>19</v>
      </c>
      <c r="B12" s="291">
        <v>1007990060.2243967</v>
      </c>
      <c r="C12" s="291">
        <v>171929877.3765088</v>
      </c>
      <c r="D12" s="291">
        <v>321798308.48329926</v>
      </c>
      <c r="E12" s="291">
        <v>1715731105.9103968</v>
      </c>
      <c r="F12" s="291">
        <v>24033062.117021494</v>
      </c>
      <c r="G12" s="291">
        <v>7116713.2111658435</v>
      </c>
      <c r="H12" s="291">
        <v>415454612.50545144</v>
      </c>
      <c r="I12" s="291">
        <v>67263863.862690464</v>
      </c>
      <c r="J12" s="291">
        <v>659281031.24830854</v>
      </c>
      <c r="K12" s="291">
        <v>629937582.62131989</v>
      </c>
      <c r="L12" s="291">
        <v>328936644.02883065</v>
      </c>
      <c r="M12" s="291">
        <v>49593655.099596836</v>
      </c>
      <c r="N12" s="291">
        <v>244210323.39121488</v>
      </c>
      <c r="O12" s="291">
        <v>42778487.533865638</v>
      </c>
      <c r="P12" s="291">
        <v>6437735.1814804701</v>
      </c>
      <c r="Q12" s="291">
        <v>318356934.79762453</v>
      </c>
      <c r="R12" s="291">
        <v>0</v>
      </c>
      <c r="S12" s="690">
        <v>6010849997.593173</v>
      </c>
      <c r="U12" s="733">
        <f t="shared" si="1"/>
        <v>14227.630989745468</v>
      </c>
      <c r="V12" s="733">
        <f t="shared" si="1"/>
        <v>12483.390710397194</v>
      </c>
      <c r="W12" s="733">
        <f t="shared" si="1"/>
        <v>83607.276569821319</v>
      </c>
      <c r="X12" s="733">
        <f t="shared" si="1"/>
        <v>94924.821987377145</v>
      </c>
      <c r="AB12" s="733">
        <v>1987433083.9481523</v>
      </c>
      <c r="AC12" s="734">
        <v>2068679189.7218835</v>
      </c>
      <c r="AD12" s="734">
        <v>1618155257.898459</v>
      </c>
      <c r="AE12" s="735">
        <v>336582466.02467734</v>
      </c>
      <c r="AG12" s="944">
        <v>0.33064093842700248</v>
      </c>
      <c r="AH12" s="944">
        <v>0.34415751358796359</v>
      </c>
      <c r="AI12" s="944">
        <v>0.26920572939707205</v>
      </c>
      <c r="AJ12" s="944">
        <v>5.5995818587961703E-2</v>
      </c>
      <c r="AL12" s="945">
        <v>0.99999999999999978</v>
      </c>
      <c r="AN12" s="273"/>
      <c r="AO12" s="273"/>
      <c r="AP12" s="273"/>
      <c r="AQ12" s="273"/>
      <c r="AR12" s="273"/>
      <c r="AS12" s="273"/>
      <c r="AT12" s="273"/>
      <c r="AU12" s="273"/>
      <c r="AV12" s="273"/>
      <c r="AW12" s="273"/>
      <c r="AX12" s="273"/>
      <c r="AY12" s="273"/>
      <c r="AZ12" s="273"/>
      <c r="BA12" s="273"/>
      <c r="BB12" s="273"/>
      <c r="BC12" s="273"/>
      <c r="BD12" s="273"/>
      <c r="BE12" s="273"/>
      <c r="BF12" s="273"/>
      <c r="BG12" s="273"/>
      <c r="BH12" s="273"/>
      <c r="BI12" s="273"/>
      <c r="BJ12" s="273"/>
      <c r="BK12" s="273"/>
      <c r="BL12" s="273"/>
      <c r="BM12" s="273"/>
      <c r="BN12" s="273"/>
    </row>
    <row r="13" spans="1:66" s="665" customFormat="1" ht="15.75" thickBot="1">
      <c r="A13" s="127" t="s">
        <v>21</v>
      </c>
      <c r="B13" s="291">
        <v>1137046536.3978767</v>
      </c>
      <c r="C13" s="291">
        <v>182512856.95256934</v>
      </c>
      <c r="D13" s="291">
        <v>109769576.22684364</v>
      </c>
      <c r="E13" s="291">
        <v>1544814072.831656</v>
      </c>
      <c r="F13" s="291">
        <v>21640040.864353459</v>
      </c>
      <c r="G13" s="291">
        <v>6407462.47433748</v>
      </c>
      <c r="H13" s="291">
        <v>639110364.21426809</v>
      </c>
      <c r="I13" s="291">
        <v>85179435.987125516</v>
      </c>
      <c r="J13" s="291">
        <v>171682666.87338457</v>
      </c>
      <c r="K13" s="291">
        <v>164039574.88557211</v>
      </c>
      <c r="L13" s="291">
        <v>54761494.146687441</v>
      </c>
      <c r="M13" s="291">
        <v>116002573.02696228</v>
      </c>
      <c r="N13" s="291">
        <v>294915617.40257359</v>
      </c>
      <c r="O13" s="291">
        <v>43865602.838644288</v>
      </c>
      <c r="P13" s="291">
        <v>4203483.7302014967</v>
      </c>
      <c r="Q13" s="291">
        <v>165417545.67753768</v>
      </c>
      <c r="R13" s="291">
        <v>514497948</v>
      </c>
      <c r="S13" s="690">
        <v>5255866852.5305939</v>
      </c>
      <c r="U13" s="733">
        <f t="shared" si="1"/>
        <v>12355.048184585699</v>
      </c>
      <c r="V13" s="733">
        <f t="shared" si="1"/>
        <v>15004.209144412278</v>
      </c>
      <c r="W13" s="733">
        <f t="shared" si="1"/>
        <v>24910.515237801563</v>
      </c>
      <c r="X13" s="733">
        <f t="shared" si="1"/>
        <v>55921.126066797944</v>
      </c>
      <c r="AB13" s="733">
        <v>2727968170.9595785</v>
      </c>
      <c r="AC13" s="734">
        <v>1682631152.3971906</v>
      </c>
      <c r="AD13" s="734">
        <v>390483735.90564412</v>
      </c>
      <c r="AE13" s="735">
        <v>454783793.26818013</v>
      </c>
      <c r="AG13" s="944">
        <v>0.51903296782454011</v>
      </c>
      <c r="AH13" s="944">
        <v>0.32014341299133892</v>
      </c>
      <c r="AI13" s="944">
        <v>7.4294830303327425E-2</v>
      </c>
      <c r="AJ13" s="944">
        <v>8.6528788880793447E-2</v>
      </c>
      <c r="AL13" s="945">
        <v>0.99999999999999978</v>
      </c>
      <c r="AN13" s="273"/>
      <c r="AO13" s="273"/>
      <c r="AP13" s="273"/>
      <c r="AQ13" s="273"/>
      <c r="AR13" s="273"/>
      <c r="AS13" s="273"/>
      <c r="AT13" s="273"/>
      <c r="AU13" s="273"/>
      <c r="AV13" s="273"/>
      <c r="AW13" s="273"/>
      <c r="AX13" s="273"/>
      <c r="AY13" s="273"/>
      <c r="AZ13" s="273"/>
      <c r="BA13" s="273"/>
      <c r="BB13" s="273"/>
      <c r="BC13" s="273"/>
      <c r="BD13" s="273"/>
      <c r="BE13" s="273"/>
      <c r="BF13" s="273"/>
      <c r="BG13" s="273"/>
      <c r="BH13" s="273"/>
      <c r="BI13" s="273"/>
      <c r="BJ13" s="273"/>
      <c r="BK13" s="273"/>
      <c r="BL13" s="273"/>
      <c r="BM13" s="273"/>
      <c r="BN13" s="273"/>
    </row>
    <row r="14" spans="1:66" s="665" customFormat="1" ht="15.75" thickBot="1">
      <c r="A14" s="127" t="s">
        <v>22</v>
      </c>
      <c r="B14" s="291">
        <v>6885131627.5770206</v>
      </c>
      <c r="C14" s="291">
        <v>1174742760.6486011</v>
      </c>
      <c r="D14" s="291">
        <v>498349876.3921594</v>
      </c>
      <c r="E14" s="291">
        <v>8399424754.7502985</v>
      </c>
      <c r="F14" s="291">
        <v>117667042.34635276</v>
      </c>
      <c r="G14" s="291">
        <v>34837051.868327342</v>
      </c>
      <c r="H14" s="291">
        <v>3304327491.4242554</v>
      </c>
      <c r="I14" s="291">
        <v>445835505.07368547</v>
      </c>
      <c r="J14" s="291">
        <v>1510839734.6409259</v>
      </c>
      <c r="K14" s="291">
        <v>1443665357.1590817</v>
      </c>
      <c r="L14" s="291">
        <v>659183699.32981491</v>
      </c>
      <c r="M14" s="291">
        <v>668503946.52604103</v>
      </c>
      <c r="N14" s="291">
        <v>2804521034.6014013</v>
      </c>
      <c r="O14" s="291">
        <v>416952352.43903381</v>
      </c>
      <c r="P14" s="291">
        <v>32562040.813040394</v>
      </c>
      <c r="Q14" s="291">
        <v>1440469454.2844908</v>
      </c>
      <c r="R14" s="291">
        <v>1184834880</v>
      </c>
      <c r="S14" s="690">
        <v>31021848609.874535</v>
      </c>
      <c r="U14" s="733">
        <f t="shared" si="1"/>
        <v>11821.893201434314</v>
      </c>
      <c r="V14" s="733">
        <f t="shared" si="1"/>
        <v>14209.66781006475</v>
      </c>
      <c r="W14" s="733">
        <f t="shared" si="1"/>
        <v>39750.121082754813</v>
      </c>
      <c r="X14" s="733">
        <f t="shared" si="1"/>
        <v>94408.505455035702</v>
      </c>
      <c r="AB14" s="733">
        <v>14467903759.821093</v>
      </c>
      <c r="AC14" s="734">
        <v>9050278725.3571396</v>
      </c>
      <c r="AD14" s="734">
        <v>3613688791.1298227</v>
      </c>
      <c r="AE14" s="735">
        <v>3889977333.5664763</v>
      </c>
      <c r="AG14" s="944">
        <v>0.46637787263315533</v>
      </c>
      <c r="AH14" s="944">
        <v>0.29173885925277693</v>
      </c>
      <c r="AI14" s="944">
        <v>0.11648850578103695</v>
      </c>
      <c r="AJ14" s="944">
        <v>0.12539476233303071</v>
      </c>
      <c r="AL14" s="945">
        <v>1</v>
      </c>
      <c r="AN14" s="273"/>
      <c r="AO14" s="273"/>
      <c r="AP14" s="273"/>
      <c r="AQ14" s="273"/>
      <c r="AR14" s="273"/>
      <c r="AS14" s="273"/>
      <c r="AT14" s="273"/>
      <c r="AU14" s="273"/>
      <c r="AV14" s="273"/>
      <c r="AW14" s="273"/>
      <c r="AX14" s="273"/>
      <c r="AY14" s="273"/>
      <c r="AZ14" s="273"/>
      <c r="BA14" s="273"/>
      <c r="BB14" s="273"/>
      <c r="BC14" s="273"/>
      <c r="BD14" s="273"/>
      <c r="BE14" s="273"/>
      <c r="BF14" s="273"/>
      <c r="BG14" s="273"/>
      <c r="BH14" s="273"/>
      <c r="BI14" s="273"/>
      <c r="BJ14" s="273"/>
      <c r="BK14" s="273"/>
      <c r="BL14" s="273"/>
      <c r="BM14" s="273"/>
      <c r="BN14" s="273"/>
    </row>
    <row r="15" spans="1:66" s="665" customFormat="1" ht="15.75" thickBot="1">
      <c r="A15" s="127" t="s">
        <v>23</v>
      </c>
      <c r="B15" s="291">
        <v>3809508378.365108</v>
      </c>
      <c r="C15" s="291">
        <v>548829251.79490232</v>
      </c>
      <c r="D15" s="291">
        <v>365449122.42126316</v>
      </c>
      <c r="E15" s="291">
        <v>7248021466.1738377</v>
      </c>
      <c r="F15" s="291">
        <v>101535826.3673979</v>
      </c>
      <c r="G15" s="291">
        <v>30061973.360486839</v>
      </c>
      <c r="H15" s="291">
        <v>1076247085.6873567</v>
      </c>
      <c r="I15" s="291">
        <v>133975965.31686918</v>
      </c>
      <c r="J15" s="291">
        <v>607659245.42625105</v>
      </c>
      <c r="K15" s="291">
        <v>580634355.63035691</v>
      </c>
      <c r="L15" s="291">
        <v>187504831.58076918</v>
      </c>
      <c r="M15" s="291">
        <v>201051263.47568765</v>
      </c>
      <c r="N15" s="291">
        <v>742434385.8113569</v>
      </c>
      <c r="O15" s="291">
        <v>110362451.00902006</v>
      </c>
      <c r="P15" s="291">
        <v>20958745.025425754</v>
      </c>
      <c r="Q15" s="291">
        <v>782106504.65437853</v>
      </c>
      <c r="R15" s="291">
        <v>953366100</v>
      </c>
      <c r="S15" s="690">
        <v>17499706952.100468</v>
      </c>
      <c r="U15" s="733">
        <f t="shared" si="1"/>
        <v>9892.2874124153986</v>
      </c>
      <c r="V15" s="733">
        <f t="shared" si="1"/>
        <v>12373.869665693332</v>
      </c>
      <c r="W15" s="733">
        <f t="shared" si="1"/>
        <v>27725.039043199886</v>
      </c>
      <c r="X15" s="733">
        <f t="shared" si="1"/>
        <v>66834.166088178594</v>
      </c>
      <c r="AB15" s="733">
        <v>7324992030.8440409</v>
      </c>
      <c r="AC15" s="734">
        <v>7745068388.3229856</v>
      </c>
      <c r="AD15" s="734">
        <v>1375798432.6373773</v>
      </c>
      <c r="AE15" s="735">
        <v>1053848100.2960646</v>
      </c>
      <c r="AG15" s="944">
        <v>0.41857798252814921</v>
      </c>
      <c r="AH15" s="944">
        <v>0.44258274778671963</v>
      </c>
      <c r="AI15" s="944">
        <v>7.861836980488647E-2</v>
      </c>
      <c r="AJ15" s="944">
        <v>6.0220899880244712E-2</v>
      </c>
      <c r="AL15" s="945">
        <v>1</v>
      </c>
      <c r="AN15" s="273"/>
      <c r="AO15" s="273"/>
      <c r="AP15" s="273"/>
      <c r="AQ15" s="273"/>
      <c r="AR15" s="273"/>
      <c r="AS15" s="273"/>
      <c r="AT15" s="273"/>
      <c r="AU15" s="273"/>
      <c r="AV15" s="273"/>
      <c r="AW15" s="273"/>
      <c r="AX15" s="273"/>
      <c r="AY15" s="273"/>
      <c r="AZ15" s="273"/>
      <c r="BA15" s="273"/>
      <c r="BB15" s="273"/>
      <c r="BC15" s="273"/>
      <c r="BD15" s="273"/>
      <c r="BE15" s="273"/>
      <c r="BF15" s="273"/>
      <c r="BG15" s="273"/>
      <c r="BH15" s="273"/>
      <c r="BI15" s="273"/>
      <c r="BJ15" s="273"/>
      <c r="BK15" s="273"/>
      <c r="BL15" s="273"/>
      <c r="BM15" s="273"/>
      <c r="BN15" s="273"/>
    </row>
    <row r="16" spans="1:66" s="665" customFormat="1" ht="15.75" thickBot="1">
      <c r="A16" s="127" t="s">
        <v>24</v>
      </c>
      <c r="B16" s="291">
        <v>2021277828.2107987</v>
      </c>
      <c r="C16" s="291">
        <v>359141056.79127407</v>
      </c>
      <c r="D16" s="291">
        <v>387667369.5946821</v>
      </c>
      <c r="E16" s="291">
        <v>4633522929.7130632</v>
      </c>
      <c r="F16" s="291">
        <v>64909694.152872004</v>
      </c>
      <c r="G16" s="291">
        <v>19219904.262506559</v>
      </c>
      <c r="H16" s="291">
        <v>842584812.09946096</v>
      </c>
      <c r="I16" s="291">
        <v>144959700.64558271</v>
      </c>
      <c r="J16" s="291">
        <v>362208909.30276895</v>
      </c>
      <c r="K16" s="291">
        <v>346096314.36117154</v>
      </c>
      <c r="L16" s="291">
        <v>62259880.959153131</v>
      </c>
      <c r="M16" s="291">
        <v>119174283.85255629</v>
      </c>
      <c r="N16" s="291">
        <v>425936841.35287452</v>
      </c>
      <c r="O16" s="291">
        <v>63346061.023626722</v>
      </c>
      <c r="P16" s="291">
        <v>6825330.6299911151</v>
      </c>
      <c r="Q16" s="291">
        <v>348230008.68702912</v>
      </c>
      <c r="R16" s="291">
        <v>0</v>
      </c>
      <c r="S16" s="690">
        <v>10207360925.639412</v>
      </c>
      <c r="U16" s="733">
        <f t="shared" si="1"/>
        <v>13184.943087260055</v>
      </c>
      <c r="V16" s="733">
        <f t="shared" si="1"/>
        <v>15528.697059644897</v>
      </c>
      <c r="W16" s="733">
        <f t="shared" si="1"/>
        <v>35237.916704055497</v>
      </c>
      <c r="X16" s="733">
        <f t="shared" si="1"/>
        <v>87092.578614345271</v>
      </c>
      <c r="AB16" s="733">
        <v>3723018737.0641365</v>
      </c>
      <c r="AC16" s="734">
        <v>5105319897.7231236</v>
      </c>
      <c r="AD16" s="734">
        <v>770565104.62309361</v>
      </c>
      <c r="AE16" s="735">
        <v>608457186.22905743</v>
      </c>
      <c r="AG16" s="944">
        <v>0.36473861992206552</v>
      </c>
      <c r="AH16" s="944">
        <v>0.50016061300421932</v>
      </c>
      <c r="AI16" s="944">
        <v>7.5491119618151803E-2</v>
      </c>
      <c r="AJ16" s="944">
        <v>5.9609647455563283E-2</v>
      </c>
      <c r="AL16" s="945">
        <v>0.99999999999999989</v>
      </c>
      <c r="AN16" s="273"/>
      <c r="AO16" s="273"/>
      <c r="AP16" s="273"/>
      <c r="AQ16" s="273"/>
      <c r="AR16" s="273"/>
      <c r="AS16" s="273"/>
      <c r="AT16" s="273"/>
      <c r="AU16" s="273"/>
      <c r="AV16" s="273"/>
      <c r="AW16" s="273"/>
      <c r="AX16" s="273"/>
      <c r="AY16" s="273"/>
      <c r="AZ16" s="273"/>
      <c r="BA16" s="273"/>
      <c r="BB16" s="273"/>
      <c r="BC16" s="273"/>
      <c r="BD16" s="273"/>
      <c r="BE16" s="273"/>
      <c r="BF16" s="273"/>
      <c r="BG16" s="273"/>
      <c r="BH16" s="273"/>
      <c r="BI16" s="273"/>
      <c r="BJ16" s="273"/>
      <c r="BK16" s="273"/>
      <c r="BL16" s="273"/>
      <c r="BM16" s="273"/>
      <c r="BN16" s="273"/>
    </row>
    <row r="17" spans="1:66" s="665" customFormat="1" ht="15.75" thickBot="1">
      <c r="A17" s="127" t="s">
        <v>25</v>
      </c>
      <c r="B17" s="291">
        <v>2296737674.744607</v>
      </c>
      <c r="C17" s="291">
        <v>317224824.04897678</v>
      </c>
      <c r="D17" s="291">
        <v>204883634.07315338</v>
      </c>
      <c r="E17" s="291">
        <v>3191536242.8394618</v>
      </c>
      <c r="F17" s="291">
        <v>44710508.10317032</v>
      </c>
      <c r="G17" s="291">
        <v>13236654.616613019</v>
      </c>
      <c r="H17" s="291">
        <v>700299091.40480423</v>
      </c>
      <c r="I17" s="291">
        <v>82956603.674700633</v>
      </c>
      <c r="J17" s="291">
        <v>298964126.40988582</v>
      </c>
      <c r="K17" s="291">
        <v>285690111.36023009</v>
      </c>
      <c r="L17" s="291">
        <v>73676228.625896782</v>
      </c>
      <c r="M17" s="291">
        <v>92519267.121311545</v>
      </c>
      <c r="N17" s="291">
        <v>350779819.33118415</v>
      </c>
      <c r="O17" s="291">
        <v>52156006.955639891</v>
      </c>
      <c r="P17" s="291">
        <v>8289195.7841977254</v>
      </c>
      <c r="Q17" s="291">
        <v>303585974.81147587</v>
      </c>
      <c r="R17" s="291">
        <v>512319894</v>
      </c>
      <c r="S17" s="690">
        <v>8829565857.9053097</v>
      </c>
      <c r="U17" s="733">
        <f t="shared" si="1"/>
        <v>12161.20813715732</v>
      </c>
      <c r="V17" s="733">
        <f t="shared" si="1"/>
        <v>14958.688169098468</v>
      </c>
      <c r="W17" s="733">
        <f t="shared" si="1"/>
        <v>29406.549412242483</v>
      </c>
      <c r="X17" s="733">
        <f t="shared" si="1"/>
        <v>71965.684655203149</v>
      </c>
      <c r="AB17" s="733">
        <v>4221413258.4687624</v>
      </c>
      <c r="AC17" s="734">
        <v>3454367039.6323986</v>
      </c>
      <c r="AD17" s="734">
        <v>658330466.39601266</v>
      </c>
      <c r="AE17" s="735">
        <v>495455093.40813559</v>
      </c>
      <c r="AG17" s="944">
        <v>0.47809975330658366</v>
      </c>
      <c r="AH17" s="944">
        <v>0.39122728061874362</v>
      </c>
      <c r="AI17" s="944">
        <v>7.4559777568972377E-2</v>
      </c>
      <c r="AJ17" s="944">
        <v>5.6113188505700247E-2</v>
      </c>
      <c r="AL17" s="945">
        <v>0.99999999999999989</v>
      </c>
      <c r="AN17" s="273"/>
      <c r="AO17" s="273"/>
      <c r="AP17" s="273"/>
      <c r="AQ17" s="273"/>
      <c r="AR17" s="273"/>
      <c r="AS17" s="273"/>
      <c r="AT17" s="273"/>
      <c r="AU17" s="273"/>
      <c r="AV17" s="273"/>
      <c r="AW17" s="273"/>
      <c r="AX17" s="273"/>
      <c r="AY17" s="273"/>
      <c r="AZ17" s="273"/>
      <c r="BA17" s="273"/>
      <c r="BB17" s="273"/>
      <c r="BC17" s="273"/>
      <c r="BD17" s="273"/>
      <c r="BE17" s="273"/>
      <c r="BF17" s="273"/>
      <c r="BG17" s="273"/>
      <c r="BH17" s="273"/>
      <c r="BI17" s="273"/>
      <c r="BJ17" s="273"/>
      <c r="BK17" s="273"/>
      <c r="BL17" s="273"/>
      <c r="BM17" s="273"/>
      <c r="BN17" s="273"/>
    </row>
    <row r="18" spans="1:66" s="665" customFormat="1" ht="15.75" thickBot="1">
      <c r="A18" s="127" t="s">
        <v>26</v>
      </c>
      <c r="B18" s="291">
        <v>4547167866.6391487</v>
      </c>
      <c r="C18" s="291">
        <v>642550670.40558541</v>
      </c>
      <c r="D18" s="291">
        <v>258931816.69458011</v>
      </c>
      <c r="E18" s="291">
        <v>6102867251.254076</v>
      </c>
      <c r="F18" s="291">
        <v>85493985.640069798</v>
      </c>
      <c r="G18" s="291">
        <v>25311605.197375</v>
      </c>
      <c r="H18" s="291">
        <v>2270139303.592226</v>
      </c>
      <c r="I18" s="291">
        <v>263904752.93758103</v>
      </c>
      <c r="J18" s="291">
        <v>891859905.19100463</v>
      </c>
      <c r="K18" s="291">
        <v>852210244.27893353</v>
      </c>
      <c r="L18" s="291">
        <v>302089613.37275207</v>
      </c>
      <c r="M18" s="291">
        <v>315331649.48053437</v>
      </c>
      <c r="N18" s="291">
        <v>1025134079.2630994</v>
      </c>
      <c r="O18" s="291">
        <v>152398156.74491274</v>
      </c>
      <c r="P18" s="291">
        <v>16813641.575747825</v>
      </c>
      <c r="Q18" s="291">
        <v>622835093.9122498</v>
      </c>
      <c r="R18" s="291">
        <v>900356712</v>
      </c>
      <c r="S18" s="690">
        <v>19275396348.179871</v>
      </c>
      <c r="U18" s="733">
        <f t="shared" si="1"/>
        <v>10512.628059457502</v>
      </c>
      <c r="V18" s="733">
        <f t="shared" si="1"/>
        <v>13311.480871659733</v>
      </c>
      <c r="W18" s="733">
        <f t="shared" si="1"/>
        <v>29835.866019755616</v>
      </c>
      <c r="X18" s="733">
        <f t="shared" si="1"/>
        <v>68810.273889721924</v>
      </c>
      <c r="AB18" s="733">
        <v>9263768041.0625381</v>
      </c>
      <c r="AC18" s="734">
        <v>6472604658.7861013</v>
      </c>
      <c r="AD18" s="734">
        <v>2046159762.8426905</v>
      </c>
      <c r="AE18" s="735">
        <v>1492863885.4885464</v>
      </c>
      <c r="AG18" s="944">
        <v>0.48060065140695762</v>
      </c>
      <c r="AH18" s="944">
        <v>0.33579619022450313</v>
      </c>
      <c r="AI18" s="944">
        <v>0.10615396570228786</v>
      </c>
      <c r="AJ18" s="944">
        <v>7.7449192666251651E-2</v>
      </c>
      <c r="AL18" s="945">
        <v>1.0000000000000002</v>
      </c>
      <c r="AN18" s="273"/>
      <c r="AO18" s="273"/>
      <c r="AP18" s="273"/>
      <c r="AQ18" s="273"/>
      <c r="AR18" s="273"/>
      <c r="AS18" s="273"/>
      <c r="AT18" s="273"/>
      <c r="AU18" s="273"/>
      <c r="AV18" s="273"/>
      <c r="AW18" s="273"/>
      <c r="AX18" s="273"/>
      <c r="AY18" s="273"/>
      <c r="AZ18" s="273"/>
      <c r="BA18" s="273"/>
      <c r="BB18" s="273"/>
      <c r="BC18" s="273"/>
      <c r="BD18" s="273"/>
      <c r="BE18" s="273"/>
      <c r="BF18" s="273"/>
      <c r="BG18" s="273"/>
      <c r="BH18" s="273"/>
      <c r="BI18" s="273"/>
      <c r="BJ18" s="273"/>
      <c r="BK18" s="273"/>
      <c r="BL18" s="273"/>
      <c r="BM18" s="273"/>
      <c r="BN18" s="273"/>
    </row>
    <row r="19" spans="1:66" s="665" customFormat="1" ht="15.75" thickBot="1">
      <c r="A19" s="127" t="s">
        <v>27</v>
      </c>
      <c r="B19" s="291">
        <v>1498572835.4335747</v>
      </c>
      <c r="C19" s="291">
        <v>213573477.96783549</v>
      </c>
      <c r="D19" s="291">
        <v>265952916.20144683</v>
      </c>
      <c r="E19" s="291">
        <v>3272780608.8035908</v>
      </c>
      <c r="F19" s="291">
        <v>45848031.164695278</v>
      </c>
      <c r="G19" s="291">
        <v>13574196.264561156</v>
      </c>
      <c r="H19" s="291">
        <v>201280599.4050566</v>
      </c>
      <c r="I19" s="291">
        <v>28119902.742956106</v>
      </c>
      <c r="J19" s="291">
        <v>308503000.71152776</v>
      </c>
      <c r="K19" s="291">
        <v>294778795.14704007</v>
      </c>
      <c r="L19" s="291">
        <v>69586960.36166212</v>
      </c>
      <c r="M19" s="291">
        <v>75562947.116086796</v>
      </c>
      <c r="N19" s="291">
        <v>347595926.61860734</v>
      </c>
      <c r="O19" s="291">
        <v>51687018.844689883</v>
      </c>
      <c r="P19" s="291">
        <v>10314524.631524781</v>
      </c>
      <c r="Q19" s="291">
        <v>427144959.46602261</v>
      </c>
      <c r="R19" s="291">
        <v>2951543.9999999995</v>
      </c>
      <c r="S19" s="690">
        <v>7127828244.8808794</v>
      </c>
      <c r="U19" s="733">
        <f t="shared" si="1"/>
        <v>11389.17352977723</v>
      </c>
      <c r="V19" s="733">
        <f t="shared" si="1"/>
        <v>13840.054213050125</v>
      </c>
      <c r="W19" s="733">
        <f t="shared" si="1"/>
        <v>38132.229326874913</v>
      </c>
      <c r="X19" s="733">
        <f t="shared" si="1"/>
        <v>97936.977372381909</v>
      </c>
      <c r="AB19" s="733">
        <v>2381957843.6469703</v>
      </c>
      <c r="AC19" s="734">
        <v>3598155752.4342942</v>
      </c>
      <c r="AD19" s="734">
        <v>672868756.22022998</v>
      </c>
      <c r="AE19" s="735">
        <v>474845892.57938403</v>
      </c>
      <c r="AG19" s="944">
        <v>0.33417722226369073</v>
      </c>
      <c r="AH19" s="944">
        <v>0.50480393589989303</v>
      </c>
      <c r="AI19" s="944">
        <v>9.4400248308939852E-2</v>
      </c>
      <c r="AJ19" s="944">
        <v>6.6618593527476289E-2</v>
      </c>
      <c r="AL19" s="945">
        <v>1</v>
      </c>
      <c r="AN19" s="273"/>
      <c r="AO19" s="273"/>
      <c r="AP19" s="273"/>
      <c r="AQ19" s="273"/>
      <c r="AR19" s="273"/>
      <c r="AS19" s="273"/>
      <c r="AT19" s="273"/>
      <c r="AU19" s="273"/>
      <c r="AV19" s="273"/>
      <c r="AW19" s="273"/>
      <c r="AX19" s="273"/>
      <c r="AY19" s="273"/>
      <c r="AZ19" s="273"/>
      <c r="BA19" s="273"/>
      <c r="BB19" s="273"/>
      <c r="BC19" s="273"/>
      <c r="BD19" s="273"/>
      <c r="BE19" s="273"/>
      <c r="BF19" s="273"/>
      <c r="BG19" s="273"/>
      <c r="BH19" s="273"/>
      <c r="BI19" s="273"/>
      <c r="BJ19" s="273"/>
      <c r="BK19" s="273"/>
      <c r="BL19" s="273"/>
      <c r="BM19" s="273"/>
      <c r="BN19" s="273"/>
    </row>
    <row r="20" spans="1:66" s="665" customFormat="1" ht="15.75" thickBot="1">
      <c r="A20" s="127" t="s">
        <v>28</v>
      </c>
      <c r="B20" s="291">
        <v>2094312921.7431023</v>
      </c>
      <c r="C20" s="291">
        <v>334812018.30969781</v>
      </c>
      <c r="D20" s="291">
        <v>188713951.28168088</v>
      </c>
      <c r="E20" s="291">
        <v>2971203824.9005618</v>
      </c>
      <c r="F20" s="291">
        <v>41622721.554069564</v>
      </c>
      <c r="G20" s="291">
        <v>12323557.988657357</v>
      </c>
      <c r="H20" s="291">
        <v>607278204.14550793</v>
      </c>
      <c r="I20" s="291">
        <v>74651487.304722831</v>
      </c>
      <c r="J20" s="291">
        <v>322682102.11427349</v>
      </c>
      <c r="K20" s="291">
        <v>308357899.74003422</v>
      </c>
      <c r="L20" s="291">
        <v>77511197.730629459</v>
      </c>
      <c r="M20" s="291">
        <v>119295492.62578905</v>
      </c>
      <c r="N20" s="291">
        <v>378751898.57554424</v>
      </c>
      <c r="O20" s="291">
        <v>56338096.173280522</v>
      </c>
      <c r="P20" s="291">
        <v>8628676.6546876989</v>
      </c>
      <c r="Q20" s="291">
        <v>332337487.22985137</v>
      </c>
      <c r="R20" s="291">
        <v>927752886</v>
      </c>
      <c r="S20" s="690">
        <v>8856574424.0720901</v>
      </c>
      <c r="U20" s="733">
        <f t="shared" si="1"/>
        <v>11857.642394969525</v>
      </c>
      <c r="V20" s="733">
        <f t="shared" si="1"/>
        <v>14095.045548227388</v>
      </c>
      <c r="W20" s="733">
        <f t="shared" si="1"/>
        <v>30705.558759514563</v>
      </c>
      <c r="X20" s="733">
        <f t="shared" si="1"/>
        <v>72933.084055840955</v>
      </c>
      <c r="AB20" s="733">
        <v>4379773681.3875694</v>
      </c>
      <c r="AC20" s="734">
        <v>3213864055.7249699</v>
      </c>
      <c r="AD20" s="734">
        <v>708551199.5849371</v>
      </c>
      <c r="AE20" s="735">
        <v>554385487.37461376</v>
      </c>
      <c r="AG20" s="944">
        <v>0.49452231434801514</v>
      </c>
      <c r="AH20" s="944">
        <v>0.36287890801094791</v>
      </c>
      <c r="AI20" s="944">
        <v>8.0002850499297021E-2</v>
      </c>
      <c r="AJ20" s="944">
        <v>6.2595927141739921E-2</v>
      </c>
      <c r="AL20" s="945">
        <v>1</v>
      </c>
      <c r="AN20" s="273"/>
      <c r="AO20" s="273"/>
      <c r="AP20" s="273"/>
      <c r="AQ20" s="273"/>
      <c r="AR20" s="273"/>
      <c r="AS20" s="273"/>
      <c r="AT20" s="273"/>
      <c r="AU20" s="273"/>
      <c r="AV20" s="273"/>
      <c r="AW20" s="273"/>
      <c r="AX20" s="273"/>
      <c r="AY20" s="273"/>
      <c r="AZ20" s="273"/>
      <c r="BA20" s="273"/>
      <c r="BB20" s="273"/>
      <c r="BC20" s="273"/>
      <c r="BD20" s="273"/>
      <c r="BE20" s="273"/>
      <c r="BF20" s="273"/>
      <c r="BG20" s="273"/>
      <c r="BH20" s="273"/>
      <c r="BI20" s="273"/>
      <c r="BJ20" s="273"/>
      <c r="BK20" s="273"/>
      <c r="BL20" s="273"/>
      <c r="BM20" s="273"/>
      <c r="BN20" s="273"/>
    </row>
    <row r="21" spans="1:66" s="665" customFormat="1" ht="15.75" thickBot="1">
      <c r="A21" s="128" t="s">
        <v>29</v>
      </c>
      <c r="B21" s="291">
        <v>1430908237.3026438</v>
      </c>
      <c r="C21" s="291">
        <v>176964569.45895654</v>
      </c>
      <c r="D21" s="291">
        <v>126105129.59065835</v>
      </c>
      <c r="E21" s="291">
        <v>1655457105.0431418</v>
      </c>
      <c r="F21" s="291">
        <v>23191985.987502463</v>
      </c>
      <c r="G21" s="291">
        <v>6866558.7803166956</v>
      </c>
      <c r="H21" s="291">
        <v>330592177.78293204</v>
      </c>
      <c r="I21" s="291">
        <v>33537307.889115918</v>
      </c>
      <c r="J21" s="291">
        <v>218037231.83071622</v>
      </c>
      <c r="K21" s="291">
        <v>208338579.30939922</v>
      </c>
      <c r="L21" s="291">
        <v>51670459.481589578</v>
      </c>
      <c r="M21" s="291">
        <v>83595905.816896439</v>
      </c>
      <c r="N21" s="291">
        <v>352298651.56131744</v>
      </c>
      <c r="O21" s="291">
        <v>52359823.142571114</v>
      </c>
      <c r="P21" s="291">
        <v>3926329.4223054633</v>
      </c>
      <c r="Q21" s="291">
        <v>120312400.53465028</v>
      </c>
      <c r="R21" s="291">
        <v>564547926.00000012</v>
      </c>
      <c r="S21" s="690">
        <v>5438710378.9347124</v>
      </c>
      <c r="U21" s="733">
        <f t="shared" si="1"/>
        <v>11940.48502581601</v>
      </c>
      <c r="V21" s="733">
        <f t="shared" si="1"/>
        <v>14373.519459328672</v>
      </c>
      <c r="W21" s="733">
        <f t="shared" si="1"/>
        <v>28876.019217650974</v>
      </c>
      <c r="X21" s="733">
        <f t="shared" si="1"/>
        <v>73212.054756282989</v>
      </c>
      <c r="AB21" s="733">
        <v>2660788948.390604</v>
      </c>
      <c r="AC21" s="734">
        <v>1811620779.4016194</v>
      </c>
      <c r="AD21" s="734">
        <v>478046270.621705</v>
      </c>
      <c r="AE21" s="735">
        <v>488254380.52078497</v>
      </c>
      <c r="AG21" s="944">
        <v>0.48923159407355249</v>
      </c>
      <c r="AH21" s="944">
        <v>0.33309749061439525</v>
      </c>
      <c r="AI21" s="944">
        <v>8.7896989785166788E-2</v>
      </c>
      <c r="AJ21" s="944">
        <v>8.9773925526885665E-2</v>
      </c>
      <c r="AL21" s="945">
        <v>1.0000000000000002</v>
      </c>
      <c r="AN21" s="273"/>
      <c r="AO21" s="273"/>
      <c r="AP21" s="273"/>
      <c r="AQ21" s="273"/>
      <c r="AR21" s="273"/>
      <c r="AS21" s="273"/>
      <c r="AT21" s="273"/>
      <c r="AU21" s="273"/>
      <c r="AV21" s="273"/>
      <c r="AW21" s="273"/>
      <c r="AX21" s="273"/>
      <c r="AY21" s="273"/>
      <c r="AZ21" s="273"/>
      <c r="BA21" s="273"/>
      <c r="BB21" s="273"/>
      <c r="BC21" s="273"/>
      <c r="BD21" s="273"/>
      <c r="BE21" s="273"/>
      <c r="BF21" s="273"/>
      <c r="BG21" s="273"/>
      <c r="BH21" s="273"/>
      <c r="BI21" s="273"/>
      <c r="BJ21" s="273"/>
      <c r="BK21" s="273"/>
      <c r="BL21" s="273"/>
      <c r="BM21" s="273"/>
      <c r="BN21" s="273"/>
    </row>
    <row r="22" spans="1:66" s="665" customFormat="1" ht="15.75" thickBot="1">
      <c r="A22" s="127" t="s">
        <v>31</v>
      </c>
      <c r="B22" s="291">
        <v>3615371056.5866599</v>
      </c>
      <c r="C22" s="291">
        <v>540115761.72023046</v>
      </c>
      <c r="D22" s="291">
        <v>311812749.64346009</v>
      </c>
      <c r="E22" s="291">
        <v>3340320621.0932503</v>
      </c>
      <c r="F22" s="291">
        <v>46792047.201632842</v>
      </c>
      <c r="G22" s="291">
        <v>13854140.409125756</v>
      </c>
      <c r="H22" s="291">
        <v>1060065573.2137096</v>
      </c>
      <c r="I22" s="291">
        <v>137776925.87008509</v>
      </c>
      <c r="J22" s="291">
        <v>398313154.49170905</v>
      </c>
      <c r="K22" s="291">
        <v>380606588.67920136</v>
      </c>
      <c r="L22" s="291">
        <v>300502256.95809835</v>
      </c>
      <c r="M22" s="291">
        <v>134829220.11357629</v>
      </c>
      <c r="N22" s="291">
        <v>871475299.43665886</v>
      </c>
      <c r="O22" s="291">
        <v>122319338.46547566</v>
      </c>
      <c r="P22" s="291">
        <v>12581795.992011428</v>
      </c>
      <c r="Q22" s="291">
        <v>497324502.93644643</v>
      </c>
      <c r="R22" s="291">
        <v>535928658</v>
      </c>
      <c r="S22" s="690">
        <v>12319989690.811331</v>
      </c>
      <c r="U22" s="733">
        <f t="shared" si="1"/>
        <v>8998.6405619079724</v>
      </c>
      <c r="V22" s="733">
        <f t="shared" si="1"/>
        <v>12895.436984413222</v>
      </c>
      <c r="W22" s="733">
        <f t="shared" si="1"/>
        <v>18875.991278059006</v>
      </c>
      <c r="X22" s="733">
        <f t="shared" si="1"/>
        <v>74414.150765098006</v>
      </c>
      <c r="AB22" s="733">
        <v>6399164274.3191423</v>
      </c>
      <c r="AC22" s="734">
        <v>3712779558.3474693</v>
      </c>
      <c r="AD22" s="734">
        <v>1079422000.1290088</v>
      </c>
      <c r="AE22" s="735">
        <v>1128623858.0157108</v>
      </c>
      <c r="AG22" s="944">
        <v>0.51941311924082678</v>
      </c>
      <c r="AH22" s="944">
        <v>0.30136222931392442</v>
      </c>
      <c r="AI22" s="944">
        <v>8.7615495403707888E-2</v>
      </c>
      <c r="AJ22" s="944">
        <v>9.1609156041540935E-2</v>
      </c>
      <c r="AL22" s="945">
        <v>1</v>
      </c>
      <c r="AN22" s="273"/>
      <c r="AO22" s="273"/>
      <c r="AP22" s="273"/>
      <c r="AQ22" s="273"/>
      <c r="AR22" s="273"/>
      <c r="AS22" s="273"/>
      <c r="AT22" s="273"/>
      <c r="AU22" s="273"/>
      <c r="AV22" s="273"/>
      <c r="AW22" s="273"/>
      <c r="AX22" s="273"/>
      <c r="AY22" s="273"/>
      <c r="AZ22" s="273"/>
      <c r="BA22" s="273"/>
      <c r="BB22" s="273"/>
      <c r="BC22" s="273"/>
      <c r="BD22" s="273"/>
      <c r="BE22" s="273"/>
      <c r="BF22" s="273"/>
      <c r="BG22" s="273"/>
      <c r="BH22" s="273"/>
      <c r="BI22" s="273"/>
      <c r="BJ22" s="273"/>
      <c r="BK22" s="273"/>
      <c r="BL22" s="273"/>
      <c r="BM22" s="273"/>
      <c r="BN22" s="273"/>
    </row>
    <row r="23" spans="1:66" s="665" customFormat="1" ht="15.75" thickBot="1">
      <c r="A23" s="127" t="s">
        <v>32</v>
      </c>
      <c r="B23" s="291">
        <v>21755135781.664925</v>
      </c>
      <c r="C23" s="291">
        <v>2926357119.0884004</v>
      </c>
      <c r="D23" s="291">
        <v>884398328.58890629</v>
      </c>
      <c r="E23" s="291">
        <v>19818084577.459518</v>
      </c>
      <c r="F23" s="291">
        <v>277624583.27284646</v>
      </c>
      <c r="G23" s="291">
        <v>82197386.508352473</v>
      </c>
      <c r="H23" s="291">
        <v>7445785319.710762</v>
      </c>
      <c r="I23" s="291">
        <v>903722096.34656262</v>
      </c>
      <c r="J23" s="291">
        <v>5040295208.8291607</v>
      </c>
      <c r="K23" s="291">
        <v>4816101849.563426</v>
      </c>
      <c r="L23" s="291">
        <v>2638698495.9970813</v>
      </c>
      <c r="M23" s="291">
        <v>798763303.93431079</v>
      </c>
      <c r="N23" s="291">
        <v>5140027860.9489393</v>
      </c>
      <c r="O23" s="291">
        <v>567405623.61750245</v>
      </c>
      <c r="P23" s="291">
        <v>63717528.353524983</v>
      </c>
      <c r="Q23" s="291">
        <v>2392391224.0269837</v>
      </c>
      <c r="R23" s="291">
        <v>737557007.99999988</v>
      </c>
      <c r="S23" s="690">
        <v>76288263295.911209</v>
      </c>
      <c r="U23" s="733">
        <f t="shared" si="1"/>
        <v>8489.0740079571988</v>
      </c>
      <c r="V23" s="733">
        <f t="shared" si="1"/>
        <v>13383.705831164143</v>
      </c>
      <c r="W23" s="733">
        <f t="shared" si="1"/>
        <v>45360.038423901766</v>
      </c>
      <c r="X23" s="733">
        <f t="shared" si="1"/>
        <v>80034.26476815503</v>
      </c>
      <c r="AB23" s="733">
        <v>36224666077.191154</v>
      </c>
      <c r="AC23" s="734">
        <v>21062304875.829624</v>
      </c>
      <c r="AD23" s="734">
        <v>12495095554.389668</v>
      </c>
      <c r="AE23" s="735">
        <v>6506196788.5007524</v>
      </c>
      <c r="AG23" s="944">
        <v>0.47483930702001803</v>
      </c>
      <c r="AH23" s="944">
        <v>0.27608840424289083</v>
      </c>
      <c r="AI23" s="944">
        <v>0.16378791460913178</v>
      </c>
      <c r="AJ23" s="944">
        <v>8.5284374127959237E-2</v>
      </c>
      <c r="AL23" s="945">
        <v>0.99999999999999989</v>
      </c>
      <c r="AN23" s="273"/>
      <c r="AO23" s="273"/>
      <c r="AP23" s="273"/>
      <c r="AQ23" s="273"/>
      <c r="AR23" s="273"/>
      <c r="AS23" s="273"/>
      <c r="AT23" s="273"/>
      <c r="AU23" s="273"/>
      <c r="AV23" s="273"/>
      <c r="AW23" s="273"/>
      <c r="AX23" s="273"/>
      <c r="AY23" s="273"/>
      <c r="AZ23" s="273"/>
      <c r="BA23" s="273"/>
      <c r="BB23" s="273"/>
      <c r="BC23" s="273"/>
      <c r="BD23" s="273"/>
      <c r="BE23" s="273"/>
      <c r="BF23" s="273"/>
      <c r="BG23" s="273"/>
      <c r="BH23" s="273"/>
      <c r="BI23" s="273"/>
      <c r="BJ23" s="273"/>
      <c r="BK23" s="273"/>
      <c r="BL23" s="273"/>
      <c r="BM23" s="273"/>
      <c r="BN23" s="273"/>
    </row>
    <row r="24" spans="1:66" s="665" customFormat="1" ht="15.75" thickBot="1">
      <c r="A24" s="127" t="s">
        <v>33</v>
      </c>
      <c r="B24" s="291">
        <v>12631133815.657152</v>
      </c>
      <c r="C24" s="291">
        <v>1953974325.5911</v>
      </c>
      <c r="D24" s="291">
        <v>644082177.68949986</v>
      </c>
      <c r="E24" s="291">
        <v>7464271456.4354248</v>
      </c>
      <c r="F24" s="291">
        <v>104565044.26007192</v>
      </c>
      <c r="G24" s="291">
        <v>30957967.628933061</v>
      </c>
      <c r="H24" s="291">
        <v>5516839351.5168715</v>
      </c>
      <c r="I24" s="291">
        <v>537931055.68040657</v>
      </c>
      <c r="J24" s="291">
        <v>1196872933.6804841</v>
      </c>
      <c r="K24" s="291">
        <v>1143661189.1303151</v>
      </c>
      <c r="L24" s="291">
        <v>355216210.03668684</v>
      </c>
      <c r="M24" s="291">
        <v>1171033474.6265333</v>
      </c>
      <c r="N24" s="291">
        <v>3484351702.8649344</v>
      </c>
      <c r="O24" s="291">
        <v>533786235.60840595</v>
      </c>
      <c r="P24" s="291">
        <v>26504093.728643488</v>
      </c>
      <c r="Q24" s="291">
        <v>801664094.8404907</v>
      </c>
      <c r="R24" s="291">
        <v>13219214856.000002</v>
      </c>
      <c r="S24" s="690">
        <v>50816059984.975952</v>
      </c>
      <c r="U24" s="733">
        <f t="shared" si="1"/>
        <v>10010.449110978961</v>
      </c>
      <c r="V24" s="733">
        <f t="shared" si="1"/>
        <v>14564.400374938874</v>
      </c>
      <c r="W24" s="733">
        <f t="shared" si="1"/>
        <v>23593.651100861392</v>
      </c>
      <c r="X24" s="733">
        <f t="shared" si="1"/>
        <v>81405.093332046861</v>
      </c>
      <c r="AB24" s="733">
        <v>34687261593.014671</v>
      </c>
      <c r="AC24" s="734">
        <v>8243876646.0139294</v>
      </c>
      <c r="AD24" s="734">
        <v>2695750332.847486</v>
      </c>
      <c r="AE24" s="735">
        <v>5189171413.0998735</v>
      </c>
      <c r="AG24" s="944">
        <v>0.68260431059137905</v>
      </c>
      <c r="AH24" s="944">
        <v>0.16222974879302482</v>
      </c>
      <c r="AI24" s="944">
        <v>5.3049180389910189E-2</v>
      </c>
      <c r="AJ24" s="944">
        <v>0.10211676022568614</v>
      </c>
      <c r="AL24" s="945">
        <v>1.0000000000000002</v>
      </c>
      <c r="AN24" s="273"/>
      <c r="AO24" s="273"/>
      <c r="AP24" s="273"/>
      <c r="AQ24" s="273"/>
      <c r="AR24" s="273"/>
      <c r="AS24" s="273"/>
      <c r="AT24" s="273"/>
      <c r="AU24" s="273"/>
      <c r="AV24" s="273"/>
      <c r="AW24" s="273"/>
      <c r="AX24" s="273"/>
      <c r="AY24" s="273"/>
      <c r="AZ24" s="273"/>
      <c r="BA24" s="273"/>
      <c r="BB24" s="273"/>
      <c r="BC24" s="273"/>
      <c r="BD24" s="273"/>
      <c r="BE24" s="273"/>
      <c r="BF24" s="273"/>
      <c r="BG24" s="273"/>
      <c r="BH24" s="273"/>
      <c r="BI24" s="273"/>
      <c r="BJ24" s="273"/>
      <c r="BK24" s="273"/>
      <c r="BL24" s="273"/>
      <c r="BM24" s="273"/>
      <c r="BN24" s="273"/>
    </row>
    <row r="25" spans="1:66" s="665" customFormat="1" ht="15.75" thickBot="1">
      <c r="A25" s="128" t="s">
        <v>34</v>
      </c>
      <c r="B25" s="291">
        <v>50590692744.839348</v>
      </c>
      <c r="C25" s="291">
        <v>6479279352.0579634</v>
      </c>
      <c r="D25" s="291">
        <v>2721265545.0934553</v>
      </c>
      <c r="E25" s="291">
        <v>37919089281.073845</v>
      </c>
      <c r="F25" s="291">
        <v>531201371.88977939</v>
      </c>
      <c r="G25" s="291">
        <v>157273916.46827379</v>
      </c>
      <c r="H25" s="291">
        <v>53810610779.277565</v>
      </c>
      <c r="I25" s="291">
        <v>5896696044.0713348</v>
      </c>
      <c r="J25" s="291">
        <v>6960342491.4688311</v>
      </c>
      <c r="K25" s="291">
        <v>6650842035.2247171</v>
      </c>
      <c r="L25" s="291">
        <v>3946714791.968689</v>
      </c>
      <c r="M25" s="291">
        <v>2224575263.9772081</v>
      </c>
      <c r="N25" s="291">
        <v>10478747282.297215</v>
      </c>
      <c r="O25" s="291">
        <v>1175932468.0635877</v>
      </c>
      <c r="P25" s="291">
        <v>133567904.73866197</v>
      </c>
      <c r="Q25" s="291">
        <v>4626976037.2436647</v>
      </c>
      <c r="R25" s="291">
        <v>5461196820</v>
      </c>
      <c r="S25" s="690">
        <v>199765004129.75412</v>
      </c>
      <c r="U25" s="733">
        <f t="shared" si="1"/>
        <v>8736.9034632401217</v>
      </c>
      <c r="V25" s="733">
        <f t="shared" si="1"/>
        <v>12959.338593247308</v>
      </c>
      <c r="W25" s="733">
        <f t="shared" si="1"/>
        <v>27303.84256894486</v>
      </c>
      <c r="X25" s="733">
        <f t="shared" si="1"/>
        <v>67556.868760547877</v>
      </c>
      <c r="AB25" s="733">
        <v>126999019682.22853</v>
      </c>
      <c r="AC25" s="734">
        <v>41328830114.525352</v>
      </c>
      <c r="AD25" s="734">
        <v>17557899318.662239</v>
      </c>
      <c r="AE25" s="735">
        <v>13879255014.338009</v>
      </c>
      <c r="AG25" s="944">
        <v>0.63574208223047102</v>
      </c>
      <c r="AH25" s="944">
        <v>0.20688723880625698</v>
      </c>
      <c r="AI25" s="944">
        <v>8.7892768781752131E-2</v>
      </c>
      <c r="AJ25" s="944">
        <v>6.94779101815199E-2</v>
      </c>
      <c r="AL25" s="945">
        <v>1</v>
      </c>
      <c r="AN25" s="273"/>
      <c r="AO25" s="273"/>
      <c r="AP25" s="273"/>
      <c r="AQ25" s="273"/>
      <c r="AR25" s="273"/>
      <c r="AS25" s="273"/>
      <c r="AT25" s="273"/>
      <c r="AU25" s="273"/>
      <c r="AV25" s="273"/>
      <c r="AW25" s="273"/>
      <c r="AX25" s="273"/>
      <c r="AY25" s="273"/>
      <c r="AZ25" s="273"/>
      <c r="BA25" s="273"/>
      <c r="BB25" s="273"/>
      <c r="BC25" s="273"/>
      <c r="BD25" s="273"/>
      <c r="BE25" s="273"/>
      <c r="BF25" s="273"/>
      <c r="BG25" s="273"/>
      <c r="BH25" s="273"/>
      <c r="BI25" s="273"/>
      <c r="BJ25" s="273"/>
      <c r="BK25" s="273"/>
      <c r="BL25" s="273"/>
      <c r="BM25" s="273"/>
      <c r="BN25" s="273"/>
    </row>
    <row r="26" spans="1:66" s="665" customFormat="1" ht="15.75" thickBot="1">
      <c r="A26" s="127" t="s">
        <v>36</v>
      </c>
      <c r="B26" s="291">
        <v>12260385046.355785</v>
      </c>
      <c r="C26" s="291">
        <v>1529529164.1641865</v>
      </c>
      <c r="D26" s="291">
        <v>922621867.77249563</v>
      </c>
      <c r="E26" s="291">
        <v>8573014216.2153559</v>
      </c>
      <c r="F26" s="291">
        <v>120098170.76964271</v>
      </c>
      <c r="G26" s="291">
        <v>35558571.065379597</v>
      </c>
      <c r="H26" s="291">
        <v>7438219912.6743116</v>
      </c>
      <c r="I26" s="291">
        <v>834408807.36962152</v>
      </c>
      <c r="J26" s="291">
        <v>2632702118.717195</v>
      </c>
      <c r="K26" s="291">
        <v>2515684719.587235</v>
      </c>
      <c r="L26" s="291">
        <v>2398154374.7009511</v>
      </c>
      <c r="M26" s="291">
        <v>363366756.94509608</v>
      </c>
      <c r="N26" s="291">
        <v>2464860267.3127451</v>
      </c>
      <c r="O26" s="291">
        <v>291255841.62605</v>
      </c>
      <c r="P26" s="291">
        <v>51611742.988026582</v>
      </c>
      <c r="Q26" s="291">
        <v>1805443974.3266966</v>
      </c>
      <c r="R26" s="291">
        <v>403541946</v>
      </c>
      <c r="S26" s="690">
        <v>44640457498.590782</v>
      </c>
      <c r="U26" s="733">
        <f t="shared" si="1"/>
        <v>8006.7528666656699</v>
      </c>
      <c r="V26" s="733">
        <f t="shared" si="1"/>
        <v>11653.246439975528</v>
      </c>
      <c r="W26" s="733">
        <f t="shared" si="1"/>
        <v>29965.712991215638</v>
      </c>
      <c r="X26" s="733">
        <f t="shared" si="1"/>
        <v>71855.049154703695</v>
      </c>
      <c r="AB26" s="733">
        <v>24323140593.878628</v>
      </c>
      <c r="AC26" s="734">
        <v>9651292825.8228741</v>
      </c>
      <c r="AD26" s="734">
        <v>7546541213.0053806</v>
      </c>
      <c r="AE26" s="735">
        <v>3119482865.8838911</v>
      </c>
      <c r="AG26" s="944">
        <v>0.54486763704530727</v>
      </c>
      <c r="AH26" s="944">
        <v>0.21620058051886112</v>
      </c>
      <c r="AI26" s="944">
        <v>0.1690516100387997</v>
      </c>
      <c r="AJ26" s="944">
        <v>6.9880172397031717E-2</v>
      </c>
      <c r="AL26" s="945">
        <v>0.99999999999999978</v>
      </c>
      <c r="AN26" s="273"/>
      <c r="AO26" s="273"/>
      <c r="AP26" s="273"/>
      <c r="AQ26" s="273"/>
      <c r="AR26" s="273"/>
      <c r="AS26" s="273"/>
      <c r="AT26" s="273"/>
      <c r="AU26" s="273"/>
      <c r="AV26" s="273"/>
      <c r="AW26" s="273"/>
      <c r="AX26" s="273"/>
      <c r="AY26" s="273"/>
      <c r="AZ26" s="273"/>
      <c r="BA26" s="273"/>
      <c r="BB26" s="273"/>
      <c r="BC26" s="273"/>
      <c r="BD26" s="273"/>
      <c r="BE26" s="273"/>
      <c r="BF26" s="273"/>
      <c r="BG26" s="273"/>
      <c r="BH26" s="273"/>
      <c r="BI26" s="273"/>
      <c r="BJ26" s="273"/>
      <c r="BK26" s="273"/>
      <c r="BL26" s="273"/>
      <c r="BM26" s="273"/>
      <c r="BN26" s="273"/>
    </row>
    <row r="27" spans="1:66" s="665" customFormat="1" ht="15.75" thickBot="1">
      <c r="A27" s="127" t="s">
        <v>37</v>
      </c>
      <c r="B27" s="291">
        <v>18181430994.681988</v>
      </c>
      <c r="C27" s="291">
        <v>1976515017.6456852</v>
      </c>
      <c r="D27" s="291">
        <v>739066012.7789253</v>
      </c>
      <c r="E27" s="291">
        <v>10178271446.6175</v>
      </c>
      <c r="F27" s="291">
        <v>142583625.21819252</v>
      </c>
      <c r="G27" s="291">
        <v>42215401.160444029</v>
      </c>
      <c r="H27" s="291">
        <v>2543505797.1742806</v>
      </c>
      <c r="I27" s="291">
        <v>252195447.05691913</v>
      </c>
      <c r="J27" s="291">
        <v>2411657895.6185613</v>
      </c>
      <c r="K27" s="291">
        <v>2304450394.761888</v>
      </c>
      <c r="L27" s="291">
        <v>1695099542.5998602</v>
      </c>
      <c r="M27" s="291">
        <v>419003299.39225423</v>
      </c>
      <c r="N27" s="291">
        <v>2594547609.268518</v>
      </c>
      <c r="O27" s="291">
        <v>306617432.88833386</v>
      </c>
      <c r="P27" s="291">
        <v>52207576.805952936</v>
      </c>
      <c r="Q27" s="291">
        <v>1588340354.1696188</v>
      </c>
      <c r="R27" s="291">
        <v>1056523446.0000002</v>
      </c>
      <c r="S27" s="690">
        <v>46484231293.838928</v>
      </c>
      <c r="U27" s="733">
        <f t="shared" si="1"/>
        <v>8157.1495548824432</v>
      </c>
      <c r="V27" s="733">
        <f t="shared" si="1"/>
        <v>13205.790722668826</v>
      </c>
      <c r="W27" s="733">
        <f t="shared" si="1"/>
        <v>30755.429571754183</v>
      </c>
      <c r="X27" s="733">
        <f t="shared" si="1"/>
        <v>75284.803621506479</v>
      </c>
      <c r="AB27" s="733">
        <v>25650718633.534451</v>
      </c>
      <c r="AC27" s="734">
        <v>11102136485.775063</v>
      </c>
      <c r="AD27" s="734">
        <v>6411207832.9803095</v>
      </c>
      <c r="AE27" s="735">
        <v>3320168341.5491061</v>
      </c>
      <c r="AG27" s="944">
        <v>0.55181548494132515</v>
      </c>
      <c r="AH27" s="944">
        <v>0.23883661570298037</v>
      </c>
      <c r="AI27" s="944">
        <v>0.13792220833885357</v>
      </c>
      <c r="AJ27" s="944">
        <v>7.1425691016840903E-2</v>
      </c>
      <c r="AL27" s="945">
        <v>1</v>
      </c>
      <c r="AN27" s="273"/>
      <c r="AO27" s="273"/>
      <c r="AP27" s="273"/>
      <c r="AQ27" s="273"/>
      <c r="AR27" s="273"/>
      <c r="AS27" s="273"/>
      <c r="AT27" s="273"/>
      <c r="AU27" s="273"/>
      <c r="AV27" s="273"/>
      <c r="AW27" s="273"/>
      <c r="AX27" s="273"/>
      <c r="AY27" s="273"/>
      <c r="AZ27" s="273"/>
      <c r="BA27" s="273"/>
      <c r="BB27" s="273"/>
      <c r="BC27" s="273"/>
      <c r="BD27" s="273"/>
      <c r="BE27" s="273"/>
      <c r="BF27" s="273"/>
      <c r="BG27" s="273"/>
      <c r="BH27" s="273"/>
      <c r="BI27" s="273"/>
      <c r="BJ27" s="273"/>
      <c r="BK27" s="273"/>
      <c r="BL27" s="273"/>
      <c r="BM27" s="273"/>
      <c r="BN27" s="273"/>
    </row>
    <row r="28" spans="1:66" s="665" customFormat="1" ht="15.75" thickBot="1">
      <c r="A28" s="128" t="s">
        <v>38</v>
      </c>
      <c r="B28" s="291">
        <v>10961296329.454668</v>
      </c>
      <c r="C28" s="291">
        <v>1293563194.3452759</v>
      </c>
      <c r="D28" s="291">
        <v>973497863.66190267</v>
      </c>
      <c r="E28" s="291">
        <v>8289613574.286438</v>
      </c>
      <c r="F28" s="291">
        <v>116126717.92127842</v>
      </c>
      <c r="G28" s="291">
        <v>34383201.318557672</v>
      </c>
      <c r="H28" s="291">
        <v>3128472239.9894385</v>
      </c>
      <c r="I28" s="291">
        <v>329898807.27914137</v>
      </c>
      <c r="J28" s="291">
        <v>1577999517.8234115</v>
      </c>
      <c r="K28" s="291">
        <v>1507844680.215935</v>
      </c>
      <c r="L28" s="291">
        <v>1445579809.144027</v>
      </c>
      <c r="M28" s="291">
        <v>222026463.68457529</v>
      </c>
      <c r="N28" s="291">
        <v>1228246399.8870139</v>
      </c>
      <c r="O28" s="291">
        <v>145123081.4659844</v>
      </c>
      <c r="P28" s="291">
        <v>32540227.463925436</v>
      </c>
      <c r="Q28" s="291">
        <v>1046327037.5726767</v>
      </c>
      <c r="R28" s="291">
        <v>1790039124</v>
      </c>
      <c r="S28" s="690">
        <v>34122578269.514244</v>
      </c>
      <c r="U28" s="733">
        <f t="shared" si="1"/>
        <v>8801.7300523712383</v>
      </c>
      <c r="V28" s="733">
        <f t="shared" si="1"/>
        <v>13197.542857605054</v>
      </c>
      <c r="W28" s="733">
        <f t="shared" si="1"/>
        <v>30183.262448141908</v>
      </c>
      <c r="X28" s="733">
        <f t="shared" si="1"/>
        <v>69543.59145530466</v>
      </c>
      <c r="AB28" s="733">
        <v>18582136960.105125</v>
      </c>
      <c r="AC28" s="734">
        <v>9413621357.1881771</v>
      </c>
      <c r="AD28" s="734">
        <v>4531424007.1833735</v>
      </c>
      <c r="AE28" s="735">
        <v>1595395945.0375736</v>
      </c>
      <c r="AG28" s="944">
        <v>0.54457013222552286</v>
      </c>
      <c r="AH28" s="944">
        <v>0.27587661409508685</v>
      </c>
      <c r="AI28" s="944">
        <v>0.13279840612840893</v>
      </c>
      <c r="AJ28" s="944">
        <v>4.6754847550981526E-2</v>
      </c>
      <c r="AL28" s="945">
        <v>1.0000000000000002</v>
      </c>
      <c r="AN28" s="273"/>
      <c r="AO28" s="273"/>
      <c r="AP28" s="273"/>
      <c r="AQ28" s="273"/>
      <c r="AR28" s="273"/>
      <c r="AS28" s="273"/>
      <c r="AT28" s="273"/>
      <c r="AU28" s="273"/>
      <c r="AV28" s="273"/>
      <c r="AW28" s="273"/>
      <c r="AX28" s="273"/>
      <c r="AY28" s="273"/>
      <c r="AZ28" s="273"/>
      <c r="BA28" s="273"/>
      <c r="BB28" s="273"/>
      <c r="BC28" s="273"/>
      <c r="BD28" s="273"/>
      <c r="BE28" s="273"/>
      <c r="BF28" s="273"/>
      <c r="BG28" s="273"/>
      <c r="BH28" s="273"/>
      <c r="BI28" s="273"/>
      <c r="BJ28" s="273"/>
      <c r="BK28" s="273"/>
      <c r="BL28" s="273"/>
      <c r="BM28" s="273"/>
      <c r="BN28" s="273"/>
    </row>
    <row r="29" spans="1:66" ht="15.75" thickBot="1">
      <c r="A29" s="127" t="s">
        <v>40</v>
      </c>
      <c r="B29" s="291">
        <v>6914690680.4434443</v>
      </c>
      <c r="C29" s="291">
        <v>703206806.18555033</v>
      </c>
      <c r="D29" s="291">
        <v>61216547.904936962</v>
      </c>
      <c r="E29" s="291">
        <v>1495748937.7323842</v>
      </c>
      <c r="F29" s="291">
        <v>20952986.716977559</v>
      </c>
      <c r="G29" s="291">
        <v>6204292.1722092759</v>
      </c>
      <c r="H29" s="291">
        <v>1515659398.7851896</v>
      </c>
      <c r="I29" s="291">
        <v>144849501.75242898</v>
      </c>
      <c r="J29" s="291">
        <v>429950068.20648527</v>
      </c>
      <c r="K29" s="291">
        <v>410824703.1035071</v>
      </c>
      <c r="L29" s="291">
        <v>150961332.21539462</v>
      </c>
      <c r="M29" s="291">
        <v>103157147.27232075</v>
      </c>
      <c r="N29" s="291">
        <v>668494926.15426207</v>
      </c>
      <c r="O29" s="291">
        <v>69711407.296128273</v>
      </c>
      <c r="P29" s="291">
        <v>11985891.992408462</v>
      </c>
      <c r="Q29" s="291">
        <v>349647073.56997937</v>
      </c>
      <c r="R29" s="291">
        <v>0</v>
      </c>
      <c r="S29" s="690">
        <v>13057261701.503607</v>
      </c>
      <c r="U29" s="733">
        <f t="shared" si="1"/>
        <v>9889.2534028649898</v>
      </c>
      <c r="V29" s="733">
        <f t="shared" si="1"/>
        <v>13633.341015187279</v>
      </c>
      <c r="W29" s="733">
        <f t="shared" si="1"/>
        <v>47514.235333107856</v>
      </c>
      <c r="X29" s="733">
        <f t="shared" si="1"/>
        <v>62266.57751769173</v>
      </c>
      <c r="AB29" s="733">
        <v>9640039352.7290001</v>
      </c>
      <c r="AC29" s="734">
        <v>1584122764.5265081</v>
      </c>
      <c r="AD29" s="734">
        <v>991736103.52538693</v>
      </c>
      <c r="AE29" s="735">
        <v>841363480.72271109</v>
      </c>
      <c r="AG29" s="944">
        <v>0.73828951070337379</v>
      </c>
      <c r="AH29" s="944">
        <v>0.12132120813233671</v>
      </c>
      <c r="AI29" s="944">
        <v>7.5952839592024396E-2</v>
      </c>
      <c r="AJ29" s="944">
        <v>6.4436441572265038E-2</v>
      </c>
      <c r="AL29" s="945">
        <v>0.99999999999999989</v>
      </c>
    </row>
    <row r="30" spans="1:66" ht="15.75" thickBot="1">
      <c r="A30" s="127" t="s">
        <v>41</v>
      </c>
      <c r="B30" s="291">
        <v>6470651463.8206501</v>
      </c>
      <c r="C30" s="291">
        <v>969135185.26182163</v>
      </c>
      <c r="D30" s="291">
        <v>854751690.27279592</v>
      </c>
      <c r="E30" s="291">
        <v>6810189542.3035564</v>
      </c>
      <c r="F30" s="291">
        <v>95403120.358674288</v>
      </c>
      <c r="G30" s="291">
        <v>28244840.640952472</v>
      </c>
      <c r="H30" s="291">
        <v>4717990383.1976042</v>
      </c>
      <c r="I30" s="291">
        <v>643212260.6613214</v>
      </c>
      <c r="J30" s="291">
        <v>1676316467.5654016</v>
      </c>
      <c r="K30" s="291">
        <v>1601784545.5272992</v>
      </c>
      <c r="L30" s="291">
        <v>1111170307.1005528</v>
      </c>
      <c r="M30" s="291">
        <v>106577837.21942395</v>
      </c>
      <c r="N30" s="291">
        <v>1097749495.0745609</v>
      </c>
      <c r="O30" s="291">
        <v>114488524.44876339</v>
      </c>
      <c r="P30" s="291">
        <v>24018128.743510209</v>
      </c>
      <c r="Q30" s="291">
        <v>1025397262.9515117</v>
      </c>
      <c r="R30" s="291">
        <v>0</v>
      </c>
      <c r="S30" s="690">
        <v>27347081055.148403</v>
      </c>
      <c r="U30" s="733">
        <f t="shared" si="1"/>
        <v>10905.954761945313</v>
      </c>
      <c r="V30" s="733">
        <f t="shared" si="1"/>
        <v>12118.702905930635</v>
      </c>
      <c r="W30" s="733">
        <f t="shared" si="1"/>
        <v>49920.198846998217</v>
      </c>
      <c r="X30" s="733">
        <f t="shared" si="1"/>
        <v>67383.755515819488</v>
      </c>
      <c r="AB30" s="733">
        <v>13850404684.636417</v>
      </c>
      <c r="AC30" s="734">
        <v>7788589193.5759783</v>
      </c>
      <c r="AD30" s="734">
        <v>4389271320.1932535</v>
      </c>
      <c r="AE30" s="735">
        <v>1318815856.7427483</v>
      </c>
      <c r="AG30" s="944">
        <v>0.50646738702041183</v>
      </c>
      <c r="AH30" s="944">
        <v>0.2848051379914891</v>
      </c>
      <c r="AI30" s="944">
        <v>0.16050236993636741</v>
      </c>
      <c r="AJ30" s="944">
        <v>4.8225105051731505E-2</v>
      </c>
      <c r="AL30" s="945">
        <v>0.99999999999999978</v>
      </c>
    </row>
    <row r="31" spans="1:66" ht="15.75" thickBot="1">
      <c r="A31" s="127" t="s">
        <v>42</v>
      </c>
      <c r="B31" s="291">
        <v>1673730268.616168</v>
      </c>
      <c r="C31" s="291">
        <v>290059037.30090755</v>
      </c>
      <c r="D31" s="291">
        <v>643047651.78871393</v>
      </c>
      <c r="E31" s="291">
        <v>4497967209.9397192</v>
      </c>
      <c r="F31" s="291">
        <v>63010400.604172647</v>
      </c>
      <c r="G31" s="291">
        <v>18656868.739037793</v>
      </c>
      <c r="H31" s="291">
        <v>2352316561.2913084</v>
      </c>
      <c r="I31" s="291">
        <v>375777442.56111729</v>
      </c>
      <c r="J31" s="291">
        <v>1295256540.0577984</v>
      </c>
      <c r="K31" s="291">
        <v>1237673071.333014</v>
      </c>
      <c r="L31" s="291">
        <v>1449507872.9077322</v>
      </c>
      <c r="M31" s="291">
        <v>52498091.716148376</v>
      </c>
      <c r="N31" s="291">
        <v>583834446.36825824</v>
      </c>
      <c r="O31" s="291">
        <v>60905548.546460427</v>
      </c>
      <c r="P31" s="291">
        <v>20583992.790048413</v>
      </c>
      <c r="Q31" s="291">
        <v>1010303185.5326641</v>
      </c>
      <c r="R31" s="291">
        <v>0</v>
      </c>
      <c r="S31" s="690">
        <v>15625128190.093267</v>
      </c>
      <c r="U31" s="733">
        <f t="shared" si="1"/>
        <v>11720.22454551298</v>
      </c>
      <c r="V31" s="733">
        <f t="shared" si="1"/>
        <v>12281.372811692045</v>
      </c>
      <c r="W31" s="733">
        <f t="shared" si="1"/>
        <v>64357.410227036627</v>
      </c>
      <c r="X31" s="733">
        <f t="shared" si="1"/>
        <v>85469.926393548798</v>
      </c>
      <c r="AB31" s="733">
        <v>5722770488.0922136</v>
      </c>
      <c r="AC31" s="734">
        <v>5222682131.0716438</v>
      </c>
      <c r="AD31" s="734">
        <v>3982437484.2985449</v>
      </c>
      <c r="AE31" s="735">
        <v>697238086.630867</v>
      </c>
      <c r="AG31" s="944">
        <v>0.36625430642678486</v>
      </c>
      <c r="AH31" s="944">
        <v>0.33424891415501851</v>
      </c>
      <c r="AI31" s="944">
        <v>0.25487390796726472</v>
      </c>
      <c r="AJ31" s="944">
        <v>4.4622871450932085E-2</v>
      </c>
      <c r="AL31" s="945">
        <v>1.0000000000000002</v>
      </c>
    </row>
    <row r="32" spans="1:66" ht="15.75" thickBot="1">
      <c r="A32" s="128" t="s">
        <v>43</v>
      </c>
      <c r="B32" s="291">
        <v>2502165948.2107048</v>
      </c>
      <c r="C32" s="291">
        <v>375377202.92437077</v>
      </c>
      <c r="D32" s="291">
        <v>332538487.17095929</v>
      </c>
      <c r="E32" s="291">
        <v>2766463261.8083944</v>
      </c>
      <c r="F32" s="291">
        <v>38755752.573616795</v>
      </c>
      <c r="G32" s="291">
        <v>11473742.538241811</v>
      </c>
      <c r="H32" s="291">
        <v>1269168827.4100401</v>
      </c>
      <c r="I32" s="291">
        <v>172029259.77280647</v>
      </c>
      <c r="J32" s="291">
        <v>937379409.67037714</v>
      </c>
      <c r="K32" s="291">
        <v>895670921.46726799</v>
      </c>
      <c r="L32" s="291">
        <v>680591244.65261948</v>
      </c>
      <c r="M32" s="291">
        <v>47160454.808858491</v>
      </c>
      <c r="N32" s="291">
        <v>502232241.01075244</v>
      </c>
      <c r="O32" s="291">
        <v>52369603.183043957</v>
      </c>
      <c r="P32" s="291">
        <v>15301395.470447026</v>
      </c>
      <c r="Q32" s="291">
        <v>642109431.948295</v>
      </c>
      <c r="R32" s="291">
        <v>137084370</v>
      </c>
      <c r="S32" s="690">
        <v>11377871554.620798</v>
      </c>
      <c r="U32" s="733">
        <f t="shared" si="1"/>
        <v>10177.938971417048</v>
      </c>
      <c r="V32" s="733">
        <f t="shared" si="1"/>
        <v>12174.080227935214</v>
      </c>
      <c r="W32" s="733">
        <f t="shared" si="1"/>
        <v>59373.786584256137</v>
      </c>
      <c r="X32" s="733">
        <f t="shared" si="1"/>
        <v>79700.577591972266</v>
      </c>
      <c r="AB32" s="733">
        <v>5113236435.7366629</v>
      </c>
      <c r="AC32" s="734">
        <v>3149231244.0912127</v>
      </c>
      <c r="AD32" s="734">
        <v>2513641575.7902646</v>
      </c>
      <c r="AE32" s="735">
        <v>601762299.00265491</v>
      </c>
      <c r="AG32" s="944">
        <v>0.44940184209234352</v>
      </c>
      <c r="AH32" s="944">
        <v>0.27678562101645826</v>
      </c>
      <c r="AI32" s="944">
        <v>0.22092370824571497</v>
      </c>
      <c r="AJ32" s="944">
        <v>5.288882864548302E-2</v>
      </c>
      <c r="AL32" s="945">
        <v>0.99999999999999978</v>
      </c>
    </row>
    <row r="33" spans="1:66" s="1" customFormat="1" ht="15.75" thickBot="1"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T33" s="665"/>
      <c r="U33" s="732"/>
      <c r="V33" s="732"/>
      <c r="W33" s="665"/>
      <c r="X33" s="665"/>
      <c r="Y33" s="665"/>
      <c r="Z33" s="665"/>
      <c r="AA33" s="665"/>
      <c r="AB33" s="732"/>
      <c r="AC33" s="732"/>
      <c r="AD33" s="665"/>
      <c r="AE33" s="665"/>
      <c r="AF33" s="665"/>
      <c r="AG33" s="732"/>
      <c r="AH33" s="732"/>
      <c r="AI33" s="665"/>
      <c r="AJ33" s="665"/>
      <c r="AK33" s="665"/>
      <c r="AL33" s="945">
        <v>0</v>
      </c>
      <c r="AM33" s="665"/>
      <c r="AN33" s="273"/>
      <c r="AO33" s="273"/>
      <c r="AP33" s="273"/>
      <c r="AQ33" s="273"/>
      <c r="AR33" s="273"/>
      <c r="AS33" s="273"/>
      <c r="AT33" s="273"/>
      <c r="AU33" s="273"/>
      <c r="AV33" s="273"/>
      <c r="AW33" s="273"/>
      <c r="AX33" s="273"/>
      <c r="AY33" s="273"/>
      <c r="AZ33" s="273"/>
      <c r="BA33" s="273"/>
      <c r="BB33" s="273"/>
      <c r="BC33" s="273"/>
      <c r="BD33" s="273"/>
      <c r="BE33" s="273"/>
      <c r="BF33" s="273"/>
      <c r="BG33" s="273"/>
      <c r="BH33" s="273"/>
      <c r="BI33" s="273"/>
      <c r="BJ33" s="273"/>
      <c r="BK33" s="273"/>
      <c r="BL33" s="273"/>
      <c r="BM33" s="273"/>
      <c r="BN33" s="273"/>
    </row>
    <row r="34" spans="1:66" ht="15.75" customHeight="1" thickBot="1">
      <c r="A34" s="1051" t="s">
        <v>116</v>
      </c>
      <c r="B34" s="1054">
        <v>2010</v>
      </c>
      <c r="C34" s="1055"/>
      <c r="D34" s="1055"/>
      <c r="E34" s="1055"/>
      <c r="F34" s="1055"/>
      <c r="G34" s="1055"/>
      <c r="H34" s="1055"/>
      <c r="I34" s="1055"/>
      <c r="J34" s="1055"/>
      <c r="K34" s="1055"/>
      <c r="L34" s="1055"/>
      <c r="M34" s="1055"/>
      <c r="N34" s="1055"/>
      <c r="O34" s="1055"/>
      <c r="P34" s="1055"/>
      <c r="Q34" s="1055"/>
      <c r="R34" s="1078"/>
      <c r="S34" s="1057" t="s">
        <v>96</v>
      </c>
      <c r="U34" s="732"/>
      <c r="AB34" s="732"/>
      <c r="AG34" s="732"/>
      <c r="AL34" s="945">
        <v>0</v>
      </c>
    </row>
    <row r="35" spans="1:66" ht="15.75" thickBot="1">
      <c r="A35" s="1052"/>
      <c r="B35" s="1060" t="s">
        <v>97</v>
      </c>
      <c r="C35" s="1061"/>
      <c r="D35" s="1061"/>
      <c r="E35" s="1061"/>
      <c r="F35" s="1061"/>
      <c r="G35" s="1061"/>
      <c r="H35" s="1061" t="s">
        <v>98</v>
      </c>
      <c r="I35" s="1061"/>
      <c r="J35" s="1061" t="s">
        <v>99</v>
      </c>
      <c r="K35" s="1061"/>
      <c r="L35" s="1061"/>
      <c r="M35" s="1061"/>
      <c r="N35" s="1061"/>
      <c r="O35" s="1061"/>
      <c r="P35" s="1061"/>
      <c r="Q35" s="1061"/>
      <c r="R35" s="289" t="s">
        <v>100</v>
      </c>
      <c r="S35" s="1058"/>
      <c r="U35" s="1068">
        <v>2010</v>
      </c>
      <c r="V35" s="1069"/>
      <c r="W35" s="1069"/>
      <c r="X35" s="1070"/>
      <c r="AB35" s="1068">
        <v>2010</v>
      </c>
      <c r="AC35" s="1069"/>
      <c r="AD35" s="1069"/>
      <c r="AE35" s="1070"/>
      <c r="AG35" s="1068">
        <v>2010</v>
      </c>
      <c r="AH35" s="1069"/>
      <c r="AI35" s="1069"/>
      <c r="AJ35" s="1070"/>
      <c r="AL35" s="945">
        <v>2010</v>
      </c>
      <c r="AN35" s="1068">
        <v>2010</v>
      </c>
      <c r="AO35" s="1069"/>
      <c r="AP35" s="1069"/>
      <c r="AQ35" s="1070"/>
      <c r="AT35" s="1068" t="s">
        <v>117</v>
      </c>
      <c r="AU35" s="1069"/>
      <c r="AV35" s="1069"/>
      <c r="AW35" s="1069"/>
      <c r="AX35" s="1070"/>
    </row>
    <row r="36" spans="1:66">
      <c r="A36" s="1052"/>
      <c r="B36" s="1062" t="s">
        <v>101</v>
      </c>
      <c r="C36" s="1064" t="s">
        <v>102</v>
      </c>
      <c r="D36" s="1064" t="s">
        <v>103</v>
      </c>
      <c r="E36" s="1064"/>
      <c r="F36" s="1064"/>
      <c r="G36" s="1064"/>
      <c r="H36" s="1062" t="s">
        <v>101</v>
      </c>
      <c r="I36" s="1064" t="s">
        <v>102</v>
      </c>
      <c r="J36" s="1064" t="s">
        <v>104</v>
      </c>
      <c r="K36" s="1064"/>
      <c r="L36" s="1064"/>
      <c r="M36" s="1064" t="s">
        <v>105</v>
      </c>
      <c r="N36" s="1064"/>
      <c r="O36" s="1064"/>
      <c r="P36" s="1062" t="s">
        <v>101</v>
      </c>
      <c r="Q36" s="1064" t="s">
        <v>102</v>
      </c>
      <c r="R36" s="1062" t="s">
        <v>101</v>
      </c>
      <c r="S36" s="1058"/>
      <c r="U36" s="1075" t="s">
        <v>101</v>
      </c>
      <c r="V36" s="1077" t="s">
        <v>103</v>
      </c>
      <c r="W36" s="1071" t="s">
        <v>104</v>
      </c>
      <c r="X36" s="1073" t="s">
        <v>105</v>
      </c>
      <c r="AB36" s="1075" t="s">
        <v>101</v>
      </c>
      <c r="AC36" s="1077" t="s">
        <v>103</v>
      </c>
      <c r="AD36" s="1071" t="s">
        <v>104</v>
      </c>
      <c r="AE36" s="1073" t="s">
        <v>105</v>
      </c>
      <c r="AG36" s="1075" t="s">
        <v>101</v>
      </c>
      <c r="AH36" s="1077" t="s">
        <v>103</v>
      </c>
      <c r="AI36" s="1071" t="s">
        <v>104</v>
      </c>
      <c r="AJ36" s="1073" t="s">
        <v>105</v>
      </c>
      <c r="AL36" s="945">
        <v>0</v>
      </c>
      <c r="AN36" s="1084" t="s">
        <v>101</v>
      </c>
      <c r="AO36" s="1079" t="s">
        <v>103</v>
      </c>
      <c r="AP36" s="1081" t="s">
        <v>104</v>
      </c>
      <c r="AQ36" s="1083" t="s">
        <v>105</v>
      </c>
      <c r="AT36" s="1075" t="s">
        <v>101</v>
      </c>
      <c r="AU36" s="1075" t="s">
        <v>101</v>
      </c>
      <c r="AV36" s="1077" t="s">
        <v>103</v>
      </c>
      <c r="AW36" s="1071" t="s">
        <v>104</v>
      </c>
      <c r="AX36" s="1073" t="s">
        <v>105</v>
      </c>
    </row>
    <row r="37" spans="1:66" ht="15.75" thickBot="1">
      <c r="A37" s="1053"/>
      <c r="B37" s="1063"/>
      <c r="C37" s="1065"/>
      <c r="D37" s="290" t="s">
        <v>106</v>
      </c>
      <c r="E37" s="290" t="s">
        <v>107</v>
      </c>
      <c r="F37" s="290" t="s">
        <v>108</v>
      </c>
      <c r="G37" s="290" t="s">
        <v>109</v>
      </c>
      <c r="H37" s="1063"/>
      <c r="I37" s="1065"/>
      <c r="J37" s="290" t="s">
        <v>110</v>
      </c>
      <c r="K37" s="290" t="s">
        <v>111</v>
      </c>
      <c r="L37" s="290" t="s">
        <v>112</v>
      </c>
      <c r="M37" s="290" t="s">
        <v>113</v>
      </c>
      <c r="N37" s="290" t="s">
        <v>114</v>
      </c>
      <c r="O37" s="290" t="s">
        <v>115</v>
      </c>
      <c r="P37" s="1063"/>
      <c r="Q37" s="1065"/>
      <c r="R37" s="1063"/>
      <c r="S37" s="1059"/>
      <c r="U37" s="1076"/>
      <c r="V37" s="1074"/>
      <c r="W37" s="1072"/>
      <c r="X37" s="1074"/>
      <c r="AB37" s="1076"/>
      <c r="AC37" s="1074"/>
      <c r="AD37" s="1072"/>
      <c r="AE37" s="1074"/>
      <c r="AG37" s="1076"/>
      <c r="AH37" s="1074"/>
      <c r="AI37" s="1072"/>
      <c r="AJ37" s="1074"/>
      <c r="AL37" s="945">
        <v>0</v>
      </c>
      <c r="AN37" s="1085"/>
      <c r="AO37" s="1080"/>
      <c r="AP37" s="1082"/>
      <c r="AQ37" s="1080"/>
      <c r="AT37" s="1076"/>
      <c r="AU37" s="1076"/>
      <c r="AV37" s="1074"/>
      <c r="AW37" s="1072"/>
      <c r="AX37" s="1074"/>
    </row>
    <row r="38" spans="1:66" ht="15.75" thickBot="1">
      <c r="A38" s="164" t="s">
        <v>11</v>
      </c>
      <c r="B38" s="291">
        <v>215496762320.64337</v>
      </c>
      <c r="C38" s="291">
        <v>29660533713.296555</v>
      </c>
      <c r="D38" s="291">
        <v>15192654109.236538</v>
      </c>
      <c r="E38" s="291">
        <v>190551895709.55927</v>
      </c>
      <c r="F38" s="291">
        <v>2669402088.2107906</v>
      </c>
      <c r="G38" s="291">
        <v>790336524.79159725</v>
      </c>
      <c r="H38" s="291">
        <v>106518606355.82927</v>
      </c>
      <c r="I38" s="291">
        <v>12819292652.410513</v>
      </c>
      <c r="J38" s="291">
        <v>36265925807.739128</v>
      </c>
      <c r="K38" s="291">
        <v>34653302128.932274</v>
      </c>
      <c r="L38" s="291">
        <v>22677556289.238876</v>
      </c>
      <c r="M38" s="291">
        <v>8637994626.6729279</v>
      </c>
      <c r="N38" s="291">
        <v>41354505348.989235</v>
      </c>
      <c r="O38" s="291">
        <v>5220866544.6787281</v>
      </c>
      <c r="P38" s="291">
        <v>676646303.92441893</v>
      </c>
      <c r="Q38" s="291">
        <v>25859969594.03809</v>
      </c>
      <c r="R38" s="291">
        <v>27700251204</v>
      </c>
      <c r="S38" s="690">
        <v>776746501322.19165</v>
      </c>
      <c r="U38" s="733">
        <v>9603.4417582356455</v>
      </c>
      <c r="V38" s="734">
        <v>12760.312413364054</v>
      </c>
      <c r="W38" s="734">
        <v>36619.319790726811</v>
      </c>
      <c r="X38" s="735">
        <v>76400.638898354868</v>
      </c>
      <c r="AB38" s="733">
        <v>418732062144.14227</v>
      </c>
      <c r="AC38" s="734">
        <v>209204288431.79819</v>
      </c>
      <c r="AD38" s="734">
        <v>93596784225.910278</v>
      </c>
      <c r="AE38" s="735">
        <v>55213366520.340889</v>
      </c>
      <c r="AG38" s="944">
        <v>0.53908458091715783</v>
      </c>
      <c r="AH38" s="944">
        <v>0.26933405953639566</v>
      </c>
      <c r="AI38" s="944">
        <v>0.12049849476835515</v>
      </c>
      <c r="AJ38" s="944">
        <v>7.1082864778091337E-2</v>
      </c>
      <c r="AL38" s="945">
        <v>1</v>
      </c>
      <c r="AN38" s="946">
        <v>0.52630840145661761</v>
      </c>
      <c r="AO38" s="946">
        <v>0.28571199034305689</v>
      </c>
      <c r="AP38" s="946">
        <v>0.1180063472162521</v>
      </c>
      <c r="AQ38" s="947">
        <v>6.9973260984073457E-2</v>
      </c>
      <c r="AT38" s="733">
        <v>837227334583.58313</v>
      </c>
      <c r="AU38" s="733">
        <v>440223555801.99072</v>
      </c>
      <c r="AV38" s="733">
        <v>239779383332.72556</v>
      </c>
      <c r="AW38" s="733">
        <v>98689912094.538284</v>
      </c>
      <c r="AX38" s="733">
        <v>58534483354.328712</v>
      </c>
    </row>
    <row r="39" spans="1:66" ht="15.75" thickBot="1">
      <c r="A39" s="127" t="s">
        <v>13</v>
      </c>
      <c r="B39" s="291">
        <v>595293795.35732949</v>
      </c>
      <c r="C39" s="291">
        <v>91874337.584833831</v>
      </c>
      <c r="D39" s="291">
        <v>75695475.866372585</v>
      </c>
      <c r="E39" s="291">
        <v>835874057.72142708</v>
      </c>
      <c r="F39" s="291">
        <v>11711354.902055832</v>
      </c>
      <c r="G39" s="291">
        <v>3467346.3385067945</v>
      </c>
      <c r="H39" s="291">
        <v>65425631.6718468</v>
      </c>
      <c r="I39" s="291">
        <v>9645299.2571689188</v>
      </c>
      <c r="J39" s="291">
        <v>218936643.09603158</v>
      </c>
      <c r="K39" s="291">
        <v>209184063.90236998</v>
      </c>
      <c r="L39" s="291">
        <v>60289057.073452123</v>
      </c>
      <c r="M39" s="291">
        <v>8681509.484707566</v>
      </c>
      <c r="N39" s="291">
        <v>60843643.427779198</v>
      </c>
      <c r="O39" s="291">
        <v>10666936.384239472</v>
      </c>
      <c r="P39" s="291">
        <v>3797088.918697678</v>
      </c>
      <c r="Q39" s="291">
        <v>170007441.037541</v>
      </c>
      <c r="R39" s="291">
        <v>0</v>
      </c>
      <c r="S39" s="690">
        <v>2431393682.0243602</v>
      </c>
      <c r="U39" s="733">
        <v>13636.005445806944</v>
      </c>
      <c r="V39" s="734">
        <v>12464.837924227122</v>
      </c>
      <c r="W39" s="734">
        <v>87512.94823004007</v>
      </c>
      <c r="X39" s="735">
        <v>105794.31305636706</v>
      </c>
      <c r="AB39" s="733">
        <v>936043593.82741773</v>
      </c>
      <c r="AC39" s="734">
        <v>926748234.82836235</v>
      </c>
      <c r="AD39" s="734">
        <v>488409764.07185364</v>
      </c>
      <c r="AE39" s="735">
        <v>80192089.296726227</v>
      </c>
      <c r="AG39" s="944">
        <v>0.38498232546531702</v>
      </c>
      <c r="AH39" s="944">
        <v>0.38115926749334922</v>
      </c>
      <c r="AI39" s="944">
        <v>0.20087646343853593</v>
      </c>
      <c r="AJ39" s="944">
        <v>3.2981943602797756E-2</v>
      </c>
      <c r="AL39" s="945">
        <v>0.99999999999999989</v>
      </c>
      <c r="AN39" s="946">
        <v>0.37884579088001907</v>
      </c>
      <c r="AO39" s="946">
        <v>0.38533733866595671</v>
      </c>
      <c r="AP39" s="946">
        <v>0.2010045097616906</v>
      </c>
      <c r="AQ39" s="947">
        <v>3.4812360692333531E-2</v>
      </c>
      <c r="AT39" s="733">
        <v>2731082774.7325473</v>
      </c>
      <c r="AU39" s="949">
        <v>1033149222.023065</v>
      </c>
      <c r="AV39" s="949">
        <v>1050993953.3996464</v>
      </c>
      <c r="AW39" s="949">
        <v>551126362.45127118</v>
      </c>
      <c r="AX39" s="949">
        <v>95813236.85856469</v>
      </c>
      <c r="AZ39" s="952">
        <v>2731082774.7325473</v>
      </c>
    </row>
    <row r="40" spans="1:66" ht="15.75" thickBot="1">
      <c r="A40" s="127" t="s">
        <v>14</v>
      </c>
      <c r="B40" s="291">
        <v>724919019.88992822</v>
      </c>
      <c r="C40" s="291">
        <v>126900425.02079178</v>
      </c>
      <c r="D40" s="291">
        <v>47010364.743676022</v>
      </c>
      <c r="E40" s="291">
        <v>532828457.19098657</v>
      </c>
      <c r="F40" s="291">
        <v>7466272.1143215485</v>
      </c>
      <c r="G40" s="291">
        <v>2208609.2903621341</v>
      </c>
      <c r="H40" s="291">
        <v>45389458.037313171</v>
      </c>
      <c r="I40" s="291">
        <v>7704546.890776244</v>
      </c>
      <c r="J40" s="291">
        <v>211365628.37283719</v>
      </c>
      <c r="K40" s="291">
        <v>201919119.84220767</v>
      </c>
      <c r="L40" s="291">
        <v>45282791.819255143</v>
      </c>
      <c r="M40" s="291">
        <v>24796954.827507526</v>
      </c>
      <c r="N40" s="291">
        <v>106904648.04374427</v>
      </c>
      <c r="O40" s="291">
        <v>18681291.621394329</v>
      </c>
      <c r="P40" s="291">
        <v>3393401.5179722379</v>
      </c>
      <c r="Q40" s="291">
        <v>172363289.80339989</v>
      </c>
      <c r="R40" s="291">
        <v>0</v>
      </c>
      <c r="S40" s="690">
        <v>2279134279.026474</v>
      </c>
      <c r="U40" s="733">
        <v>16079.725938669804</v>
      </c>
      <c r="V40" s="734">
        <v>13849.728728752409</v>
      </c>
      <c r="W40" s="734">
        <v>138749.6338984266</v>
      </c>
      <c r="X40" s="735">
        <v>158131.32964526408</v>
      </c>
      <c r="AB40" s="733">
        <v>1080670141.1601815</v>
      </c>
      <c r="AC40" s="734">
        <v>589513703.33934629</v>
      </c>
      <c r="AD40" s="734">
        <v>458567540.03429997</v>
      </c>
      <c r="AE40" s="735">
        <v>150382894.49264613</v>
      </c>
      <c r="AG40" s="944">
        <v>0.47415817097963481</v>
      </c>
      <c r="AH40" s="944">
        <v>0.25865685438734021</v>
      </c>
      <c r="AI40" s="944">
        <v>0.20120251108248691</v>
      </c>
      <c r="AJ40" s="944">
        <v>6.5982463550538051E-2</v>
      </c>
      <c r="AL40" s="945">
        <v>0.99999999999999989</v>
      </c>
      <c r="AN40" s="946">
        <v>0.45958782678775095</v>
      </c>
      <c r="AO40" s="946">
        <v>0.26638608562412064</v>
      </c>
      <c r="AP40" s="946">
        <v>0.20181745608634127</v>
      </c>
      <c r="AQ40" s="947">
        <v>7.2208631501787093E-2</v>
      </c>
      <c r="AT40" s="733">
        <v>2626421457.6386218</v>
      </c>
      <c r="AU40" s="949">
        <v>1203982741.8951013</v>
      </c>
      <c r="AV40" s="949">
        <v>700434180.30645514</v>
      </c>
      <c r="AW40" s="949">
        <v>530667816.41644984</v>
      </c>
      <c r="AX40" s="949">
        <v>191336719.02061537</v>
      </c>
      <c r="AZ40" s="952">
        <v>2626421457.6386218</v>
      </c>
    </row>
    <row r="41" spans="1:66" ht="15.75" thickBot="1">
      <c r="A41" s="127" t="s">
        <v>15</v>
      </c>
      <c r="B41" s="291">
        <v>3559717158.4931006</v>
      </c>
      <c r="C41" s="291">
        <v>691349048.30444133</v>
      </c>
      <c r="D41" s="291">
        <v>197141141.98904288</v>
      </c>
      <c r="E41" s="291">
        <v>1870988850.1205842</v>
      </c>
      <c r="F41" s="291">
        <v>26211261.64504265</v>
      </c>
      <c r="G41" s="291">
        <v>7760894.4712431431</v>
      </c>
      <c r="H41" s="291">
        <v>366322522.44928271</v>
      </c>
      <c r="I41" s="291">
        <v>66899461.918744959</v>
      </c>
      <c r="J41" s="291">
        <v>698492589.93423533</v>
      </c>
      <c r="K41" s="291">
        <v>667478081.30559039</v>
      </c>
      <c r="L41" s="291">
        <v>300336855.63996679</v>
      </c>
      <c r="M41" s="291">
        <v>125891469.83133343</v>
      </c>
      <c r="N41" s="291">
        <v>656972527.37320292</v>
      </c>
      <c r="O41" s="291">
        <v>115100661.71837986</v>
      </c>
      <c r="P41" s="291">
        <v>7886809.2226793813</v>
      </c>
      <c r="Q41" s="291">
        <v>441176600.07547265</v>
      </c>
      <c r="R41" s="291">
        <v>0</v>
      </c>
      <c r="S41" s="690">
        <v>9799725934.492342</v>
      </c>
      <c r="U41" s="733">
        <v>15158.996440002251</v>
      </c>
      <c r="V41" s="734">
        <v>13797.395216605382</v>
      </c>
      <c r="W41" s="734">
        <v>89591.2429098227</v>
      </c>
      <c r="X41" s="735">
        <v>101579.71254784119</v>
      </c>
      <c r="AB41" s="733">
        <v>5133351600.4637222</v>
      </c>
      <c r="AC41" s="734">
        <v>2102102148.225913</v>
      </c>
      <c r="AD41" s="734">
        <v>1666307526.8797925</v>
      </c>
      <c r="AE41" s="735">
        <v>897964658.92291617</v>
      </c>
      <c r="AG41" s="944">
        <v>0.52382603705229502</v>
      </c>
      <c r="AH41" s="944">
        <v>0.21450621805933279</v>
      </c>
      <c r="AI41" s="944">
        <v>0.17003613550199889</v>
      </c>
      <c r="AJ41" s="944">
        <v>9.1631609386373492E-2</v>
      </c>
      <c r="AL41" s="945">
        <v>1.0000000000000002</v>
      </c>
      <c r="AN41" s="946">
        <v>0.52583582357595748</v>
      </c>
      <c r="AO41" s="946">
        <v>0.23234031811878844</v>
      </c>
      <c r="AP41" s="946">
        <v>0.15386199788887625</v>
      </c>
      <c r="AQ41" s="947">
        <v>8.7961860416377866E-2</v>
      </c>
      <c r="AT41" s="733">
        <v>10447052306.297262</v>
      </c>
      <c r="AU41" s="949">
        <v>5494898841.6044359</v>
      </c>
      <c r="AV41" s="949">
        <v>2434764337.4797649</v>
      </c>
      <c r="AW41" s="949">
        <v>1600324375.4012401</v>
      </c>
      <c r="AX41" s="949">
        <v>917064751.81182086</v>
      </c>
      <c r="AZ41" s="952">
        <v>10447052306.297262</v>
      </c>
    </row>
    <row r="42" spans="1:66" ht="15.75" thickBot="1">
      <c r="A42" s="127" t="s">
        <v>16</v>
      </c>
      <c r="B42" s="291">
        <v>4479649399.3534193</v>
      </c>
      <c r="C42" s="291">
        <v>639287544.90591669</v>
      </c>
      <c r="D42" s="291">
        <v>544129608.76267624</v>
      </c>
      <c r="E42" s="291">
        <v>5310463166.9977083</v>
      </c>
      <c r="F42" s="291">
        <v>74393577.156316921</v>
      </c>
      <c r="G42" s="291">
        <v>22025632.697122958</v>
      </c>
      <c r="H42" s="291">
        <v>326681905.08774507</v>
      </c>
      <c r="I42" s="291">
        <v>44843012.038712732</v>
      </c>
      <c r="J42" s="291">
        <v>1807164734.1123278</v>
      </c>
      <c r="K42" s="291">
        <v>1726767031.8507257</v>
      </c>
      <c r="L42" s="291">
        <v>603152983.33035231</v>
      </c>
      <c r="M42" s="291">
        <v>251997281.59994376</v>
      </c>
      <c r="N42" s="291">
        <v>1134551627.9839082</v>
      </c>
      <c r="O42" s="291">
        <v>198819459.0279021</v>
      </c>
      <c r="P42" s="291">
        <v>21168262.364356104</v>
      </c>
      <c r="Q42" s="291">
        <v>880923993.82541978</v>
      </c>
      <c r="R42" s="291">
        <v>0</v>
      </c>
      <c r="S42" s="690">
        <v>18066019221.094555</v>
      </c>
      <c r="U42" s="733">
        <v>14405.106513679539</v>
      </c>
      <c r="V42" s="734">
        <v>13310.665030025149</v>
      </c>
      <c r="W42" s="734">
        <v>93188.07859654029</v>
      </c>
      <c r="X42" s="735">
        <v>104838.53780001018</v>
      </c>
      <c r="AB42" s="733">
        <v>6392554117.5755692</v>
      </c>
      <c r="AC42" s="734">
        <v>5951011985.6138239</v>
      </c>
      <c r="AD42" s="734">
        <v>4137084749.293406</v>
      </c>
      <c r="AE42" s="735">
        <v>1585368368.6117539</v>
      </c>
      <c r="AG42" s="944">
        <v>0.35384408924526028</v>
      </c>
      <c r="AH42" s="944">
        <v>0.32940361198471446</v>
      </c>
      <c r="AI42" s="944">
        <v>0.2289981372577525</v>
      </c>
      <c r="AJ42" s="944">
        <v>8.7754161512272666E-2</v>
      </c>
      <c r="AL42" s="945">
        <v>0.99999999999999989</v>
      </c>
      <c r="AN42" s="946">
        <v>0.34747011292814656</v>
      </c>
      <c r="AO42" s="946">
        <v>0.34659241104367422</v>
      </c>
      <c r="AP42" s="946">
        <v>0.21881871305610456</v>
      </c>
      <c r="AQ42" s="947">
        <v>8.7118762972074659E-2</v>
      </c>
      <c r="AT42" s="733">
        <v>20661142315.569637</v>
      </c>
      <c r="AU42" s="949">
        <v>7169646721.2406006</v>
      </c>
      <c r="AV42" s="949">
        <v>7193729408.0187912</v>
      </c>
      <c r="AW42" s="949">
        <v>4500369075.5479937</v>
      </c>
      <c r="AX42" s="949">
        <v>1797397110.7622483</v>
      </c>
      <c r="AZ42" s="952">
        <v>20661142315.569633</v>
      </c>
    </row>
    <row r="43" spans="1:66" s="273" customFormat="1" ht="15.75" thickBot="1">
      <c r="A43" s="127" t="s">
        <v>17</v>
      </c>
      <c r="B43" s="291">
        <v>1549055743.1754849</v>
      </c>
      <c r="C43" s="291">
        <v>266778640.89367792</v>
      </c>
      <c r="D43" s="291">
        <v>390628308.76167715</v>
      </c>
      <c r="E43" s="291">
        <v>3082144554.2932925</v>
      </c>
      <c r="F43" s="291">
        <v>43178819.769531347</v>
      </c>
      <c r="G43" s="291">
        <v>12784124.448427454</v>
      </c>
      <c r="H43" s="291">
        <v>271255324.88539511</v>
      </c>
      <c r="I43" s="291">
        <v>45374655.556457028</v>
      </c>
      <c r="J43" s="291">
        <v>914682934.28507626</v>
      </c>
      <c r="K43" s="291">
        <v>874048114.96698999</v>
      </c>
      <c r="L43" s="291">
        <v>550173063.64743614</v>
      </c>
      <c r="M43" s="291">
        <v>35359241.93538247</v>
      </c>
      <c r="N43" s="291">
        <v>361328399.5110693</v>
      </c>
      <c r="O43" s="291">
        <v>63337959.043376848</v>
      </c>
      <c r="P43" s="291">
        <v>9533533.8127978351</v>
      </c>
      <c r="Q43" s="291">
        <v>478897945.14580005</v>
      </c>
      <c r="R43" s="291">
        <v>0</v>
      </c>
      <c r="S43" s="690">
        <v>8948561364.1318722</v>
      </c>
      <c r="T43" s="665"/>
      <c r="U43" s="733">
        <v>12579.474835104958</v>
      </c>
      <c r="V43" s="734">
        <v>11434.622075991098</v>
      </c>
      <c r="W43" s="734">
        <v>88127.509905783809</v>
      </c>
      <c r="X43" s="735">
        <v>105704.41187725842</v>
      </c>
      <c r="Y43" s="665"/>
      <c r="Z43" s="665"/>
      <c r="AA43" s="665"/>
      <c r="AB43" s="733">
        <v>2620895843.4696126</v>
      </c>
      <c r="AC43" s="734">
        <v>3528735807.2729287</v>
      </c>
      <c r="AD43" s="734">
        <v>2338904112.8995023</v>
      </c>
      <c r="AE43" s="735">
        <v>460025600.48982865</v>
      </c>
      <c r="AF43" s="665"/>
      <c r="AG43" s="944">
        <v>0.29288460310221875</v>
      </c>
      <c r="AH43" s="944">
        <v>0.3943355432993963</v>
      </c>
      <c r="AI43" s="944">
        <v>0.26137208180461607</v>
      </c>
      <c r="AJ43" s="944">
        <v>5.1407771793768903E-2</v>
      </c>
      <c r="AK43" s="665"/>
      <c r="AL43" s="945">
        <v>1</v>
      </c>
      <c r="AM43" s="665"/>
      <c r="AN43" s="946">
        <v>0.30199569012461297</v>
      </c>
      <c r="AO43" s="946">
        <v>0.4043410993101772</v>
      </c>
      <c r="AP43" s="946">
        <v>0.24295759813011319</v>
      </c>
      <c r="AQ43" s="947">
        <v>5.0705612435096685E-2</v>
      </c>
      <c r="AT43" s="733">
        <v>9463961033.0565071</v>
      </c>
      <c r="AU43" s="949">
        <v>2861435571.0299439</v>
      </c>
      <c r="AV43" s="949">
        <v>3830256803.8748574</v>
      </c>
      <c r="AW43" s="949">
        <v>2292836475.5102806</v>
      </c>
      <c r="AX43" s="949">
        <v>479432182.64142507</v>
      </c>
      <c r="AZ43" s="952">
        <v>9463961033.0565052</v>
      </c>
    </row>
    <row r="44" spans="1:66" s="273" customFormat="1" ht="15.75" thickBot="1">
      <c r="A44" s="127" t="s">
        <v>18</v>
      </c>
      <c r="B44" s="291">
        <v>534784684.83229673</v>
      </c>
      <c r="C44" s="291">
        <v>111543291.40264323</v>
      </c>
      <c r="D44" s="291">
        <v>74053384.157457799</v>
      </c>
      <c r="E44" s="291">
        <v>671325926.33390236</v>
      </c>
      <c r="F44" s="291">
        <v>9404781.4043546021</v>
      </c>
      <c r="G44" s="291">
        <v>2783031.1621975345</v>
      </c>
      <c r="H44" s="291">
        <v>18096853.423843738</v>
      </c>
      <c r="I44" s="291">
        <v>3646081.551744516</v>
      </c>
      <c r="J44" s="291">
        <v>155293278.03215185</v>
      </c>
      <c r="K44" s="291">
        <v>148328526.21987504</v>
      </c>
      <c r="L44" s="291">
        <v>51011694.83171849</v>
      </c>
      <c r="M44" s="291">
        <v>24043523.976972688</v>
      </c>
      <c r="N44" s="291">
        <v>79359462.010030538</v>
      </c>
      <c r="O44" s="291">
        <v>13901773.228901135</v>
      </c>
      <c r="P44" s="291">
        <v>2679251.8763029929</v>
      </c>
      <c r="Q44" s="291">
        <v>161285641.59276906</v>
      </c>
      <c r="R44" s="291">
        <v>0</v>
      </c>
      <c r="S44" s="690">
        <v>2061541186.0371623</v>
      </c>
      <c r="T44" s="665"/>
      <c r="U44" s="733">
        <v>14338.52286274902</v>
      </c>
      <c r="V44" s="734">
        <v>12338.025814855007</v>
      </c>
      <c r="W44" s="734">
        <v>101381.78933211704</v>
      </c>
      <c r="X44" s="735">
        <v>108214.72252389701</v>
      </c>
      <c r="Y44" s="665"/>
      <c r="Z44" s="665"/>
      <c r="AA44" s="665"/>
      <c r="AB44" s="733">
        <v>832035804.67960012</v>
      </c>
      <c r="AC44" s="734">
        <v>757567123.05791235</v>
      </c>
      <c r="AD44" s="734">
        <v>354633499.08374542</v>
      </c>
      <c r="AE44" s="735">
        <v>117304759.21590436</v>
      </c>
      <c r="AF44" s="665"/>
      <c r="AG44" s="944">
        <v>0.40359892410347481</v>
      </c>
      <c r="AH44" s="944">
        <v>0.36747610389204033</v>
      </c>
      <c r="AI44" s="944">
        <v>0.17202348489842523</v>
      </c>
      <c r="AJ44" s="944">
        <v>5.6901487106059578E-2</v>
      </c>
      <c r="AK44" s="665"/>
      <c r="AL44" s="945">
        <v>1</v>
      </c>
      <c r="AM44" s="665"/>
      <c r="AN44" s="946">
        <v>0.41166912748668022</v>
      </c>
      <c r="AO44" s="946">
        <v>0.38917833609683766</v>
      </c>
      <c r="AP44" s="946">
        <v>0.14990635180611739</v>
      </c>
      <c r="AQ44" s="947">
        <v>4.9246184610364764E-2</v>
      </c>
      <c r="AT44" s="733">
        <v>2069925995.307914</v>
      </c>
      <c r="AU44" s="949">
        <v>852354243.85195982</v>
      </c>
      <c r="AV44" s="949">
        <v>806071447.56366622</v>
      </c>
      <c r="AW44" s="949">
        <v>309749563.40901405</v>
      </c>
      <c r="AX44" s="949">
        <v>101750740.48327422</v>
      </c>
      <c r="AZ44" s="952">
        <v>2069925995.3079143</v>
      </c>
    </row>
    <row r="45" spans="1:66" s="273" customFormat="1" ht="15.75" thickBot="1">
      <c r="A45" s="128" t="s">
        <v>19</v>
      </c>
      <c r="B45" s="291">
        <v>1255688635.5167184</v>
      </c>
      <c r="C45" s="291">
        <v>212672790.2544558</v>
      </c>
      <c r="D45" s="291">
        <v>371548132.86287338</v>
      </c>
      <c r="E45" s="291">
        <v>2042926873.2980833</v>
      </c>
      <c r="F45" s="291">
        <v>28616248.943305831</v>
      </c>
      <c r="G45" s="291">
        <v>8473894.6671550814</v>
      </c>
      <c r="H45" s="291">
        <v>411710184.76153588</v>
      </c>
      <c r="I45" s="291">
        <v>66053835.019035399</v>
      </c>
      <c r="J45" s="291">
        <v>742146982.7889204</v>
      </c>
      <c r="K45" s="291">
        <v>709115315.21324706</v>
      </c>
      <c r="L45" s="291">
        <v>367295501.90672457</v>
      </c>
      <c r="M45" s="291">
        <v>57920647.951987341</v>
      </c>
      <c r="N45" s="291">
        <v>309095840.58983886</v>
      </c>
      <c r="O45" s="291">
        <v>54144527.47052791</v>
      </c>
      <c r="P45" s="291">
        <v>7672890.1534369104</v>
      </c>
      <c r="Q45" s="291">
        <v>377097492.7396124</v>
      </c>
      <c r="R45" s="291">
        <v>0</v>
      </c>
      <c r="S45" s="690">
        <v>7022179794.1374588</v>
      </c>
      <c r="T45" s="665"/>
      <c r="U45" s="733">
        <v>14549.548253756428</v>
      </c>
      <c r="V45" s="734">
        <v>12607.42977656113</v>
      </c>
      <c r="W45" s="734">
        <v>84352.604476501336</v>
      </c>
      <c r="X45" s="735">
        <v>95048.751074780885</v>
      </c>
      <c r="Y45" s="665"/>
      <c r="Z45" s="665"/>
      <c r="AA45" s="665"/>
      <c r="AB45" s="733">
        <v>2330895828.4447947</v>
      </c>
      <c r="AC45" s="734">
        <v>2451565149.7714181</v>
      </c>
      <c r="AD45" s="734">
        <v>1818557799.9088922</v>
      </c>
      <c r="AE45" s="735">
        <v>421161016.01235408</v>
      </c>
      <c r="AF45" s="665"/>
      <c r="AG45" s="944">
        <v>0.33193337350757779</v>
      </c>
      <c r="AH45" s="944">
        <v>0.34911739967383537</v>
      </c>
      <c r="AI45" s="944">
        <v>0.25897340330521507</v>
      </c>
      <c r="AJ45" s="944">
        <v>5.997582351337185E-2</v>
      </c>
      <c r="AK45" s="665"/>
      <c r="AL45" s="945">
        <v>1</v>
      </c>
      <c r="AM45" s="665"/>
      <c r="AN45" s="946">
        <v>0.33315436765269602</v>
      </c>
      <c r="AO45" s="946">
        <v>0.35545342178055744</v>
      </c>
      <c r="AP45" s="946">
        <v>0.25061091596687352</v>
      </c>
      <c r="AQ45" s="947">
        <v>6.0781294599872887E-2</v>
      </c>
      <c r="AT45" s="733">
        <v>7587770834.1344919</v>
      </c>
      <c r="AU45" s="949">
        <v>2529224988.8673663</v>
      </c>
      <c r="AV45" s="949">
        <v>2699512386.7120385</v>
      </c>
      <c r="AW45" s="949">
        <v>1897306605.945668</v>
      </c>
      <c r="AX45" s="949">
        <v>461726852.60941821</v>
      </c>
      <c r="AZ45" s="952">
        <v>7587770834.134491</v>
      </c>
    </row>
    <row r="46" spans="1:66" s="273" customFormat="1" ht="15.75" thickBot="1">
      <c r="A46" s="127" t="s">
        <v>21</v>
      </c>
      <c r="B46" s="291">
        <v>1603947535.6923418</v>
      </c>
      <c r="C46" s="291">
        <v>250463842.42290968</v>
      </c>
      <c r="D46" s="291">
        <v>137205705.51425925</v>
      </c>
      <c r="E46" s="291">
        <v>1984212609.1680198</v>
      </c>
      <c r="F46" s="291">
        <v>27795216.71967607</v>
      </c>
      <c r="G46" s="291">
        <v>8229966.3486667462</v>
      </c>
      <c r="H46" s="291">
        <v>533518877.54316974</v>
      </c>
      <c r="I46" s="291">
        <v>68703154.411275014</v>
      </c>
      <c r="J46" s="291">
        <v>188627479.12705341</v>
      </c>
      <c r="K46" s="291">
        <v>180230025.8450602</v>
      </c>
      <c r="L46" s="291">
        <v>60378271.908503421</v>
      </c>
      <c r="M46" s="291">
        <v>129314826.56005543</v>
      </c>
      <c r="N46" s="291">
        <v>329869460.61904848</v>
      </c>
      <c r="O46" s="291">
        <v>49064620.163403809</v>
      </c>
      <c r="P46" s="291">
        <v>4683006.4631023239</v>
      </c>
      <c r="Q46" s="291">
        <v>186193706.26639199</v>
      </c>
      <c r="R46" s="291">
        <v>497896134</v>
      </c>
      <c r="S46" s="690">
        <v>6240334438.7729368</v>
      </c>
      <c r="T46" s="665"/>
      <c r="U46" s="733">
        <v>12371.847972967131</v>
      </c>
      <c r="V46" s="734">
        <v>14689.077016698815</v>
      </c>
      <c r="W46" s="734">
        <v>25434.686944810204</v>
      </c>
      <c r="X46" s="735">
        <v>56660.970718228287</v>
      </c>
      <c r="Y46" s="665"/>
      <c r="Z46" s="665"/>
      <c r="AA46" s="665"/>
      <c r="AB46" s="733">
        <v>3145406256.7991905</v>
      </c>
      <c r="AC46" s="734">
        <v>2157443497.7506218</v>
      </c>
      <c r="AD46" s="734">
        <v>429235776.88061702</v>
      </c>
      <c r="AE46" s="735">
        <v>508248907.34250772</v>
      </c>
      <c r="AF46" s="665"/>
      <c r="AG46" s="944">
        <v>0.50404450076520013</v>
      </c>
      <c r="AH46" s="944">
        <v>0.34572562078497332</v>
      </c>
      <c r="AI46" s="944">
        <v>6.8784098206925506E-2</v>
      </c>
      <c r="AJ46" s="944">
        <v>8.1445780242901028E-2</v>
      </c>
      <c r="AK46" s="665"/>
      <c r="AL46" s="945">
        <v>1</v>
      </c>
      <c r="AM46" s="665"/>
      <c r="AN46" s="946">
        <v>0.48996035287403034</v>
      </c>
      <c r="AO46" s="946">
        <v>0.36682920547459247</v>
      </c>
      <c r="AP46" s="946">
        <v>6.5007451141099556E-2</v>
      </c>
      <c r="AQ46" s="947">
        <v>7.8202990510277667E-2</v>
      </c>
      <c r="AT46" s="733">
        <v>7098727438.6054239</v>
      </c>
      <c r="AU46" s="950">
        <v>3471220269.106451</v>
      </c>
      <c r="AV46" s="950">
        <v>2616481420.8603992</v>
      </c>
      <c r="AW46" s="950">
        <v>458634198.55597186</v>
      </c>
      <c r="AX46" s="950">
        <v>552391550.0826019</v>
      </c>
      <c r="AZ46" s="952">
        <v>7098727438.6054239</v>
      </c>
    </row>
    <row r="47" spans="1:66" s="273" customFormat="1" ht="15.75" thickBot="1">
      <c r="A47" s="127" t="s">
        <v>22</v>
      </c>
      <c r="B47" s="291">
        <v>8200904541.4876013</v>
      </c>
      <c r="C47" s="291">
        <v>1419424830.7467332</v>
      </c>
      <c r="D47" s="291">
        <v>610373873.74471259</v>
      </c>
      <c r="E47" s="291">
        <v>10343631244.727589</v>
      </c>
      <c r="F47" s="291">
        <v>144903315.55147094</v>
      </c>
      <c r="G47" s="291">
        <v>42900749.599028811</v>
      </c>
      <c r="H47" s="291">
        <v>3431758072.022965</v>
      </c>
      <c r="I47" s="291">
        <v>508521310.81354707</v>
      </c>
      <c r="J47" s="291">
        <v>1643505951.9994955</v>
      </c>
      <c r="K47" s="291">
        <v>1570433019.9856248</v>
      </c>
      <c r="L47" s="291">
        <v>769303287.79715419</v>
      </c>
      <c r="M47" s="291">
        <v>756103499.17416704</v>
      </c>
      <c r="N47" s="291">
        <v>3052832651.1208949</v>
      </c>
      <c r="O47" s="291">
        <v>453869213.23927999</v>
      </c>
      <c r="P47" s="291">
        <v>35515735.585852578</v>
      </c>
      <c r="Q47" s="291">
        <v>1614916331.5931988</v>
      </c>
      <c r="R47" s="291">
        <v>997430466</v>
      </c>
      <c r="S47" s="690">
        <v>35596328095.189316</v>
      </c>
      <c r="T47" s="665"/>
      <c r="U47" s="733">
        <v>12143.405560009063</v>
      </c>
      <c r="V47" s="734">
        <v>14108.342049736877</v>
      </c>
      <c r="W47" s="734">
        <v>40603.482734959623</v>
      </c>
      <c r="X47" s="735">
        <v>97847.067978110033</v>
      </c>
      <c r="Y47" s="665"/>
      <c r="Z47" s="665"/>
      <c r="AA47" s="665"/>
      <c r="AB47" s="733">
        <v>16208471288.249897</v>
      </c>
      <c r="AC47" s="734">
        <v>11141809183.622803</v>
      </c>
      <c r="AD47" s="734">
        <v>3983242259.7822742</v>
      </c>
      <c r="AE47" s="735">
        <v>4262805363.5343418</v>
      </c>
      <c r="AF47" s="665"/>
      <c r="AG47" s="944">
        <v>0.45534110273695333</v>
      </c>
      <c r="AH47" s="944">
        <v>0.31300445242071384</v>
      </c>
      <c r="AI47" s="944">
        <v>0.11190036930580465</v>
      </c>
      <c r="AJ47" s="944">
        <v>0.11975407553652818</v>
      </c>
      <c r="AK47" s="665"/>
      <c r="AL47" s="945">
        <v>1</v>
      </c>
      <c r="AM47" s="665"/>
      <c r="AN47" s="946">
        <v>0.4451981587888037</v>
      </c>
      <c r="AO47" s="946">
        <v>0.32978616988603521</v>
      </c>
      <c r="AP47" s="946">
        <v>0.10886356553972854</v>
      </c>
      <c r="AQ47" s="947">
        <v>0.11615210578543263</v>
      </c>
      <c r="AT47" s="733">
        <v>39158583113.866936</v>
      </c>
      <c r="AU47" s="950">
        <v>17415556196.93845</v>
      </c>
      <c r="AV47" s="950">
        <v>12948374296.627527</v>
      </c>
      <c r="AW47" s="950">
        <v>4255533492.2006416</v>
      </c>
      <c r="AX47" s="950">
        <v>4539119128.1003199</v>
      </c>
      <c r="AZ47" s="952">
        <v>39158583113.866936</v>
      </c>
    </row>
    <row r="48" spans="1:66" s="273" customFormat="1" ht="15.75" thickBot="1">
      <c r="A48" s="127" t="s">
        <v>23</v>
      </c>
      <c r="B48" s="291">
        <v>4614436662.9714384</v>
      </c>
      <c r="C48" s="291">
        <v>669320363.46201241</v>
      </c>
      <c r="D48" s="291">
        <v>451398373.03236961</v>
      </c>
      <c r="E48" s="291">
        <v>9142859455.1024399</v>
      </c>
      <c r="F48" s="291">
        <v>128080165.66552177</v>
      </c>
      <c r="G48" s="291">
        <v>37921024.194076605</v>
      </c>
      <c r="H48" s="291">
        <v>1107547899.1535978</v>
      </c>
      <c r="I48" s="291">
        <v>139064904.048435</v>
      </c>
      <c r="J48" s="291">
        <v>678075636.95219028</v>
      </c>
      <c r="K48" s="291">
        <v>647919065.65035939</v>
      </c>
      <c r="L48" s="291">
        <v>220910893.89236012</v>
      </c>
      <c r="M48" s="291">
        <v>231048825.6316601</v>
      </c>
      <c r="N48" s="291">
        <v>841124176.07315218</v>
      </c>
      <c r="O48" s="291">
        <v>125032632.44324212</v>
      </c>
      <c r="P48" s="291">
        <v>23689515.857341394</v>
      </c>
      <c r="Q48" s="291">
        <v>902789477.14514685</v>
      </c>
      <c r="R48" s="291">
        <v>915488412.00000024</v>
      </c>
      <c r="S48" s="690">
        <v>20876707483.275341</v>
      </c>
      <c r="T48" s="665"/>
      <c r="U48" s="733">
        <v>10075.451204430001</v>
      </c>
      <c r="V48" s="734">
        <v>12466.18065774525</v>
      </c>
      <c r="W48" s="734">
        <v>28168.577399936443</v>
      </c>
      <c r="X48" s="735">
        <v>67907.296321500529</v>
      </c>
      <c r="Y48" s="665"/>
      <c r="Z48" s="665"/>
      <c r="AA48" s="665"/>
      <c r="AB48" s="733">
        <v>8372337234.6379719</v>
      </c>
      <c r="AC48" s="734">
        <v>9760259017.9944077</v>
      </c>
      <c r="AD48" s="734">
        <v>1546905596.4949098</v>
      </c>
      <c r="AE48" s="735">
        <v>1197205634.1480544</v>
      </c>
      <c r="AF48" s="665"/>
      <c r="AG48" s="944">
        <v>0.40103724408387592</v>
      </c>
      <c r="AH48" s="944">
        <v>0.46751907722103714</v>
      </c>
      <c r="AI48" s="944">
        <v>7.4097201282058489E-2</v>
      </c>
      <c r="AJ48" s="944">
        <v>5.734647741302859E-2</v>
      </c>
      <c r="AK48" s="665"/>
      <c r="AL48" s="945">
        <v>1</v>
      </c>
      <c r="AM48" s="665"/>
      <c r="AN48" s="946">
        <v>0.38771260374588823</v>
      </c>
      <c r="AO48" s="946">
        <v>0.48570534975241925</v>
      </c>
      <c r="AP48" s="946">
        <v>7.0633981225047396E-2</v>
      </c>
      <c r="AQ48" s="947">
        <v>5.5948065276645302E-2</v>
      </c>
      <c r="AT48" s="733">
        <v>23372656125.843037</v>
      </c>
      <c r="AU48" s="950">
        <v>9043110939.7761822</v>
      </c>
      <c r="AV48" s="950">
        <v>11378736882.731293</v>
      </c>
      <c r="AW48" s="950">
        <v>1645438268.6629572</v>
      </c>
      <c r="AX48" s="950">
        <v>1305370034.6726096</v>
      </c>
      <c r="AZ48" s="952">
        <v>23372656125.843044</v>
      </c>
    </row>
    <row r="49" spans="1:52" s="273" customFormat="1" ht="15.75" thickBot="1">
      <c r="A49" s="127" t="s">
        <v>24</v>
      </c>
      <c r="B49" s="291">
        <v>2703575121.0002189</v>
      </c>
      <c r="C49" s="291">
        <v>496738909.36075819</v>
      </c>
      <c r="D49" s="291">
        <v>486873845.97747874</v>
      </c>
      <c r="E49" s="291">
        <v>6090382697.3596382</v>
      </c>
      <c r="F49" s="291">
        <v>85318424.912605017</v>
      </c>
      <c r="G49" s="291">
        <v>25262974.661167279</v>
      </c>
      <c r="H49" s="291">
        <v>593996945.39232135</v>
      </c>
      <c r="I49" s="291">
        <v>104537888.20153999</v>
      </c>
      <c r="J49" s="291">
        <v>398389361.92568356</v>
      </c>
      <c r="K49" s="291">
        <v>380667306.35806555</v>
      </c>
      <c r="L49" s="291">
        <v>78477138.905035779</v>
      </c>
      <c r="M49" s="291">
        <v>127061404.29006618</v>
      </c>
      <c r="N49" s="291">
        <v>454163266.27218819</v>
      </c>
      <c r="O49" s="291">
        <v>67543943.577618614</v>
      </c>
      <c r="P49" s="291">
        <v>7670856.6288313745</v>
      </c>
      <c r="Q49" s="291">
        <v>405609039.90758753</v>
      </c>
      <c r="R49" s="291">
        <v>0</v>
      </c>
      <c r="S49" s="690">
        <v>12506269124.730803</v>
      </c>
      <c r="T49" s="665"/>
      <c r="U49" s="733">
        <v>13457.235109137844</v>
      </c>
      <c r="V49" s="734">
        <v>15485.013447631207</v>
      </c>
      <c r="W49" s="734">
        <v>32509.432375039232</v>
      </c>
      <c r="X49" s="735">
        <v>79779.711527283944</v>
      </c>
      <c r="Y49" s="665"/>
      <c r="Z49" s="665"/>
      <c r="AA49" s="665"/>
      <c r="AB49" s="733">
        <v>4312128760.4912577</v>
      </c>
      <c r="AC49" s="734">
        <v>6687837942.9108896</v>
      </c>
      <c r="AD49" s="734">
        <v>857533807.18878484</v>
      </c>
      <c r="AE49" s="735">
        <v>648768614.13987303</v>
      </c>
      <c r="AF49" s="665"/>
      <c r="AG49" s="944">
        <v>0.34479737461943322</v>
      </c>
      <c r="AH49" s="944">
        <v>0.53475883784444356</v>
      </c>
      <c r="AI49" s="944">
        <v>6.8568315509302077E-2</v>
      </c>
      <c r="AJ49" s="944">
        <v>5.1875472026821412E-2</v>
      </c>
      <c r="AK49" s="665"/>
      <c r="AL49" s="945">
        <v>1.0000000000000002</v>
      </c>
      <c r="AM49" s="665"/>
      <c r="AN49" s="946">
        <v>0.32405328441899278</v>
      </c>
      <c r="AO49" s="946">
        <v>0.55048042383398899</v>
      </c>
      <c r="AP49" s="946">
        <v>7.1190741036978936E-2</v>
      </c>
      <c r="AQ49" s="947">
        <v>5.4275550710039235E-2</v>
      </c>
      <c r="AT49" s="733">
        <v>14806839094.081244</v>
      </c>
      <c r="AU49" s="950">
        <v>4770967491.7441149</v>
      </c>
      <c r="AV49" s="950">
        <v>8175847512.9967718</v>
      </c>
      <c r="AW49" s="950">
        <v>1055161344.2055902</v>
      </c>
      <c r="AX49" s="950">
        <v>804862745.13476467</v>
      </c>
      <c r="AZ49" s="952">
        <v>14806839094.081242</v>
      </c>
    </row>
    <row r="50" spans="1:52" s="273" customFormat="1" ht="15.75" thickBot="1">
      <c r="A50" s="127" t="s">
        <v>25</v>
      </c>
      <c r="B50" s="291">
        <v>2839027938.7826109</v>
      </c>
      <c r="C50" s="291">
        <v>390497859.99300069</v>
      </c>
      <c r="D50" s="291">
        <v>248049065.83037347</v>
      </c>
      <c r="E50" s="291">
        <v>3975909338.7003736</v>
      </c>
      <c r="F50" s="291">
        <v>55698858.850269169</v>
      </c>
      <c r="G50" s="291">
        <v>16489782.568322334</v>
      </c>
      <c r="H50" s="291">
        <v>611762646.02238464</v>
      </c>
      <c r="I50" s="291">
        <v>73507108.738020465</v>
      </c>
      <c r="J50" s="291">
        <v>312272054.28436643</v>
      </c>
      <c r="K50" s="291">
        <v>298407166.88822919</v>
      </c>
      <c r="L50" s="291">
        <v>80097445.292480737</v>
      </c>
      <c r="M50" s="291">
        <v>103010064.32992044</v>
      </c>
      <c r="N50" s="291">
        <v>389966322.40026718</v>
      </c>
      <c r="O50" s="291">
        <v>57982486.741549887</v>
      </c>
      <c r="P50" s="291">
        <v>8999599.54530547</v>
      </c>
      <c r="Q50" s="291">
        <v>332852736.03915697</v>
      </c>
      <c r="R50" s="291">
        <v>483852288</v>
      </c>
      <c r="S50" s="690">
        <v>10278382763.006632</v>
      </c>
      <c r="T50" s="665"/>
      <c r="U50" s="733">
        <v>12531.756130053422</v>
      </c>
      <c r="V50" s="734">
        <v>15103.293874689627</v>
      </c>
      <c r="W50" s="734">
        <v>30433.371506964329</v>
      </c>
      <c r="X50" s="735">
        <v>74817.88069958413</v>
      </c>
      <c r="Y50" s="665"/>
      <c r="Z50" s="665"/>
      <c r="AA50" s="665"/>
      <c r="AB50" s="733">
        <v>4740500177.1204786</v>
      </c>
      <c r="AC50" s="734">
        <v>4296147045.9493389</v>
      </c>
      <c r="AD50" s="734">
        <v>690776666.46507633</v>
      </c>
      <c r="AE50" s="735">
        <v>550958873.4717375</v>
      </c>
      <c r="AF50" s="665"/>
      <c r="AG50" s="944">
        <v>0.46121070662811042</v>
      </c>
      <c r="AH50" s="944">
        <v>0.41797889269231986</v>
      </c>
      <c r="AI50" s="944">
        <v>6.7206746663617187E-2</v>
      </c>
      <c r="AJ50" s="944">
        <v>5.3603654015952511E-2</v>
      </c>
      <c r="AK50" s="665"/>
      <c r="AL50" s="945">
        <v>0.99999999999999989</v>
      </c>
      <c r="AM50" s="665"/>
      <c r="AN50" s="946">
        <v>0.44549961947207045</v>
      </c>
      <c r="AO50" s="946">
        <v>0.43885260395829023</v>
      </c>
      <c r="AP50" s="946">
        <v>6.3584948864397708E-2</v>
      </c>
      <c r="AQ50" s="947">
        <v>5.2062827705241517E-2</v>
      </c>
      <c r="AT50" s="733">
        <v>11371758873.499886</v>
      </c>
      <c r="AU50" s="950">
        <v>5055690265.5760794</v>
      </c>
      <c r="AV50" s="950">
        <v>5004756176.9239569</v>
      </c>
      <c r="AW50" s="950">
        <v>720431783.84719229</v>
      </c>
      <c r="AX50" s="950">
        <v>590880647.15265691</v>
      </c>
      <c r="AZ50" s="952">
        <v>11371758873.499886</v>
      </c>
    </row>
    <row r="51" spans="1:52" s="273" customFormat="1" ht="15.75" thickBot="1">
      <c r="A51" s="127" t="s">
        <v>26</v>
      </c>
      <c r="B51" s="291">
        <v>5814467637.8252716</v>
      </c>
      <c r="C51" s="291">
        <v>831176055.02266371</v>
      </c>
      <c r="D51" s="291">
        <v>332308146.04891086</v>
      </c>
      <c r="E51" s="291">
        <v>7824104007.2631054</v>
      </c>
      <c r="F51" s="291">
        <v>109606486.28002021</v>
      </c>
      <c r="G51" s="291">
        <v>32450424.284478422</v>
      </c>
      <c r="H51" s="291">
        <v>2221821672.2208495</v>
      </c>
      <c r="I51" s="291">
        <v>274757120.58802581</v>
      </c>
      <c r="J51" s="291">
        <v>994464591.80423605</v>
      </c>
      <c r="K51" s="291">
        <v>950253406.14088368</v>
      </c>
      <c r="L51" s="291">
        <v>353735068.17928767</v>
      </c>
      <c r="M51" s="291">
        <v>366450189.97037911</v>
      </c>
      <c r="N51" s="291">
        <v>1171218948.6907065</v>
      </c>
      <c r="O51" s="291">
        <v>174115379.1838468</v>
      </c>
      <c r="P51" s="291">
        <v>19080320.284524821</v>
      </c>
      <c r="Q51" s="291">
        <v>726001713.19080925</v>
      </c>
      <c r="R51" s="291">
        <v>911591153.99999988</v>
      </c>
      <c r="S51" s="690">
        <v>23107602320.977997</v>
      </c>
      <c r="T51" s="665"/>
      <c r="U51" s="733">
        <v>10663.006320582639</v>
      </c>
      <c r="V51" s="734">
        <v>13147.901673381542</v>
      </c>
      <c r="W51" s="734">
        <v>30315.001069974645</v>
      </c>
      <c r="X51" s="735">
        <v>70717.36420081518</v>
      </c>
      <c r="Y51" s="665"/>
      <c r="Z51" s="665"/>
      <c r="AA51" s="665"/>
      <c r="AB51" s="733">
        <v>10798895673.132145</v>
      </c>
      <c r="AC51" s="734">
        <v>8298469063.8765144</v>
      </c>
      <c r="AD51" s="734">
        <v>2298453066.1244078</v>
      </c>
      <c r="AE51" s="735">
        <v>1711784517.8449323</v>
      </c>
      <c r="AF51" s="665"/>
      <c r="AG51" s="944">
        <v>0.46733086034324206</v>
      </c>
      <c r="AH51" s="944">
        <v>0.35912289594593011</v>
      </c>
      <c r="AI51" s="944">
        <v>9.946739753426434E-2</v>
      </c>
      <c r="AJ51" s="944">
        <v>7.4078846176563573E-2</v>
      </c>
      <c r="AK51" s="665"/>
      <c r="AL51" s="945">
        <v>1</v>
      </c>
      <c r="AM51" s="665"/>
      <c r="AN51" s="946">
        <v>0.45363260766364832</v>
      </c>
      <c r="AO51" s="946">
        <v>0.37788986312587358</v>
      </c>
      <c r="AP51" s="946">
        <v>9.5569807868120041E-2</v>
      </c>
      <c r="AQ51" s="947">
        <v>7.2907721342357928E-2</v>
      </c>
      <c r="AT51" s="733">
        <v>25821454983.398987</v>
      </c>
      <c r="AU51" s="950">
        <v>11691857267.125174</v>
      </c>
      <c r="AV51" s="950">
        <v>9787415387.8619308</v>
      </c>
      <c r="AW51" s="950">
        <v>2461044460.5294719</v>
      </c>
      <c r="AX51" s="950">
        <v>1881137867.8824055</v>
      </c>
      <c r="AZ51" s="952">
        <v>25821454983.398983</v>
      </c>
    </row>
    <row r="52" spans="1:52" s="273" customFormat="1" ht="15.75" thickBot="1">
      <c r="A52" s="127" t="s">
        <v>27</v>
      </c>
      <c r="B52" s="291">
        <v>1850856790.4768467</v>
      </c>
      <c r="C52" s="291">
        <v>260056231.54119959</v>
      </c>
      <c r="D52" s="291">
        <v>316318980.46833837</v>
      </c>
      <c r="E52" s="291">
        <v>4071247508.037991</v>
      </c>
      <c r="F52" s="291">
        <v>57033667.984225035</v>
      </c>
      <c r="G52" s="291">
        <v>16885920.3599094</v>
      </c>
      <c r="H52" s="291">
        <v>134256117.59527025</v>
      </c>
      <c r="I52" s="291">
        <v>18053225.733833052</v>
      </c>
      <c r="J52" s="291">
        <v>341796544.0793941</v>
      </c>
      <c r="K52" s="291">
        <v>326591226.71989334</v>
      </c>
      <c r="L52" s="291">
        <v>81046520.384774014</v>
      </c>
      <c r="M52" s="291">
        <v>85035815.227109283</v>
      </c>
      <c r="N52" s="291">
        <v>394259338.7500636</v>
      </c>
      <c r="O52" s="291">
        <v>58625801.7172594</v>
      </c>
      <c r="P52" s="291">
        <v>11967005.461407337</v>
      </c>
      <c r="Q52" s="291">
        <v>488993792.31479555</v>
      </c>
      <c r="R52" s="291">
        <v>0</v>
      </c>
      <c r="S52" s="690">
        <v>8513024486.8523111</v>
      </c>
      <c r="T52" s="665"/>
      <c r="U52" s="733">
        <v>11682.938136616027</v>
      </c>
      <c r="V52" s="734">
        <v>14085.241237858569</v>
      </c>
      <c r="W52" s="734">
        <v>40264.024670072606</v>
      </c>
      <c r="X52" s="735">
        <v>103386.69146539156</v>
      </c>
      <c r="Y52" s="665"/>
      <c r="Z52" s="665"/>
      <c r="AA52" s="665"/>
      <c r="AB52" s="733">
        <v>2764183163.1233521</v>
      </c>
      <c r="AC52" s="734">
        <v>4461486076.8504639</v>
      </c>
      <c r="AD52" s="734">
        <v>749434291.18406141</v>
      </c>
      <c r="AE52" s="735">
        <v>537920955.69443226</v>
      </c>
      <c r="AF52" s="665"/>
      <c r="AG52" s="944">
        <v>0.32470048305304572</v>
      </c>
      <c r="AH52" s="944">
        <v>0.52407767459624655</v>
      </c>
      <c r="AI52" s="944">
        <v>8.803384653027875E-2</v>
      </c>
      <c r="AJ52" s="944">
        <v>6.3187995820428847E-2</v>
      </c>
      <c r="AK52" s="665"/>
      <c r="AL52" s="945">
        <v>1</v>
      </c>
      <c r="AM52" s="665"/>
      <c r="AN52" s="946">
        <v>0.31755704657073741</v>
      </c>
      <c r="AO52" s="946">
        <v>0.54035987651066886</v>
      </c>
      <c r="AP52" s="946">
        <v>8.122889149222412E-2</v>
      </c>
      <c r="AQ52" s="947">
        <v>6.0854185426369549E-2</v>
      </c>
      <c r="AT52" s="733">
        <v>9522120025.9110088</v>
      </c>
      <c r="AU52" s="950">
        <v>3019751282.2735825</v>
      </c>
      <c r="AV52" s="950">
        <v>5156026012.7834444</v>
      </c>
      <c r="AW52" s="950">
        <v>768420380.50249684</v>
      </c>
      <c r="AX52" s="950">
        <v>577922350.3514837</v>
      </c>
      <c r="AZ52" s="952">
        <v>9522120025.9110088</v>
      </c>
    </row>
    <row r="53" spans="1:52" s="273" customFormat="1" ht="15.75" thickBot="1">
      <c r="A53" s="127" t="s">
        <v>28</v>
      </c>
      <c r="B53" s="291">
        <v>2535614178.3748212</v>
      </c>
      <c r="C53" s="291">
        <v>405973965.31283832</v>
      </c>
      <c r="D53" s="291">
        <v>219964155.41513038</v>
      </c>
      <c r="E53" s="291">
        <v>3560502072.5912361</v>
      </c>
      <c r="F53" s="291">
        <v>49878027.592103139</v>
      </c>
      <c r="G53" s="291">
        <v>14767769.680621376</v>
      </c>
      <c r="H53" s="291">
        <v>555135609.88510299</v>
      </c>
      <c r="I53" s="291">
        <v>71277817.421279728</v>
      </c>
      <c r="J53" s="291">
        <v>330020604.59491539</v>
      </c>
      <c r="K53" s="291">
        <v>315370638.2753945</v>
      </c>
      <c r="L53" s="291">
        <v>84989170.55827108</v>
      </c>
      <c r="M53" s="291">
        <v>121954037.16561823</v>
      </c>
      <c r="N53" s="291">
        <v>393516557.53075677</v>
      </c>
      <c r="O53" s="291">
        <v>58534290.513989657</v>
      </c>
      <c r="P53" s="291">
        <v>9123468.1971385367</v>
      </c>
      <c r="Q53" s="291">
        <v>360476992.77676064</v>
      </c>
      <c r="R53" s="291">
        <v>906182658</v>
      </c>
      <c r="S53" s="690">
        <v>9993282013.8859768</v>
      </c>
      <c r="T53" s="665"/>
      <c r="U53" s="733">
        <v>11912.781699068237</v>
      </c>
      <c r="V53" s="734">
        <v>13559.609499134576</v>
      </c>
      <c r="W53" s="734">
        <v>30123.748800980815</v>
      </c>
      <c r="X53" s="735">
        <v>71553.837597901365</v>
      </c>
      <c r="Y53" s="665"/>
      <c r="Z53" s="665"/>
      <c r="AA53" s="665"/>
      <c r="AB53" s="733">
        <v>4843784689.9679413</v>
      </c>
      <c r="AC53" s="734">
        <v>3845112025.2790909</v>
      </c>
      <c r="AD53" s="734">
        <v>730380413.42858088</v>
      </c>
      <c r="AE53" s="735">
        <v>574004885.2103647</v>
      </c>
      <c r="AF53" s="665"/>
      <c r="AG53" s="944">
        <v>0.48470409253309887</v>
      </c>
      <c r="AH53" s="944">
        <v>0.38476969027154323</v>
      </c>
      <c r="AI53" s="944">
        <v>7.3087141182816076E-2</v>
      </c>
      <c r="AJ53" s="944">
        <v>5.7439076012541931E-2</v>
      </c>
      <c r="AK53" s="665"/>
      <c r="AL53" s="945">
        <v>1.0000000000000002</v>
      </c>
      <c r="AM53" s="665"/>
      <c r="AN53" s="946">
        <v>0.47014592753956569</v>
      </c>
      <c r="AO53" s="946">
        <v>0.40225722238328276</v>
      </c>
      <c r="AP53" s="946">
        <v>7.1253631550920307E-2</v>
      </c>
      <c r="AQ53" s="947">
        <v>5.6343218526231371E-2</v>
      </c>
      <c r="AT53" s="733">
        <v>11217717385.966026</v>
      </c>
      <c r="AU53" s="950">
        <v>5262621356.399642</v>
      </c>
      <c r="AV53" s="950">
        <v>4524413406.1388311</v>
      </c>
      <c r="AW53" s="950">
        <v>798563545.5741291</v>
      </c>
      <c r="AX53" s="950">
        <v>632119077.85342658</v>
      </c>
      <c r="AZ53" s="952">
        <v>11217717385.966028</v>
      </c>
    </row>
    <row r="54" spans="1:52" s="273" customFormat="1" ht="15.95" customHeight="1" thickBot="1">
      <c r="A54" s="128" t="s">
        <v>29</v>
      </c>
      <c r="B54" s="291">
        <v>1752100786.8831055</v>
      </c>
      <c r="C54" s="291">
        <v>220033117.29520875</v>
      </c>
      <c r="D54" s="291">
        <v>154112291.94674328</v>
      </c>
      <c r="E54" s="291">
        <v>2067746090.8527937</v>
      </c>
      <c r="F54" s="291">
        <v>28967913.586333171</v>
      </c>
      <c r="G54" s="291">
        <v>8576664.4344679434</v>
      </c>
      <c r="H54" s="291">
        <v>281662605.14264286</v>
      </c>
      <c r="I54" s="291">
        <v>29153689.768521201</v>
      </c>
      <c r="J54" s="291">
        <v>232411550.28555083</v>
      </c>
      <c r="K54" s="291">
        <v>222073504.58008066</v>
      </c>
      <c r="L54" s="291">
        <v>59721908.863295101</v>
      </c>
      <c r="M54" s="291">
        <v>88005362.147108123</v>
      </c>
      <c r="N54" s="291">
        <v>392178871.05920511</v>
      </c>
      <c r="O54" s="291">
        <v>58286956.926768616</v>
      </c>
      <c r="P54" s="291">
        <v>4302433.1336016124</v>
      </c>
      <c r="Q54" s="291">
        <v>136880616.63003099</v>
      </c>
      <c r="R54" s="291">
        <v>483106950</v>
      </c>
      <c r="S54" s="690">
        <v>6219321313.5354567</v>
      </c>
      <c r="T54" s="665"/>
      <c r="U54" s="733">
        <v>12265.697694109032</v>
      </c>
      <c r="V54" s="734">
        <v>14458.605852933366</v>
      </c>
      <c r="W54" s="734">
        <v>30374.325933541648</v>
      </c>
      <c r="X54" s="735">
        <v>77144.869646573337</v>
      </c>
      <c r="Y54" s="665"/>
      <c r="Z54" s="665"/>
      <c r="AA54" s="665"/>
      <c r="AB54" s="733">
        <v>2907240198.8531113</v>
      </c>
      <c r="AC54" s="734">
        <v>2259402960.8203382</v>
      </c>
      <c r="AD54" s="734">
        <v>514206963.72892654</v>
      </c>
      <c r="AE54" s="735">
        <v>538471190.13308191</v>
      </c>
      <c r="AF54" s="665"/>
      <c r="AG54" s="944">
        <v>0.46745296669685193</v>
      </c>
      <c r="AH54" s="944">
        <v>0.36328770406235056</v>
      </c>
      <c r="AI54" s="944">
        <v>8.2678951256277625E-2</v>
      </c>
      <c r="AJ54" s="944">
        <v>8.6580377984520104E-2</v>
      </c>
      <c r="AK54" s="665"/>
      <c r="AL54" s="945">
        <v>1.0000000000000002</v>
      </c>
      <c r="AM54" s="665"/>
      <c r="AN54" s="946">
        <v>0.45786157054457943</v>
      </c>
      <c r="AO54" s="946">
        <v>0.38265296283503752</v>
      </c>
      <c r="AP54" s="946">
        <v>7.8293052336869798E-2</v>
      </c>
      <c r="AQ54" s="947">
        <v>8.119241428351319E-2</v>
      </c>
      <c r="AT54" s="733">
        <v>6792353220.7975435</v>
      </c>
      <c r="AU54" s="950">
        <v>3107093286.1092105</v>
      </c>
      <c r="AV54" s="950">
        <v>2605802732.4465914</v>
      </c>
      <c r="AW54" s="950">
        <v>530082276.45500427</v>
      </c>
      <c r="AX54" s="950">
        <v>549374925.78673792</v>
      </c>
      <c r="AZ54" s="952">
        <v>6792353220.7975445</v>
      </c>
    </row>
    <row r="55" spans="1:52" s="273" customFormat="1" ht="15.75" thickBot="1">
      <c r="A55" s="127" t="s">
        <v>31</v>
      </c>
      <c r="B55" s="291">
        <v>4554576473.2828608</v>
      </c>
      <c r="C55" s="291">
        <v>692474479.16076636</v>
      </c>
      <c r="D55" s="291">
        <v>378435933.70466834</v>
      </c>
      <c r="E55" s="291">
        <v>4003737048.9907475</v>
      </c>
      <c r="F55" s="291">
        <v>56085350.548770338</v>
      </c>
      <c r="G55" s="291">
        <v>16605691.946955211</v>
      </c>
      <c r="H55" s="291">
        <v>598411921.29059303</v>
      </c>
      <c r="I55" s="291">
        <v>80085046.739779294</v>
      </c>
      <c r="J55" s="291">
        <v>452809457.39998406</v>
      </c>
      <c r="K55" s="291">
        <v>432680319.38994229</v>
      </c>
      <c r="L55" s="291">
        <v>360267467.08184862</v>
      </c>
      <c r="M55" s="291">
        <v>160715552.35083014</v>
      </c>
      <c r="N55" s="291">
        <v>968922127.49834573</v>
      </c>
      <c r="O55" s="291">
        <v>135996870.75098008</v>
      </c>
      <c r="P55" s="291">
        <v>14487229.631711749</v>
      </c>
      <c r="Q55" s="291">
        <v>590774288.41975307</v>
      </c>
      <c r="R55" s="291">
        <v>469518642</v>
      </c>
      <c r="S55" s="690">
        <v>13966583900.188534</v>
      </c>
      <c r="T55" s="665"/>
      <c r="U55" s="733">
        <v>8863.126917226662</v>
      </c>
      <c r="V55" s="734">
        <v>12664.786625779359</v>
      </c>
      <c r="W55" s="734">
        <v>18296.281927384782</v>
      </c>
      <c r="X55" s="735">
        <v>72863.244133572603</v>
      </c>
      <c r="Y55" s="665"/>
      <c r="Z55" s="665"/>
      <c r="AA55" s="665"/>
      <c r="AB55" s="733">
        <v>7000328080.525465</v>
      </c>
      <c r="AC55" s="734">
        <v>4454864025.1911411</v>
      </c>
      <c r="AD55" s="734">
        <v>1245757243.8717749</v>
      </c>
      <c r="AE55" s="735">
        <v>1265634550.6001561</v>
      </c>
      <c r="AF55" s="665"/>
      <c r="AG55" s="944">
        <v>0.50121977790366967</v>
      </c>
      <c r="AH55" s="944">
        <v>0.31896590154239546</v>
      </c>
      <c r="AI55" s="944">
        <v>8.9195557967110234E-2</v>
      </c>
      <c r="AJ55" s="944">
        <v>9.0618762586824927E-2</v>
      </c>
      <c r="AK55" s="665"/>
      <c r="AL55" s="945">
        <v>1.0000000000000002</v>
      </c>
      <c r="AM55" s="665"/>
      <c r="AN55" s="946">
        <v>0.49534949154349084</v>
      </c>
      <c r="AO55" s="946">
        <v>0.32652781497465105</v>
      </c>
      <c r="AP55" s="946">
        <v>8.8844150972135397E-2</v>
      </c>
      <c r="AQ55" s="947">
        <v>8.9278542509722794E-2</v>
      </c>
      <c r="AT55" s="733">
        <v>15450911859.7146</v>
      </c>
      <c r="AU55" s="951">
        <v>7650415175.5352211</v>
      </c>
      <c r="AV55" s="951">
        <v>5052414535.9996004</v>
      </c>
      <c r="AW55" s="951">
        <v>1371436679.9541569</v>
      </c>
      <c r="AX55" s="951">
        <v>1376645468.2256229</v>
      </c>
      <c r="AZ55" s="952">
        <v>15450911859.7146</v>
      </c>
    </row>
    <row r="56" spans="1:52" s="273" customFormat="1" ht="15.75" thickBot="1">
      <c r="A56" s="127" t="s">
        <v>32</v>
      </c>
      <c r="B56" s="291">
        <v>26735870394.223289</v>
      </c>
      <c r="C56" s="291">
        <v>3678166734.2531166</v>
      </c>
      <c r="D56" s="291">
        <v>1058301963.5538565</v>
      </c>
      <c r="E56" s="291">
        <v>23529463450.063244</v>
      </c>
      <c r="F56" s="291">
        <v>329615985.81465256</v>
      </c>
      <c r="G56" s="291">
        <v>97590682.589918047</v>
      </c>
      <c r="H56" s="291">
        <v>5900339564.2429295</v>
      </c>
      <c r="I56" s="291">
        <v>733826372.79322457</v>
      </c>
      <c r="J56" s="291">
        <v>5501848980.2089777</v>
      </c>
      <c r="K56" s="291">
        <v>5257125615.0209398</v>
      </c>
      <c r="L56" s="291">
        <v>3079288381.4457974</v>
      </c>
      <c r="M56" s="291">
        <v>897497464.56470668</v>
      </c>
      <c r="N56" s="291">
        <v>5592773023.8523016</v>
      </c>
      <c r="O56" s="291">
        <v>617383981.40982068</v>
      </c>
      <c r="P56" s="291">
        <v>70999826.965377718</v>
      </c>
      <c r="Q56" s="291">
        <v>2738362848.7968912</v>
      </c>
      <c r="R56" s="291">
        <v>609227771.99999988</v>
      </c>
      <c r="S56" s="690">
        <v>86427683041.799042</v>
      </c>
      <c r="T56" s="665"/>
      <c r="U56" s="733">
        <v>8775.1682123509236</v>
      </c>
      <c r="V56" s="734">
        <v>13532.081093052388</v>
      </c>
      <c r="W56" s="734">
        <v>46385.290855103907</v>
      </c>
      <c r="X56" s="735">
        <v>82761.664044745979</v>
      </c>
      <c r="Y56" s="665"/>
      <c r="Z56" s="665"/>
      <c r="AA56" s="665"/>
      <c r="AB56" s="733">
        <v>40466793513.274834</v>
      </c>
      <c r="AC56" s="734">
        <v>25014972082.021667</v>
      </c>
      <c r="AD56" s="734">
        <v>13838262976.675714</v>
      </c>
      <c r="AE56" s="735">
        <v>7107654469.826829</v>
      </c>
      <c r="AF56" s="665"/>
      <c r="AG56" s="944">
        <v>0.46821564675873434</v>
      </c>
      <c r="AH56" s="944">
        <v>0.28943240408196147</v>
      </c>
      <c r="AI56" s="944">
        <v>0.16011377940078658</v>
      </c>
      <c r="AJ56" s="944">
        <v>8.2238169758517679E-2</v>
      </c>
      <c r="AK56" s="665"/>
      <c r="AL56" s="945">
        <v>1</v>
      </c>
      <c r="AM56" s="665"/>
      <c r="AN56" s="946">
        <v>0.46530253286333911</v>
      </c>
      <c r="AO56" s="946">
        <v>0.29602932908712748</v>
      </c>
      <c r="AP56" s="946">
        <v>0.1574861405921795</v>
      </c>
      <c r="AQ56" s="947">
        <v>8.1181997457354063E-2</v>
      </c>
      <c r="AT56" s="733">
        <v>91679607806.440048</v>
      </c>
      <c r="AU56" s="951">
        <v>42657407899.942894</v>
      </c>
      <c r="AV56" s="951">
        <v>27159024948.155804</v>
      </c>
      <c r="AW56" s="951">
        <v>14426051982.249716</v>
      </c>
      <c r="AX56" s="951">
        <v>7437122976.0916414</v>
      </c>
      <c r="AZ56" s="952">
        <v>91679607806.440048</v>
      </c>
    </row>
    <row r="57" spans="1:52" ht="15.75" thickBot="1">
      <c r="A57" s="127" t="s">
        <v>33</v>
      </c>
      <c r="B57" s="291">
        <v>14381340261.713827</v>
      </c>
      <c r="C57" s="291">
        <v>2248213683.7864604</v>
      </c>
      <c r="D57" s="291">
        <v>718476564.36776626</v>
      </c>
      <c r="E57" s="291">
        <v>8505495907.9848518</v>
      </c>
      <c r="F57" s="291">
        <v>119151287.73961022</v>
      </c>
      <c r="G57" s="291">
        <v>35276432.338269114</v>
      </c>
      <c r="H57" s="291">
        <v>5369177812.7908487</v>
      </c>
      <c r="I57" s="291">
        <v>545594185.43541253</v>
      </c>
      <c r="J57" s="291">
        <v>1270171566.5695252</v>
      </c>
      <c r="K57" s="291">
        <v>1213701039.8885126</v>
      </c>
      <c r="L57" s="291">
        <v>405817327.99154365</v>
      </c>
      <c r="M57" s="291">
        <v>1240175039.9454775</v>
      </c>
      <c r="N57" s="291">
        <v>3719333911.883152</v>
      </c>
      <c r="O57" s="291">
        <v>569784400.97261131</v>
      </c>
      <c r="P57" s="291">
        <v>28226212.94448309</v>
      </c>
      <c r="Q57" s="291">
        <v>891474959.42467296</v>
      </c>
      <c r="R57" s="291">
        <v>13149637049.999998</v>
      </c>
      <c r="S57" s="690">
        <v>54411047645.777023</v>
      </c>
      <c r="U57" s="733">
        <v>10221.139244575592</v>
      </c>
      <c r="V57" s="734">
        <v>13955.578857159326</v>
      </c>
      <c r="W57" s="734">
        <v>23832.887424531385</v>
      </c>
      <c r="X57" s="735">
        <v>82695.860981428312</v>
      </c>
      <c r="AB57" s="733">
        <v>36613664166.095703</v>
      </c>
      <c r="AC57" s="734">
        <v>9378400192.4304962</v>
      </c>
      <c r="AD57" s="734">
        <v>2889689934.4495816</v>
      </c>
      <c r="AE57" s="735">
        <v>5529293352.8012409</v>
      </c>
      <c r="AG57" s="944">
        <v>0.67290864172392717</v>
      </c>
      <c r="AH57" s="944">
        <v>0.1723620587768333</v>
      </c>
      <c r="AI57" s="944">
        <v>5.3108514896861345E-2</v>
      </c>
      <c r="AJ57" s="944">
        <v>0.10162078460237814</v>
      </c>
      <c r="AL57" s="945">
        <v>0.99999999999999989</v>
      </c>
      <c r="AN57" s="946">
        <v>0.66082915405323139</v>
      </c>
      <c r="AO57" s="946">
        <v>0.18608213664125273</v>
      </c>
      <c r="AP57" s="946">
        <v>5.2850074553601051E-2</v>
      </c>
      <c r="AQ57" s="947">
        <v>0.10023863475191479</v>
      </c>
      <c r="AT57" s="733">
        <v>58262731832.734436</v>
      </c>
      <c r="AU57" s="951">
        <v>38476329375.671028</v>
      </c>
      <c r="AV57" s="951">
        <v>10871340650.35113</v>
      </c>
      <c r="AW57" s="951">
        <v>3078241486.5719352</v>
      </c>
      <c r="AX57" s="951">
        <v>5836820320.1403427</v>
      </c>
      <c r="AZ57" s="952">
        <v>58262731832.734436</v>
      </c>
    </row>
    <row r="58" spans="1:52" ht="15.75" thickBot="1">
      <c r="A58" s="128" t="s">
        <v>34</v>
      </c>
      <c r="B58" s="291">
        <v>55700854612.531479</v>
      </c>
      <c r="C58" s="291">
        <v>7401860471.0710526</v>
      </c>
      <c r="D58" s="291">
        <v>3094534970.4317451</v>
      </c>
      <c r="E58" s="291">
        <v>42599988781.121071</v>
      </c>
      <c r="F58" s="291">
        <v>596775210.37709582</v>
      </c>
      <c r="G58" s="291">
        <v>176688501.86376894</v>
      </c>
      <c r="H58" s="291">
        <v>59549133735.40403</v>
      </c>
      <c r="I58" s="291">
        <v>6768022548.0338755</v>
      </c>
      <c r="J58" s="291">
        <v>7485499318.3624945</v>
      </c>
      <c r="K58" s="291">
        <v>7152647097.7874565</v>
      </c>
      <c r="L58" s="291">
        <v>4665090081.5037708</v>
      </c>
      <c r="M58" s="291">
        <v>2476284569.1652222</v>
      </c>
      <c r="N58" s="291">
        <v>11300945088.613138</v>
      </c>
      <c r="O58" s="291">
        <v>1268200090.2869942</v>
      </c>
      <c r="P58" s="291">
        <v>146251473.09389371</v>
      </c>
      <c r="Q58" s="291">
        <v>5272280382.1883812</v>
      </c>
      <c r="R58" s="291">
        <v>4722487926</v>
      </c>
      <c r="S58" s="690">
        <v>220377544857.83545</v>
      </c>
      <c r="U58" s="733">
        <v>9095.739091102063</v>
      </c>
      <c r="V58" s="734">
        <v>12060.27216953986</v>
      </c>
      <c r="W58" s="734">
        <v>27826.891691755285</v>
      </c>
      <c r="X58" s="735">
        <v>69487.803601833351</v>
      </c>
      <c r="AB58" s="733">
        <v>139560891148.32269</v>
      </c>
      <c r="AC58" s="734">
        <v>46467987463.793686</v>
      </c>
      <c r="AD58" s="734">
        <v>19303236497.653725</v>
      </c>
      <c r="AE58" s="735">
        <v>15045429748.065355</v>
      </c>
      <c r="AG58" s="944">
        <v>0.63328090544956739</v>
      </c>
      <c r="AH58" s="944">
        <v>0.21085627164859275</v>
      </c>
      <c r="AI58" s="944">
        <v>8.7591666882876631E-2</v>
      </c>
      <c r="AJ58" s="944">
        <v>6.8271156018963247E-2</v>
      </c>
      <c r="AL58" s="945">
        <v>1</v>
      </c>
      <c r="AN58" s="946">
        <v>0.61454511509082954</v>
      </c>
      <c r="AO58" s="946">
        <v>0.23263590318114424</v>
      </c>
      <c r="AP58" s="946">
        <v>8.5814563709255456E-2</v>
      </c>
      <c r="AQ58" s="947">
        <v>6.7004418018770662E-2</v>
      </c>
      <c r="AT58" s="733">
        <v>232141462576.63354</v>
      </c>
      <c r="AU58" s="951">
        <v>142542255111.10269</v>
      </c>
      <c r="AV58" s="951">
        <v>54141500713.239586</v>
      </c>
      <c r="AW58" s="951">
        <v>19910367165.965096</v>
      </c>
      <c r="AX58" s="951">
        <v>15547339586.326162</v>
      </c>
      <c r="AZ58" s="952">
        <v>232141462576.63354</v>
      </c>
    </row>
    <row r="59" spans="1:52" ht="15.75" thickBot="1">
      <c r="A59" s="127" t="s">
        <v>36</v>
      </c>
      <c r="B59" s="291">
        <v>14333766037.956852</v>
      </c>
      <c r="C59" s="291">
        <v>1831449828.8646314</v>
      </c>
      <c r="D59" s="291">
        <v>1101887262.6768546</v>
      </c>
      <c r="E59" s="291">
        <v>10151995526.471691</v>
      </c>
      <c r="F59" s="291">
        <v>142217901.62026471</v>
      </c>
      <c r="G59" s="291">
        <v>42107763.416590057</v>
      </c>
      <c r="H59" s="291">
        <v>9574464779.7199173</v>
      </c>
      <c r="I59" s="291">
        <v>1092433523.0746443</v>
      </c>
      <c r="J59" s="291">
        <v>2836097980.2319388</v>
      </c>
      <c r="K59" s="291">
        <v>2710040114.8300676</v>
      </c>
      <c r="L59" s="291">
        <v>2715393870.6067686</v>
      </c>
      <c r="M59" s="291">
        <v>408522794.54566854</v>
      </c>
      <c r="N59" s="291">
        <v>2674283406.9800467</v>
      </c>
      <c r="O59" s="291">
        <v>316001955.47625566</v>
      </c>
      <c r="P59" s="291">
        <v>57261609.344156206</v>
      </c>
      <c r="Q59" s="291">
        <v>2052698393.324043</v>
      </c>
      <c r="R59" s="291">
        <v>413793827.99999994</v>
      </c>
      <c r="S59" s="690">
        <v>52454416577.140404</v>
      </c>
      <c r="U59" s="733">
        <v>8154.2786684444845</v>
      </c>
      <c r="V59" s="734">
        <v>10759.974952974555</v>
      </c>
      <c r="W59" s="734">
        <v>29957.18282701584</v>
      </c>
      <c r="X59" s="735">
        <v>72481.620681608183</v>
      </c>
      <c r="AB59" s="733">
        <v>29355868000.284245</v>
      </c>
      <c r="AC59" s="734">
        <v>11438208454.1854</v>
      </c>
      <c r="AD59" s="734">
        <v>8261531965.6687746</v>
      </c>
      <c r="AE59" s="735">
        <v>3398808157.0019712</v>
      </c>
      <c r="AG59" s="944">
        <v>0.55964530569342963</v>
      </c>
      <c r="AH59" s="944">
        <v>0.21805996902785424</v>
      </c>
      <c r="AI59" s="944">
        <v>0.15749926326068689</v>
      </c>
      <c r="AJ59" s="944">
        <v>6.4795462018028993E-2</v>
      </c>
      <c r="AL59" s="945">
        <v>0.99999999999999967</v>
      </c>
      <c r="AN59" s="946">
        <v>0.54838868763077309</v>
      </c>
      <c r="AO59" s="946">
        <v>0.23363649056449579</v>
      </c>
      <c r="AP59" s="946">
        <v>0.15459001070611508</v>
      </c>
      <c r="AQ59" s="947">
        <v>6.3384811098615768E-2</v>
      </c>
      <c r="AT59" s="733">
        <v>56784897843.439453</v>
      </c>
      <c r="AU59" s="951">
        <v>31124553166.661755</v>
      </c>
      <c r="AV59" s="951">
        <v>13303699104.424639</v>
      </c>
      <c r="AW59" s="951">
        <v>8763979119.6431522</v>
      </c>
      <c r="AX59" s="951">
        <v>3592666452.7098923</v>
      </c>
      <c r="AZ59" s="952">
        <v>56784897843.439438</v>
      </c>
    </row>
    <row r="60" spans="1:52" ht="15.75" thickBot="1">
      <c r="A60" s="127" t="s">
        <v>37</v>
      </c>
      <c r="B60" s="291">
        <v>20902448903.417736</v>
      </c>
      <c r="C60" s="291">
        <v>2353488623.2410808</v>
      </c>
      <c r="D60" s="291">
        <v>844207141.08182132</v>
      </c>
      <c r="E60" s="291">
        <v>11474845339.639889</v>
      </c>
      <c r="F60" s="291">
        <v>160746847.43131536</v>
      </c>
      <c r="G60" s="291">
        <v>47593071.358686656</v>
      </c>
      <c r="H60" s="291">
        <v>1730986123.7117045</v>
      </c>
      <c r="I60" s="291">
        <v>177704003.50663325</v>
      </c>
      <c r="J60" s="291">
        <v>2546318714.6009936</v>
      </c>
      <c r="K60" s="291">
        <v>2433125020.6393003</v>
      </c>
      <c r="L60" s="291">
        <v>1860685271.9978111</v>
      </c>
      <c r="M60" s="291">
        <v>444648669.91848469</v>
      </c>
      <c r="N60" s="291">
        <v>2753565169.2188163</v>
      </c>
      <c r="O60" s="291">
        <v>325409747.91155821</v>
      </c>
      <c r="P60" s="291">
        <v>55953914.145991117</v>
      </c>
      <c r="Q60" s="291">
        <v>1766311713.4306967</v>
      </c>
      <c r="R60" s="291">
        <v>1102338342</v>
      </c>
      <c r="S60" s="690">
        <v>50980376617.25251</v>
      </c>
      <c r="U60" s="733">
        <v>8228.2626505906537</v>
      </c>
      <c r="V60" s="734">
        <v>13104.049188082468</v>
      </c>
      <c r="W60" s="734">
        <v>30889.729391375899</v>
      </c>
      <c r="X60" s="735">
        <v>75846.989410613241</v>
      </c>
      <c r="AB60" s="733">
        <v>28089231623.453846</v>
      </c>
      <c r="AC60" s="734">
        <v>12527392399.511711</v>
      </c>
      <c r="AD60" s="734">
        <v>6840129007.2381048</v>
      </c>
      <c r="AE60" s="735">
        <v>3523623587.0488591</v>
      </c>
      <c r="AG60" s="944">
        <v>0.55098124979225904</v>
      </c>
      <c r="AH60" s="944">
        <v>0.24572969504647121</v>
      </c>
      <c r="AI60" s="944">
        <v>0.13417180219346014</v>
      </c>
      <c r="AJ60" s="944">
        <v>6.9117252967809836E-2</v>
      </c>
      <c r="AL60" s="945">
        <v>1.0000000000000002</v>
      </c>
      <c r="AN60" s="946">
        <v>0.55167542532113278</v>
      </c>
      <c r="AO60" s="946">
        <v>0.24744987457947618</v>
      </c>
      <c r="AP60" s="946">
        <v>0.13216266011585989</v>
      </c>
      <c r="AQ60" s="947">
        <v>6.8712039983531245E-2</v>
      </c>
      <c r="AT60" s="733">
        <v>54293502527.303833</v>
      </c>
      <c r="AU60" s="951">
        <v>29958967811.996037</v>
      </c>
      <c r="AV60" s="951">
        <v>13438776785.043478</v>
      </c>
      <c r="AW60" s="951">
        <v>7167805409.625412</v>
      </c>
      <c r="AX60" s="951">
        <v>3727952520.6389198</v>
      </c>
      <c r="AZ60" s="952">
        <v>54293502527.303848</v>
      </c>
    </row>
    <row r="61" spans="1:52" ht="15.75" thickBot="1">
      <c r="A61" s="128" t="s">
        <v>38</v>
      </c>
      <c r="B61" s="291">
        <v>13635400724.952738</v>
      </c>
      <c r="C61" s="291">
        <v>1662500714.9729712</v>
      </c>
      <c r="D61" s="291">
        <v>1178533949.8553822</v>
      </c>
      <c r="E61" s="291">
        <v>9612686008.9090977</v>
      </c>
      <c r="F61" s="291">
        <v>134661244.05183694</v>
      </c>
      <c r="G61" s="291">
        <v>39870968.084885009</v>
      </c>
      <c r="H61" s="291">
        <v>2074517542.8912034</v>
      </c>
      <c r="I61" s="291">
        <v>227198818.97411236</v>
      </c>
      <c r="J61" s="291">
        <v>1683196511.8946893</v>
      </c>
      <c r="K61" s="291">
        <v>1608364817.3221076</v>
      </c>
      <c r="L61" s="291">
        <v>1604880561.6980081</v>
      </c>
      <c r="M61" s="291">
        <v>242815639.37574193</v>
      </c>
      <c r="N61" s="291">
        <v>1311907463.6086366</v>
      </c>
      <c r="O61" s="291">
        <v>155008029.11746606</v>
      </c>
      <c r="P61" s="291">
        <v>35686167.675382994</v>
      </c>
      <c r="Q61" s="291">
        <v>1194239642.083307</v>
      </c>
      <c r="R61" s="291">
        <v>1814545164</v>
      </c>
      <c r="S61" s="690">
        <v>38216013969.467575</v>
      </c>
      <c r="U61" s="733">
        <v>8989.0727655212449</v>
      </c>
      <c r="V61" s="734">
        <v>13099.551158691642</v>
      </c>
      <c r="W61" s="734">
        <v>30706.39590439486</v>
      </c>
      <c r="X61" s="735">
        <v>71393.483050853712</v>
      </c>
      <c r="AB61" s="733">
        <v>20644088775.549717</v>
      </c>
      <c r="AC61" s="734">
        <v>10965752170.901201</v>
      </c>
      <c r="AD61" s="734">
        <v>4896441890.9148045</v>
      </c>
      <c r="AE61" s="735">
        <v>1709731132.1018445</v>
      </c>
      <c r="AG61" s="944">
        <v>0.54019471502295269</v>
      </c>
      <c r="AH61" s="944">
        <v>0.28694128539052277</v>
      </c>
      <c r="AI61" s="944">
        <v>0.12812539515049329</v>
      </c>
      <c r="AJ61" s="944">
        <v>4.4738604436030997E-2</v>
      </c>
      <c r="AL61" s="945">
        <v>0.99999999999999967</v>
      </c>
      <c r="AN61" s="946">
        <v>0.53947006008478449</v>
      </c>
      <c r="AO61" s="946">
        <v>0.29170711056985432</v>
      </c>
      <c r="AP61" s="946">
        <v>0.12520759574698129</v>
      </c>
      <c r="AQ61" s="947">
        <v>4.3615233598379745E-2</v>
      </c>
      <c r="AT61" s="733">
        <v>40490316242.921448</v>
      </c>
      <c r="AU61" s="951">
        <v>21845414048.108036</v>
      </c>
      <c r="AV61" s="951">
        <v>11817988870.757029</v>
      </c>
      <c r="AW61" s="951">
        <v>5063209485.068675</v>
      </c>
      <c r="AX61" s="951">
        <v>1763703838.9877033</v>
      </c>
      <c r="AZ61" s="952">
        <v>40490316242.92144</v>
      </c>
    </row>
    <row r="62" spans="1:52" ht="15.75" thickBot="1">
      <c r="A62" s="127" t="s">
        <v>40</v>
      </c>
      <c r="B62" s="291">
        <v>8119552301.5655832</v>
      </c>
      <c r="C62" s="291">
        <v>880370846.57455146</v>
      </c>
      <c r="D62" s="291">
        <v>70804465.152562723</v>
      </c>
      <c r="E62" s="291">
        <v>1734538743.0338521</v>
      </c>
      <c r="F62" s="291">
        <v>24298039.815405026</v>
      </c>
      <c r="G62" s="291">
        <v>7194780.4035305828</v>
      </c>
      <c r="H62" s="291">
        <v>964526620.23047137</v>
      </c>
      <c r="I62" s="291">
        <v>98311471.588758662</v>
      </c>
      <c r="J62" s="291">
        <v>447796056.95009667</v>
      </c>
      <c r="K62" s="291">
        <v>427876853.03748918</v>
      </c>
      <c r="L62" s="291">
        <v>173702147.35621545</v>
      </c>
      <c r="M62" s="291">
        <v>103019909.22873619</v>
      </c>
      <c r="N62" s="291">
        <v>671673650.94071281</v>
      </c>
      <c r="O62" s="291">
        <v>70042888.313561514</v>
      </c>
      <c r="P62" s="291">
        <v>12675822.962729221</v>
      </c>
      <c r="Q62" s="291">
        <v>394730979.94127935</v>
      </c>
      <c r="R62" s="291">
        <v>0</v>
      </c>
      <c r="S62" s="690">
        <v>14201115577.095531</v>
      </c>
      <c r="U62" s="733">
        <v>9930.2503984492851</v>
      </c>
      <c r="V62" s="734">
        <v>13536.903909657607</v>
      </c>
      <c r="W62" s="734">
        <v>48456.550486876673</v>
      </c>
      <c r="X62" s="735">
        <v>63734.453635356156</v>
      </c>
      <c r="AB62" s="733">
        <v>10470168042.863371</v>
      </c>
      <c r="AC62" s="734">
        <v>1836836028.4053504</v>
      </c>
      <c r="AD62" s="734">
        <v>1049375057.3438013</v>
      </c>
      <c r="AE62" s="735">
        <v>844736448.48301053</v>
      </c>
      <c r="AG62" s="944">
        <v>0.7372778558150973</v>
      </c>
      <c r="AH62" s="944">
        <v>0.12934448835610612</v>
      </c>
      <c r="AI62" s="944">
        <v>7.3893846694431567E-2</v>
      </c>
      <c r="AJ62" s="944">
        <v>5.9483809134365156E-2</v>
      </c>
      <c r="AL62" s="945">
        <v>1.0000000000000002</v>
      </c>
      <c r="AN62" s="946">
        <v>0.7392060350686257</v>
      </c>
      <c r="AO62" s="946">
        <v>0.13349627397665045</v>
      </c>
      <c r="AP62" s="946">
        <v>7.175839635098423E-2</v>
      </c>
      <c r="AQ62" s="947">
        <v>5.5539294603739651E-2</v>
      </c>
      <c r="AT62" s="733">
        <v>15078414491.696009</v>
      </c>
      <c r="AU62" s="951">
        <v>11147161723.997213</v>
      </c>
      <c r="AV62" s="951">
        <v>2014917003.3845789</v>
      </c>
      <c r="AW62" s="951">
        <v>1080893926.7035692</v>
      </c>
      <c r="AX62" s="951">
        <v>835441837.61064923</v>
      </c>
      <c r="AZ62" s="952">
        <v>15078414491.696011</v>
      </c>
    </row>
    <row r="63" spans="1:52" ht="15.75" thickBot="1">
      <c r="A63" s="127" t="s">
        <v>41</v>
      </c>
      <c r="B63" s="291">
        <v>7304815484.1098709</v>
      </c>
      <c r="C63" s="291">
        <v>1109807958.4473526</v>
      </c>
      <c r="D63" s="291">
        <v>993496185.93161178</v>
      </c>
      <c r="E63" s="291">
        <v>7882063634.752779</v>
      </c>
      <c r="F63" s="291">
        <v>110418874.68035039</v>
      </c>
      <c r="G63" s="291">
        <v>32690372.257999562</v>
      </c>
      <c r="H63" s="291">
        <v>5918396883.2725945</v>
      </c>
      <c r="I63" s="291">
        <v>813891413.27948642</v>
      </c>
      <c r="J63" s="291">
        <v>1868118647.1387596</v>
      </c>
      <c r="K63" s="291">
        <v>1785058869.3101215</v>
      </c>
      <c r="L63" s="291">
        <v>1331219160.9462457</v>
      </c>
      <c r="M63" s="291">
        <v>123635094.98678283</v>
      </c>
      <c r="N63" s="291">
        <v>1216271489.9263616</v>
      </c>
      <c r="O63" s="291">
        <v>126849639.95479688</v>
      </c>
      <c r="P63" s="291">
        <v>27689385.118806433</v>
      </c>
      <c r="Q63" s="291">
        <v>1198631926.4592888</v>
      </c>
      <c r="R63" s="291">
        <v>0</v>
      </c>
      <c r="S63" s="690">
        <v>31843055020.573212</v>
      </c>
      <c r="U63" s="733">
        <v>11354.947893845891</v>
      </c>
      <c r="V63" s="734">
        <v>11961.131286320046</v>
      </c>
      <c r="W63" s="734">
        <v>48805.388114866895</v>
      </c>
      <c r="X63" s="735">
        <v>66640.44638200551</v>
      </c>
      <c r="AB63" s="733">
        <v>16373233050.687401</v>
      </c>
      <c r="AC63" s="734">
        <v>9018669067.6227417</v>
      </c>
      <c r="AD63" s="734">
        <v>4984396677.3951263</v>
      </c>
      <c r="AE63" s="735">
        <v>1466756224.8679411</v>
      </c>
      <c r="AG63" s="944">
        <v>0.51418537072240578</v>
      </c>
      <c r="AH63" s="944">
        <v>0.28322248169329062</v>
      </c>
      <c r="AI63" s="944">
        <v>0.15653010284895089</v>
      </c>
      <c r="AJ63" s="944">
        <v>4.6062044735352713E-2</v>
      </c>
      <c r="AL63" s="945">
        <v>1</v>
      </c>
      <c r="AN63" s="946">
        <v>0.5017712939018294</v>
      </c>
      <c r="AO63" s="946">
        <v>0.29235081532911539</v>
      </c>
      <c r="AP63" s="946">
        <v>0.15950247561571596</v>
      </c>
      <c r="AQ63" s="947">
        <v>4.6375415153339407E-2</v>
      </c>
      <c r="AT63" s="733">
        <v>34434681958.108124</v>
      </c>
      <c r="AU63" s="949">
        <v>17260099447.55479</v>
      </c>
      <c r="AV63" s="949">
        <v>10077137482.901543</v>
      </c>
      <c r="AW63" s="949">
        <v>5499314120.9103899</v>
      </c>
      <c r="AX63" s="949">
        <v>1598130906.7414017</v>
      </c>
      <c r="AZ63" s="952">
        <v>34434681958.108124</v>
      </c>
    </row>
    <row r="64" spans="1:52" ht="15.75" thickBot="1">
      <c r="A64" s="127" t="s">
        <v>42</v>
      </c>
      <c r="B64" s="291">
        <v>1826426183.4792855</v>
      </c>
      <c r="C64" s="291">
        <v>313067841.83282322</v>
      </c>
      <c r="D64" s="291">
        <v>717520983.67933369</v>
      </c>
      <c r="E64" s="291">
        <v>5089966982.479003</v>
      </c>
      <c r="F64" s="291">
        <v>71303511.932963178</v>
      </c>
      <c r="G64" s="291">
        <v>21112391.76406084</v>
      </c>
      <c r="H64" s="291">
        <v>2842379474.4249377</v>
      </c>
      <c r="I64" s="291">
        <v>447802363.53631604</v>
      </c>
      <c r="J64" s="291">
        <v>1351680857.4061856</v>
      </c>
      <c r="K64" s="291">
        <v>1291588921.9700868</v>
      </c>
      <c r="L64" s="291">
        <v>1544222556.9460084</v>
      </c>
      <c r="M64" s="291">
        <v>56944641.176339433</v>
      </c>
      <c r="N64" s="291">
        <v>647087561.73091817</v>
      </c>
      <c r="O64" s="291">
        <v>67504106.943279251</v>
      </c>
      <c r="P64" s="291">
        <v>22652918.510032263</v>
      </c>
      <c r="Q64" s="291">
        <v>1099601429.5703015</v>
      </c>
      <c r="R64" s="291">
        <v>23936100</v>
      </c>
      <c r="S64" s="690">
        <v>17434798827.381878</v>
      </c>
      <c r="U64" s="733">
        <v>11969.286781557345</v>
      </c>
      <c r="V64" s="734">
        <v>11815.025492545121</v>
      </c>
      <c r="W64" s="734">
        <v>62028.653014002295</v>
      </c>
      <c r="X64" s="735">
        <v>82782.865863791507</v>
      </c>
      <c r="AB64" s="733">
        <v>6575866311.3536968</v>
      </c>
      <c r="AC64" s="734">
        <v>5899903869.855361</v>
      </c>
      <c r="AD64" s="734">
        <v>4187492336.3222809</v>
      </c>
      <c r="AE64" s="735">
        <v>771536309.85053682</v>
      </c>
      <c r="AG64" s="944">
        <v>0.37716903856820533</v>
      </c>
      <c r="AH64" s="944">
        <v>0.33839816153137275</v>
      </c>
      <c r="AI64" s="944">
        <v>0.24018013501513408</v>
      </c>
      <c r="AJ64" s="944">
        <v>4.4252664885287681E-2</v>
      </c>
      <c r="AL64" s="945">
        <v>0.99999999999999978</v>
      </c>
      <c r="AN64" s="946">
        <v>0.36583506566910723</v>
      </c>
      <c r="AO64" s="946">
        <v>0.34913949002246453</v>
      </c>
      <c r="AP64" s="946">
        <v>0.23993394233088727</v>
      </c>
      <c r="AQ64" s="947">
        <v>4.5091501977541026E-2</v>
      </c>
      <c r="AT64" s="733">
        <v>19553004624.580189</v>
      </c>
      <c r="AU64" s="949">
        <v>7143347798.144124</v>
      </c>
      <c r="AV64" s="949">
        <v>6835432474.1373854</v>
      </c>
      <c r="AW64" s="949">
        <v>4691476009.1851759</v>
      </c>
      <c r="AX64" s="949">
        <v>882748343.11350954</v>
      </c>
      <c r="AZ64" s="952">
        <v>19553004624.580196</v>
      </c>
    </row>
    <row r="65" spans="1:66" ht="15.75" thickBot="1">
      <c r="A65" s="128" t="s">
        <v>43</v>
      </c>
      <c r="B65" s="291">
        <v>3060685233.2367597</v>
      </c>
      <c r="C65" s="291">
        <v>457278481.85291272</v>
      </c>
      <c r="D65" s="291">
        <v>395988303.31582594</v>
      </c>
      <c r="E65" s="291">
        <v>3261923344.3614182</v>
      </c>
      <c r="F65" s="291">
        <v>45696718.909449041</v>
      </c>
      <c r="G65" s="291">
        <v>13528633.887665834</v>
      </c>
      <c r="H65" s="291">
        <v>1172667916.6282778</v>
      </c>
      <c r="I65" s="291">
        <v>158556672.11933854</v>
      </c>
      <c r="J65" s="291">
        <v>1013916449.3288431</v>
      </c>
      <c r="K65" s="291">
        <v>968802462.58078682</v>
      </c>
      <c r="L65" s="291">
        <v>793996097.38292742</v>
      </c>
      <c r="M65" s="291">
        <v>54726584.015550591</v>
      </c>
      <c r="N65" s="291">
        <v>553146486.2360034</v>
      </c>
      <c r="O65" s="291">
        <v>57678618.815820724</v>
      </c>
      <c r="P65" s="291">
        <v>17299140.980115641</v>
      </c>
      <c r="Q65" s="291">
        <v>725961726.91097367</v>
      </c>
      <c r="R65" s="291">
        <v>119488679.99999999</v>
      </c>
      <c r="S65" s="690">
        <v>12871341550.562672</v>
      </c>
      <c r="U65" s="733">
        <v>10151.199517543319</v>
      </c>
      <c r="V65" s="734">
        <v>11617.069620074128</v>
      </c>
      <c r="W65" s="734">
        <v>57181.116336337669</v>
      </c>
      <c r="X65" s="735">
        <v>77778.624408948774</v>
      </c>
      <c r="AB65" s="733">
        <v>5711937851.7283792</v>
      </c>
      <c r="AC65" s="734">
        <v>3717137000.474359</v>
      </c>
      <c r="AD65" s="734">
        <v>2776715009.2925572</v>
      </c>
      <c r="AE65" s="735">
        <v>665551689.06737471</v>
      </c>
      <c r="AG65" s="944">
        <v>0.44377175675822861</v>
      </c>
      <c r="AH65" s="944">
        <v>0.28879173051793222</v>
      </c>
      <c r="AI65" s="944">
        <v>0.21572848474145051</v>
      </c>
      <c r="AJ65" s="944">
        <v>5.1708027982388521E-2</v>
      </c>
      <c r="AL65" s="945">
        <v>0.99999999999999978</v>
      </c>
      <c r="AN65" s="946">
        <v>0.43715393868418317</v>
      </c>
      <c r="AO65" s="946">
        <v>0.29707332922380808</v>
      </c>
      <c r="AP65" s="946">
        <v>0.21407486929803041</v>
      </c>
      <c r="AQ65" s="948">
        <v>5.1697862793978165E-2</v>
      </c>
      <c r="AT65" s="733">
        <v>14379629506.566511</v>
      </c>
      <c r="AU65" s="949">
        <v>6282786101.2027168</v>
      </c>
      <c r="AV65" s="949">
        <v>4278810653.5345845</v>
      </c>
      <c r="AW65" s="949">
        <v>3075096374.1458325</v>
      </c>
      <c r="AX65" s="949">
        <v>742936377.68337381</v>
      </c>
      <c r="AZ65" s="952">
        <v>14379629506.566507</v>
      </c>
    </row>
    <row r="66" spans="1:66" s="1" customFormat="1" ht="15.75" thickBot="1"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T66" s="665"/>
      <c r="U66" s="732"/>
      <c r="V66" s="665"/>
      <c r="W66" s="665"/>
      <c r="X66" s="665"/>
      <c r="Y66" s="665"/>
      <c r="Z66" s="665"/>
      <c r="AA66" s="665"/>
      <c r="AB66" s="732"/>
      <c r="AC66" s="665"/>
      <c r="AD66" s="665"/>
      <c r="AE66" s="665"/>
      <c r="AF66" s="665"/>
      <c r="AG66" s="732"/>
      <c r="AH66" s="665"/>
      <c r="AI66" s="665"/>
      <c r="AJ66" s="665"/>
      <c r="AK66" s="665"/>
      <c r="AL66" s="945">
        <v>0</v>
      </c>
      <c r="AM66" s="665"/>
      <c r="AN66" s="273"/>
      <c r="AO66" s="273"/>
      <c r="AP66" s="273"/>
      <c r="AQ66" s="273"/>
      <c r="AR66" s="273"/>
      <c r="AS66" s="273"/>
      <c r="AT66" s="273"/>
      <c r="AU66" s="273"/>
      <c r="AV66" s="273"/>
      <c r="AW66" s="273"/>
      <c r="AX66" s="273"/>
      <c r="AY66" s="273"/>
      <c r="AZ66" s="273"/>
      <c r="BA66" s="273"/>
      <c r="BB66" s="273"/>
      <c r="BC66" s="273"/>
      <c r="BD66" s="273"/>
      <c r="BE66" s="273"/>
      <c r="BF66" s="273"/>
      <c r="BG66" s="273"/>
      <c r="BH66" s="273"/>
      <c r="BI66" s="273"/>
      <c r="BJ66" s="273"/>
      <c r="BK66" s="273"/>
      <c r="BL66" s="273"/>
      <c r="BM66" s="273"/>
      <c r="BN66" s="273"/>
    </row>
    <row r="67" spans="1:66" ht="15.75" customHeight="1" thickBot="1">
      <c r="A67" s="1051" t="s">
        <v>118</v>
      </c>
      <c r="B67" s="1054">
        <v>2011</v>
      </c>
      <c r="C67" s="1055"/>
      <c r="D67" s="1055"/>
      <c r="E67" s="1055"/>
      <c r="F67" s="1055"/>
      <c r="G67" s="1055"/>
      <c r="H67" s="1055"/>
      <c r="I67" s="1055"/>
      <c r="J67" s="1055"/>
      <c r="K67" s="1055"/>
      <c r="L67" s="1055"/>
      <c r="M67" s="1055"/>
      <c r="N67" s="1055"/>
      <c r="O67" s="1055"/>
      <c r="P67" s="1055"/>
      <c r="Q67" s="1055"/>
      <c r="R67" s="1078"/>
      <c r="S67" s="1057" t="s">
        <v>96</v>
      </c>
      <c r="U67" s="732"/>
      <c r="AB67" s="732"/>
      <c r="AG67" s="732"/>
      <c r="AL67" s="945">
        <v>0</v>
      </c>
    </row>
    <row r="68" spans="1:66" ht="15.75" thickBot="1">
      <c r="A68" s="1052"/>
      <c r="B68" s="1060" t="s">
        <v>97</v>
      </c>
      <c r="C68" s="1061"/>
      <c r="D68" s="1061"/>
      <c r="E68" s="1061"/>
      <c r="F68" s="1061"/>
      <c r="G68" s="1061"/>
      <c r="H68" s="1061" t="s">
        <v>98</v>
      </c>
      <c r="I68" s="1061"/>
      <c r="J68" s="1061" t="s">
        <v>99</v>
      </c>
      <c r="K68" s="1061"/>
      <c r="L68" s="1061"/>
      <c r="M68" s="1061"/>
      <c r="N68" s="1061"/>
      <c r="O68" s="1061"/>
      <c r="P68" s="1061"/>
      <c r="Q68" s="1061"/>
      <c r="R68" s="289" t="s">
        <v>100</v>
      </c>
      <c r="S68" s="1058"/>
      <c r="U68" s="1068">
        <v>2011</v>
      </c>
      <c r="V68" s="1069"/>
      <c r="W68" s="1069"/>
      <c r="X68" s="1070"/>
      <c r="AB68" s="1068">
        <v>2011</v>
      </c>
      <c r="AC68" s="1069"/>
      <c r="AD68" s="1069"/>
      <c r="AE68" s="1070"/>
      <c r="AG68" s="1068">
        <v>2011</v>
      </c>
      <c r="AH68" s="1069"/>
      <c r="AI68" s="1069"/>
      <c r="AJ68" s="1070"/>
      <c r="AL68" s="945">
        <v>2011</v>
      </c>
    </row>
    <row r="69" spans="1:66">
      <c r="A69" s="1052"/>
      <c r="B69" s="1062" t="s">
        <v>101</v>
      </c>
      <c r="C69" s="1064" t="s">
        <v>102</v>
      </c>
      <c r="D69" s="1064" t="s">
        <v>103</v>
      </c>
      <c r="E69" s="1064"/>
      <c r="F69" s="1064"/>
      <c r="G69" s="1064"/>
      <c r="H69" s="1062" t="s">
        <v>101</v>
      </c>
      <c r="I69" s="1064" t="s">
        <v>102</v>
      </c>
      <c r="J69" s="1064" t="s">
        <v>104</v>
      </c>
      <c r="K69" s="1064"/>
      <c r="L69" s="1064"/>
      <c r="M69" s="1064" t="s">
        <v>105</v>
      </c>
      <c r="N69" s="1064"/>
      <c r="O69" s="1064"/>
      <c r="P69" s="1062" t="s">
        <v>101</v>
      </c>
      <c r="Q69" s="1064" t="s">
        <v>102</v>
      </c>
      <c r="R69" s="1062" t="s">
        <v>101</v>
      </c>
      <c r="S69" s="1058"/>
      <c r="U69" s="1075" t="s">
        <v>101</v>
      </c>
      <c r="V69" s="1077" t="s">
        <v>103</v>
      </c>
      <c r="W69" s="1071" t="s">
        <v>104</v>
      </c>
      <c r="X69" s="1073" t="s">
        <v>105</v>
      </c>
      <c r="AB69" s="1075" t="s">
        <v>101</v>
      </c>
      <c r="AC69" s="1077" t="s">
        <v>103</v>
      </c>
      <c r="AD69" s="1071" t="s">
        <v>104</v>
      </c>
      <c r="AE69" s="1073" t="s">
        <v>105</v>
      </c>
      <c r="AG69" s="1075" t="s">
        <v>101</v>
      </c>
      <c r="AH69" s="1077" t="s">
        <v>103</v>
      </c>
      <c r="AI69" s="1071" t="s">
        <v>104</v>
      </c>
      <c r="AJ69" s="1073" t="s">
        <v>105</v>
      </c>
      <c r="AL69" s="945">
        <v>0</v>
      </c>
    </row>
    <row r="70" spans="1:66" ht="15.75" thickBot="1">
      <c r="A70" s="1053"/>
      <c r="B70" s="1063"/>
      <c r="C70" s="1065"/>
      <c r="D70" s="290" t="s">
        <v>106</v>
      </c>
      <c r="E70" s="290" t="s">
        <v>107</v>
      </c>
      <c r="F70" s="290" t="s">
        <v>108</v>
      </c>
      <c r="G70" s="290" t="s">
        <v>109</v>
      </c>
      <c r="H70" s="1063"/>
      <c r="I70" s="1065"/>
      <c r="J70" s="290" t="s">
        <v>110</v>
      </c>
      <c r="K70" s="290" t="s">
        <v>111</v>
      </c>
      <c r="L70" s="290" t="s">
        <v>112</v>
      </c>
      <c r="M70" s="290" t="s">
        <v>113</v>
      </c>
      <c r="N70" s="290" t="s">
        <v>114</v>
      </c>
      <c r="O70" s="290" t="s">
        <v>115</v>
      </c>
      <c r="P70" s="1063"/>
      <c r="Q70" s="1065"/>
      <c r="R70" s="1063"/>
      <c r="S70" s="1059"/>
      <c r="U70" s="1076"/>
      <c r="V70" s="1074"/>
      <c r="W70" s="1072"/>
      <c r="X70" s="1074"/>
      <c r="AB70" s="1076"/>
      <c r="AC70" s="1074"/>
      <c r="AD70" s="1072"/>
      <c r="AE70" s="1074"/>
      <c r="AG70" s="1076"/>
      <c r="AH70" s="1074"/>
      <c r="AI70" s="1072"/>
      <c r="AJ70" s="1074"/>
      <c r="AL70" s="945">
        <v>0</v>
      </c>
    </row>
    <row r="71" spans="1:66" s="665" customFormat="1" ht="15.75" thickBot="1">
      <c r="A71" s="164" t="s">
        <v>11</v>
      </c>
      <c r="B71" s="291">
        <v>257103578449.85522</v>
      </c>
      <c r="C71" s="291">
        <v>36630949375.802994</v>
      </c>
      <c r="D71" s="291">
        <v>17649882171.845863</v>
      </c>
      <c r="E71" s="291">
        <v>220594749371.5311</v>
      </c>
      <c r="F71" s="291">
        <v>3090266768.5028143</v>
      </c>
      <c r="G71" s="291">
        <v>914942792.20124269</v>
      </c>
      <c r="H71" s="291">
        <v>75569553507.245041</v>
      </c>
      <c r="I71" s="291">
        <v>9306689679.0957336</v>
      </c>
      <c r="J71" s="291">
        <v>37818637270.410393</v>
      </c>
      <c r="K71" s="291">
        <v>36136969021.172829</v>
      </c>
      <c r="L71" s="291">
        <v>24697147450.000038</v>
      </c>
      <c r="M71" s="291">
        <v>9302197621.3254051</v>
      </c>
      <c r="N71" s="291">
        <v>43668921347.83522</v>
      </c>
      <c r="O71" s="291">
        <v>5528914673.0967779</v>
      </c>
      <c r="P71" s="291">
        <v>715214223.60527325</v>
      </c>
      <c r="Q71" s="291">
        <v>28358324539.630245</v>
      </c>
      <c r="R71" s="291">
        <v>27210962958</v>
      </c>
      <c r="S71" s="690">
        <v>834297901221.15613</v>
      </c>
      <c r="U71" s="733">
        <v>9252.5018988841093</v>
      </c>
      <c r="V71" s="734">
        <v>13223.604064350711</v>
      </c>
      <c r="W71" s="734">
        <v>36098.180556699001</v>
      </c>
      <c r="X71" s="735">
        <v>74678.542431758411</v>
      </c>
      <c r="AB71" s="733">
        <v>434895272733.23456</v>
      </c>
      <c r="AC71" s="734">
        <v>242249841104.08099</v>
      </c>
      <c r="AD71" s="734">
        <v>98652753741.583252</v>
      </c>
      <c r="AE71" s="735">
        <v>58500033642.257408</v>
      </c>
      <c r="AG71" s="944">
        <v>0.52127096579852517</v>
      </c>
      <c r="AH71" s="944">
        <v>0.29036371870227834</v>
      </c>
      <c r="AI71" s="944">
        <v>0.11824643643138247</v>
      </c>
      <c r="AJ71" s="944">
        <v>7.0118879067814152E-2</v>
      </c>
      <c r="AL71" s="945">
        <v>1.0000000000000002</v>
      </c>
      <c r="AN71" s="273"/>
      <c r="AO71" s="273"/>
      <c r="AP71" s="273"/>
      <c r="AQ71" s="273"/>
      <c r="AR71" s="273"/>
      <c r="AS71" s="273"/>
      <c r="AT71" s="273"/>
      <c r="AU71" s="273"/>
      <c r="AV71" s="273"/>
      <c r="AW71" s="273"/>
      <c r="AX71" s="273"/>
      <c r="AY71" s="273"/>
      <c r="AZ71" s="273"/>
      <c r="BA71" s="273"/>
      <c r="BB71" s="273"/>
      <c r="BC71" s="273"/>
      <c r="BD71" s="273"/>
      <c r="BE71" s="273"/>
      <c r="BF71" s="273"/>
      <c r="BG71" s="273"/>
      <c r="BH71" s="273"/>
      <c r="BI71" s="273"/>
      <c r="BJ71" s="273"/>
      <c r="BK71" s="273"/>
      <c r="BL71" s="273"/>
      <c r="BM71" s="273"/>
      <c r="BN71" s="273"/>
    </row>
    <row r="72" spans="1:66" s="665" customFormat="1" ht="15.75" thickBot="1">
      <c r="A72" s="127" t="s">
        <v>13</v>
      </c>
      <c r="B72" s="291">
        <v>662579582.61245084</v>
      </c>
      <c r="C72" s="291">
        <v>103016203.1330435</v>
      </c>
      <c r="D72" s="291">
        <v>84758398.333867028</v>
      </c>
      <c r="E72" s="291">
        <v>963364619.3640132</v>
      </c>
      <c r="F72" s="291">
        <v>13497613.490016889</v>
      </c>
      <c r="G72" s="291">
        <v>3996198.6554582561</v>
      </c>
      <c r="H72" s="291">
        <v>58227337.940103292</v>
      </c>
      <c r="I72" s="291">
        <v>8550831.6384312585</v>
      </c>
      <c r="J72" s="291">
        <v>221653652.20792121</v>
      </c>
      <c r="K72" s="291">
        <v>211780043.2672109</v>
      </c>
      <c r="L72" s="291">
        <v>62596200.40034721</v>
      </c>
      <c r="M72" s="291">
        <v>10444344.677500604</v>
      </c>
      <c r="N72" s="291">
        <v>64860735.879425839</v>
      </c>
      <c r="O72" s="291">
        <v>11371201.730909349</v>
      </c>
      <c r="P72" s="291">
        <v>3833344.6244039983</v>
      </c>
      <c r="Q72" s="291">
        <v>172946121.65523088</v>
      </c>
      <c r="R72" s="291">
        <v>0</v>
      </c>
      <c r="S72" s="690">
        <v>2657476429.6103349</v>
      </c>
      <c r="U72" s="733">
        <v>13361.315295038446</v>
      </c>
      <c r="V72" s="734">
        <v>12446.759056268314</v>
      </c>
      <c r="W72" s="734">
        <v>80550.486501376959</v>
      </c>
      <c r="X72" s="735">
        <v>95774.897555619653</v>
      </c>
      <c r="AB72" s="733">
        <v>1009153421.6036638</v>
      </c>
      <c r="AC72" s="734">
        <v>1065616829.8433554</v>
      </c>
      <c r="AD72" s="734">
        <v>496029895.87547934</v>
      </c>
      <c r="AE72" s="735">
        <v>86676282.287835792</v>
      </c>
      <c r="AG72" s="944">
        <v>0.37974125014220189</v>
      </c>
      <c r="AH72" s="944">
        <v>0.40098825260309329</v>
      </c>
      <c r="AI72" s="944">
        <v>0.18665448556705058</v>
      </c>
      <c r="AJ72" s="944">
        <v>3.2616011687654031E-2</v>
      </c>
      <c r="AL72" s="945">
        <v>0.99999999999999978</v>
      </c>
      <c r="AN72" s="273"/>
      <c r="AO72" s="273"/>
      <c r="AP72" s="273"/>
      <c r="AQ72" s="273"/>
      <c r="AR72" s="273"/>
      <c r="AS72" s="273"/>
      <c r="AT72" s="273"/>
      <c r="AU72" s="273"/>
      <c r="AV72" s="273"/>
      <c r="AW72" s="273"/>
      <c r="AX72" s="273"/>
      <c r="AY72" s="273"/>
      <c r="AZ72" s="273"/>
      <c r="BA72" s="273"/>
      <c r="BB72" s="273"/>
      <c r="BC72" s="273"/>
      <c r="BD72" s="273"/>
      <c r="BE72" s="273"/>
      <c r="BF72" s="273"/>
      <c r="BG72" s="273"/>
      <c r="BH72" s="273"/>
      <c r="BI72" s="273"/>
      <c r="BJ72" s="273"/>
      <c r="BK72" s="273"/>
      <c r="BL72" s="273"/>
      <c r="BM72" s="273"/>
      <c r="BN72" s="273"/>
    </row>
    <row r="73" spans="1:66" s="665" customFormat="1" ht="15.75" thickBot="1">
      <c r="A73" s="127" t="s">
        <v>14</v>
      </c>
      <c r="B73" s="291">
        <v>776902101.34441721</v>
      </c>
      <c r="C73" s="291">
        <v>142759247.70234045</v>
      </c>
      <c r="D73" s="291">
        <v>53494751.185541496</v>
      </c>
      <c r="E73" s="291">
        <v>635123772.62555552</v>
      </c>
      <c r="F73" s="291">
        <v>8899687.7863773014</v>
      </c>
      <c r="G73" s="291">
        <v>2632630.1567032337</v>
      </c>
      <c r="H73" s="291">
        <v>32563554.308719199</v>
      </c>
      <c r="I73" s="291">
        <v>5763821.6082575433</v>
      </c>
      <c r="J73" s="291">
        <v>232867643.46456051</v>
      </c>
      <c r="K73" s="291">
        <v>222460151.01921701</v>
      </c>
      <c r="L73" s="291">
        <v>53799038.567427717</v>
      </c>
      <c r="M73" s="291">
        <v>29714880.322704971</v>
      </c>
      <c r="N73" s="291">
        <v>130561705.16485213</v>
      </c>
      <c r="O73" s="291">
        <v>22815296.934264917</v>
      </c>
      <c r="P73" s="291">
        <v>3829589.9934161776</v>
      </c>
      <c r="Q73" s="291">
        <v>204232241.89103937</v>
      </c>
      <c r="R73" s="291">
        <v>0</v>
      </c>
      <c r="S73" s="690">
        <v>2558420114.0753951</v>
      </c>
      <c r="U73" s="733">
        <v>16008.821725585407</v>
      </c>
      <c r="V73" s="734">
        <v>13676.958152722644</v>
      </c>
      <c r="W73" s="734">
        <v>146553.49253057144</v>
      </c>
      <c r="X73" s="735">
        <v>167054.63724618798</v>
      </c>
      <c r="AB73" s="733">
        <v>1166050556.8481898</v>
      </c>
      <c r="AC73" s="734">
        <v>700150841.75417757</v>
      </c>
      <c r="AD73" s="734">
        <v>509126833.05120522</v>
      </c>
      <c r="AE73" s="735">
        <v>183091882.42182204</v>
      </c>
      <c r="AG73" s="944">
        <v>0.4557697738667118</v>
      </c>
      <c r="AH73" s="944">
        <v>0.27366531317598314</v>
      </c>
      <c r="AI73" s="944">
        <v>0.19900048090233297</v>
      </c>
      <c r="AJ73" s="944">
        <v>7.1564432054971885E-2</v>
      </c>
      <c r="AL73" s="945">
        <v>0.99999999999999967</v>
      </c>
      <c r="AN73" s="273"/>
      <c r="AO73" s="273"/>
      <c r="AP73" s="273"/>
      <c r="AQ73" s="273"/>
      <c r="AR73" s="273"/>
      <c r="AS73" s="273"/>
      <c r="AT73" s="273"/>
      <c r="AU73" s="273"/>
      <c r="AV73" s="273"/>
      <c r="AW73" s="273"/>
      <c r="AX73" s="273"/>
      <c r="AY73" s="273"/>
      <c r="AZ73" s="273"/>
      <c r="BA73" s="273"/>
      <c r="BB73" s="273"/>
      <c r="BC73" s="273"/>
      <c r="BD73" s="273"/>
      <c r="BE73" s="273"/>
      <c r="BF73" s="273"/>
      <c r="BG73" s="273"/>
      <c r="BH73" s="273"/>
      <c r="BI73" s="273"/>
      <c r="BJ73" s="273"/>
      <c r="BK73" s="273"/>
      <c r="BL73" s="273"/>
      <c r="BM73" s="273"/>
      <c r="BN73" s="273"/>
    </row>
    <row r="74" spans="1:66" s="665" customFormat="1" ht="15.75" thickBot="1">
      <c r="A74" s="127" t="s">
        <v>15</v>
      </c>
      <c r="B74" s="291">
        <v>3905544565.0717268</v>
      </c>
      <c r="C74" s="291">
        <v>785575901.80075467</v>
      </c>
      <c r="D74" s="291">
        <v>225271805.44129837</v>
      </c>
      <c r="E74" s="291">
        <v>2171269804.5457196</v>
      </c>
      <c r="F74" s="291">
        <v>30417990.43605233</v>
      </c>
      <c r="G74" s="291">
        <v>9006465.1216868665</v>
      </c>
      <c r="H74" s="291">
        <v>265151446.26546857</v>
      </c>
      <c r="I74" s="291">
        <v>49482028.981343746</v>
      </c>
      <c r="J74" s="291">
        <v>675757808.36003268</v>
      </c>
      <c r="K74" s="291">
        <v>645752770.82594848</v>
      </c>
      <c r="L74" s="291">
        <v>302070448.90411615</v>
      </c>
      <c r="M74" s="291">
        <v>126311928.34342782</v>
      </c>
      <c r="N74" s="291">
        <v>690843072.04648876</v>
      </c>
      <c r="O74" s="291">
        <v>121034733.45231479</v>
      </c>
      <c r="P74" s="291">
        <v>7644410.6263013426</v>
      </c>
      <c r="Q74" s="291">
        <v>442972397.57094735</v>
      </c>
      <c r="R74" s="291">
        <v>17906604</v>
      </c>
      <c r="S74" s="690">
        <v>10472014181.793629</v>
      </c>
      <c r="U74" s="733">
        <v>14851.378048845218</v>
      </c>
      <c r="V74" s="734">
        <v>13732.959367377325</v>
      </c>
      <c r="W74" s="734">
        <v>80626.758111441493</v>
      </c>
      <c r="X74" s="735">
        <v>91808.370079482454</v>
      </c>
      <c r="AB74" s="733">
        <v>5474277354.3165426</v>
      </c>
      <c r="AC74" s="734">
        <v>2435966065.5447574</v>
      </c>
      <c r="AD74" s="734">
        <v>1623581028.0900974</v>
      </c>
      <c r="AE74" s="735">
        <v>938189733.84223127</v>
      </c>
      <c r="AG74" s="944">
        <v>0.52275305010892548</v>
      </c>
      <c r="AH74" s="944">
        <v>0.23261676533821588</v>
      </c>
      <c r="AI74" s="944">
        <v>0.15503999516280384</v>
      </c>
      <c r="AJ74" s="944">
        <v>8.9590189390054836E-2</v>
      </c>
      <c r="AL74" s="945">
        <v>1</v>
      </c>
      <c r="AN74" s="273"/>
      <c r="AO74" s="273"/>
      <c r="AP74" s="273"/>
      <c r="AQ74" s="273"/>
      <c r="AR74" s="273"/>
      <c r="AS74" s="273"/>
      <c r="AT74" s="273"/>
      <c r="AU74" s="273"/>
      <c r="AV74" s="273"/>
      <c r="AW74" s="273"/>
      <c r="AX74" s="273"/>
      <c r="AY74" s="273"/>
      <c r="AZ74" s="273"/>
      <c r="BA74" s="273"/>
      <c r="BB74" s="273"/>
      <c r="BC74" s="273"/>
      <c r="BD74" s="273"/>
      <c r="BE74" s="273"/>
      <c r="BF74" s="273"/>
      <c r="BG74" s="273"/>
      <c r="BH74" s="273"/>
      <c r="BI74" s="273"/>
      <c r="BJ74" s="273"/>
      <c r="BK74" s="273"/>
      <c r="BL74" s="273"/>
      <c r="BM74" s="273"/>
      <c r="BN74" s="273"/>
    </row>
    <row r="75" spans="1:66" s="665" customFormat="1" ht="15.75" thickBot="1">
      <c r="A75" s="127" t="s">
        <v>16</v>
      </c>
      <c r="B75" s="291">
        <v>4992431518.275178</v>
      </c>
      <c r="C75" s="291">
        <v>743063073.91431999</v>
      </c>
      <c r="D75" s="291">
        <v>624504693.93042195</v>
      </c>
      <c r="E75" s="291">
        <v>6288288815.4621887</v>
      </c>
      <c r="F75" s="291">
        <v>88091807.524722666</v>
      </c>
      <c r="G75" s="291">
        <v>26081254.19333246</v>
      </c>
      <c r="H75" s="291">
        <v>228807140.29553914</v>
      </c>
      <c r="I75" s="291">
        <v>32366345.341319986</v>
      </c>
      <c r="J75" s="291">
        <v>1945901701.3381181</v>
      </c>
      <c r="K75" s="291">
        <v>1859331826.0736072</v>
      </c>
      <c r="L75" s="291">
        <v>681482899.95861304</v>
      </c>
      <c r="M75" s="291">
        <v>273823863.08498389</v>
      </c>
      <c r="N75" s="291">
        <v>1296988533.5543284</v>
      </c>
      <c r="O75" s="291">
        <v>227284992.80803198</v>
      </c>
      <c r="P75" s="291">
        <v>23156026.646504171</v>
      </c>
      <c r="Q75" s="291">
        <v>1004251080.6897451</v>
      </c>
      <c r="R75" s="291">
        <v>0</v>
      </c>
      <c r="S75" s="690">
        <v>20335855573.090958</v>
      </c>
      <c r="U75" s="733">
        <v>14306.380539055159</v>
      </c>
      <c r="V75" s="734">
        <v>13242.286893919234</v>
      </c>
      <c r="W75" s="734">
        <v>93238.220888392563</v>
      </c>
      <c r="X75" s="735">
        <v>105460.25744559204</v>
      </c>
      <c r="AB75" s="733">
        <v>7024075185.1626062</v>
      </c>
      <c r="AC75" s="734">
        <v>7026966571.1106663</v>
      </c>
      <c r="AD75" s="734">
        <v>4486716427.3703384</v>
      </c>
      <c r="AE75" s="735">
        <v>1798097389.4473443</v>
      </c>
      <c r="AG75" s="944">
        <v>0.34540347515336817</v>
      </c>
      <c r="AH75" s="944">
        <v>0.3455456568254236</v>
      </c>
      <c r="AI75" s="944">
        <v>0.22063081689601013</v>
      </c>
      <c r="AJ75" s="944">
        <v>8.8420051125197963E-2</v>
      </c>
      <c r="AL75" s="945">
        <v>0.99999999999999978</v>
      </c>
      <c r="AN75" s="273"/>
      <c r="AO75" s="273"/>
      <c r="AP75" s="273"/>
      <c r="AQ75" s="273"/>
      <c r="AR75" s="273"/>
      <c r="AS75" s="273"/>
      <c r="AT75" s="273"/>
      <c r="AU75" s="273"/>
      <c r="AV75" s="273"/>
      <c r="AW75" s="273"/>
      <c r="AX75" s="273"/>
      <c r="AY75" s="273"/>
      <c r="AZ75" s="273"/>
      <c r="BA75" s="273"/>
      <c r="BB75" s="273"/>
      <c r="BC75" s="273"/>
      <c r="BD75" s="273"/>
      <c r="BE75" s="273"/>
      <c r="BF75" s="273"/>
      <c r="BG75" s="273"/>
      <c r="BH75" s="273"/>
      <c r="BI75" s="273"/>
      <c r="BJ75" s="273"/>
      <c r="BK75" s="273"/>
      <c r="BL75" s="273"/>
      <c r="BM75" s="273"/>
      <c r="BN75" s="273"/>
    </row>
    <row r="76" spans="1:66" s="665" customFormat="1" ht="15.75" thickBot="1">
      <c r="A76" s="127" t="s">
        <v>17</v>
      </c>
      <c r="B76" s="291">
        <v>1817954916.3752019</v>
      </c>
      <c r="C76" s="291">
        <v>313349496.55712134</v>
      </c>
      <c r="D76" s="291">
        <v>419442008.28758746</v>
      </c>
      <c r="E76" s="291">
        <v>3336754223.1346583</v>
      </c>
      <c r="F76" s="291">
        <v>46745733.912856542</v>
      </c>
      <c r="G76" s="291">
        <v>13840194.867871899</v>
      </c>
      <c r="H76" s="291">
        <v>176647598.43351504</v>
      </c>
      <c r="I76" s="291">
        <v>29385508.363843635</v>
      </c>
      <c r="J76" s="291">
        <v>901804030.92429113</v>
      </c>
      <c r="K76" s="291">
        <v>861741357.30988491</v>
      </c>
      <c r="L76" s="291">
        <v>540583626.94989586</v>
      </c>
      <c r="M76" s="291">
        <v>37460796.058328286</v>
      </c>
      <c r="N76" s="291">
        <v>385178713.98706019</v>
      </c>
      <c r="O76" s="291">
        <v>67518727.129959792</v>
      </c>
      <c r="P76" s="291">
        <v>9888788.8079121858</v>
      </c>
      <c r="Q76" s="291">
        <v>497454966.60017043</v>
      </c>
      <c r="R76" s="291">
        <v>0</v>
      </c>
      <c r="S76" s="690">
        <v>9455750687.7001591</v>
      </c>
      <c r="U76" s="733">
        <v>12015.650713576311</v>
      </c>
      <c r="V76" s="734">
        <v>10954.386626111715</v>
      </c>
      <c r="W76" s="734">
        <v>80454.241250884181</v>
      </c>
      <c r="X76" s="735">
        <v>96582.903876915923</v>
      </c>
      <c r="AB76" s="733">
        <v>2844681275.1377645</v>
      </c>
      <c r="AC76" s="734">
        <v>3816782160.2029743</v>
      </c>
      <c r="AD76" s="734">
        <v>2304129015.184072</v>
      </c>
      <c r="AE76" s="735">
        <v>490158237.17534828</v>
      </c>
      <c r="AG76" s="944">
        <v>0.30084140002105447</v>
      </c>
      <c r="AH76" s="944">
        <v>0.40364665760147039</v>
      </c>
      <c r="AI76" s="944">
        <v>0.24367489068649351</v>
      </c>
      <c r="AJ76" s="944">
        <v>5.1837051690981635E-2</v>
      </c>
      <c r="AL76" s="945">
        <v>1</v>
      </c>
      <c r="AN76" s="273"/>
      <c r="AO76" s="273"/>
      <c r="AP76" s="273"/>
      <c r="AQ76" s="273"/>
      <c r="AR76" s="273"/>
      <c r="AS76" s="273"/>
      <c r="AT76" s="273"/>
      <c r="AU76" s="273"/>
      <c r="AV76" s="273"/>
      <c r="AW76" s="273"/>
      <c r="AX76" s="273"/>
      <c r="AY76" s="273"/>
      <c r="AZ76" s="273"/>
      <c r="BA76" s="273"/>
      <c r="BB76" s="273"/>
      <c r="BC76" s="273"/>
      <c r="BD76" s="273"/>
      <c r="BE76" s="273"/>
      <c r="BF76" s="273"/>
      <c r="BG76" s="273"/>
      <c r="BH76" s="273"/>
      <c r="BI76" s="273"/>
      <c r="BJ76" s="273"/>
      <c r="BK76" s="273"/>
      <c r="BL76" s="273"/>
      <c r="BM76" s="273"/>
      <c r="BN76" s="273"/>
    </row>
    <row r="77" spans="1:66" s="665" customFormat="1" ht="15.75" thickBot="1">
      <c r="A77" s="127" t="s">
        <v>18</v>
      </c>
      <c r="B77" s="291">
        <v>546757717.81960142</v>
      </c>
      <c r="C77" s="291">
        <v>116729448.3421192</v>
      </c>
      <c r="D77" s="291">
        <v>76651040.689445555</v>
      </c>
      <c r="E77" s="291">
        <v>694492125.16923296</v>
      </c>
      <c r="F77" s="291">
        <v>9729322.7746036202</v>
      </c>
      <c r="G77" s="291">
        <v>2879068.3488148772</v>
      </c>
      <c r="H77" s="291">
        <v>16011217.150207806</v>
      </c>
      <c r="I77" s="291">
        <v>3285107.0554286907</v>
      </c>
      <c r="J77" s="291">
        <v>128622215.28604184</v>
      </c>
      <c r="K77" s="291">
        <v>122853634.58271582</v>
      </c>
      <c r="L77" s="291">
        <v>45270158.244695522</v>
      </c>
      <c r="M77" s="291">
        <v>20107129.654112514</v>
      </c>
      <c r="N77" s="291">
        <v>65666748.689487487</v>
      </c>
      <c r="O77" s="291">
        <v>11503155.715006143</v>
      </c>
      <c r="P77" s="291">
        <v>2255588.0909329634</v>
      </c>
      <c r="Q77" s="291">
        <v>138989682.41892821</v>
      </c>
      <c r="R77" s="291">
        <v>0</v>
      </c>
      <c r="S77" s="690">
        <v>2001803360.0313742</v>
      </c>
      <c r="U77" s="733">
        <v>12852.956714456237</v>
      </c>
      <c r="V77" s="734">
        <v>11464.89309667935</v>
      </c>
      <c r="W77" s="734">
        <v>78070.509895673036</v>
      </c>
      <c r="X77" s="735">
        <v>82859.483865933682</v>
      </c>
      <c r="AB77" s="733">
        <v>824028760.87721825</v>
      </c>
      <c r="AC77" s="734">
        <v>783751556.98209703</v>
      </c>
      <c r="AD77" s="734">
        <v>296746008.11345321</v>
      </c>
      <c r="AE77" s="735">
        <v>97277034.058606148</v>
      </c>
      <c r="AG77" s="944">
        <v>0.41164320998257453</v>
      </c>
      <c r="AH77" s="944">
        <v>0.39152275025145994</v>
      </c>
      <c r="AI77" s="944">
        <v>0.14823933960666463</v>
      </c>
      <c r="AJ77" s="944">
        <v>4.8594700159301125E-2</v>
      </c>
      <c r="AL77" s="945">
        <v>1.0000000000000002</v>
      </c>
      <c r="AN77" s="273"/>
      <c r="AO77" s="273"/>
      <c r="AP77" s="273"/>
      <c r="AQ77" s="273"/>
      <c r="AR77" s="273"/>
      <c r="AS77" s="273"/>
      <c r="AT77" s="273"/>
      <c r="AU77" s="273"/>
      <c r="AV77" s="273"/>
      <c r="AW77" s="273"/>
      <c r="AX77" s="273"/>
      <c r="AY77" s="273"/>
      <c r="AZ77" s="273"/>
      <c r="BA77" s="273"/>
      <c r="BB77" s="273"/>
      <c r="BC77" s="273"/>
      <c r="BD77" s="273"/>
      <c r="BE77" s="273"/>
      <c r="BF77" s="273"/>
      <c r="BG77" s="273"/>
      <c r="BH77" s="273"/>
      <c r="BI77" s="273"/>
      <c r="BJ77" s="273"/>
      <c r="BK77" s="273"/>
      <c r="BL77" s="273"/>
      <c r="BM77" s="273"/>
      <c r="BN77" s="273"/>
    </row>
    <row r="78" spans="1:66" s="665" customFormat="1" ht="15.75" thickBot="1">
      <c r="A78" s="128" t="s">
        <v>19</v>
      </c>
      <c r="B78" s="291">
        <v>1494843174.0578618</v>
      </c>
      <c r="C78" s="291">
        <v>252396545.92747077</v>
      </c>
      <c r="D78" s="291">
        <v>394539514.52680755</v>
      </c>
      <c r="E78" s="291">
        <v>2208795523.4272633</v>
      </c>
      <c r="F78" s="291">
        <v>30939650.062565651</v>
      </c>
      <c r="G78" s="291">
        <v>9161904.3498064987</v>
      </c>
      <c r="H78" s="291">
        <v>251506221.69269308</v>
      </c>
      <c r="I78" s="291">
        <v>39839831.503029749</v>
      </c>
      <c r="J78" s="291">
        <v>761144076.2975179</v>
      </c>
      <c r="K78" s="291">
        <v>727266881.22899961</v>
      </c>
      <c r="L78" s="291">
        <v>384794317.69844449</v>
      </c>
      <c r="M78" s="291">
        <v>58507060.772778958</v>
      </c>
      <c r="N78" s="291">
        <v>329875703.19675153</v>
      </c>
      <c r="O78" s="291">
        <v>57784550.059012935</v>
      </c>
      <c r="P78" s="291">
        <v>8226101.399834347</v>
      </c>
      <c r="Q78" s="291">
        <v>403622405.06339645</v>
      </c>
      <c r="R78" s="291">
        <v>0</v>
      </c>
      <c r="S78" s="690">
        <v>7413243461.2642355</v>
      </c>
      <c r="U78" s="733">
        <v>13843.40114255208</v>
      </c>
      <c r="V78" s="734">
        <v>12203.780988543558</v>
      </c>
      <c r="W78" s="734">
        <v>81935.319535690738</v>
      </c>
      <c r="X78" s="735">
        <v>92912.810085077756</v>
      </c>
      <c r="AB78" s="733">
        <v>2450434279.6442862</v>
      </c>
      <c r="AC78" s="734">
        <v>2643436592.3664432</v>
      </c>
      <c r="AD78" s="734">
        <v>1873205275.2249618</v>
      </c>
      <c r="AE78" s="735">
        <v>446167314.02854341</v>
      </c>
      <c r="AG78" s="944">
        <v>0.33054819964409954</v>
      </c>
      <c r="AH78" s="944">
        <v>0.35658299989457493</v>
      </c>
      <c r="AI78" s="944">
        <v>0.25268363099267621</v>
      </c>
      <c r="AJ78" s="944">
        <v>6.0185169468649179E-2</v>
      </c>
      <c r="AL78" s="945">
        <v>0.99999999999999978</v>
      </c>
      <c r="AN78" s="273"/>
      <c r="AO78" s="273"/>
      <c r="AP78" s="273"/>
      <c r="AQ78" s="273"/>
      <c r="AR78" s="273"/>
      <c r="AS78" s="273"/>
      <c r="AT78" s="273"/>
      <c r="AU78" s="273"/>
      <c r="AV78" s="273"/>
      <c r="AW78" s="273"/>
      <c r="AX78" s="273"/>
      <c r="AY78" s="273"/>
      <c r="AZ78" s="273"/>
      <c r="BA78" s="273"/>
      <c r="BB78" s="273"/>
      <c r="BC78" s="273"/>
      <c r="BD78" s="273"/>
      <c r="BE78" s="273"/>
      <c r="BF78" s="273"/>
      <c r="BG78" s="273"/>
      <c r="BH78" s="273"/>
      <c r="BI78" s="273"/>
      <c r="BJ78" s="273"/>
      <c r="BK78" s="273"/>
      <c r="BL78" s="273"/>
      <c r="BM78" s="273"/>
      <c r="BN78" s="273"/>
    </row>
    <row r="79" spans="1:66" s="665" customFormat="1" ht="15.75" thickBot="1">
      <c r="A79" s="127" t="s">
        <v>21</v>
      </c>
      <c r="B79" s="291">
        <v>2003283640.2322929</v>
      </c>
      <c r="C79" s="291">
        <v>312853129.62072271</v>
      </c>
      <c r="D79" s="291">
        <v>161314835.82510614</v>
      </c>
      <c r="E79" s="291">
        <v>2389302894.0350041</v>
      </c>
      <c r="F79" s="291">
        <v>33469796.251571238</v>
      </c>
      <c r="G79" s="291">
        <v>9910169.063447902</v>
      </c>
      <c r="H79" s="291">
        <v>366845648.82389325</v>
      </c>
      <c r="I79" s="291">
        <v>47612366.295605555</v>
      </c>
      <c r="J79" s="291">
        <v>209180692.4243193</v>
      </c>
      <c r="K79" s="291">
        <v>199868236.46478742</v>
      </c>
      <c r="L79" s="291">
        <v>68763517.189616561</v>
      </c>
      <c r="M79" s="291">
        <v>142401713.43868601</v>
      </c>
      <c r="N79" s="291">
        <v>378213087.956586</v>
      </c>
      <c r="O79" s="291">
        <v>56255227.345366292</v>
      </c>
      <c r="P79" s="291">
        <v>5156037.9658501353</v>
      </c>
      <c r="Q79" s="291">
        <v>209935146.54556939</v>
      </c>
      <c r="R79" s="291">
        <v>501459984.00000006</v>
      </c>
      <c r="S79" s="690">
        <v>7095826123.478425</v>
      </c>
      <c r="U79" s="733">
        <v>12311.983061414207</v>
      </c>
      <c r="V79" s="734">
        <v>14952.201878970807</v>
      </c>
      <c r="W79" s="734">
        <v>25570.611478043633</v>
      </c>
      <c r="X79" s="735">
        <v>57428.574289759905</v>
      </c>
      <c r="AB79" s="733">
        <v>3447145953.4839339</v>
      </c>
      <c r="AC79" s="734">
        <v>2593997695.1751294</v>
      </c>
      <c r="AD79" s="734">
        <v>477812446.07872331</v>
      </c>
      <c r="AE79" s="735">
        <v>576870028.74063826</v>
      </c>
      <c r="AG79" s="944">
        <v>0.48579910126012477</v>
      </c>
      <c r="AH79" s="944">
        <v>0.36556669372043926</v>
      </c>
      <c r="AI79" s="944">
        <v>6.7337113080850997E-2</v>
      </c>
      <c r="AJ79" s="944">
        <v>8.1297091938584934E-2</v>
      </c>
      <c r="AL79" s="945">
        <v>0.99999999999999989</v>
      </c>
      <c r="AN79" s="273"/>
      <c r="AO79" s="273"/>
      <c r="AP79" s="273"/>
      <c r="AQ79" s="273"/>
      <c r="AR79" s="273"/>
      <c r="AS79" s="273"/>
      <c r="AT79" s="273"/>
      <c r="AU79" s="273"/>
      <c r="AV79" s="273"/>
      <c r="AW79" s="273"/>
      <c r="AX79" s="273"/>
      <c r="AY79" s="273"/>
      <c r="AZ79" s="273"/>
      <c r="BA79" s="273"/>
      <c r="BB79" s="273"/>
      <c r="BC79" s="273"/>
      <c r="BD79" s="273"/>
      <c r="BE79" s="273"/>
      <c r="BF79" s="273"/>
      <c r="BG79" s="273"/>
      <c r="BH79" s="273"/>
      <c r="BI79" s="273"/>
      <c r="BJ79" s="273"/>
      <c r="BK79" s="273"/>
      <c r="BL79" s="273"/>
      <c r="BM79" s="273"/>
      <c r="BN79" s="273"/>
    </row>
    <row r="80" spans="1:66" s="665" customFormat="1" ht="15.75" thickBot="1">
      <c r="A80" s="127" t="s">
        <v>22</v>
      </c>
      <c r="B80" s="291">
        <v>10495759272.480036</v>
      </c>
      <c r="C80" s="291">
        <v>1831000113.5314195</v>
      </c>
      <c r="D80" s="291">
        <v>710286288.08276868</v>
      </c>
      <c r="E80" s="291">
        <v>12058164575.299259</v>
      </c>
      <c r="F80" s="291">
        <v>168922111.11226377</v>
      </c>
      <c r="G80" s="291">
        <v>50011865.932718366</v>
      </c>
      <c r="H80" s="291">
        <v>1718402045.1465976</v>
      </c>
      <c r="I80" s="291">
        <v>258871586.83841243</v>
      </c>
      <c r="J80" s="291">
        <v>1715496833.4925513</v>
      </c>
      <c r="K80" s="291">
        <v>1639223070.4853022</v>
      </c>
      <c r="L80" s="291">
        <v>859498874.35053575</v>
      </c>
      <c r="M80" s="291">
        <v>835514223.32452691</v>
      </c>
      <c r="N80" s="291">
        <v>3196787666.2530651</v>
      </c>
      <c r="O80" s="291">
        <v>475271221.44824523</v>
      </c>
      <c r="P80" s="291">
        <v>37258855.209953249</v>
      </c>
      <c r="Q80" s="291">
        <v>1743860570.4833674</v>
      </c>
      <c r="R80" s="291">
        <v>966864156</v>
      </c>
      <c r="S80" s="690">
        <v>38761193329.471024</v>
      </c>
      <c r="U80" s="733">
        <v>11625.254702517157</v>
      </c>
      <c r="V80" s="734">
        <v>14218.244005761806</v>
      </c>
      <c r="W80" s="734">
        <v>39164.146112861876</v>
      </c>
      <c r="X80" s="735">
        <v>92907.086403236739</v>
      </c>
      <c r="AB80" s="733">
        <v>17052016599.689787</v>
      </c>
      <c r="AC80" s="734">
        <v>12987384840.427011</v>
      </c>
      <c r="AD80" s="734">
        <v>4214218778.3283896</v>
      </c>
      <c r="AE80" s="735">
        <v>4507573111.0258369</v>
      </c>
      <c r="AG80" s="944">
        <v>0.43992496450631069</v>
      </c>
      <c r="AH80" s="944">
        <v>0.33506153254968041</v>
      </c>
      <c r="AI80" s="944">
        <v>0.10872262735843642</v>
      </c>
      <c r="AJ80" s="944">
        <v>0.11629087558557248</v>
      </c>
      <c r="AL80" s="945">
        <v>1</v>
      </c>
      <c r="AN80" s="273"/>
      <c r="AO80" s="273"/>
      <c r="AP80" s="273"/>
      <c r="AQ80" s="273"/>
      <c r="AR80" s="273"/>
      <c r="AS80" s="273"/>
      <c r="AT80" s="273"/>
      <c r="AU80" s="273"/>
      <c r="AV80" s="273"/>
      <c r="AW80" s="273"/>
      <c r="AX80" s="273"/>
      <c r="AY80" s="273"/>
      <c r="AZ80" s="273"/>
      <c r="BA80" s="273"/>
      <c r="BB80" s="273"/>
      <c r="BC80" s="273"/>
      <c r="BD80" s="273"/>
      <c r="BE80" s="273"/>
      <c r="BF80" s="273"/>
      <c r="BG80" s="273"/>
      <c r="BH80" s="273"/>
      <c r="BI80" s="273"/>
      <c r="BJ80" s="273"/>
      <c r="BK80" s="273"/>
      <c r="BL80" s="273"/>
      <c r="BM80" s="273"/>
      <c r="BN80" s="273"/>
    </row>
    <row r="81" spans="1:66" s="665" customFormat="1" ht="15.75" thickBot="1">
      <c r="A81" s="127" t="s">
        <v>23</v>
      </c>
      <c r="B81" s="291">
        <v>5288493580.4530811</v>
      </c>
      <c r="C81" s="291">
        <v>772393588.61425686</v>
      </c>
      <c r="D81" s="291">
        <v>518643717.03067458</v>
      </c>
      <c r="E81" s="291">
        <v>10558830585.069279</v>
      </c>
      <c r="F81" s="291">
        <v>147916171.87280712</v>
      </c>
      <c r="G81" s="291">
        <v>43793921.589171141</v>
      </c>
      <c r="H81" s="291">
        <v>785027530.49396229</v>
      </c>
      <c r="I81" s="291">
        <v>99508411.221859574</v>
      </c>
      <c r="J81" s="291">
        <v>696618387.35873866</v>
      </c>
      <c r="K81" s="291">
        <v>665637150.27584445</v>
      </c>
      <c r="L81" s="291">
        <v>241146931.93686044</v>
      </c>
      <c r="M81" s="291">
        <v>243229551.25463</v>
      </c>
      <c r="N81" s="291">
        <v>900849774.30230379</v>
      </c>
      <c r="O81" s="291">
        <v>133910808.79729903</v>
      </c>
      <c r="P81" s="291">
        <v>24596740.69161946</v>
      </c>
      <c r="Q81" s="291">
        <v>955490644.94861531</v>
      </c>
      <c r="R81" s="291">
        <v>856393776</v>
      </c>
      <c r="S81" s="690">
        <v>22932481271.911003</v>
      </c>
      <c r="U81" s="733">
        <v>9642.5924301457762</v>
      </c>
      <c r="V81" s="734">
        <v>12137.396652940037</v>
      </c>
      <c r="W81" s="734">
        <v>26869.814984523044</v>
      </c>
      <c r="X81" s="735">
        <v>64800.229913509422</v>
      </c>
      <c r="AB81" s="733">
        <v>8781904272.4233952</v>
      </c>
      <c r="AC81" s="734">
        <v>11269184395.56193</v>
      </c>
      <c r="AD81" s="734">
        <v>1603402469.5714436</v>
      </c>
      <c r="AE81" s="735">
        <v>1277990134.3542328</v>
      </c>
      <c r="AG81" s="944">
        <v>0.38294610026259857</v>
      </c>
      <c r="AH81" s="944">
        <v>0.49140711211939647</v>
      </c>
      <c r="AI81" s="944">
        <v>6.9918403096457832E-2</v>
      </c>
      <c r="AJ81" s="944">
        <v>5.5728384521547054E-2</v>
      </c>
      <c r="AL81" s="945">
        <v>0.99999999999999989</v>
      </c>
      <c r="AN81" s="273"/>
      <c r="AO81" s="273"/>
      <c r="AP81" s="273"/>
      <c r="AQ81" s="273"/>
      <c r="AR81" s="273"/>
      <c r="AS81" s="273"/>
      <c r="AT81" s="273"/>
      <c r="AU81" s="273"/>
      <c r="AV81" s="273"/>
      <c r="AW81" s="273"/>
      <c r="AX81" s="273"/>
      <c r="AY81" s="273"/>
      <c r="AZ81" s="273"/>
      <c r="BA81" s="273"/>
      <c r="BB81" s="273"/>
      <c r="BC81" s="273"/>
      <c r="BD81" s="273"/>
      <c r="BE81" s="273"/>
      <c r="BF81" s="273"/>
      <c r="BG81" s="273"/>
      <c r="BH81" s="273"/>
      <c r="BI81" s="273"/>
      <c r="BJ81" s="273"/>
      <c r="BK81" s="273"/>
      <c r="BL81" s="273"/>
      <c r="BM81" s="273"/>
      <c r="BN81" s="273"/>
    </row>
    <row r="82" spans="1:66" s="665" customFormat="1" ht="15.75" thickBot="1">
      <c r="A82" s="127" t="s">
        <v>24</v>
      </c>
      <c r="B82" s="291">
        <v>3219791340.5315318</v>
      </c>
      <c r="C82" s="291">
        <v>622017571.51492858</v>
      </c>
      <c r="D82" s="291">
        <v>565418227.05839777</v>
      </c>
      <c r="E82" s="291">
        <v>7371099346.6650763</v>
      </c>
      <c r="F82" s="291">
        <v>103259617.23299243</v>
      </c>
      <c r="G82" s="291">
        <v>30575401.460482374</v>
      </c>
      <c r="H82" s="291">
        <v>230859664.40738922</v>
      </c>
      <c r="I82" s="291">
        <v>42507654.198059753</v>
      </c>
      <c r="J82" s="291">
        <v>501712014.18161696</v>
      </c>
      <c r="K82" s="291">
        <v>479393726.98817807</v>
      </c>
      <c r="L82" s="291">
        <v>115489093.34331191</v>
      </c>
      <c r="M82" s="291">
        <v>155632808.40456793</v>
      </c>
      <c r="N82" s="291">
        <v>595603568.46413589</v>
      </c>
      <c r="O82" s="291">
        <v>88579189.050617114</v>
      </c>
      <c r="P82" s="291">
        <v>9561330.138519302</v>
      </c>
      <c r="Q82" s="291">
        <v>532508537.21586174</v>
      </c>
      <c r="R82" s="291">
        <v>0</v>
      </c>
      <c r="S82" s="690">
        <v>14664009090.855667</v>
      </c>
      <c r="U82" s="733">
        <v>12873.037423002987</v>
      </c>
      <c r="V82" s="734">
        <v>15254.653869479076</v>
      </c>
      <c r="W82" s="734">
        <v>36528.808611362656</v>
      </c>
      <c r="X82" s="735">
        <v>90409.68521039089</v>
      </c>
      <c r="AB82" s="733">
        <v>4657246098.0062895</v>
      </c>
      <c r="AC82" s="734">
        <v>8070352592.4169493</v>
      </c>
      <c r="AD82" s="734">
        <v>1096594834.5131068</v>
      </c>
      <c r="AE82" s="735">
        <v>839815565.91932094</v>
      </c>
      <c r="AG82" s="944">
        <v>0.31759705474476979</v>
      </c>
      <c r="AH82" s="944">
        <v>0.55035103581936151</v>
      </c>
      <c r="AI82" s="944">
        <v>7.4781379888596261E-2</v>
      </c>
      <c r="AJ82" s="944">
        <v>5.7270529547272422E-2</v>
      </c>
      <c r="AL82" s="945">
        <v>0.99999999999999989</v>
      </c>
      <c r="AN82" s="273"/>
      <c r="AO82" s="273"/>
      <c r="AP82" s="273"/>
      <c r="AQ82" s="273"/>
      <c r="AR82" s="273"/>
      <c r="AS82" s="273"/>
      <c r="AT82" s="273"/>
      <c r="AU82" s="273"/>
      <c r="AV82" s="273"/>
      <c r="AW82" s="273"/>
      <c r="AX82" s="273"/>
      <c r="AY82" s="273"/>
      <c r="AZ82" s="273"/>
      <c r="BA82" s="273"/>
      <c r="BB82" s="273"/>
      <c r="BC82" s="273"/>
      <c r="BD82" s="273"/>
      <c r="BE82" s="273"/>
      <c r="BF82" s="273"/>
      <c r="BG82" s="273"/>
      <c r="BH82" s="273"/>
      <c r="BI82" s="273"/>
      <c r="BJ82" s="273"/>
      <c r="BK82" s="273"/>
      <c r="BL82" s="273"/>
      <c r="BM82" s="273"/>
      <c r="BN82" s="273"/>
    </row>
    <row r="83" spans="1:66" s="665" customFormat="1" ht="15.75" thickBot="1">
      <c r="A83" s="127" t="s">
        <v>25</v>
      </c>
      <c r="B83" s="291">
        <v>3245942141.476337</v>
      </c>
      <c r="C83" s="291">
        <v>451793080.43039578</v>
      </c>
      <c r="D83" s="291">
        <v>285549230.1524452</v>
      </c>
      <c r="E83" s="291">
        <v>4618414514.9555235</v>
      </c>
      <c r="F83" s="291">
        <v>64699769.604059353</v>
      </c>
      <c r="G83" s="291">
        <v>19154524.078482676</v>
      </c>
      <c r="H83" s="291">
        <v>402943265.66731185</v>
      </c>
      <c r="I83" s="291">
        <v>48908337.536451504</v>
      </c>
      <c r="J83" s="291">
        <v>319401868.04049599</v>
      </c>
      <c r="K83" s="291">
        <v>305220416.7266854</v>
      </c>
      <c r="L83" s="291">
        <v>88208624.456325516</v>
      </c>
      <c r="M83" s="291">
        <v>110864629.16956143</v>
      </c>
      <c r="N83" s="291">
        <v>413681435.27694082</v>
      </c>
      <c r="O83" s="291">
        <v>61508589.225175895</v>
      </c>
      <c r="P83" s="291">
        <v>9330798.8606754504</v>
      </c>
      <c r="Q83" s="291">
        <v>353216544.89504784</v>
      </c>
      <c r="R83" s="291">
        <v>464542776</v>
      </c>
      <c r="S83" s="690">
        <v>11263380546.551918</v>
      </c>
      <c r="U83" s="733">
        <v>11967.337040233298</v>
      </c>
      <c r="V83" s="734">
        <v>14732.840956873588</v>
      </c>
      <c r="W83" s="734">
        <v>28909.879921462747</v>
      </c>
      <c r="X83" s="735">
        <v>70626.012734596065</v>
      </c>
      <c r="AB83" s="733">
        <v>4976676944.8662186</v>
      </c>
      <c r="AC83" s="734">
        <v>4987818038.7905102</v>
      </c>
      <c r="AD83" s="734">
        <v>712830909.22350693</v>
      </c>
      <c r="AE83" s="735">
        <v>586054653.67167819</v>
      </c>
      <c r="AG83" s="944">
        <v>0.44184576063087372</v>
      </c>
      <c r="AH83" s="944">
        <v>0.44283490362202504</v>
      </c>
      <c r="AI83" s="944">
        <v>6.328747450886113E-2</v>
      </c>
      <c r="AJ83" s="944">
        <v>5.2031861238239732E-2</v>
      </c>
      <c r="AL83" s="945">
        <v>0.99999999999999978</v>
      </c>
      <c r="AN83" s="273"/>
      <c r="AO83" s="273"/>
      <c r="AP83" s="273"/>
      <c r="AQ83" s="273"/>
      <c r="AR83" s="273"/>
      <c r="AS83" s="273"/>
      <c r="AT83" s="273"/>
      <c r="AU83" s="273"/>
      <c r="AV83" s="273"/>
      <c r="AW83" s="273"/>
      <c r="AX83" s="273"/>
      <c r="AY83" s="273"/>
      <c r="AZ83" s="273"/>
      <c r="BA83" s="273"/>
      <c r="BB83" s="273"/>
      <c r="BC83" s="273"/>
      <c r="BD83" s="273"/>
      <c r="BE83" s="273"/>
      <c r="BF83" s="273"/>
      <c r="BG83" s="273"/>
      <c r="BH83" s="273"/>
      <c r="BI83" s="273"/>
      <c r="BJ83" s="273"/>
      <c r="BK83" s="273"/>
      <c r="BL83" s="273"/>
      <c r="BM83" s="273"/>
      <c r="BN83" s="273"/>
    </row>
    <row r="84" spans="1:66" s="665" customFormat="1" ht="15.75" thickBot="1">
      <c r="A84" s="127" t="s">
        <v>26</v>
      </c>
      <c r="B84" s="291">
        <v>7280745739.74856</v>
      </c>
      <c r="C84" s="291">
        <v>1060445003.4398353</v>
      </c>
      <c r="D84" s="291">
        <v>398147618.02761257</v>
      </c>
      <c r="E84" s="291">
        <v>9206068072.5217705</v>
      </c>
      <c r="F84" s="291">
        <v>128966175.9285274</v>
      </c>
      <c r="G84" s="291">
        <v>38182111.928445891</v>
      </c>
      <c r="H84" s="291">
        <v>1277604695.136651</v>
      </c>
      <c r="I84" s="291">
        <v>161408352.12784922</v>
      </c>
      <c r="J84" s="291">
        <v>1039397759.7359924</v>
      </c>
      <c r="K84" s="291">
        <v>993188967.87705946</v>
      </c>
      <c r="L84" s="291">
        <v>384808578.02852714</v>
      </c>
      <c r="M84" s="291">
        <v>406348415.20912933</v>
      </c>
      <c r="N84" s="291">
        <v>1247712024.4520669</v>
      </c>
      <c r="O84" s="291">
        <v>185486968.50625038</v>
      </c>
      <c r="P84" s="291">
        <v>19798602.424576703</v>
      </c>
      <c r="Q84" s="291">
        <v>780085128.88701129</v>
      </c>
      <c r="R84" s="291">
        <v>871737996</v>
      </c>
      <c r="S84" s="690">
        <v>25480132209.97987</v>
      </c>
      <c r="U84" s="733">
        <v>10314.804038943646</v>
      </c>
      <c r="V84" s="734">
        <v>13194.27577778156</v>
      </c>
      <c r="W84" s="734">
        <v>28922.785150232459</v>
      </c>
      <c r="X84" s="735">
        <v>66717.953292015329</v>
      </c>
      <c r="AB84" s="733">
        <v>11451825517.764482</v>
      </c>
      <c r="AC84" s="734">
        <v>9771363978.4063568</v>
      </c>
      <c r="AD84" s="734">
        <v>2417395305.6415792</v>
      </c>
      <c r="AE84" s="735">
        <v>1839547408.1674466</v>
      </c>
      <c r="AG84" s="944">
        <v>0.4494413695890917</v>
      </c>
      <c r="AH84" s="944">
        <v>0.38348953207468761</v>
      </c>
      <c r="AI84" s="944">
        <v>9.4873734787559366E-2</v>
      </c>
      <c r="AJ84" s="944">
        <v>7.2195363548661115E-2</v>
      </c>
      <c r="AL84" s="945">
        <v>0.99999999999999978</v>
      </c>
      <c r="AN84" s="273"/>
      <c r="AO84" s="273"/>
      <c r="AP84" s="273"/>
      <c r="AQ84" s="273"/>
      <c r="AR84" s="273"/>
      <c r="AS84" s="273"/>
      <c r="AT84" s="273"/>
      <c r="AU84" s="273"/>
      <c r="AV84" s="273"/>
      <c r="AW84" s="273"/>
      <c r="AX84" s="273"/>
      <c r="AY84" s="273"/>
      <c r="AZ84" s="273"/>
      <c r="BA84" s="273"/>
      <c r="BB84" s="273"/>
      <c r="BC84" s="273"/>
      <c r="BD84" s="273"/>
      <c r="BE84" s="273"/>
      <c r="BF84" s="273"/>
      <c r="BG84" s="273"/>
      <c r="BH84" s="273"/>
      <c r="BI84" s="273"/>
      <c r="BJ84" s="273"/>
      <c r="BK84" s="273"/>
      <c r="BL84" s="273"/>
      <c r="BM84" s="273"/>
      <c r="BN84" s="273"/>
    </row>
    <row r="85" spans="1:66" s="665" customFormat="1" ht="15.75" thickBot="1">
      <c r="A85" s="127" t="s">
        <v>27</v>
      </c>
      <c r="B85" s="291">
        <v>1963583094.78387</v>
      </c>
      <c r="C85" s="291">
        <v>279774556.96056157</v>
      </c>
      <c r="D85" s="291">
        <v>344522352.09366858</v>
      </c>
      <c r="E85" s="291">
        <v>4520383850.3520336</v>
      </c>
      <c r="F85" s="291">
        <v>63325570.644678369</v>
      </c>
      <c r="G85" s="291">
        <v>18748759.819333669</v>
      </c>
      <c r="H85" s="291">
        <v>95017879.956397906</v>
      </c>
      <c r="I85" s="291">
        <v>12855021.845972378</v>
      </c>
      <c r="J85" s="291">
        <v>331072879.99371618</v>
      </c>
      <c r="K85" s="291">
        <v>316344620.45853776</v>
      </c>
      <c r="L85" s="291">
        <v>82866193.294109285</v>
      </c>
      <c r="M85" s="291">
        <v>85450282.643169016</v>
      </c>
      <c r="N85" s="291">
        <v>402126735.36333966</v>
      </c>
      <c r="O85" s="291">
        <v>59795672.379913121</v>
      </c>
      <c r="P85" s="291">
        <v>11954010.88011099</v>
      </c>
      <c r="Q85" s="291">
        <v>495501365.54470396</v>
      </c>
      <c r="R85" s="291">
        <v>0</v>
      </c>
      <c r="S85" s="690">
        <v>9083322847.0141163</v>
      </c>
      <c r="U85" s="733">
        <v>10859.700840956159</v>
      </c>
      <c r="V85" s="734">
        <v>13230.12139803303</v>
      </c>
      <c r="W85" s="734">
        <v>36345.179602168078</v>
      </c>
      <c r="X85" s="735">
        <v>93376.439847564281</v>
      </c>
      <c r="AB85" s="733">
        <v>2858685929.9716172</v>
      </c>
      <c r="AC85" s="734">
        <v>4946980532.9097147</v>
      </c>
      <c r="AD85" s="734">
        <v>730283693.74636316</v>
      </c>
      <c r="AE85" s="735">
        <v>547372690.3864218</v>
      </c>
      <c r="AG85" s="944">
        <v>0.31471808038963722</v>
      </c>
      <c r="AH85" s="944">
        <v>0.54462233878826549</v>
      </c>
      <c r="AI85" s="944">
        <v>8.0398297632503848E-2</v>
      </c>
      <c r="AJ85" s="944">
        <v>6.0261283189593444E-2</v>
      </c>
      <c r="AL85" s="945">
        <v>1</v>
      </c>
      <c r="AN85" s="273"/>
      <c r="AO85" s="273"/>
      <c r="AP85" s="273"/>
      <c r="AQ85" s="273"/>
      <c r="AR85" s="273"/>
      <c r="AS85" s="273"/>
      <c r="AT85" s="273"/>
      <c r="AU85" s="273"/>
      <c r="AV85" s="273"/>
      <c r="AW85" s="273"/>
      <c r="AX85" s="273"/>
      <c r="AY85" s="273"/>
      <c r="AZ85" s="273"/>
      <c r="BA85" s="273"/>
      <c r="BB85" s="273"/>
      <c r="BC85" s="273"/>
      <c r="BD85" s="273"/>
      <c r="BE85" s="273"/>
      <c r="BF85" s="273"/>
      <c r="BG85" s="273"/>
      <c r="BH85" s="273"/>
      <c r="BI85" s="273"/>
      <c r="BJ85" s="273"/>
      <c r="BK85" s="273"/>
      <c r="BL85" s="273"/>
      <c r="BM85" s="273"/>
      <c r="BN85" s="273"/>
    </row>
    <row r="86" spans="1:66" s="665" customFormat="1" ht="15.75" thickBot="1">
      <c r="A86" s="127" t="s">
        <v>28</v>
      </c>
      <c r="B86" s="291">
        <v>3066671413.8761301</v>
      </c>
      <c r="C86" s="291">
        <v>492710309.51873904</v>
      </c>
      <c r="D86" s="291">
        <v>255639719.45244238</v>
      </c>
      <c r="E86" s="291">
        <v>4205466340.9642491</v>
      </c>
      <c r="F86" s="291">
        <v>58913142.561273098</v>
      </c>
      <c r="G86" s="291">
        <v>17442865.37594036</v>
      </c>
      <c r="H86" s="291">
        <v>381062505.71166408</v>
      </c>
      <c r="I86" s="291">
        <v>49232427.674688868</v>
      </c>
      <c r="J86" s="291">
        <v>346668916.2327534</v>
      </c>
      <c r="K86" s="291">
        <v>331279913.61860287</v>
      </c>
      <c r="L86" s="291">
        <v>94835229.881198555</v>
      </c>
      <c r="M86" s="291">
        <v>128395554.8709673</v>
      </c>
      <c r="N86" s="291">
        <v>412877093.68905437</v>
      </c>
      <c r="O86" s="291">
        <v>61414106.436113395</v>
      </c>
      <c r="P86" s="291">
        <v>9700747.4759382699</v>
      </c>
      <c r="Q86" s="291">
        <v>392232469.49887162</v>
      </c>
      <c r="R86" s="291">
        <v>809059086</v>
      </c>
      <c r="S86" s="690">
        <v>11113601842.838627</v>
      </c>
      <c r="U86" s="733">
        <v>11782.453561028729</v>
      </c>
      <c r="V86" s="734">
        <v>14108.585144597198</v>
      </c>
      <c r="W86" s="734">
        <v>29705.326147705353</v>
      </c>
      <c r="X86" s="735">
        <v>70316.970598078988</v>
      </c>
      <c r="AB86" s="733">
        <v>5200668959.756032</v>
      </c>
      <c r="AC86" s="734">
        <v>4537462068.3539047</v>
      </c>
      <c r="AD86" s="734">
        <v>772784059.73255479</v>
      </c>
      <c r="AE86" s="735">
        <v>602686754.996135</v>
      </c>
      <c r="AG86" s="944">
        <v>0.46795530677637465</v>
      </c>
      <c r="AH86" s="944">
        <v>0.40828006370209768</v>
      </c>
      <c r="AI86" s="944">
        <v>6.9534978008099213E-2</v>
      </c>
      <c r="AJ86" s="944">
        <v>5.4229651513428456E-2</v>
      </c>
      <c r="AL86" s="945">
        <v>1</v>
      </c>
      <c r="AN86" s="273"/>
      <c r="AO86" s="273"/>
      <c r="AP86" s="273"/>
      <c r="AQ86" s="273"/>
      <c r="AR86" s="273"/>
      <c r="AS86" s="273"/>
      <c r="AT86" s="273"/>
      <c r="AU86" s="273"/>
      <c r="AV86" s="273"/>
      <c r="AW86" s="273"/>
      <c r="AX86" s="273"/>
      <c r="AY86" s="273"/>
      <c r="AZ86" s="273"/>
      <c r="BA86" s="273"/>
      <c r="BB86" s="273"/>
      <c r="BC86" s="273"/>
      <c r="BD86" s="273"/>
      <c r="BE86" s="273"/>
      <c r="BF86" s="273"/>
      <c r="BG86" s="273"/>
      <c r="BH86" s="273"/>
      <c r="BI86" s="273"/>
      <c r="BJ86" s="273"/>
      <c r="BK86" s="273"/>
      <c r="BL86" s="273"/>
      <c r="BM86" s="273"/>
      <c r="BN86" s="273"/>
    </row>
    <row r="87" spans="1:66" s="665" customFormat="1" ht="15.75" thickBot="1">
      <c r="A87" s="128" t="s">
        <v>29</v>
      </c>
      <c r="B87" s="291">
        <v>2009403088.4235008</v>
      </c>
      <c r="C87" s="291">
        <v>259086748.85165763</v>
      </c>
      <c r="D87" s="291">
        <v>179002983.58908159</v>
      </c>
      <c r="E87" s="291">
        <v>2386872078.2117028</v>
      </c>
      <c r="F87" s="291">
        <v>33438682.055373527</v>
      </c>
      <c r="G87" s="291">
        <v>9900345.5759792756</v>
      </c>
      <c r="H87" s="291">
        <v>177778913.95512742</v>
      </c>
      <c r="I87" s="291">
        <v>18975096.647504367</v>
      </c>
      <c r="J87" s="291">
        <v>236460883.79007834</v>
      </c>
      <c r="K87" s="291">
        <v>225942717.11043513</v>
      </c>
      <c r="L87" s="291">
        <v>63636727.994724974</v>
      </c>
      <c r="M87" s="291">
        <v>88234083.774849012</v>
      </c>
      <c r="N87" s="291">
        <v>398141668.43087006</v>
      </c>
      <c r="O87" s="291">
        <v>59173168.141122416</v>
      </c>
      <c r="P87" s="291">
        <v>4392342.7178528151</v>
      </c>
      <c r="Q87" s="291">
        <v>146128269.80724031</v>
      </c>
      <c r="R87" s="291">
        <v>439576782</v>
      </c>
      <c r="S87" s="690">
        <v>6736144581.0771017</v>
      </c>
      <c r="U87" s="733">
        <v>11759.136819510224</v>
      </c>
      <c r="V87" s="734">
        <v>14249.201801249161</v>
      </c>
      <c r="W87" s="734">
        <v>28519.399777459392</v>
      </c>
      <c r="X87" s="735">
        <v>72459.678622239531</v>
      </c>
      <c r="AB87" s="733">
        <v>3055341242.4028831</v>
      </c>
      <c r="AC87" s="734">
        <v>2609214089.4321375</v>
      </c>
      <c r="AD87" s="734">
        <v>526040328.89523846</v>
      </c>
      <c r="AE87" s="735">
        <v>545548920.34684145</v>
      </c>
      <c r="AG87" s="944">
        <v>0.45357417817097057</v>
      </c>
      <c r="AH87" s="944">
        <v>0.38734532164909785</v>
      </c>
      <c r="AI87" s="944">
        <v>7.80921968885539E-2</v>
      </c>
      <c r="AJ87" s="944">
        <v>8.0988303291377517E-2</v>
      </c>
      <c r="AL87" s="945">
        <v>0.99999999999999989</v>
      </c>
      <c r="AN87" s="273"/>
      <c r="AO87" s="273"/>
      <c r="AP87" s="273"/>
      <c r="AQ87" s="273"/>
      <c r="AR87" s="273"/>
      <c r="AS87" s="273"/>
      <c r="AT87" s="273"/>
      <c r="AU87" s="273"/>
      <c r="AV87" s="273"/>
      <c r="AW87" s="273"/>
      <c r="AX87" s="273"/>
      <c r="AY87" s="273"/>
      <c r="AZ87" s="273"/>
      <c r="BA87" s="273"/>
      <c r="BB87" s="273"/>
      <c r="BC87" s="273"/>
      <c r="BD87" s="273"/>
      <c r="BE87" s="273"/>
      <c r="BF87" s="273"/>
      <c r="BG87" s="273"/>
      <c r="BH87" s="273"/>
      <c r="BI87" s="273"/>
      <c r="BJ87" s="273"/>
      <c r="BK87" s="273"/>
      <c r="BL87" s="273"/>
      <c r="BM87" s="273"/>
      <c r="BN87" s="273"/>
    </row>
    <row r="88" spans="1:66" s="665" customFormat="1" ht="15.75" thickBot="1">
      <c r="A88" s="127" t="s">
        <v>31</v>
      </c>
      <c r="B88" s="291">
        <v>5084277481.6226711</v>
      </c>
      <c r="C88" s="291">
        <v>790187387.99905467</v>
      </c>
      <c r="D88" s="291">
        <v>435048391.21804237</v>
      </c>
      <c r="E88" s="291">
        <v>4504031040.0672302</v>
      </c>
      <c r="F88" s="291">
        <v>63093593.978253573</v>
      </c>
      <c r="G88" s="291">
        <v>18680685.333652027</v>
      </c>
      <c r="H88" s="291">
        <v>381823388.32257652</v>
      </c>
      <c r="I88" s="291">
        <v>51927944.494937509</v>
      </c>
      <c r="J88" s="291">
        <v>499444117.90244716</v>
      </c>
      <c r="K88" s="291">
        <v>477241888.21562016</v>
      </c>
      <c r="L88" s="291">
        <v>410449502.62396824</v>
      </c>
      <c r="M88" s="291">
        <v>183480766.6795916</v>
      </c>
      <c r="N88" s="291">
        <v>1072761356.3257152</v>
      </c>
      <c r="O88" s="291">
        <v>150571633.55279392</v>
      </c>
      <c r="P88" s="291">
        <v>15990453.771644134</v>
      </c>
      <c r="Q88" s="291">
        <v>671332001.23954427</v>
      </c>
      <c r="R88" s="291">
        <v>523921968</v>
      </c>
      <c r="S88" s="690">
        <v>15334263601.347744</v>
      </c>
      <c r="U88" s="733">
        <v>8911.2245937226216</v>
      </c>
      <c r="V88" s="734">
        <v>12761.616206523022</v>
      </c>
      <c r="W88" s="734">
        <v>19057.462304285593</v>
      </c>
      <c r="X88" s="735">
        <v>75254.828103033098</v>
      </c>
      <c r="AB88" s="733">
        <v>7519460625.450429</v>
      </c>
      <c r="AC88" s="734">
        <v>5020853710.5971785</v>
      </c>
      <c r="AD88" s="734">
        <v>1387135508.7420354</v>
      </c>
      <c r="AE88" s="735">
        <v>1406813756.5581007</v>
      </c>
      <c r="AG88" s="944">
        <v>0.49036985543860978</v>
      </c>
      <c r="AH88" s="944">
        <v>0.32742711623634085</v>
      </c>
      <c r="AI88" s="944">
        <v>9.0459871096784758E-2</v>
      </c>
      <c r="AJ88" s="944">
        <v>9.174315722826458E-2</v>
      </c>
      <c r="AL88" s="945">
        <v>1</v>
      </c>
      <c r="AN88" s="273"/>
      <c r="AO88" s="273"/>
      <c r="AP88" s="273"/>
      <c r="AQ88" s="273"/>
      <c r="AR88" s="273"/>
      <c r="AS88" s="273"/>
      <c r="AT88" s="273"/>
      <c r="AU88" s="273"/>
      <c r="AV88" s="273"/>
      <c r="AW88" s="273"/>
      <c r="AX88" s="273"/>
      <c r="AY88" s="273"/>
      <c r="AZ88" s="273"/>
      <c r="BA88" s="273"/>
      <c r="BB88" s="273"/>
      <c r="BC88" s="273"/>
      <c r="BD88" s="273"/>
      <c r="BE88" s="273"/>
      <c r="BF88" s="273"/>
      <c r="BG88" s="273"/>
      <c r="BH88" s="273"/>
      <c r="BI88" s="273"/>
      <c r="BJ88" s="273"/>
      <c r="BK88" s="273"/>
      <c r="BL88" s="273"/>
      <c r="BM88" s="273"/>
      <c r="BN88" s="273"/>
    </row>
    <row r="89" spans="1:66" s="665" customFormat="1" ht="15.75" thickBot="1">
      <c r="A89" s="127" t="s">
        <v>32</v>
      </c>
      <c r="B89" s="291">
        <v>29853483176.036552</v>
      </c>
      <c r="C89" s="291">
        <v>4237620527.0381813</v>
      </c>
      <c r="D89" s="291">
        <v>1175265327.0018992</v>
      </c>
      <c r="E89" s="291">
        <v>25682946847.747818</v>
      </c>
      <c r="F89" s="291">
        <v>359783378.0533132</v>
      </c>
      <c r="G89" s="291">
        <v>106522459.3459889</v>
      </c>
      <c r="H89" s="291">
        <v>3929554102.3964772</v>
      </c>
      <c r="I89" s="291">
        <v>498839168.63969761</v>
      </c>
      <c r="J89" s="291">
        <v>5739467143.4019785</v>
      </c>
      <c r="K89" s="291">
        <v>5484174473.8336191</v>
      </c>
      <c r="L89" s="291">
        <v>3351674461.7606459</v>
      </c>
      <c r="M89" s="291">
        <v>981900390.72908711</v>
      </c>
      <c r="N89" s="291">
        <v>5898900378.2984962</v>
      </c>
      <c r="O89" s="291">
        <v>651177257.85790813</v>
      </c>
      <c r="P89" s="291">
        <v>75477279.823250011</v>
      </c>
      <c r="Q89" s="291">
        <v>3013649608.4520478</v>
      </c>
      <c r="R89" s="291">
        <v>559511340</v>
      </c>
      <c r="S89" s="690">
        <v>91599947320.416946</v>
      </c>
      <c r="U89" s="733">
        <v>8391.765557171846</v>
      </c>
      <c r="V89" s="734">
        <v>13359.950056202755</v>
      </c>
      <c r="W89" s="734">
        <v>45641.713520289355</v>
      </c>
      <c r="X89" s="735">
        <v>80515.441723256663</v>
      </c>
      <c r="AB89" s="733">
        <v>42168135202.386208</v>
      </c>
      <c r="AC89" s="734">
        <v>27324518012.149021</v>
      </c>
      <c r="AD89" s="734">
        <v>14575316078.996243</v>
      </c>
      <c r="AE89" s="735">
        <v>7531978026.8854914</v>
      </c>
      <c r="AG89" s="944">
        <v>0.46035108573678452</v>
      </c>
      <c r="AH89" s="944">
        <v>0.29830276994120702</v>
      </c>
      <c r="AI89" s="944">
        <v>0.15911926267830412</v>
      </c>
      <c r="AJ89" s="944">
        <v>8.2226881643704494E-2</v>
      </c>
      <c r="AL89" s="945">
        <v>1.0000000000000002</v>
      </c>
      <c r="AN89" s="273"/>
      <c r="AO89" s="273"/>
      <c r="AP89" s="273"/>
      <c r="AQ89" s="273"/>
      <c r="AR89" s="273"/>
      <c r="AS89" s="273"/>
      <c r="AT89" s="273"/>
      <c r="AU89" s="273"/>
      <c r="AV89" s="273"/>
      <c r="AW89" s="273"/>
      <c r="AX89" s="273"/>
      <c r="AY89" s="273"/>
      <c r="AZ89" s="273"/>
      <c r="BA89" s="273"/>
      <c r="BB89" s="273"/>
      <c r="BC89" s="273"/>
      <c r="BD89" s="273"/>
      <c r="BE89" s="273"/>
      <c r="BF89" s="273"/>
      <c r="BG89" s="273"/>
      <c r="BH89" s="273"/>
      <c r="BI89" s="273"/>
      <c r="BJ89" s="273"/>
      <c r="BK89" s="273"/>
      <c r="BL89" s="273"/>
      <c r="BM89" s="273"/>
      <c r="BN89" s="273"/>
    </row>
    <row r="90" spans="1:66" s="665" customFormat="1" ht="15.75" thickBot="1">
      <c r="A90" s="127" t="s">
        <v>33</v>
      </c>
      <c r="B90" s="291">
        <v>17577476546.192585</v>
      </c>
      <c r="C90" s="291">
        <v>2827772389.5137234</v>
      </c>
      <c r="D90" s="291">
        <v>835257796.96000326</v>
      </c>
      <c r="E90" s="291">
        <v>10121655834.074526</v>
      </c>
      <c r="F90" s="291">
        <v>141791653.27149621</v>
      </c>
      <c r="G90" s="291">
        <v>41979434.361584626</v>
      </c>
      <c r="H90" s="291">
        <v>3748273207.6434245</v>
      </c>
      <c r="I90" s="291">
        <v>396196420.23926872</v>
      </c>
      <c r="J90" s="291">
        <v>1370808570.8450429</v>
      </c>
      <c r="K90" s="291">
        <v>1309863826.0468776</v>
      </c>
      <c r="L90" s="291">
        <v>462488941.90998685</v>
      </c>
      <c r="M90" s="291">
        <v>1360583437.8352916</v>
      </c>
      <c r="N90" s="291">
        <v>3956679999.1605721</v>
      </c>
      <c r="O90" s="291">
        <v>606144701.32921088</v>
      </c>
      <c r="P90" s="291">
        <v>30209492.055131759</v>
      </c>
      <c r="Q90" s="291">
        <v>1010137679.8115435</v>
      </c>
      <c r="R90" s="291">
        <v>13191426486</v>
      </c>
      <c r="S90" s="690">
        <v>58988746417.250252</v>
      </c>
      <c r="U90" s="733">
        <v>10098.418614501237</v>
      </c>
      <c r="V90" s="734">
        <v>14881.568851969027</v>
      </c>
      <c r="W90" s="734">
        <v>24017.432099044148</v>
      </c>
      <c r="X90" s="735">
        <v>82534.35519966943</v>
      </c>
      <c r="AB90" s="733">
        <v>38781492221.455673</v>
      </c>
      <c r="AC90" s="734">
        <v>11140684718.667608</v>
      </c>
      <c r="AD90" s="734">
        <v>3143161338.8019075</v>
      </c>
      <c r="AE90" s="735">
        <v>5923408138.3250751</v>
      </c>
      <c r="AG90" s="944">
        <v>0.65743882650326479</v>
      </c>
      <c r="AH90" s="944">
        <v>0.18886118785887107</v>
      </c>
      <c r="AI90" s="944">
        <v>5.3284084333121949E-2</v>
      </c>
      <c r="AJ90" s="944">
        <v>0.10041590130474234</v>
      </c>
      <c r="AL90" s="945">
        <v>1.0000000000000002</v>
      </c>
      <c r="AN90" s="273"/>
      <c r="AO90" s="273"/>
      <c r="AP90" s="273"/>
      <c r="AQ90" s="273"/>
      <c r="AR90" s="273"/>
      <c r="AS90" s="273"/>
      <c r="AT90" s="273"/>
      <c r="AU90" s="273"/>
      <c r="AV90" s="273"/>
      <c r="AW90" s="273"/>
      <c r="AX90" s="273"/>
      <c r="AY90" s="273"/>
      <c r="AZ90" s="273"/>
      <c r="BA90" s="273"/>
      <c r="BB90" s="273"/>
      <c r="BC90" s="273"/>
      <c r="BD90" s="273"/>
      <c r="BE90" s="273"/>
      <c r="BF90" s="273"/>
      <c r="BG90" s="273"/>
      <c r="BH90" s="273"/>
      <c r="BI90" s="273"/>
      <c r="BJ90" s="273"/>
      <c r="BK90" s="273"/>
      <c r="BL90" s="273"/>
      <c r="BM90" s="273"/>
      <c r="BN90" s="273"/>
    </row>
    <row r="91" spans="1:66" s="665" customFormat="1" ht="15.75" thickBot="1">
      <c r="A91" s="128" t="s">
        <v>34</v>
      </c>
      <c r="B91" s="291">
        <v>71390614280.427628</v>
      </c>
      <c r="C91" s="291">
        <v>9909633495.7886238</v>
      </c>
      <c r="D91" s="291">
        <v>3819014723.6088872</v>
      </c>
      <c r="E91" s="291">
        <v>51421523136.93116</v>
      </c>
      <c r="F91" s="291">
        <v>720354421.81976128</v>
      </c>
      <c r="G91" s="291">
        <v>213276861.01748312</v>
      </c>
      <c r="H91" s="291">
        <v>45229012124.023979</v>
      </c>
      <c r="I91" s="291">
        <v>5326293389.9598913</v>
      </c>
      <c r="J91" s="291">
        <v>7563209289.7997465</v>
      </c>
      <c r="K91" s="291">
        <v>7226901596.790123</v>
      </c>
      <c r="L91" s="291">
        <v>5067749830.4517002</v>
      </c>
      <c r="M91" s="291">
        <v>2584243314.9857011</v>
      </c>
      <c r="N91" s="291">
        <v>11593263381.293249</v>
      </c>
      <c r="O91" s="291">
        <v>1301004256.8644423</v>
      </c>
      <c r="P91" s="291">
        <v>149563948.04551992</v>
      </c>
      <c r="Q91" s="291">
        <v>5679364969.3266363</v>
      </c>
      <c r="R91" s="291">
        <v>4355294904</v>
      </c>
      <c r="S91" s="690">
        <v>233550317925.13452</v>
      </c>
      <c r="U91" s="733">
        <v>8689.271559773324</v>
      </c>
      <c r="V91" s="734">
        <v>13400.336198565337</v>
      </c>
      <c r="W91" s="734">
        <v>27060.905475642659</v>
      </c>
      <c r="X91" s="735">
        <v>66879.730006063794</v>
      </c>
      <c r="AB91" s="733">
        <v>142039777111.57227</v>
      </c>
      <c r="AC91" s="734">
        <v>56174169143.377296</v>
      </c>
      <c r="AD91" s="734">
        <v>19857860717.041573</v>
      </c>
      <c r="AE91" s="735">
        <v>15478510953.143393</v>
      </c>
      <c r="AG91" s="944">
        <v>0.60817633807333837</v>
      </c>
      <c r="AH91" s="944">
        <v>0.24052276889378565</v>
      </c>
      <c r="AI91" s="944">
        <v>8.5026048748120683E-2</v>
      </c>
      <c r="AJ91" s="944">
        <v>6.627484428475533E-2</v>
      </c>
      <c r="AL91" s="945">
        <v>1</v>
      </c>
      <c r="AN91" s="273"/>
      <c r="AO91" s="273"/>
      <c r="AP91" s="273"/>
      <c r="AQ91" s="273"/>
      <c r="AR91" s="273"/>
      <c r="AS91" s="273"/>
      <c r="AT91" s="273"/>
      <c r="AU91" s="273"/>
      <c r="AV91" s="273"/>
      <c r="AW91" s="273"/>
      <c r="AX91" s="273"/>
      <c r="AY91" s="273"/>
      <c r="AZ91" s="273"/>
      <c r="BA91" s="273"/>
      <c r="BB91" s="273"/>
      <c r="BC91" s="273"/>
      <c r="BD91" s="273"/>
      <c r="BE91" s="273"/>
      <c r="BF91" s="273"/>
      <c r="BG91" s="273"/>
      <c r="BH91" s="273"/>
      <c r="BI91" s="273"/>
      <c r="BJ91" s="273"/>
      <c r="BK91" s="273"/>
      <c r="BL91" s="273"/>
      <c r="BM91" s="273"/>
      <c r="BN91" s="273"/>
    </row>
    <row r="92" spans="1:66" s="665" customFormat="1" ht="15.75" thickBot="1">
      <c r="A92" s="127" t="s">
        <v>36</v>
      </c>
      <c r="B92" s="291">
        <v>18551649184.298058</v>
      </c>
      <c r="C92" s="291">
        <v>2449808575.563827</v>
      </c>
      <c r="D92" s="291">
        <v>1298747640.5585983</v>
      </c>
      <c r="E92" s="291">
        <v>11901215169.214111</v>
      </c>
      <c r="F92" s="291">
        <v>166722477.73193637</v>
      </c>
      <c r="G92" s="291">
        <v>49363058.859558858</v>
      </c>
      <c r="H92" s="291">
        <v>5659520754.8839846</v>
      </c>
      <c r="I92" s="291">
        <v>660841147.27679062</v>
      </c>
      <c r="J92" s="291">
        <v>2985031736.8192801</v>
      </c>
      <c r="K92" s="291">
        <v>2852354117.2437019</v>
      </c>
      <c r="L92" s="291">
        <v>2947105022.4931479</v>
      </c>
      <c r="M92" s="291">
        <v>443926463.04663885</v>
      </c>
      <c r="N92" s="291">
        <v>2825084636.0596323</v>
      </c>
      <c r="O92" s="291">
        <v>333821115.23807949</v>
      </c>
      <c r="P92" s="291">
        <v>61044628.773556896</v>
      </c>
      <c r="Q92" s="291">
        <v>2273416655.3477321</v>
      </c>
      <c r="R92" s="291">
        <v>447121656</v>
      </c>
      <c r="S92" s="690">
        <v>55906774039.408653</v>
      </c>
      <c r="U92" s="733">
        <v>7756.0422278153173</v>
      </c>
      <c r="V92" s="734">
        <v>11733.325240345319</v>
      </c>
      <c r="W92" s="734">
        <v>29885.624731000622</v>
      </c>
      <c r="X92" s="735">
        <v>71672.47979518483</v>
      </c>
      <c r="AB92" s="733">
        <v>30103402602.143948</v>
      </c>
      <c r="AC92" s="734">
        <v>13416048346.364202</v>
      </c>
      <c r="AD92" s="734">
        <v>8784490876.5561295</v>
      </c>
      <c r="AE92" s="735">
        <v>3602832214.3443508</v>
      </c>
      <c r="AG92" s="944">
        <v>0.53845715692563612</v>
      </c>
      <c r="AH92" s="944">
        <v>0.2399717847591642</v>
      </c>
      <c r="AI92" s="944">
        <v>0.15712748638231114</v>
      </c>
      <c r="AJ92" s="944">
        <v>6.4443571932888064E-2</v>
      </c>
      <c r="AL92" s="945">
        <v>0.99999999999999944</v>
      </c>
      <c r="AN92" s="273"/>
      <c r="AO92" s="273"/>
      <c r="AP92" s="273"/>
      <c r="AQ92" s="273"/>
      <c r="AR92" s="273"/>
      <c r="AS92" s="273"/>
      <c r="AT92" s="273"/>
      <c r="AU92" s="273"/>
      <c r="AV92" s="273"/>
      <c r="AW92" s="273"/>
      <c r="AX92" s="273"/>
      <c r="AY92" s="273"/>
      <c r="AZ92" s="273"/>
      <c r="BA92" s="273"/>
      <c r="BB92" s="273"/>
      <c r="BC92" s="273"/>
      <c r="BD92" s="273"/>
      <c r="BE92" s="273"/>
      <c r="BF92" s="273"/>
      <c r="BG92" s="273"/>
      <c r="BH92" s="273"/>
      <c r="BI92" s="273"/>
      <c r="BJ92" s="273"/>
      <c r="BK92" s="273"/>
      <c r="BL92" s="273"/>
      <c r="BM92" s="273"/>
      <c r="BN92" s="273"/>
    </row>
    <row r="93" spans="1:66" s="665" customFormat="1" ht="15.75" thickBot="1">
      <c r="A93" s="127" t="s">
        <v>37</v>
      </c>
      <c r="B93" s="291">
        <v>22742862119.499462</v>
      </c>
      <c r="C93" s="291">
        <v>2666849440.1268964</v>
      </c>
      <c r="D93" s="291">
        <v>916884947.30996323</v>
      </c>
      <c r="E93" s="291">
        <v>12264265170.75486</v>
      </c>
      <c r="F93" s="291">
        <v>171805536.71169534</v>
      </c>
      <c r="G93" s="291">
        <v>50867269.244773053</v>
      </c>
      <c r="H93" s="291">
        <v>966763824.42099941</v>
      </c>
      <c r="I93" s="291">
        <v>101959254.65391625</v>
      </c>
      <c r="J93" s="291">
        <v>2701528874.7622428</v>
      </c>
      <c r="K93" s="291">
        <v>2581435490.1733336</v>
      </c>
      <c r="L93" s="291">
        <v>2023234077.4690011</v>
      </c>
      <c r="M93" s="291">
        <v>482493686.78607953</v>
      </c>
      <c r="N93" s="291">
        <v>2968242563.3164845</v>
      </c>
      <c r="O93" s="291">
        <v>350779809.05140448</v>
      </c>
      <c r="P93" s="291">
        <v>60236965.554782361</v>
      </c>
      <c r="Q93" s="291">
        <v>1981754429.6162233</v>
      </c>
      <c r="R93" s="291">
        <v>1132760304</v>
      </c>
      <c r="S93" s="690">
        <v>54164723763.45211</v>
      </c>
      <c r="U93" s="733">
        <v>8097.3042118038848</v>
      </c>
      <c r="V93" s="734">
        <v>13142.703687164703</v>
      </c>
      <c r="W93" s="734">
        <v>31239.624597669608</v>
      </c>
      <c r="X93" s="735">
        <v>76432.355372337857</v>
      </c>
      <c r="AB93" s="733">
        <v>29653186337.872276</v>
      </c>
      <c r="AC93" s="734">
        <v>13403822924.021292</v>
      </c>
      <c r="AD93" s="734">
        <v>7306198442.4045773</v>
      </c>
      <c r="AE93" s="735">
        <v>3801516059.1539683</v>
      </c>
      <c r="AG93" s="944">
        <v>0.54746307702728281</v>
      </c>
      <c r="AH93" s="944">
        <v>0.24746406872780141</v>
      </c>
      <c r="AI93" s="944">
        <v>0.13488850186538692</v>
      </c>
      <c r="AJ93" s="944">
        <v>7.0184352379528955E-2</v>
      </c>
      <c r="AL93" s="945">
        <v>1</v>
      </c>
      <c r="AN93" s="273"/>
      <c r="AO93" s="273"/>
      <c r="AP93" s="273"/>
      <c r="AQ93" s="273"/>
      <c r="AR93" s="273"/>
      <c r="AS93" s="273"/>
      <c r="AT93" s="273"/>
      <c r="AU93" s="273"/>
      <c r="AV93" s="273"/>
      <c r="AW93" s="273"/>
      <c r="AX93" s="273"/>
      <c r="AY93" s="273"/>
      <c r="AZ93" s="273"/>
      <c r="BA93" s="273"/>
      <c r="BB93" s="273"/>
      <c r="BC93" s="273"/>
      <c r="BD93" s="273"/>
      <c r="BE93" s="273"/>
      <c r="BF93" s="273"/>
      <c r="BG93" s="273"/>
      <c r="BH93" s="273"/>
      <c r="BI93" s="273"/>
      <c r="BJ93" s="273"/>
      <c r="BK93" s="273"/>
      <c r="BL93" s="273"/>
      <c r="BM93" s="273"/>
      <c r="BN93" s="273"/>
    </row>
    <row r="94" spans="1:66" s="665" customFormat="1" ht="15.75" thickBot="1">
      <c r="A94" s="128" t="s">
        <v>38</v>
      </c>
      <c r="B94" s="291">
        <v>15426073840.013912</v>
      </c>
      <c r="C94" s="291">
        <v>1957376625.6359403</v>
      </c>
      <c r="D94" s="291">
        <v>1319443592.0882423</v>
      </c>
      <c r="E94" s="291">
        <v>10268878369.21422</v>
      </c>
      <c r="F94" s="291">
        <v>143853646.62215945</v>
      </c>
      <c r="G94" s="291">
        <v>42592686.51311858</v>
      </c>
      <c r="H94" s="291">
        <v>861495175.38036335</v>
      </c>
      <c r="I94" s="291">
        <v>97447887.033030003</v>
      </c>
      <c r="J94" s="291">
        <v>1735309810.6079612</v>
      </c>
      <c r="K94" s="291">
        <v>1658161258.5413654</v>
      </c>
      <c r="L94" s="291">
        <v>1719759361.8197773</v>
      </c>
      <c r="M94" s="291">
        <v>259343319.66292965</v>
      </c>
      <c r="N94" s="291">
        <v>1355625175.1847451</v>
      </c>
      <c r="O94" s="291">
        <v>160173482.09103036</v>
      </c>
      <c r="P94" s="291">
        <v>37761858.583462819</v>
      </c>
      <c r="Q94" s="291">
        <v>1321252885.6842408</v>
      </c>
      <c r="R94" s="291">
        <v>1856691882</v>
      </c>
      <c r="S94" s="690">
        <v>40221240856.676514</v>
      </c>
      <c r="U94" s="733">
        <v>8691.0160815426825</v>
      </c>
      <c r="V94" s="734">
        <v>13088.660377803129</v>
      </c>
      <c r="W94" s="734">
        <v>30391.574376469456</v>
      </c>
      <c r="X94" s="735">
        <v>69865.474533166926</v>
      </c>
      <c r="AB94" s="733">
        <v>21558100154.330952</v>
      </c>
      <c r="AC94" s="734">
        <v>11774768294.43774</v>
      </c>
      <c r="AD94" s="734">
        <v>5113230430.9691038</v>
      </c>
      <c r="AE94" s="735">
        <v>1775141976.9387052</v>
      </c>
      <c r="AG94" s="944">
        <v>0.53598794306596886</v>
      </c>
      <c r="AH94" s="944">
        <v>0.29275000083651548</v>
      </c>
      <c r="AI94" s="944">
        <v>0.12712761521181001</v>
      </c>
      <c r="AJ94" s="944">
        <v>4.4134440885705319E-2</v>
      </c>
      <c r="AL94" s="945">
        <v>0.99999999999999967</v>
      </c>
      <c r="AN94" s="273"/>
      <c r="AO94" s="273"/>
      <c r="AP94" s="273"/>
      <c r="AQ94" s="273"/>
      <c r="AR94" s="273"/>
      <c r="AS94" s="273"/>
      <c r="AT94" s="273"/>
      <c r="AU94" s="273"/>
      <c r="AV94" s="273"/>
      <c r="AW94" s="273"/>
      <c r="AX94" s="273"/>
      <c r="AY94" s="273"/>
      <c r="AZ94" s="273"/>
      <c r="BA94" s="273"/>
      <c r="BB94" s="273"/>
      <c r="BC94" s="273"/>
      <c r="BD94" s="273"/>
      <c r="BE94" s="273"/>
      <c r="BF94" s="273"/>
      <c r="BG94" s="273"/>
      <c r="BH94" s="273"/>
      <c r="BI94" s="273"/>
      <c r="BJ94" s="273"/>
      <c r="BK94" s="273"/>
      <c r="BL94" s="273"/>
      <c r="BM94" s="273"/>
      <c r="BN94" s="273"/>
    </row>
    <row r="95" spans="1:66" s="665" customFormat="1" ht="15.75" thickBot="1">
      <c r="A95" s="127" t="s">
        <v>40</v>
      </c>
      <c r="B95" s="291">
        <v>8984312169.490324</v>
      </c>
      <c r="C95" s="291">
        <v>1035540570.4310433</v>
      </c>
      <c r="D95" s="291">
        <v>80065587.731035143</v>
      </c>
      <c r="E95" s="291">
        <v>1924709340.1987734</v>
      </c>
      <c r="F95" s="291">
        <v>26962017.636707827</v>
      </c>
      <c r="G95" s="291">
        <v>7983598.5785669796</v>
      </c>
      <c r="H95" s="291">
        <v>591534037.01287675</v>
      </c>
      <c r="I95" s="291">
        <v>63265668.329285584</v>
      </c>
      <c r="J95" s="291">
        <v>457069405.67616153</v>
      </c>
      <c r="K95" s="291">
        <v>436737697.63056666</v>
      </c>
      <c r="L95" s="291">
        <v>185192917.59796199</v>
      </c>
      <c r="M95" s="291">
        <v>101577696.23748547</v>
      </c>
      <c r="N95" s="291">
        <v>655837777.57243967</v>
      </c>
      <c r="O95" s="291">
        <v>68391505.520551562</v>
      </c>
      <c r="P95" s="291">
        <v>13025525.933712678</v>
      </c>
      <c r="Q95" s="291">
        <v>431407062.20853847</v>
      </c>
      <c r="R95" s="291">
        <v>59719638</v>
      </c>
      <c r="S95" s="690">
        <v>15123332215.78603</v>
      </c>
      <c r="U95" s="733">
        <v>9931.7273293019771</v>
      </c>
      <c r="V95" s="734">
        <v>13711.393067706478</v>
      </c>
      <c r="W95" s="734">
        <v>47134.370998807011</v>
      </c>
      <c r="X95" s="735">
        <v>61696.449707170461</v>
      </c>
      <c r="AB95" s="733">
        <v>11178804671.405779</v>
      </c>
      <c r="AC95" s="734">
        <v>2039720544.1450834</v>
      </c>
      <c r="AD95" s="734">
        <v>1079000020.90469</v>
      </c>
      <c r="AE95" s="735">
        <v>825806979.33047664</v>
      </c>
      <c r="AG95" s="944">
        <v>0.73917603024928091</v>
      </c>
      <c r="AH95" s="944">
        <v>0.13487242857866888</v>
      </c>
      <c r="AI95" s="944">
        <v>7.1346711525546516E-2</v>
      </c>
      <c r="AJ95" s="944">
        <v>5.4604829646503643E-2</v>
      </c>
      <c r="AL95" s="945">
        <v>0.99999999999999989</v>
      </c>
      <c r="AN95" s="273"/>
      <c r="AO95" s="273"/>
      <c r="AP95" s="273"/>
      <c r="AQ95" s="273"/>
      <c r="AR95" s="273"/>
      <c r="AS95" s="273"/>
      <c r="AT95" s="273"/>
      <c r="AU95" s="273"/>
      <c r="AV95" s="273"/>
      <c r="AW95" s="273"/>
      <c r="AX95" s="273"/>
      <c r="AY95" s="273"/>
      <c r="AZ95" s="273"/>
      <c r="BA95" s="273"/>
      <c r="BB95" s="273"/>
      <c r="BC95" s="273"/>
      <c r="BD95" s="273"/>
      <c r="BE95" s="273"/>
      <c r="BF95" s="273"/>
      <c r="BG95" s="273"/>
      <c r="BH95" s="273"/>
      <c r="BI95" s="273"/>
      <c r="BJ95" s="273"/>
      <c r="BK95" s="273"/>
      <c r="BL95" s="273"/>
      <c r="BM95" s="273"/>
      <c r="BN95" s="273"/>
    </row>
    <row r="96" spans="1:66" s="665" customFormat="1" ht="15.75" thickBot="1">
      <c r="A96" s="127" t="s">
        <v>41</v>
      </c>
      <c r="B96" s="291">
        <v>8578144630.3235159</v>
      </c>
      <c r="C96" s="291">
        <v>1323858437.9691327</v>
      </c>
      <c r="D96" s="291">
        <v>1114937050.5241008</v>
      </c>
      <c r="E96" s="291">
        <v>8771860883.9448566</v>
      </c>
      <c r="F96" s="291">
        <v>122883936.56037183</v>
      </c>
      <c r="G96" s="291">
        <v>36380751.409720935</v>
      </c>
      <c r="H96" s="291">
        <v>4821467449.3635445</v>
      </c>
      <c r="I96" s="291">
        <v>665381577.33010113</v>
      </c>
      <c r="J96" s="291">
        <v>1982769824.9312544</v>
      </c>
      <c r="K96" s="291">
        <v>1894612457.9479749</v>
      </c>
      <c r="L96" s="291">
        <v>1471257668.1824281</v>
      </c>
      <c r="M96" s="291">
        <v>135940686.23275307</v>
      </c>
      <c r="N96" s="291">
        <v>1278613593.3294313</v>
      </c>
      <c r="O96" s="291">
        <v>133351538.12161396</v>
      </c>
      <c r="P96" s="291">
        <v>29844556.305655416</v>
      </c>
      <c r="Q96" s="291">
        <v>1315106914.7004514</v>
      </c>
      <c r="R96" s="291">
        <v>16512114</v>
      </c>
      <c r="S96" s="690">
        <v>33692924071.176903</v>
      </c>
      <c r="U96" s="733">
        <v>10603.781002809093</v>
      </c>
      <c r="V96" s="734">
        <v>12010.026172320027</v>
      </c>
      <c r="W96" s="734">
        <v>48354.970085177541</v>
      </c>
      <c r="X96" s="735">
        <v>65262.914987933145</v>
      </c>
      <c r="AB96" s="733">
        <v>16750315679.992399</v>
      </c>
      <c r="AC96" s="734">
        <v>10046062622.439051</v>
      </c>
      <c r="AD96" s="734">
        <v>5348639951.0616579</v>
      </c>
      <c r="AE96" s="735">
        <v>1547905817.6837983</v>
      </c>
      <c r="AG96" s="944">
        <v>0.49714639324883347</v>
      </c>
      <c r="AH96" s="944">
        <v>0.29816535368721825</v>
      </c>
      <c r="AI96" s="944">
        <v>0.15874668342120027</v>
      </c>
      <c r="AJ96" s="944">
        <v>4.594156964274812E-2</v>
      </c>
      <c r="AL96" s="945">
        <v>1.0000000000000002</v>
      </c>
      <c r="AN96" s="273"/>
      <c r="AO96" s="273"/>
      <c r="AP96" s="273"/>
      <c r="AQ96" s="273"/>
      <c r="AR96" s="273"/>
      <c r="AS96" s="273"/>
      <c r="AT96" s="273"/>
      <c r="AU96" s="273"/>
      <c r="AV96" s="273"/>
      <c r="AW96" s="273"/>
      <c r="AX96" s="273"/>
      <c r="AY96" s="273"/>
      <c r="AZ96" s="273"/>
      <c r="BA96" s="273"/>
      <c r="BB96" s="273"/>
      <c r="BC96" s="273"/>
      <c r="BD96" s="273"/>
      <c r="BE96" s="273"/>
      <c r="BF96" s="273"/>
      <c r="BG96" s="273"/>
      <c r="BH96" s="273"/>
      <c r="BI96" s="273"/>
      <c r="BJ96" s="273"/>
      <c r="BK96" s="273"/>
      <c r="BL96" s="273"/>
      <c r="BM96" s="273"/>
      <c r="BN96" s="273"/>
    </row>
    <row r="97" spans="1:66" s="665" customFormat="1" ht="15.75" thickBot="1">
      <c r="A97" s="127" t="s">
        <v>42</v>
      </c>
      <c r="B97" s="291">
        <v>2439515966.5817785</v>
      </c>
      <c r="C97" s="291">
        <v>417577024.74247319</v>
      </c>
      <c r="D97" s="291">
        <v>816296419.44117165</v>
      </c>
      <c r="E97" s="291">
        <v>5812210736.9332075</v>
      </c>
      <c r="F97" s="291">
        <v>81421164.236309111</v>
      </c>
      <c r="G97" s="291">
        <v>24108146.578516793</v>
      </c>
      <c r="H97" s="291">
        <v>2276653125.3111482</v>
      </c>
      <c r="I97" s="291">
        <v>356473396.46156716</v>
      </c>
      <c r="J97" s="291">
        <v>1434594724.5535517</v>
      </c>
      <c r="K97" s="291">
        <v>1370816671.4040318</v>
      </c>
      <c r="L97" s="291">
        <v>1715479578.4301231</v>
      </c>
      <c r="M97" s="291">
        <v>61849650.649940409</v>
      </c>
      <c r="N97" s="291">
        <v>719036627.44184792</v>
      </c>
      <c r="O97" s="291">
        <v>75009825.973371357</v>
      </c>
      <c r="P97" s="291">
        <v>24969055.031704873</v>
      </c>
      <c r="Q97" s="291">
        <v>1218231179.496984</v>
      </c>
      <c r="R97" s="291">
        <v>28514388</v>
      </c>
      <c r="S97" s="690">
        <v>18872757681.267719</v>
      </c>
      <c r="U97" s="733">
        <v>11114.692075692506</v>
      </c>
      <c r="V97" s="734">
        <v>12062.134644486368</v>
      </c>
      <c r="W97" s="734">
        <v>62137.706503761983</v>
      </c>
      <c r="X97" s="735">
        <v>82807.285610019317</v>
      </c>
      <c r="AB97" s="733">
        <v>6761934135.6256561</v>
      </c>
      <c r="AC97" s="734">
        <v>6734036467.1892052</v>
      </c>
      <c r="AD97" s="734">
        <v>4520890974.3877068</v>
      </c>
      <c r="AE97" s="735">
        <v>855896104.06515968</v>
      </c>
      <c r="AG97" s="944">
        <v>0.3582907304711096</v>
      </c>
      <c r="AH97" s="944">
        <v>0.35681253269484392</v>
      </c>
      <c r="AI97" s="944">
        <v>0.23954586026794308</v>
      </c>
      <c r="AJ97" s="944">
        <v>4.5350876566103801E-2</v>
      </c>
      <c r="AL97" s="945">
        <v>1.0000000000000004</v>
      </c>
      <c r="AN97" s="273"/>
      <c r="AO97" s="273"/>
      <c r="AP97" s="273"/>
      <c r="AQ97" s="273"/>
      <c r="AR97" s="273"/>
      <c r="AS97" s="273"/>
      <c r="AT97" s="273"/>
      <c r="AU97" s="273"/>
      <c r="AV97" s="273"/>
      <c r="AW97" s="273"/>
      <c r="AX97" s="273"/>
      <c r="AY97" s="273"/>
      <c r="AZ97" s="273"/>
      <c r="BA97" s="273"/>
      <c r="BB97" s="273"/>
      <c r="BC97" s="273"/>
      <c r="BD97" s="273"/>
      <c r="BE97" s="273"/>
      <c r="BF97" s="273"/>
      <c r="BG97" s="273"/>
      <c r="BH97" s="273"/>
      <c r="BI97" s="273"/>
      <c r="BJ97" s="273"/>
      <c r="BK97" s="273"/>
      <c r="BL97" s="273"/>
      <c r="BM97" s="273"/>
      <c r="BN97" s="273"/>
    </row>
    <row r="98" spans="1:66" ht="15.75" thickBot="1">
      <c r="A98" s="128" t="s">
        <v>43</v>
      </c>
      <c r="B98" s="291">
        <v>3817086789.7286887</v>
      </c>
      <c r="C98" s="291">
        <v>572866663.66839957</v>
      </c>
      <c r="D98" s="291">
        <v>461260737.9275955</v>
      </c>
      <c r="E98" s="291">
        <v>3772370820.1717491</v>
      </c>
      <c r="F98" s="291">
        <v>52847645.635076597</v>
      </c>
      <c r="G98" s="291">
        <v>15645684.563016096</v>
      </c>
      <c r="H98" s="291">
        <v>725884070.31619883</v>
      </c>
      <c r="I98" s="291">
        <v>97527403.467944399</v>
      </c>
      <c r="J98" s="291">
        <v>1120761861.5827303</v>
      </c>
      <c r="K98" s="291">
        <v>1070893811.9967513</v>
      </c>
      <c r="L98" s="291">
        <v>923286202.76157022</v>
      </c>
      <c r="M98" s="291">
        <v>64376692.19352524</v>
      </c>
      <c r="N98" s="291">
        <v>624826061.62830245</v>
      </c>
      <c r="O98" s="291">
        <v>65152911.808379538</v>
      </c>
      <c r="P98" s="291">
        <v>19723572.987159502</v>
      </c>
      <c r="Q98" s="291">
        <v>835718175.76190686</v>
      </c>
      <c r="R98" s="291">
        <v>111947117.99999999</v>
      </c>
      <c r="S98" s="690">
        <v>14352176224.198997</v>
      </c>
      <c r="U98" s="733">
        <v>10064.030354380491</v>
      </c>
      <c r="V98" s="734">
        <v>12174.940749485475</v>
      </c>
      <c r="W98" s="734">
        <v>60137.495923336333</v>
      </c>
      <c r="X98" s="735">
        <v>80835.369227411822</v>
      </c>
      <c r="AB98" s="733">
        <v>6180753793.9302979</v>
      </c>
      <c r="AC98" s="734">
        <v>4302124888.2974377</v>
      </c>
      <c r="AD98" s="734">
        <v>3114941876.3410521</v>
      </c>
      <c r="AE98" s="735">
        <v>754355665.63020718</v>
      </c>
      <c r="AG98" s="944">
        <v>0.43064924074085836</v>
      </c>
      <c r="AH98" s="944">
        <v>0.29975418508613955</v>
      </c>
      <c r="AI98" s="944">
        <v>0.21703620605556623</v>
      </c>
      <c r="AJ98" s="944">
        <v>5.2560368117435669E-2</v>
      </c>
      <c r="AL98" s="945">
        <v>0.99999999999999989</v>
      </c>
    </row>
    <row r="99" spans="1:66" s="1" customFormat="1" ht="15.75" thickBot="1"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T99" s="665"/>
      <c r="U99" s="732"/>
      <c r="V99" s="665"/>
      <c r="W99" s="665"/>
      <c r="X99" s="665"/>
      <c r="Y99" s="665"/>
      <c r="Z99" s="665"/>
      <c r="AA99" s="665"/>
      <c r="AB99" s="732"/>
      <c r="AC99" s="665"/>
      <c r="AD99" s="665"/>
      <c r="AE99" s="665"/>
      <c r="AF99" s="665"/>
      <c r="AG99" s="732"/>
      <c r="AH99" s="665"/>
      <c r="AI99" s="665"/>
      <c r="AJ99" s="665"/>
      <c r="AK99" s="665"/>
      <c r="AL99" s="945">
        <v>0</v>
      </c>
      <c r="AM99" s="665"/>
      <c r="AN99" s="273"/>
      <c r="AO99" s="273"/>
      <c r="AP99" s="273"/>
      <c r="AQ99" s="273"/>
      <c r="AR99" s="273"/>
      <c r="AS99" s="273"/>
      <c r="AT99" s="273"/>
      <c r="AU99" s="273"/>
      <c r="AV99" s="273"/>
      <c r="AW99" s="273"/>
      <c r="AX99" s="273"/>
      <c r="AY99" s="273"/>
      <c r="AZ99" s="273"/>
      <c r="BA99" s="273"/>
      <c r="BB99" s="273"/>
      <c r="BC99" s="273"/>
      <c r="BD99" s="273"/>
      <c r="BE99" s="273"/>
      <c r="BF99" s="273"/>
      <c r="BG99" s="273"/>
      <c r="BH99" s="273"/>
      <c r="BI99" s="273"/>
      <c r="BJ99" s="273"/>
      <c r="BK99" s="273"/>
      <c r="BL99" s="273"/>
      <c r="BM99" s="273"/>
      <c r="BN99" s="273"/>
    </row>
    <row r="100" spans="1:66" ht="15.75" customHeight="1" thickBot="1">
      <c r="A100" s="1051" t="s">
        <v>119</v>
      </c>
      <c r="B100" s="1054">
        <v>2012</v>
      </c>
      <c r="C100" s="1055"/>
      <c r="D100" s="1055"/>
      <c r="E100" s="1055"/>
      <c r="F100" s="1055"/>
      <c r="G100" s="1055"/>
      <c r="H100" s="1055"/>
      <c r="I100" s="1055"/>
      <c r="J100" s="1055"/>
      <c r="K100" s="1055"/>
      <c r="L100" s="1055"/>
      <c r="M100" s="1055"/>
      <c r="N100" s="1055"/>
      <c r="O100" s="1055"/>
      <c r="P100" s="1055"/>
      <c r="Q100" s="1055"/>
      <c r="R100" s="1078"/>
      <c r="S100" s="1057" t="s">
        <v>96</v>
      </c>
      <c r="U100" s="732"/>
      <c r="AB100" s="732"/>
      <c r="AG100" s="732"/>
      <c r="AL100" s="945">
        <v>0</v>
      </c>
    </row>
    <row r="101" spans="1:66" ht="15.75" thickBot="1">
      <c r="A101" s="1052"/>
      <c r="B101" s="1060" t="s">
        <v>97</v>
      </c>
      <c r="C101" s="1061"/>
      <c r="D101" s="1061"/>
      <c r="E101" s="1061"/>
      <c r="F101" s="1061"/>
      <c r="G101" s="1061"/>
      <c r="H101" s="1061" t="s">
        <v>98</v>
      </c>
      <c r="I101" s="1061"/>
      <c r="J101" s="1061" t="s">
        <v>99</v>
      </c>
      <c r="K101" s="1061"/>
      <c r="L101" s="1061"/>
      <c r="M101" s="1061"/>
      <c r="N101" s="1061"/>
      <c r="O101" s="1061"/>
      <c r="P101" s="1061"/>
      <c r="Q101" s="1061"/>
      <c r="R101" s="289" t="s">
        <v>100</v>
      </c>
      <c r="S101" s="1058"/>
      <c r="U101" s="1068">
        <v>2012</v>
      </c>
      <c r="V101" s="1069"/>
      <c r="W101" s="1069"/>
      <c r="X101" s="1070"/>
      <c r="AB101" s="1068">
        <v>2012</v>
      </c>
      <c r="AC101" s="1069"/>
      <c r="AD101" s="1069"/>
      <c r="AE101" s="1070"/>
      <c r="AG101" s="1068">
        <v>2012</v>
      </c>
      <c r="AH101" s="1069"/>
      <c r="AI101" s="1069"/>
      <c r="AJ101" s="1070"/>
      <c r="AL101" s="945">
        <v>2012</v>
      </c>
    </row>
    <row r="102" spans="1:66">
      <c r="A102" s="1052"/>
      <c r="B102" s="1062" t="s">
        <v>101</v>
      </c>
      <c r="C102" s="1064" t="s">
        <v>102</v>
      </c>
      <c r="D102" s="1064" t="s">
        <v>103</v>
      </c>
      <c r="E102" s="1064"/>
      <c r="F102" s="1064"/>
      <c r="G102" s="1064"/>
      <c r="H102" s="1062" t="s">
        <v>101</v>
      </c>
      <c r="I102" s="1064" t="s">
        <v>102</v>
      </c>
      <c r="J102" s="1064" t="s">
        <v>104</v>
      </c>
      <c r="K102" s="1064"/>
      <c r="L102" s="1064"/>
      <c r="M102" s="1064" t="s">
        <v>105</v>
      </c>
      <c r="N102" s="1064"/>
      <c r="O102" s="1064"/>
      <c r="P102" s="1062" t="s">
        <v>101</v>
      </c>
      <c r="Q102" s="1064" t="s">
        <v>102</v>
      </c>
      <c r="R102" s="1062" t="s">
        <v>101</v>
      </c>
      <c r="S102" s="1058"/>
      <c r="U102" s="1075" t="s">
        <v>101</v>
      </c>
      <c r="V102" s="1077" t="s">
        <v>103</v>
      </c>
      <c r="W102" s="1071" t="s">
        <v>104</v>
      </c>
      <c r="X102" s="1073" t="s">
        <v>105</v>
      </c>
      <c r="AB102" s="1075" t="s">
        <v>101</v>
      </c>
      <c r="AC102" s="1077" t="s">
        <v>103</v>
      </c>
      <c r="AD102" s="1071" t="s">
        <v>104</v>
      </c>
      <c r="AE102" s="1073" t="s">
        <v>105</v>
      </c>
      <c r="AG102" s="1075" t="s">
        <v>101</v>
      </c>
      <c r="AH102" s="1077" t="s">
        <v>103</v>
      </c>
      <c r="AI102" s="1071" t="s">
        <v>104</v>
      </c>
      <c r="AJ102" s="1073" t="s">
        <v>105</v>
      </c>
      <c r="AL102" s="945">
        <v>0</v>
      </c>
    </row>
    <row r="103" spans="1:66" ht="15.75" thickBot="1">
      <c r="A103" s="1053"/>
      <c r="B103" s="1063"/>
      <c r="C103" s="1065"/>
      <c r="D103" s="290" t="s">
        <v>106</v>
      </c>
      <c r="E103" s="290" t="s">
        <v>107</v>
      </c>
      <c r="F103" s="290" t="s">
        <v>108</v>
      </c>
      <c r="G103" s="290" t="s">
        <v>109</v>
      </c>
      <c r="H103" s="1063"/>
      <c r="I103" s="1065"/>
      <c r="J103" s="290" t="s">
        <v>110</v>
      </c>
      <c r="K103" s="290" t="s">
        <v>111</v>
      </c>
      <c r="L103" s="290" t="s">
        <v>112</v>
      </c>
      <c r="M103" s="290" t="s">
        <v>113</v>
      </c>
      <c r="N103" s="290" t="s">
        <v>114</v>
      </c>
      <c r="O103" s="290" t="s">
        <v>115</v>
      </c>
      <c r="P103" s="1063"/>
      <c r="Q103" s="1065"/>
      <c r="R103" s="1063"/>
      <c r="S103" s="1059"/>
      <c r="U103" s="1076"/>
      <c r="V103" s="1074"/>
      <c r="W103" s="1072"/>
      <c r="X103" s="1074"/>
      <c r="AB103" s="1076"/>
      <c r="AC103" s="1074"/>
      <c r="AD103" s="1072"/>
      <c r="AE103" s="1074"/>
      <c r="AG103" s="1076"/>
      <c r="AH103" s="1074"/>
      <c r="AI103" s="1072"/>
      <c r="AJ103" s="1074"/>
      <c r="AL103" s="945">
        <v>0</v>
      </c>
    </row>
    <row r="104" spans="1:66" ht="15.75" thickBot="1">
      <c r="A104" s="164" t="s">
        <v>11</v>
      </c>
      <c r="B104" s="291">
        <v>287504809323.48694</v>
      </c>
      <c r="C104" s="291">
        <v>42038676041.643883</v>
      </c>
      <c r="D104" s="291">
        <v>19823172017.827587</v>
      </c>
      <c r="E104" s="291">
        <v>243637269029.89041</v>
      </c>
      <c r="F104" s="291">
        <v>3413064949.3759184</v>
      </c>
      <c r="G104" s="291">
        <v>1010514465.2036124</v>
      </c>
      <c r="H104" s="291">
        <v>69726376033.334229</v>
      </c>
      <c r="I104" s="291">
        <v>8791054784.3389072</v>
      </c>
      <c r="J104" s="291">
        <v>39520200107.88929</v>
      </c>
      <c r="K104" s="291">
        <v>37762866412.376976</v>
      </c>
      <c r="L104" s="291">
        <v>26537131795.855057</v>
      </c>
      <c r="M104" s="291">
        <v>9967426591.3172741</v>
      </c>
      <c r="N104" s="291">
        <v>46073916054.781105</v>
      </c>
      <c r="O104" s="291">
        <v>5848707254.2894697</v>
      </c>
      <c r="P104" s="291">
        <v>769268759.3608259</v>
      </c>
      <c r="Q104" s="291">
        <v>31343715446.430393</v>
      </c>
      <c r="R104" s="291">
        <v>26869432140</v>
      </c>
      <c r="S104" s="690">
        <v>900637601207.40186</v>
      </c>
      <c r="U104" s="733">
        <v>9227.0274611082841</v>
      </c>
      <c r="V104" s="734">
        <v>13438.32441750732</v>
      </c>
      <c r="W104" s="734">
        <v>36131.229794503175</v>
      </c>
      <c r="X104" s="735">
        <v>74231.656676031489</v>
      </c>
      <c r="AB104" s="733">
        <v>467043332528.59521</v>
      </c>
      <c r="AC104" s="734">
        <v>267884020462.29752</v>
      </c>
      <c r="AD104" s="734">
        <v>103820198316.12132</v>
      </c>
      <c r="AE104" s="735">
        <v>61890049900.387848</v>
      </c>
      <c r="AG104" s="944">
        <v>0.51856965765416996</v>
      </c>
      <c r="AH104" s="944">
        <v>0.29743819279049655</v>
      </c>
      <c r="AI104" s="944">
        <v>0.11527411044901872</v>
      </c>
      <c r="AJ104" s="944">
        <v>6.8718039106314854E-2</v>
      </c>
      <c r="AL104" s="945">
        <v>1</v>
      </c>
    </row>
    <row r="105" spans="1:66" ht="15.75" thickBot="1">
      <c r="A105" s="127" t="s">
        <v>13</v>
      </c>
      <c r="B105" s="291">
        <v>744566489.8985306</v>
      </c>
      <c r="C105" s="291">
        <v>115142151.45872618</v>
      </c>
      <c r="D105" s="291">
        <v>92847338.009613082</v>
      </c>
      <c r="E105" s="291">
        <v>1048725569.322915</v>
      </c>
      <c r="F105" s="291">
        <v>14693597.945462802</v>
      </c>
      <c r="G105" s="291">
        <v>4350290.2492305096</v>
      </c>
      <c r="H105" s="291">
        <v>39944276.976714611</v>
      </c>
      <c r="I105" s="291">
        <v>5813068.9151379839</v>
      </c>
      <c r="J105" s="291">
        <v>298737951.15064538</v>
      </c>
      <c r="K105" s="291">
        <v>285430605.76730108</v>
      </c>
      <c r="L105" s="291">
        <v>84770870.488534108</v>
      </c>
      <c r="M105" s="291">
        <v>14956122.323838459</v>
      </c>
      <c r="N105" s="291">
        <v>89861033.155438676</v>
      </c>
      <c r="O105" s="291">
        <v>15754183.511854911</v>
      </c>
      <c r="P105" s="291">
        <v>5421392.7847667411</v>
      </c>
      <c r="Q105" s="291">
        <v>243363270.60423723</v>
      </c>
      <c r="R105" s="291">
        <v>0</v>
      </c>
      <c r="S105" s="690">
        <v>3104378212.5629473</v>
      </c>
      <c r="U105" s="733">
        <v>13806.000246852622</v>
      </c>
      <c r="V105" s="734">
        <v>12257.921649369173</v>
      </c>
      <c r="W105" s="734">
        <v>102803.04708874758</v>
      </c>
      <c r="X105" s="735">
        <v>121666.33601526948</v>
      </c>
      <c r="Z105" s="665">
        <v>1160616795.5272214</v>
      </c>
      <c r="AB105" s="733">
        <v>1154250650.6381135</v>
      </c>
      <c r="AC105" s="734">
        <v>1160616795.5272214</v>
      </c>
      <c r="AD105" s="734">
        <v>668939427.40648055</v>
      </c>
      <c r="AE105" s="735">
        <v>120571338.99113205</v>
      </c>
      <c r="AG105" s="944">
        <v>0.37181379703253825</v>
      </c>
      <c r="AH105" s="944">
        <v>0.37386449590142767</v>
      </c>
      <c r="AI105" s="944">
        <v>0.21548258027948536</v>
      </c>
      <c r="AJ105" s="944">
        <v>3.88391267865488E-2</v>
      </c>
      <c r="AL105" s="945">
        <v>1.0000000000000002</v>
      </c>
    </row>
    <row r="106" spans="1:66" ht="15.75" thickBot="1">
      <c r="A106" s="127" t="s">
        <v>14</v>
      </c>
      <c r="B106" s="291">
        <v>906636740.21970308</v>
      </c>
      <c r="C106" s="291">
        <v>170040527.51837403</v>
      </c>
      <c r="D106" s="291">
        <v>61843738.327872016</v>
      </c>
      <c r="E106" s="291">
        <v>736422596.89587259</v>
      </c>
      <c r="F106" s="291">
        <v>10319140.101012085</v>
      </c>
      <c r="G106" s="291">
        <v>3052520.5010847282</v>
      </c>
      <c r="H106" s="291">
        <v>22317864.759024214</v>
      </c>
      <c r="I106" s="291">
        <v>4011564.5220435853</v>
      </c>
      <c r="J106" s="291">
        <v>287427772.06142926</v>
      </c>
      <c r="K106" s="291">
        <v>274581838.11454982</v>
      </c>
      <c r="L106" s="291">
        <v>62299465.987865195</v>
      </c>
      <c r="M106" s="291">
        <v>36898623.804130502</v>
      </c>
      <c r="N106" s="291">
        <v>173345167.64927018</v>
      </c>
      <c r="O106" s="291">
        <v>30291588.693977289</v>
      </c>
      <c r="P106" s="291">
        <v>4729819.7782003963</v>
      </c>
      <c r="Q106" s="291">
        <v>257491010.87958756</v>
      </c>
      <c r="R106" s="291">
        <v>0</v>
      </c>
      <c r="S106" s="690">
        <v>3041709979.8139963</v>
      </c>
      <c r="U106" s="733">
        <v>17336.00243396189</v>
      </c>
      <c r="V106" s="734">
        <v>14621.210135393732</v>
      </c>
      <c r="W106" s="734">
        <v>167825.02047415171</v>
      </c>
      <c r="X106" s="735">
        <v>193823.83573519578</v>
      </c>
      <c r="Z106" s="665">
        <v>811637995.82584143</v>
      </c>
      <c r="AB106" s="733">
        <v>1365227527.6769328</v>
      </c>
      <c r="AC106" s="734">
        <v>811637995.82584143</v>
      </c>
      <c r="AD106" s="734">
        <v>624309076.16384435</v>
      </c>
      <c r="AE106" s="735">
        <v>240535380.14737797</v>
      </c>
      <c r="AG106" s="944">
        <v>0.44883553551690614</v>
      </c>
      <c r="AH106" s="944">
        <v>0.26683608930903857</v>
      </c>
      <c r="AI106" s="944">
        <v>0.20524937627420398</v>
      </c>
      <c r="AJ106" s="944">
        <v>7.9078998899851372E-2</v>
      </c>
      <c r="AL106" s="945">
        <v>1</v>
      </c>
    </row>
    <row r="107" spans="1:66" ht="15.75" thickBot="1">
      <c r="A107" s="127" t="s">
        <v>15</v>
      </c>
      <c r="B107" s="291">
        <v>4225309696.3634391</v>
      </c>
      <c r="C107" s="291">
        <v>859654404.99789715</v>
      </c>
      <c r="D107" s="291">
        <v>253852205.19351637</v>
      </c>
      <c r="E107" s="291">
        <v>2467568151.97296</v>
      </c>
      <c r="F107" s="291">
        <v>34568925.653495558</v>
      </c>
      <c r="G107" s="291">
        <v>10235515.848653166</v>
      </c>
      <c r="H107" s="291">
        <v>268283158.70461148</v>
      </c>
      <c r="I107" s="291">
        <v>50249534.796560712</v>
      </c>
      <c r="J107" s="291">
        <v>627626002.78408408</v>
      </c>
      <c r="K107" s="291">
        <v>599758116.4823246</v>
      </c>
      <c r="L107" s="291">
        <v>283700451.96742141</v>
      </c>
      <c r="M107" s="291">
        <v>123325955.08886772</v>
      </c>
      <c r="N107" s="291">
        <v>673685207.78747058</v>
      </c>
      <c r="O107" s="291">
        <v>118028699.79397693</v>
      </c>
      <c r="P107" s="291">
        <v>7342232.6612901222</v>
      </c>
      <c r="Q107" s="291">
        <v>429621420.50924444</v>
      </c>
      <c r="R107" s="291">
        <v>36607122</v>
      </c>
      <c r="S107" s="690">
        <v>11069416802.605812</v>
      </c>
      <c r="U107" s="733">
        <v>14814.518338416079</v>
      </c>
      <c r="V107" s="734">
        <v>13830.086736837864</v>
      </c>
      <c r="W107" s="734">
        <v>72169.479951945264</v>
      </c>
      <c r="X107" s="735">
        <v>82103.172962791854</v>
      </c>
      <c r="Z107" s="665">
        <v>2766224798.6686254</v>
      </c>
      <c r="AB107" s="733">
        <v>5877067570.0330429</v>
      </c>
      <c r="AC107" s="734">
        <v>2766224798.6686254</v>
      </c>
      <c r="AD107" s="734">
        <v>1511084571.23383</v>
      </c>
      <c r="AE107" s="735">
        <v>915039862.67031515</v>
      </c>
      <c r="AG107" s="944">
        <v>0.53092838356665217</v>
      </c>
      <c r="AH107" s="944">
        <v>0.24989797095881675</v>
      </c>
      <c r="AI107" s="944">
        <v>0.13650986300182599</v>
      </c>
      <c r="AJ107" s="944">
        <v>8.2663782472705241E-2</v>
      </c>
      <c r="AL107" s="945">
        <v>1.0000000000000002</v>
      </c>
    </row>
    <row r="108" spans="1:66" ht="15.75" thickBot="1">
      <c r="A108" s="127" t="s">
        <v>16</v>
      </c>
      <c r="B108" s="291">
        <v>5795744877.9005795</v>
      </c>
      <c r="C108" s="291">
        <v>886387199.39721501</v>
      </c>
      <c r="D108" s="291">
        <v>760698601.13981247</v>
      </c>
      <c r="E108" s="291">
        <v>7702658066.3364525</v>
      </c>
      <c r="F108" s="291">
        <v>107905519.56519675</v>
      </c>
      <c r="G108" s="291">
        <v>31947480.290419504</v>
      </c>
      <c r="H108" s="291">
        <v>213762519.61068812</v>
      </c>
      <c r="I108" s="291">
        <v>30866005.311660685</v>
      </c>
      <c r="J108" s="291">
        <v>2107330029.5811934</v>
      </c>
      <c r="K108" s="291">
        <v>2013578481.0437973</v>
      </c>
      <c r="L108" s="291">
        <v>756397539.35524845</v>
      </c>
      <c r="M108" s="291">
        <v>292867474.70017523</v>
      </c>
      <c r="N108" s="291">
        <v>1460005859.7123497</v>
      </c>
      <c r="O108" s="291">
        <v>255852239.81512234</v>
      </c>
      <c r="P108" s="291">
        <v>25569850.920445491</v>
      </c>
      <c r="Q108" s="291">
        <v>1139980407.8430371</v>
      </c>
      <c r="R108" s="291">
        <v>0</v>
      </c>
      <c r="S108" s="690">
        <v>23581552152.523388</v>
      </c>
      <c r="U108" s="733">
        <v>14849.284925735556</v>
      </c>
      <c r="V108" s="734">
        <v>13808.837677211848</v>
      </c>
      <c r="W108" s="734">
        <v>93477.960172880994</v>
      </c>
      <c r="X108" s="735">
        <v>106416.90899701459</v>
      </c>
      <c r="Z108" s="665">
        <v>8603209667.3318806</v>
      </c>
      <c r="AB108" s="733">
        <v>8092310860.9836254</v>
      </c>
      <c r="AC108" s="734">
        <v>8603209667.3318806</v>
      </c>
      <c r="AD108" s="734">
        <v>4877306049.9802389</v>
      </c>
      <c r="AE108" s="735">
        <v>2008725574.2276473</v>
      </c>
      <c r="AG108" s="944">
        <v>0.34316277438581128</v>
      </c>
      <c r="AH108" s="944">
        <v>0.36482796432088455</v>
      </c>
      <c r="AI108" s="944">
        <v>0.20682718501455102</v>
      </c>
      <c r="AJ108" s="944">
        <v>8.5182076278753349E-2</v>
      </c>
      <c r="AL108" s="945">
        <v>1.0000000000000002</v>
      </c>
    </row>
    <row r="109" spans="1:66" ht="15.75" thickBot="1">
      <c r="A109" s="127" t="s">
        <v>17</v>
      </c>
      <c r="B109" s="291">
        <v>2088475026.5888999</v>
      </c>
      <c r="C109" s="291">
        <v>357189360.39028001</v>
      </c>
      <c r="D109" s="291">
        <v>463588872.53866673</v>
      </c>
      <c r="E109" s="291">
        <v>3616007206.0504899</v>
      </c>
      <c r="F109" s="291">
        <v>50657884.691972569</v>
      </c>
      <c r="G109" s="291">
        <v>14998480.867539793</v>
      </c>
      <c r="H109" s="291">
        <v>134594660.0337227</v>
      </c>
      <c r="I109" s="291">
        <v>22138322.460261241</v>
      </c>
      <c r="J109" s="291">
        <v>876012909.03473735</v>
      </c>
      <c r="K109" s="291">
        <v>837096006.85511959</v>
      </c>
      <c r="L109" s="291">
        <v>522367382.55741078</v>
      </c>
      <c r="M109" s="291">
        <v>37589839.389280617</v>
      </c>
      <c r="N109" s="291">
        <v>383328475.62647837</v>
      </c>
      <c r="O109" s="291">
        <v>67194395.243339226</v>
      </c>
      <c r="P109" s="291">
        <v>10141137.938272212</v>
      </c>
      <c r="Q109" s="291">
        <v>506191087.07101852</v>
      </c>
      <c r="R109" s="291">
        <v>0</v>
      </c>
      <c r="S109" s="690">
        <v>9987571047.3374901</v>
      </c>
      <c r="U109" s="733">
        <v>11806.884834020915</v>
      </c>
      <c r="V109" s="734">
        <v>10825.826954402852</v>
      </c>
      <c r="W109" s="734">
        <v>73765.923063760682</v>
      </c>
      <c r="X109" s="735">
        <v>88522.435665414989</v>
      </c>
      <c r="Z109" s="665">
        <v>4145252444.1486697</v>
      </c>
      <c r="AB109" s="733">
        <v>3118729594.4824548</v>
      </c>
      <c r="AC109" s="734">
        <v>4145252444.1486692</v>
      </c>
      <c r="AD109" s="734">
        <v>2235476298.4472675</v>
      </c>
      <c r="AE109" s="735">
        <v>488112710.25909823</v>
      </c>
      <c r="AG109" s="944">
        <v>0.31226106725056568</v>
      </c>
      <c r="AH109" s="944">
        <v>0.41504109702966474</v>
      </c>
      <c r="AI109" s="944">
        <v>0.22382582189923003</v>
      </c>
      <c r="AJ109" s="944">
        <v>4.8872013820539524E-2</v>
      </c>
      <c r="AL109" s="945">
        <v>1</v>
      </c>
    </row>
    <row r="110" spans="1:66" ht="15.75" thickBot="1">
      <c r="A110" s="127" t="s">
        <v>18</v>
      </c>
      <c r="B110" s="291">
        <v>615832322.91252005</v>
      </c>
      <c r="C110" s="291">
        <v>133412409.77117759</v>
      </c>
      <c r="D110" s="291">
        <v>86200281.379044592</v>
      </c>
      <c r="E110" s="291">
        <v>776596400.43845975</v>
      </c>
      <c r="F110" s="291">
        <v>10879543.153379781</v>
      </c>
      <c r="G110" s="291">
        <v>3219437.6801048648</v>
      </c>
      <c r="H110" s="291">
        <v>12689324.190915259</v>
      </c>
      <c r="I110" s="291">
        <v>2631110.8127457006</v>
      </c>
      <c r="J110" s="291">
        <v>119654659.01629794</v>
      </c>
      <c r="K110" s="291">
        <v>114288264.45117977</v>
      </c>
      <c r="L110" s="291">
        <v>43926259.562365763</v>
      </c>
      <c r="M110" s="291">
        <v>19315123.255190689</v>
      </c>
      <c r="N110" s="291">
        <v>60718889.209593438</v>
      </c>
      <c r="O110" s="291">
        <v>10636415.710528016</v>
      </c>
      <c r="P110" s="291">
        <v>2147928.3936319007</v>
      </c>
      <c r="Q110" s="291">
        <v>134285069.91807058</v>
      </c>
      <c r="R110" s="291">
        <v>0</v>
      </c>
      <c r="S110" s="690">
        <v>2146433439.8552058</v>
      </c>
      <c r="U110" s="733">
        <v>12832.720884178563</v>
      </c>
      <c r="V110" s="734">
        <v>11750.223276129456</v>
      </c>
      <c r="W110" s="734">
        <v>68339.690858298927</v>
      </c>
      <c r="X110" s="735">
        <v>71846.615035905023</v>
      </c>
      <c r="Z110" s="665">
        <v>876895662.65098906</v>
      </c>
      <c r="AB110" s="733">
        <v>900998165.99906111</v>
      </c>
      <c r="AC110" s="734">
        <v>876895662.65098906</v>
      </c>
      <c r="AD110" s="734">
        <v>277869183.02984345</v>
      </c>
      <c r="AE110" s="735">
        <v>90670428.175312147</v>
      </c>
      <c r="AG110" s="944">
        <v>0.41976524837399137</v>
      </c>
      <c r="AH110" s="944">
        <v>0.40853615414701272</v>
      </c>
      <c r="AI110" s="944">
        <v>0.1294562309132623</v>
      </c>
      <c r="AJ110" s="944">
        <v>4.2242366565733616E-2</v>
      </c>
      <c r="AL110" s="945">
        <v>1</v>
      </c>
    </row>
    <row r="111" spans="1:66" ht="15.75" thickBot="1">
      <c r="A111" s="128" t="s">
        <v>19</v>
      </c>
      <c r="B111" s="291">
        <v>1816496563.8210447</v>
      </c>
      <c r="C111" s="291">
        <v>302917526.96960437</v>
      </c>
      <c r="D111" s="291">
        <v>449853959.455441</v>
      </c>
      <c r="E111" s="291">
        <v>2508145094.5309958</v>
      </c>
      <c r="F111" s="291">
        <v>35132781.965494186</v>
      </c>
      <c r="G111" s="291">
        <v>10403582.046324303</v>
      </c>
      <c r="H111" s="291">
        <v>192131018.86123374</v>
      </c>
      <c r="I111" s="291">
        <v>29826429.710422132</v>
      </c>
      <c r="J111" s="291">
        <v>801509273.98771071</v>
      </c>
      <c r="K111" s="291">
        <v>765835494.38452482</v>
      </c>
      <c r="L111" s="291">
        <v>432811974.33091462</v>
      </c>
      <c r="M111" s="291">
        <v>61775117.000805423</v>
      </c>
      <c r="N111" s="291">
        <v>388094359.34974682</v>
      </c>
      <c r="O111" s="291">
        <v>67982751.43680495</v>
      </c>
      <c r="P111" s="291">
        <v>9402322.5150768906</v>
      </c>
      <c r="Q111" s="291">
        <v>455570996.63563663</v>
      </c>
      <c r="R111" s="291">
        <v>0</v>
      </c>
      <c r="S111" s="690">
        <v>8327889247.0017824</v>
      </c>
      <c r="U111" s="733">
        <v>14289.943572927899</v>
      </c>
      <c r="V111" s="734">
        <v>12638.961366086893</v>
      </c>
      <c r="W111" s="734">
        <v>84533.905697271897</v>
      </c>
      <c r="X111" s="735">
        <v>96812.904802272795</v>
      </c>
      <c r="Z111" s="665">
        <v>3003535417.9982553</v>
      </c>
      <c r="AB111" s="733">
        <v>2806344858.5130186</v>
      </c>
      <c r="AC111" s="734">
        <v>3003535417.9982553</v>
      </c>
      <c r="AD111" s="734">
        <v>2000156742.7031503</v>
      </c>
      <c r="AE111" s="735">
        <v>517852227.78735721</v>
      </c>
      <c r="AG111" s="944">
        <v>0.33698152980641072</v>
      </c>
      <c r="AH111" s="944">
        <v>0.36065986577326203</v>
      </c>
      <c r="AI111" s="944">
        <v>0.24017571360272943</v>
      </c>
      <c r="AJ111" s="944">
        <v>6.2182890817597633E-2</v>
      </c>
      <c r="AL111" s="945">
        <v>0.99999999999999978</v>
      </c>
    </row>
    <row r="112" spans="1:66" s="665" customFormat="1" ht="15.75" thickBot="1">
      <c r="A112" s="127" t="s">
        <v>21</v>
      </c>
      <c r="B112" s="291">
        <v>2411798295.9455004</v>
      </c>
      <c r="C112" s="291">
        <v>374159342.72334456</v>
      </c>
      <c r="D112" s="291">
        <v>190417947.88688514</v>
      </c>
      <c r="E112" s="291">
        <v>2855736628.1402197</v>
      </c>
      <c r="F112" s="291">
        <v>40003686.150727928</v>
      </c>
      <c r="G112" s="291">
        <v>11844807.477613853</v>
      </c>
      <c r="H112" s="291">
        <v>278947266.58450431</v>
      </c>
      <c r="I112" s="291">
        <v>36282199.198819749</v>
      </c>
      <c r="J112" s="291">
        <v>204252802.22825333</v>
      </c>
      <c r="K112" s="291">
        <v>195159729.6156854</v>
      </c>
      <c r="L112" s="291">
        <v>69441840.8646366</v>
      </c>
      <c r="M112" s="291">
        <v>137131036.36805233</v>
      </c>
      <c r="N112" s="291">
        <v>378610360.35195273</v>
      </c>
      <c r="O112" s="291">
        <v>56314317.44465436</v>
      </c>
      <c r="P112" s="291">
        <v>5254725.5163104665</v>
      </c>
      <c r="Q112" s="291">
        <v>216085325.0677489</v>
      </c>
      <c r="R112" s="291">
        <v>498581442.00000012</v>
      </c>
      <c r="S112" s="690">
        <v>7960021753.5649099</v>
      </c>
      <c r="U112" s="733">
        <v>12381.313519375763</v>
      </c>
      <c r="V112" s="734">
        <v>15371.348537567213</v>
      </c>
      <c r="W112" s="734">
        <v>23726.247290550848</v>
      </c>
      <c r="X112" s="735">
        <v>53673.833192405647</v>
      </c>
      <c r="Z112" s="665">
        <v>3098003069.6554465</v>
      </c>
      <c r="AB112" s="733">
        <v>3821108597.0362287</v>
      </c>
      <c r="AC112" s="734">
        <v>3098003069.6554465</v>
      </c>
      <c r="AD112" s="734">
        <v>468854372.70857531</v>
      </c>
      <c r="AE112" s="735">
        <v>572055714.16465938</v>
      </c>
      <c r="AG112" s="944">
        <v>0.480037456596766</v>
      </c>
      <c r="AH112" s="944">
        <v>0.38919530191836477</v>
      </c>
      <c r="AI112" s="944">
        <v>5.8901142135522187E-2</v>
      </c>
      <c r="AJ112" s="944">
        <v>7.1866099349347026E-2</v>
      </c>
      <c r="AL112" s="945">
        <v>1</v>
      </c>
      <c r="AN112" s="273"/>
      <c r="AO112" s="273"/>
      <c r="AP112" s="273"/>
      <c r="AQ112" s="273"/>
      <c r="AR112" s="273"/>
      <c r="AS112" s="273"/>
      <c r="AT112" s="273"/>
      <c r="AU112" s="273"/>
      <c r="AV112" s="273"/>
      <c r="AW112" s="273"/>
      <c r="AX112" s="273"/>
      <c r="AY112" s="273"/>
      <c r="AZ112" s="273"/>
      <c r="BA112" s="273"/>
      <c r="BB112" s="273"/>
      <c r="BC112" s="273"/>
      <c r="BD112" s="273"/>
      <c r="BE112" s="273"/>
      <c r="BF112" s="273"/>
      <c r="BG112" s="273"/>
      <c r="BH112" s="273"/>
      <c r="BI112" s="273"/>
      <c r="BJ112" s="273"/>
      <c r="BK112" s="273"/>
      <c r="BL112" s="273"/>
      <c r="BM112" s="273"/>
      <c r="BN112" s="273"/>
    </row>
    <row r="113" spans="1:66" s="665" customFormat="1" ht="15.75" thickBot="1">
      <c r="A113" s="127" t="s">
        <v>22</v>
      </c>
      <c r="B113" s="291">
        <v>12289062858.490437</v>
      </c>
      <c r="C113" s="291">
        <v>2133282281.4208493</v>
      </c>
      <c r="D113" s="291">
        <v>816260959.34507143</v>
      </c>
      <c r="E113" s="291">
        <v>13651799115.551682</v>
      </c>
      <c r="F113" s="291">
        <v>191247242.70254809</v>
      </c>
      <c r="G113" s="291">
        <v>56621548.233465642</v>
      </c>
      <c r="H113" s="291">
        <v>1365707089.027709</v>
      </c>
      <c r="I113" s="291">
        <v>207624924.85735857</v>
      </c>
      <c r="J113" s="291">
        <v>1846873749.3652153</v>
      </c>
      <c r="K113" s="291">
        <v>1764758756.2546761</v>
      </c>
      <c r="L113" s="291">
        <v>957506932.87136817</v>
      </c>
      <c r="M113" s="291">
        <v>935268158.49506676</v>
      </c>
      <c r="N113" s="291">
        <v>3405421608.4099402</v>
      </c>
      <c r="O113" s="291">
        <v>506289142.83577442</v>
      </c>
      <c r="P113" s="291">
        <v>41338297.754892744</v>
      </c>
      <c r="Q113" s="291">
        <v>1964723621.324419</v>
      </c>
      <c r="R113" s="291">
        <v>984441629.99999988</v>
      </c>
      <c r="S113" s="690">
        <v>43118227916.940468</v>
      </c>
      <c r="U113" s="733">
        <v>11697.019341776717</v>
      </c>
      <c r="V113" s="734">
        <v>14302.417374695569</v>
      </c>
      <c r="W113" s="734">
        <v>39482.73440044294</v>
      </c>
      <c r="X113" s="735">
        <v>92471.361983760333</v>
      </c>
      <c r="Z113" s="665">
        <v>14715928865.832767</v>
      </c>
      <c r="AB113" s="733">
        <v>18986180702.875664</v>
      </c>
      <c r="AC113" s="734">
        <v>14715928865.832767</v>
      </c>
      <c r="AD113" s="734">
        <v>4569139438.4912596</v>
      </c>
      <c r="AE113" s="735">
        <v>4846978909.7407818</v>
      </c>
      <c r="AG113" s="944">
        <v>0.44032840912314708</v>
      </c>
      <c r="AH113" s="944">
        <v>0.34129252468771132</v>
      </c>
      <c r="AI113" s="944">
        <v>0.10596769995494451</v>
      </c>
      <c r="AJ113" s="944">
        <v>0.11241136623419723</v>
      </c>
      <c r="AL113" s="945">
        <v>1</v>
      </c>
      <c r="AN113" s="273"/>
      <c r="AO113" s="273"/>
      <c r="AP113" s="273"/>
      <c r="AQ113" s="273"/>
      <c r="AR113" s="273"/>
      <c r="AS113" s="273"/>
      <c r="AT113" s="273"/>
      <c r="AU113" s="273"/>
      <c r="AV113" s="273"/>
      <c r="AW113" s="273"/>
      <c r="AX113" s="273"/>
      <c r="AY113" s="273"/>
      <c r="AZ113" s="273"/>
      <c r="BA113" s="273"/>
      <c r="BB113" s="273"/>
      <c r="BC113" s="273"/>
      <c r="BD113" s="273"/>
      <c r="BE113" s="273"/>
      <c r="BF113" s="273"/>
      <c r="BG113" s="273"/>
      <c r="BH113" s="273"/>
      <c r="BI113" s="273"/>
      <c r="BJ113" s="273"/>
      <c r="BK113" s="273"/>
      <c r="BL113" s="273"/>
      <c r="BM113" s="273"/>
      <c r="BN113" s="273"/>
    </row>
    <row r="114" spans="1:66" s="665" customFormat="1" ht="15.75" thickBot="1">
      <c r="A114" s="127" t="s">
        <v>23</v>
      </c>
      <c r="B114" s="291">
        <v>6386874912.0786819</v>
      </c>
      <c r="C114" s="291">
        <v>917852278.9298197</v>
      </c>
      <c r="D114" s="291">
        <v>615402749.53433514</v>
      </c>
      <c r="E114" s="291">
        <v>12268610976.743481</v>
      </c>
      <c r="F114" s="291">
        <v>171868082.85784137</v>
      </c>
      <c r="G114" s="291">
        <v>50885425.501883179</v>
      </c>
      <c r="H114" s="291">
        <v>660970001.35444617</v>
      </c>
      <c r="I114" s="291">
        <v>83662486.851775065</v>
      </c>
      <c r="J114" s="291">
        <v>774033951.43308353</v>
      </c>
      <c r="K114" s="291">
        <v>739609753.34310603</v>
      </c>
      <c r="L114" s="291">
        <v>272363035.14632857</v>
      </c>
      <c r="M114" s="291">
        <v>274229148.1801694</v>
      </c>
      <c r="N114" s="291">
        <v>1015701704.1996701</v>
      </c>
      <c r="O114" s="291">
        <v>150983483.13570204</v>
      </c>
      <c r="P114" s="291">
        <v>28268212.169073042</v>
      </c>
      <c r="Q114" s="291">
        <v>1104863594.8833854</v>
      </c>
      <c r="R114" s="291">
        <v>792599826</v>
      </c>
      <c r="S114" s="690">
        <v>26308779622.342773</v>
      </c>
      <c r="U114" s="733">
        <v>9958.8186026704188</v>
      </c>
      <c r="V114" s="734">
        <v>12518.031686394712</v>
      </c>
      <c r="W114" s="734">
        <v>28136.724745140182</v>
      </c>
      <c r="X114" s="735">
        <v>67794.972029525816</v>
      </c>
      <c r="Z114" s="665">
        <v>13106767234.637541</v>
      </c>
      <c r="AB114" s="733">
        <v>9975091312.2671814</v>
      </c>
      <c r="AC114" s="734">
        <v>13106767234.637541</v>
      </c>
      <c r="AD114" s="734">
        <v>1786006739.9225183</v>
      </c>
      <c r="AE114" s="735">
        <v>1440914335.5155416</v>
      </c>
      <c r="AG114" s="944">
        <v>0.37915446689119015</v>
      </c>
      <c r="AH114" s="944">
        <v>0.49818985991682402</v>
      </c>
      <c r="AI114" s="944">
        <v>6.7886339296625881E-2</v>
      </c>
      <c r="AJ114" s="944">
        <v>5.4769333895360268E-2</v>
      </c>
      <c r="AL114" s="945">
        <v>1.0000000000000002</v>
      </c>
      <c r="AN114" s="273"/>
      <c r="AO114" s="273"/>
      <c r="AP114" s="273"/>
      <c r="AQ114" s="273"/>
      <c r="AR114" s="273"/>
      <c r="AS114" s="273"/>
      <c r="AT114" s="273"/>
      <c r="AU114" s="273"/>
      <c r="AV114" s="273"/>
      <c r="AW114" s="273"/>
      <c r="AX114" s="273"/>
      <c r="AY114" s="273"/>
      <c r="AZ114" s="273"/>
      <c r="BA114" s="273"/>
      <c r="BB114" s="273"/>
      <c r="BC114" s="273"/>
      <c r="BD114" s="273"/>
      <c r="BE114" s="273"/>
      <c r="BF114" s="273"/>
      <c r="BG114" s="273"/>
      <c r="BH114" s="273"/>
      <c r="BI114" s="273"/>
      <c r="BJ114" s="273"/>
      <c r="BK114" s="273"/>
      <c r="BL114" s="273"/>
      <c r="BM114" s="273"/>
      <c r="BN114" s="273"/>
    </row>
    <row r="115" spans="1:66" s="665" customFormat="1" ht="15.75" thickBot="1">
      <c r="A115" s="127" t="s">
        <v>24</v>
      </c>
      <c r="B115" s="291">
        <v>3783901314.2716732</v>
      </c>
      <c r="C115" s="291">
        <v>752198074.3570981</v>
      </c>
      <c r="D115" s="291">
        <v>683480309.99511838</v>
      </c>
      <c r="E115" s="291">
        <v>8923843919.836134</v>
      </c>
      <c r="F115" s="291">
        <v>125011570.74027912</v>
      </c>
      <c r="G115" s="291">
        <v>37016203.090943396</v>
      </c>
      <c r="H115" s="291">
        <v>159434788.45006025</v>
      </c>
      <c r="I115" s="291">
        <v>30057289.883048266</v>
      </c>
      <c r="J115" s="291">
        <v>546901471.68700898</v>
      </c>
      <c r="K115" s="291">
        <v>522572964.96082431</v>
      </c>
      <c r="L115" s="291">
        <v>141880954.26704544</v>
      </c>
      <c r="M115" s="291">
        <v>165907028.89120623</v>
      </c>
      <c r="N115" s="291">
        <v>661689433.65275586</v>
      </c>
      <c r="O115" s="291">
        <v>98407592.801137716</v>
      </c>
      <c r="P115" s="291">
        <v>10596394.544385597</v>
      </c>
      <c r="Q115" s="291">
        <v>607339755.22853494</v>
      </c>
      <c r="R115" s="291">
        <v>0</v>
      </c>
      <c r="S115" s="690">
        <v>17250239066.657257</v>
      </c>
      <c r="U115" s="733">
        <v>13224.556729639335</v>
      </c>
      <c r="V115" s="734">
        <v>15846.423861824414</v>
      </c>
      <c r="W115" s="734">
        <v>36675.509125764598</v>
      </c>
      <c r="X115" s="735">
        <v>91088.339105360981</v>
      </c>
      <c r="Z115" s="665">
        <v>9769352003.6624756</v>
      </c>
      <c r="AB115" s="733">
        <v>5343527616.7347994</v>
      </c>
      <c r="AC115" s="734">
        <v>9769352003.6624756</v>
      </c>
      <c r="AD115" s="734">
        <v>1211355390.9148788</v>
      </c>
      <c r="AE115" s="735">
        <v>926004055.34509981</v>
      </c>
      <c r="AG115" s="944">
        <v>0.30976542389277539</v>
      </c>
      <c r="AH115" s="944">
        <v>0.566331397838162</v>
      </c>
      <c r="AI115" s="944">
        <v>7.022252771303851E-2</v>
      </c>
      <c r="AJ115" s="944">
        <v>5.3680650556023883E-2</v>
      </c>
      <c r="AL115" s="945">
        <v>0.99999999999999978</v>
      </c>
      <c r="AN115" s="273"/>
      <c r="AO115" s="273"/>
      <c r="AP115" s="273"/>
      <c r="AQ115" s="273"/>
      <c r="AR115" s="273"/>
      <c r="AS115" s="273"/>
      <c r="AT115" s="273"/>
      <c r="AU115" s="273"/>
      <c r="AV115" s="273"/>
      <c r="AW115" s="273"/>
      <c r="AX115" s="273"/>
      <c r="AY115" s="273"/>
      <c r="AZ115" s="273"/>
      <c r="BA115" s="273"/>
      <c r="BB115" s="273"/>
      <c r="BC115" s="273"/>
      <c r="BD115" s="273"/>
      <c r="BE115" s="273"/>
      <c r="BF115" s="273"/>
      <c r="BG115" s="273"/>
      <c r="BH115" s="273"/>
      <c r="BI115" s="273"/>
      <c r="BJ115" s="273"/>
      <c r="BK115" s="273"/>
      <c r="BL115" s="273"/>
      <c r="BM115" s="273"/>
      <c r="BN115" s="273"/>
    </row>
    <row r="116" spans="1:66" s="665" customFormat="1" ht="15.75" thickBot="1">
      <c r="A116" s="127" t="s">
        <v>25</v>
      </c>
      <c r="B116" s="291">
        <v>3726984892.1516819</v>
      </c>
      <c r="C116" s="291">
        <v>525850566.18343037</v>
      </c>
      <c r="D116" s="291">
        <v>330702780.76094437</v>
      </c>
      <c r="E116" s="291">
        <v>5303311040.3303814</v>
      </c>
      <c r="F116" s="291">
        <v>74294544.445269287</v>
      </c>
      <c r="G116" s="291">
        <v>21995080.495426163</v>
      </c>
      <c r="H116" s="291">
        <v>317614786.41217172</v>
      </c>
      <c r="I116" s="291">
        <v>38894196.156220973</v>
      </c>
      <c r="J116" s="291">
        <v>338232013.57447791</v>
      </c>
      <c r="K116" s="291">
        <v>323214503.30534428</v>
      </c>
      <c r="L116" s="291">
        <v>96241258.973171204</v>
      </c>
      <c r="M116" s="291">
        <v>120196904.61639173</v>
      </c>
      <c r="N116" s="291">
        <v>448714063.26827621</v>
      </c>
      <c r="O116" s="291">
        <v>66717446.429886796</v>
      </c>
      <c r="P116" s="291">
        <v>10149844.837813536</v>
      </c>
      <c r="Q116" s="291">
        <v>390362653.00022089</v>
      </c>
      <c r="R116" s="291">
        <v>440036736</v>
      </c>
      <c r="S116" s="690">
        <v>12573513310.941109</v>
      </c>
      <c r="U116" s="733">
        <v>11984.531241185237</v>
      </c>
      <c r="V116" s="734">
        <v>15039.929675732197</v>
      </c>
      <c r="W116" s="734">
        <v>28876.396808300375</v>
      </c>
      <c r="X116" s="735">
        <v>70453.160531429268</v>
      </c>
      <c r="Z116" s="665">
        <v>5730303446.0320215</v>
      </c>
      <c r="AB116" s="733">
        <v>5449893674.74154</v>
      </c>
      <c r="AC116" s="734">
        <v>5730303446.0320215</v>
      </c>
      <c r="AD116" s="734">
        <v>757687775.85299349</v>
      </c>
      <c r="AE116" s="735">
        <v>635628414.31455481</v>
      </c>
      <c r="AG116" s="944">
        <v>0.43344239115722727</v>
      </c>
      <c r="AH116" s="944">
        <v>0.45574401556052568</v>
      </c>
      <c r="AI116" s="944">
        <v>6.0260625420714788E-2</v>
      </c>
      <c r="AJ116" s="944">
        <v>5.0552967861532329E-2</v>
      </c>
      <c r="AL116" s="945">
        <v>1</v>
      </c>
      <c r="AN116" s="273"/>
      <c r="AO116" s="273"/>
      <c r="AP116" s="273"/>
      <c r="AQ116" s="273"/>
      <c r="AR116" s="273"/>
      <c r="AS116" s="273"/>
      <c r="AT116" s="273"/>
      <c r="AU116" s="273"/>
      <c r="AV116" s="273"/>
      <c r="AW116" s="273"/>
      <c r="AX116" s="273"/>
      <c r="AY116" s="273"/>
      <c r="AZ116" s="273"/>
      <c r="BA116" s="273"/>
      <c r="BB116" s="273"/>
      <c r="BC116" s="273"/>
      <c r="BD116" s="273"/>
      <c r="BE116" s="273"/>
      <c r="BF116" s="273"/>
      <c r="BG116" s="273"/>
      <c r="BH116" s="273"/>
      <c r="BI116" s="273"/>
      <c r="BJ116" s="273"/>
      <c r="BK116" s="273"/>
      <c r="BL116" s="273"/>
      <c r="BM116" s="273"/>
      <c r="BN116" s="273"/>
    </row>
    <row r="117" spans="1:66" s="665" customFormat="1" ht="15.75" thickBot="1">
      <c r="A117" s="127" t="s">
        <v>26</v>
      </c>
      <c r="B117" s="291">
        <v>8501645886.6961193</v>
      </c>
      <c r="C117" s="291">
        <v>1255573881.1866524</v>
      </c>
      <c r="D117" s="291">
        <v>474058989.25501418</v>
      </c>
      <c r="E117" s="291">
        <v>10625435362.110418</v>
      </c>
      <c r="F117" s="291">
        <v>148849840.71726108</v>
      </c>
      <c r="G117" s="291">
        <v>44068929.220228463</v>
      </c>
      <c r="H117" s="291">
        <v>1153761911.096051</v>
      </c>
      <c r="I117" s="291">
        <v>148123089.41859984</v>
      </c>
      <c r="J117" s="291">
        <v>1140110172.5596972</v>
      </c>
      <c r="K117" s="291">
        <v>1089423981.2853916</v>
      </c>
      <c r="L117" s="291">
        <v>437750855.97733855</v>
      </c>
      <c r="M117" s="291">
        <v>477978144.14475173</v>
      </c>
      <c r="N117" s="291">
        <v>1405203602.110487</v>
      </c>
      <c r="O117" s="291">
        <v>208899931.37959903</v>
      </c>
      <c r="P117" s="291">
        <v>22527771.043628003</v>
      </c>
      <c r="Q117" s="291">
        <v>909165529.0378418</v>
      </c>
      <c r="R117" s="291">
        <v>834052542.00000024</v>
      </c>
      <c r="S117" s="690">
        <v>28876630419.239086</v>
      </c>
      <c r="U117" s="733">
        <v>10560.07381884622</v>
      </c>
      <c r="V117" s="734">
        <v>13592.265163816097</v>
      </c>
      <c r="W117" s="734">
        <v>30269.811839059748</v>
      </c>
      <c r="X117" s="735">
        <v>68995.504176335264</v>
      </c>
      <c r="Z117" s="665">
        <v>11292413121.302921</v>
      </c>
      <c r="AB117" s="733">
        <v>12824850610.478893</v>
      </c>
      <c r="AC117" s="734">
        <v>11292413121.302921</v>
      </c>
      <c r="AD117" s="734">
        <v>2667285009.8224277</v>
      </c>
      <c r="AE117" s="735">
        <v>2092081677.6348379</v>
      </c>
      <c r="AG117" s="944">
        <v>0.44412559305861127</v>
      </c>
      <c r="AH117" s="944">
        <v>0.39105716135700302</v>
      </c>
      <c r="AI117" s="944">
        <v>9.2368291282536416E-2</v>
      </c>
      <c r="AJ117" s="944">
        <v>7.2448954301849083E-2</v>
      </c>
      <c r="AL117" s="945">
        <v>0.99999999999999978</v>
      </c>
      <c r="AN117" s="273"/>
      <c r="AO117" s="273"/>
      <c r="AP117" s="273"/>
      <c r="AQ117" s="273"/>
      <c r="AR117" s="273"/>
      <c r="AS117" s="273"/>
      <c r="AT117" s="273"/>
      <c r="AU117" s="273"/>
      <c r="AV117" s="273"/>
      <c r="AW117" s="273"/>
      <c r="AX117" s="273"/>
      <c r="AY117" s="273"/>
      <c r="AZ117" s="273"/>
      <c r="BA117" s="273"/>
      <c r="BB117" s="273"/>
      <c r="BC117" s="273"/>
      <c r="BD117" s="273"/>
      <c r="BE117" s="273"/>
      <c r="BF117" s="273"/>
      <c r="BG117" s="273"/>
      <c r="BH117" s="273"/>
      <c r="BI117" s="273"/>
      <c r="BJ117" s="273"/>
      <c r="BK117" s="273"/>
      <c r="BL117" s="273"/>
      <c r="BM117" s="273"/>
      <c r="BN117" s="273"/>
    </row>
    <row r="118" spans="1:66" s="665" customFormat="1" ht="15.75" thickBot="1">
      <c r="A118" s="127" t="s">
        <v>27</v>
      </c>
      <c r="B118" s="291">
        <v>2372338032.9489384</v>
      </c>
      <c r="C118" s="291">
        <v>341181808.04380155</v>
      </c>
      <c r="D118" s="291">
        <v>423120150.36087638</v>
      </c>
      <c r="E118" s="291">
        <v>5535977329.0194511</v>
      </c>
      <c r="F118" s="291">
        <v>77552910.337217912</v>
      </c>
      <c r="G118" s="291">
        <v>22961038.872612324</v>
      </c>
      <c r="H118" s="291">
        <v>112173557.07586981</v>
      </c>
      <c r="I118" s="291">
        <v>15157816.817932278</v>
      </c>
      <c r="J118" s="291">
        <v>372804307.73192573</v>
      </c>
      <c r="K118" s="291">
        <v>356219564.8190887</v>
      </c>
      <c r="L118" s="291">
        <v>96519284.026051581</v>
      </c>
      <c r="M118" s="291">
        <v>100731155.86512791</v>
      </c>
      <c r="N118" s="291">
        <v>476837232.31930441</v>
      </c>
      <c r="O118" s="291">
        <v>70905016.789164811</v>
      </c>
      <c r="P118" s="291">
        <v>13909373.507615559</v>
      </c>
      <c r="Q118" s="291">
        <v>581624165.33162212</v>
      </c>
      <c r="R118" s="291">
        <v>0</v>
      </c>
      <c r="S118" s="690">
        <v>10970012743.8666</v>
      </c>
      <c r="U118" s="733">
        <v>11624.881611759503</v>
      </c>
      <c r="V118" s="734">
        <v>14204.800003258775</v>
      </c>
      <c r="W118" s="734">
        <v>37787.483708384032</v>
      </c>
      <c r="X118" s="735">
        <v>97047.800804189916</v>
      </c>
      <c r="Z118" s="665">
        <v>6059611428.5901575</v>
      </c>
      <c r="AB118" s="733">
        <v>3436384753.7257795</v>
      </c>
      <c r="AC118" s="734">
        <v>6059611428.5901575</v>
      </c>
      <c r="AD118" s="734">
        <v>825543156.57706594</v>
      </c>
      <c r="AE118" s="735">
        <v>648473404.97359705</v>
      </c>
      <c r="AG118" s="944">
        <v>0.31325257626952924</v>
      </c>
      <c r="AH118" s="944">
        <v>0.55237961614749465</v>
      </c>
      <c r="AI118" s="944">
        <v>7.5254530313889748E-2</v>
      </c>
      <c r="AJ118" s="944">
        <v>5.9113277269086349E-2</v>
      </c>
      <c r="AL118" s="945">
        <v>0.99999999999999989</v>
      </c>
      <c r="AN118" s="273"/>
      <c r="AO118" s="273"/>
      <c r="AP118" s="273"/>
      <c r="AQ118" s="273"/>
      <c r="AR118" s="273"/>
      <c r="AS118" s="273"/>
      <c r="AT118" s="273"/>
      <c r="AU118" s="273"/>
      <c r="AV118" s="273"/>
      <c r="AW118" s="273"/>
      <c r="AX118" s="273"/>
      <c r="AY118" s="273"/>
      <c r="AZ118" s="273"/>
      <c r="BA118" s="273"/>
      <c r="BB118" s="273"/>
      <c r="BC118" s="273"/>
      <c r="BD118" s="273"/>
      <c r="BE118" s="273"/>
      <c r="BF118" s="273"/>
      <c r="BG118" s="273"/>
      <c r="BH118" s="273"/>
      <c r="BI118" s="273"/>
      <c r="BJ118" s="273"/>
      <c r="BK118" s="273"/>
      <c r="BL118" s="273"/>
      <c r="BM118" s="273"/>
      <c r="BN118" s="273"/>
    </row>
    <row r="119" spans="1:66" s="665" customFormat="1" ht="15.75" thickBot="1">
      <c r="A119" s="127" t="s">
        <v>28</v>
      </c>
      <c r="B119" s="291">
        <v>3576800123.2397532</v>
      </c>
      <c r="C119" s="291">
        <v>576572097.57672679</v>
      </c>
      <c r="D119" s="291">
        <v>295056231.31986892</v>
      </c>
      <c r="E119" s="291">
        <v>4808308460.2365532</v>
      </c>
      <c r="F119" s="291">
        <v>67358180.717608958</v>
      </c>
      <c r="G119" s="291">
        <v>19943252.509463917</v>
      </c>
      <c r="H119" s="291">
        <v>324926749.94442403</v>
      </c>
      <c r="I119" s="291">
        <v>42094049.109394796</v>
      </c>
      <c r="J119" s="291">
        <v>397483732.55160606</v>
      </c>
      <c r="K119" s="291">
        <v>379839006.09100783</v>
      </c>
      <c r="L119" s="291">
        <v>115203424.91863759</v>
      </c>
      <c r="M119" s="291">
        <v>148312649.56137961</v>
      </c>
      <c r="N119" s="291">
        <v>497370693.02874959</v>
      </c>
      <c r="O119" s="291">
        <v>73982250.763651162</v>
      </c>
      <c r="P119" s="291">
        <v>11497290.315050416</v>
      </c>
      <c r="Q119" s="291">
        <v>470023339.28960395</v>
      </c>
      <c r="R119" s="291">
        <v>741496769.99999988</v>
      </c>
      <c r="S119" s="690">
        <v>12546268301.173479</v>
      </c>
      <c r="U119" s="733">
        <v>11877.691924811608</v>
      </c>
      <c r="V119" s="734">
        <v>14616.94200095039</v>
      </c>
      <c r="W119" s="734">
        <v>32287.601329857524</v>
      </c>
      <c r="X119" s="735">
        <v>76928.443971542525</v>
      </c>
      <c r="Z119" s="665">
        <v>5190666124.7834959</v>
      </c>
      <c r="AB119" s="733">
        <v>5743410419.4749537</v>
      </c>
      <c r="AC119" s="734">
        <v>5190666124.7834959</v>
      </c>
      <c r="AD119" s="734">
        <v>892526163.56125152</v>
      </c>
      <c r="AE119" s="735">
        <v>719665593.35378027</v>
      </c>
      <c r="AG119" s="944">
        <v>0.45777838330922355</v>
      </c>
      <c r="AH119" s="944">
        <v>0.41372191317620727</v>
      </c>
      <c r="AI119" s="944">
        <v>7.1138775461845632E-2</v>
      </c>
      <c r="AJ119" s="944">
        <v>5.7360928052723727E-2</v>
      </c>
      <c r="AL119" s="945">
        <v>1.0000000000000002</v>
      </c>
      <c r="AN119" s="273"/>
      <c r="AO119" s="273"/>
      <c r="AP119" s="273"/>
      <c r="AQ119" s="273"/>
      <c r="AR119" s="273"/>
      <c r="AS119" s="273"/>
      <c r="AT119" s="273"/>
      <c r="AU119" s="273"/>
      <c r="AV119" s="273"/>
      <c r="AW119" s="273"/>
      <c r="AX119" s="273"/>
      <c r="AY119" s="273"/>
      <c r="AZ119" s="273"/>
      <c r="BA119" s="273"/>
      <c r="BB119" s="273"/>
      <c r="BC119" s="273"/>
      <c r="BD119" s="273"/>
      <c r="BE119" s="273"/>
      <c r="BF119" s="273"/>
      <c r="BG119" s="273"/>
      <c r="BH119" s="273"/>
      <c r="BI119" s="273"/>
      <c r="BJ119" s="273"/>
      <c r="BK119" s="273"/>
      <c r="BL119" s="273"/>
      <c r="BM119" s="273"/>
      <c r="BN119" s="273"/>
    </row>
    <row r="120" spans="1:66" s="665" customFormat="1" ht="15.75" thickBot="1">
      <c r="A120" s="128" t="s">
        <v>29</v>
      </c>
      <c r="B120" s="291">
        <v>2292928858.7872624</v>
      </c>
      <c r="C120" s="291">
        <v>301148484.22492766</v>
      </c>
      <c r="D120" s="291">
        <v>206659993.62347782</v>
      </c>
      <c r="E120" s="291">
        <v>2693229517.9050713</v>
      </c>
      <c r="F120" s="291">
        <v>37730570.638225429</v>
      </c>
      <c r="G120" s="291">
        <v>11171064.920523707</v>
      </c>
      <c r="H120" s="291">
        <v>151840424.44157085</v>
      </c>
      <c r="I120" s="291">
        <v>16660851.771877317</v>
      </c>
      <c r="J120" s="291">
        <v>245500701.25891468</v>
      </c>
      <c r="K120" s="291">
        <v>234580428.71987197</v>
      </c>
      <c r="L120" s="291">
        <v>69918406.762061194</v>
      </c>
      <c r="M120" s="291">
        <v>92659962.893550768</v>
      </c>
      <c r="N120" s="291">
        <v>410443235.17946774</v>
      </c>
      <c r="O120" s="291">
        <v>61001468.807271883</v>
      </c>
      <c r="P120" s="291">
        <v>4645426.7383925952</v>
      </c>
      <c r="Q120" s="291">
        <v>160024133.10760596</v>
      </c>
      <c r="R120" s="291">
        <v>431450238.00000006</v>
      </c>
      <c r="S120" s="690">
        <v>7421593767.7800741</v>
      </c>
      <c r="U120" s="733">
        <v>11796.620563828772</v>
      </c>
      <c r="V120" s="734">
        <v>14412.750723803489</v>
      </c>
      <c r="W120" s="734">
        <v>27734.331941951885</v>
      </c>
      <c r="X120" s="735">
        <v>70031.616000036054</v>
      </c>
      <c r="Z120" s="665">
        <v>2948791147.0872984</v>
      </c>
      <c r="AB120" s="733">
        <v>3358698417.0716367</v>
      </c>
      <c r="AC120" s="734">
        <v>2948791147.0872984</v>
      </c>
      <c r="AD120" s="734">
        <v>549999536.74084783</v>
      </c>
      <c r="AE120" s="735">
        <v>564104666.88029039</v>
      </c>
      <c r="AG120" s="944">
        <v>0.45255756676591596</v>
      </c>
      <c r="AH120" s="944">
        <v>0.39732586279366411</v>
      </c>
      <c r="AI120" s="944">
        <v>7.4108008865777911E-2</v>
      </c>
      <c r="AJ120" s="944">
        <v>7.6008561574641906E-2</v>
      </c>
      <c r="AL120" s="945">
        <v>0.99999999999999989</v>
      </c>
      <c r="AN120" s="273"/>
      <c r="AO120" s="273"/>
      <c r="AP120" s="273"/>
      <c r="AQ120" s="273"/>
      <c r="AR120" s="273"/>
      <c r="AS120" s="273"/>
      <c r="AT120" s="273"/>
      <c r="AU120" s="273"/>
      <c r="AV120" s="273"/>
      <c r="AW120" s="273"/>
      <c r="AX120" s="273"/>
      <c r="AY120" s="273"/>
      <c r="AZ120" s="273"/>
      <c r="BA120" s="273"/>
      <c r="BB120" s="273"/>
      <c r="BC120" s="273"/>
      <c r="BD120" s="273"/>
      <c r="BE120" s="273"/>
      <c r="BF120" s="273"/>
      <c r="BG120" s="273"/>
      <c r="BH120" s="273"/>
      <c r="BI120" s="273"/>
      <c r="BJ120" s="273"/>
      <c r="BK120" s="273"/>
      <c r="BL120" s="273"/>
      <c r="BM120" s="273"/>
      <c r="BN120" s="273"/>
    </row>
    <row r="121" spans="1:66" s="665" customFormat="1" ht="15.75" thickBot="1">
      <c r="A121" s="127" t="s">
        <v>31</v>
      </c>
      <c r="B121" s="291">
        <v>5847472764.8586655</v>
      </c>
      <c r="C121" s="291">
        <v>925607283.59730697</v>
      </c>
      <c r="D121" s="291">
        <v>503143594.47973728</v>
      </c>
      <c r="E121" s="291">
        <v>5086041140.4012814</v>
      </c>
      <c r="F121" s="291">
        <v>71246537.116312206</v>
      </c>
      <c r="G121" s="291">
        <v>21094600.213151917</v>
      </c>
      <c r="H121" s="291">
        <v>331242118.96457857</v>
      </c>
      <c r="I121" s="291">
        <v>46129756.73173368</v>
      </c>
      <c r="J121" s="291">
        <v>532420845.97385383</v>
      </c>
      <c r="K121" s="291">
        <v>508752672.72153592</v>
      </c>
      <c r="L121" s="291">
        <v>440243768.55327058</v>
      </c>
      <c r="M121" s="291">
        <v>201745545.78519884</v>
      </c>
      <c r="N121" s="291">
        <v>1101181848.3920999</v>
      </c>
      <c r="O121" s="291">
        <v>154560703.34131306</v>
      </c>
      <c r="P121" s="291">
        <v>17414435.276972249</v>
      </c>
      <c r="Q121" s="291">
        <v>754499629.20051265</v>
      </c>
      <c r="R121" s="291">
        <v>509090832</v>
      </c>
      <c r="S121" s="690">
        <v>17051888077.607521</v>
      </c>
      <c r="U121" s="733">
        <v>9221.5701747746352</v>
      </c>
      <c r="V121" s="734">
        <v>13259.908120937285</v>
      </c>
      <c r="W121" s="734">
        <v>19274.229602506639</v>
      </c>
      <c r="X121" s="735">
        <v>75124.380058688315</v>
      </c>
      <c r="Z121" s="665">
        <v>5681525872.2104826</v>
      </c>
      <c r="AB121" s="733">
        <v>8431456820.6297693</v>
      </c>
      <c r="AC121" s="734">
        <v>5681525872.2104826</v>
      </c>
      <c r="AD121" s="734">
        <v>1481417287.2486603</v>
      </c>
      <c r="AE121" s="735">
        <v>1457488097.5186119</v>
      </c>
      <c r="AG121" s="944">
        <v>0.49445884128819312</v>
      </c>
      <c r="AH121" s="944">
        <v>0.33319042714521696</v>
      </c>
      <c r="AI121" s="944">
        <v>8.6877023852511226E-2</v>
      </c>
      <c r="AJ121" s="944">
        <v>8.5473707714078889E-2</v>
      </c>
      <c r="AL121" s="945">
        <v>1</v>
      </c>
      <c r="AN121" s="273"/>
      <c r="AO121" s="273"/>
      <c r="AP121" s="273"/>
      <c r="AQ121" s="273"/>
      <c r="AR121" s="273"/>
      <c r="AS121" s="273"/>
      <c r="AT121" s="273"/>
      <c r="AU121" s="273"/>
      <c r="AV121" s="273"/>
      <c r="AW121" s="273"/>
      <c r="AX121" s="273"/>
      <c r="AY121" s="273"/>
      <c r="AZ121" s="273"/>
      <c r="BA121" s="273"/>
      <c r="BB121" s="273"/>
      <c r="BC121" s="273"/>
      <c r="BD121" s="273"/>
      <c r="BE121" s="273"/>
      <c r="BF121" s="273"/>
      <c r="BG121" s="273"/>
      <c r="BH121" s="273"/>
      <c r="BI121" s="273"/>
      <c r="BJ121" s="273"/>
      <c r="BK121" s="273"/>
      <c r="BL121" s="273"/>
      <c r="BM121" s="273"/>
      <c r="BN121" s="273"/>
    </row>
    <row r="122" spans="1:66" s="665" customFormat="1" ht="15.75" thickBot="1">
      <c r="A122" s="127" t="s">
        <v>32</v>
      </c>
      <c r="B122" s="291">
        <v>32552145693.459576</v>
      </c>
      <c r="C122" s="291">
        <v>4726120010.4384136</v>
      </c>
      <c r="D122" s="291">
        <v>1283375224.4632027</v>
      </c>
      <c r="E122" s="291">
        <v>27357500091.937645</v>
      </c>
      <c r="F122" s="291">
        <v>383241606.05558699</v>
      </c>
      <c r="G122" s="291">
        <v>113467827.8402801</v>
      </c>
      <c r="H122" s="291">
        <v>3697147685.5982695</v>
      </c>
      <c r="I122" s="291">
        <v>479760267.74100435</v>
      </c>
      <c r="J122" s="291">
        <v>5815384961.535676</v>
      </c>
      <c r="K122" s="291">
        <v>5556715451.9271336</v>
      </c>
      <c r="L122" s="291">
        <v>3492476477.6143737</v>
      </c>
      <c r="M122" s="291">
        <v>1036511324.3077461</v>
      </c>
      <c r="N122" s="291">
        <v>5975582896.7928219</v>
      </c>
      <c r="O122" s="291">
        <v>659642210.46203673</v>
      </c>
      <c r="P122" s="291">
        <v>78670236.682599738</v>
      </c>
      <c r="Q122" s="291">
        <v>3230108010.2477627</v>
      </c>
      <c r="R122" s="291">
        <v>573343080.00000012</v>
      </c>
      <c r="S122" s="690">
        <v>97011193057.104111</v>
      </c>
      <c r="U122" s="733">
        <v>8300.2882543488267</v>
      </c>
      <c r="V122" s="734">
        <v>13259.086344237287</v>
      </c>
      <c r="W122" s="734">
        <v>44053.110896312013</v>
      </c>
      <c r="X122" s="735">
        <v>76825.688536462461</v>
      </c>
      <c r="Z122" s="665">
        <v>29137584750.296715</v>
      </c>
      <c r="AB122" s="733">
        <v>45337294984.167625</v>
      </c>
      <c r="AC122" s="734">
        <v>29137584750.296715</v>
      </c>
      <c r="AD122" s="734">
        <v>14864576891.077185</v>
      </c>
      <c r="AE122" s="735">
        <v>7671736431.5626049</v>
      </c>
      <c r="AG122" s="944">
        <v>0.46734086609449843</v>
      </c>
      <c r="AH122" s="944">
        <v>0.300352813238214</v>
      </c>
      <c r="AI122" s="944">
        <v>0.15322537969744776</v>
      </c>
      <c r="AJ122" s="944">
        <v>7.908094096984003E-2</v>
      </c>
      <c r="AL122" s="945">
        <v>1.0000000000000002</v>
      </c>
      <c r="AN122" s="273"/>
      <c r="AO122" s="273"/>
      <c r="AP122" s="273"/>
      <c r="AQ122" s="273"/>
      <c r="AR122" s="273"/>
      <c r="AS122" s="273"/>
      <c r="AT122" s="273"/>
      <c r="AU122" s="273"/>
      <c r="AV122" s="273"/>
      <c r="AW122" s="273"/>
      <c r="AX122" s="273"/>
      <c r="AY122" s="273"/>
      <c r="AZ122" s="273"/>
      <c r="BA122" s="273"/>
      <c r="BB122" s="273"/>
      <c r="BC122" s="273"/>
      <c r="BD122" s="273"/>
      <c r="BE122" s="273"/>
      <c r="BF122" s="273"/>
      <c r="BG122" s="273"/>
      <c r="BH122" s="273"/>
      <c r="BI122" s="273"/>
      <c r="BJ122" s="273"/>
      <c r="BK122" s="273"/>
      <c r="BL122" s="273"/>
      <c r="BM122" s="273"/>
      <c r="BN122" s="273"/>
    </row>
    <row r="123" spans="1:66" s="665" customFormat="1" ht="15.75" thickBot="1">
      <c r="A123" s="127" t="s">
        <v>33</v>
      </c>
      <c r="B123" s="291">
        <v>18909285077.805378</v>
      </c>
      <c r="C123" s="291">
        <v>3176466433.2645431</v>
      </c>
      <c r="D123" s="291">
        <v>892214025.52504182</v>
      </c>
      <c r="E123" s="291">
        <v>11002950932.355951</v>
      </c>
      <c r="F123" s="291">
        <v>154137487.89123407</v>
      </c>
      <c r="G123" s="291">
        <v>45634594.183058038</v>
      </c>
      <c r="H123" s="291">
        <v>3130780198.8855166</v>
      </c>
      <c r="I123" s="291">
        <v>341683044.69979167</v>
      </c>
      <c r="J123" s="291">
        <v>1390163538.5083318</v>
      </c>
      <c r="K123" s="291">
        <v>1328358291.6751599</v>
      </c>
      <c r="L123" s="291">
        <v>483351356.28082311</v>
      </c>
      <c r="M123" s="291">
        <v>1372232961.9928875</v>
      </c>
      <c r="N123" s="291">
        <v>4063081585.1829224</v>
      </c>
      <c r="O123" s="291">
        <v>622444922.11890197</v>
      </c>
      <c r="P123" s="291">
        <v>30771745.606828302</v>
      </c>
      <c r="Q123" s="291">
        <v>1067854983.1996591</v>
      </c>
      <c r="R123" s="291">
        <v>13376990256.000002</v>
      </c>
      <c r="S123" s="690">
        <v>61388401435.176033</v>
      </c>
      <c r="U123" s="733">
        <v>9711.7894738600571</v>
      </c>
      <c r="V123" s="734">
        <v>14856.053415688275</v>
      </c>
      <c r="W123" s="734">
        <v>22930.633779008651</v>
      </c>
      <c r="X123" s="735">
        <v>78985.063815042857</v>
      </c>
      <c r="Z123" s="665">
        <v>12094937039.955284</v>
      </c>
      <c r="AB123" s="733">
        <v>40033831739.461716</v>
      </c>
      <c r="AC123" s="734">
        <v>12094937039.955284</v>
      </c>
      <c r="AD123" s="734">
        <v>3201873186.4643149</v>
      </c>
      <c r="AE123" s="735">
        <v>6057759469.2947121</v>
      </c>
      <c r="AG123" s="944">
        <v>0.65213999393250233</v>
      </c>
      <c r="AH123" s="944">
        <v>0.1970231632880538</v>
      </c>
      <c r="AI123" s="944">
        <v>5.2157624430819866E-2</v>
      </c>
      <c r="AJ123" s="944">
        <v>9.8679218348623893E-2</v>
      </c>
      <c r="AL123" s="945">
        <v>0.99999999999999989</v>
      </c>
      <c r="AN123" s="273"/>
      <c r="AO123" s="273"/>
      <c r="AP123" s="273"/>
      <c r="AQ123" s="273"/>
      <c r="AR123" s="273"/>
      <c r="AS123" s="273"/>
      <c r="AT123" s="273"/>
      <c r="AU123" s="273"/>
      <c r="AV123" s="273"/>
      <c r="AW123" s="273"/>
      <c r="AX123" s="273"/>
      <c r="AY123" s="273"/>
      <c r="AZ123" s="273"/>
      <c r="BA123" s="273"/>
      <c r="BB123" s="273"/>
      <c r="BC123" s="273"/>
      <c r="BD123" s="273"/>
      <c r="BE123" s="273"/>
      <c r="BF123" s="273"/>
      <c r="BG123" s="273"/>
      <c r="BH123" s="273"/>
      <c r="BI123" s="273"/>
      <c r="BJ123" s="273"/>
      <c r="BK123" s="273"/>
      <c r="BL123" s="273"/>
      <c r="BM123" s="273"/>
      <c r="BN123" s="273"/>
    </row>
    <row r="124" spans="1:66" s="665" customFormat="1" ht="15.75" thickBot="1">
      <c r="A124" s="128" t="s">
        <v>34</v>
      </c>
      <c r="B124" s="291">
        <v>77893305881.87265</v>
      </c>
      <c r="C124" s="291">
        <v>11132613433.857222</v>
      </c>
      <c r="D124" s="291">
        <v>4200501002.2900829</v>
      </c>
      <c r="E124" s="291">
        <v>54590672803.493561</v>
      </c>
      <c r="F124" s="291">
        <v>764750441.93837297</v>
      </c>
      <c r="G124" s="291">
        <v>226421284.82576177</v>
      </c>
      <c r="H124" s="291">
        <v>41475215420.559814</v>
      </c>
      <c r="I124" s="291">
        <v>5042099345.6575956</v>
      </c>
      <c r="J124" s="291">
        <v>7742523624.4961948</v>
      </c>
      <c r="K124" s="291">
        <v>7398242492.1812954</v>
      </c>
      <c r="L124" s="291">
        <v>5429238166.5224972</v>
      </c>
      <c r="M124" s="291">
        <v>2721014178.1970325</v>
      </c>
      <c r="N124" s="291">
        <v>12045328548.344601</v>
      </c>
      <c r="O124" s="291">
        <v>1351735331.2281075</v>
      </c>
      <c r="P124" s="291">
        <v>156921229.31524533</v>
      </c>
      <c r="Q124" s="291">
        <v>6183687532.1505632</v>
      </c>
      <c r="R124" s="291">
        <v>4142254229.9999995</v>
      </c>
      <c r="S124" s="690">
        <v>242496524946.93063</v>
      </c>
      <c r="U124" s="733">
        <v>8425.6997388449727</v>
      </c>
      <c r="V124" s="734">
        <v>13417.407411636726</v>
      </c>
      <c r="W124" s="734">
        <v>27023.730539436627</v>
      </c>
      <c r="X124" s="735">
        <v>66303.072673746457</v>
      </c>
      <c r="Z124" s="665">
        <v>59782345532.547775</v>
      </c>
      <c r="AB124" s="733">
        <v>146026097073.41309</v>
      </c>
      <c r="AC124" s="734">
        <v>59782345532.547775</v>
      </c>
      <c r="AD124" s="734">
        <v>20570004283.199989</v>
      </c>
      <c r="AE124" s="735">
        <v>16118078057.769741</v>
      </c>
      <c r="AG124" s="944">
        <v>0.60217810174958297</v>
      </c>
      <c r="AH124" s="944">
        <v>0.24652866900105433</v>
      </c>
      <c r="AI124" s="944">
        <v>8.4825975496769082E-2</v>
      </c>
      <c r="AJ124" s="944">
        <v>6.6467253752593422E-2</v>
      </c>
      <c r="AL124" s="945">
        <v>0.99999999999999978</v>
      </c>
      <c r="AN124" s="273"/>
      <c r="AO124" s="273"/>
      <c r="AP124" s="273"/>
      <c r="AQ124" s="273"/>
      <c r="AR124" s="273"/>
      <c r="AS124" s="273"/>
      <c r="AT124" s="273"/>
      <c r="AU124" s="273"/>
      <c r="AV124" s="273"/>
      <c r="AW124" s="273"/>
      <c r="AX124" s="273"/>
      <c r="AY124" s="273"/>
      <c r="AZ124" s="273"/>
      <c r="BA124" s="273"/>
      <c r="BB124" s="273"/>
      <c r="BC124" s="273"/>
      <c r="BD124" s="273"/>
      <c r="BE124" s="273"/>
      <c r="BF124" s="273"/>
      <c r="BG124" s="273"/>
      <c r="BH124" s="273"/>
      <c r="BI124" s="273"/>
      <c r="BJ124" s="273"/>
      <c r="BK124" s="273"/>
      <c r="BL124" s="273"/>
      <c r="BM124" s="273"/>
      <c r="BN124" s="273"/>
    </row>
    <row r="125" spans="1:66" s="665" customFormat="1" ht="15.75" thickBot="1">
      <c r="A125" s="127" t="s">
        <v>36</v>
      </c>
      <c r="B125" s="291">
        <v>21415229381.274258</v>
      </c>
      <c r="C125" s="291">
        <v>2939653524.2186337</v>
      </c>
      <c r="D125" s="291">
        <v>1473183197.8539042</v>
      </c>
      <c r="E125" s="291">
        <v>13341422517.61458</v>
      </c>
      <c r="F125" s="291">
        <v>186898143.33910853</v>
      </c>
      <c r="G125" s="291">
        <v>55336653.916722789</v>
      </c>
      <c r="H125" s="291">
        <v>5798095261.7855797</v>
      </c>
      <c r="I125" s="291">
        <v>697190648.54219186</v>
      </c>
      <c r="J125" s="291">
        <v>3128250891.308548</v>
      </c>
      <c r="K125" s="291">
        <v>2989207518.1428556</v>
      </c>
      <c r="L125" s="291">
        <v>3128456107.2531514</v>
      </c>
      <c r="M125" s="291">
        <v>481403218.40878946</v>
      </c>
      <c r="N125" s="291">
        <v>2946757406.0755057</v>
      </c>
      <c r="O125" s="291">
        <v>348198362.29905856</v>
      </c>
      <c r="P125" s="291">
        <v>65660441.725914024</v>
      </c>
      <c r="Q125" s="291">
        <v>2542240974.0104985</v>
      </c>
      <c r="R125" s="291">
        <v>456318666.00000012</v>
      </c>
      <c r="S125" s="690">
        <v>61993502913.769302</v>
      </c>
      <c r="U125" s="733">
        <v>8109.9377037372078</v>
      </c>
      <c r="V125" s="734">
        <v>12466.439126606709</v>
      </c>
      <c r="W125" s="734">
        <v>30054.331415630462</v>
      </c>
      <c r="X125" s="735">
        <v>71411.04698731807</v>
      </c>
      <c r="Z125" s="665">
        <v>15056840512.724318</v>
      </c>
      <c r="AB125" s="733">
        <v>33914388897.557072</v>
      </c>
      <c r="AC125" s="734">
        <v>15056840512.724318</v>
      </c>
      <c r="AD125" s="734">
        <v>9245914516.7045555</v>
      </c>
      <c r="AE125" s="735">
        <v>3776358986.7833538</v>
      </c>
      <c r="AG125" s="944">
        <v>0.54706360027325363</v>
      </c>
      <c r="AH125" s="944">
        <v>0.24287771790646889</v>
      </c>
      <c r="AI125" s="944">
        <v>0.14914328247534722</v>
      </c>
      <c r="AJ125" s="944">
        <v>6.0915399344930246E-2</v>
      </c>
      <c r="AL125" s="945">
        <v>1</v>
      </c>
      <c r="AN125" s="273"/>
      <c r="AO125" s="273"/>
      <c r="AP125" s="273"/>
      <c r="AQ125" s="273"/>
      <c r="AR125" s="273"/>
      <c r="AS125" s="273"/>
      <c r="AT125" s="273"/>
      <c r="AU125" s="273"/>
      <c r="AV125" s="273"/>
      <c r="AW125" s="273"/>
      <c r="AX125" s="273"/>
      <c r="AY125" s="273"/>
      <c r="AZ125" s="273"/>
      <c r="BA125" s="273"/>
      <c r="BB125" s="273"/>
      <c r="BC125" s="273"/>
      <c r="BD125" s="273"/>
      <c r="BE125" s="273"/>
      <c r="BF125" s="273"/>
      <c r="BG125" s="273"/>
      <c r="BH125" s="273"/>
      <c r="BI125" s="273"/>
      <c r="BJ125" s="273"/>
      <c r="BK125" s="273"/>
      <c r="BL125" s="273"/>
      <c r="BM125" s="273"/>
      <c r="BN125" s="273"/>
    </row>
    <row r="126" spans="1:66" s="665" customFormat="1" ht="15.75" thickBot="1">
      <c r="A126" s="127" t="s">
        <v>37</v>
      </c>
      <c r="B126" s="291">
        <v>24896044847.155045</v>
      </c>
      <c r="C126" s="291">
        <v>3025138103.3670135</v>
      </c>
      <c r="D126" s="291">
        <v>1001428686.4383781</v>
      </c>
      <c r="E126" s="291">
        <v>13145022310.943771</v>
      </c>
      <c r="F126" s="291">
        <v>184143736.4387891</v>
      </c>
      <c r="G126" s="291">
        <v>54520297.77648475</v>
      </c>
      <c r="H126" s="291">
        <v>829287185.10436368</v>
      </c>
      <c r="I126" s="291">
        <v>89891043.410510719</v>
      </c>
      <c r="J126" s="291">
        <v>2708882025.2284184</v>
      </c>
      <c r="K126" s="291">
        <v>2588461764.7230134</v>
      </c>
      <c r="L126" s="291">
        <v>2059744989.2821245</v>
      </c>
      <c r="M126" s="291">
        <v>491377746.1311807</v>
      </c>
      <c r="N126" s="291">
        <v>3011453764.1366</v>
      </c>
      <c r="O126" s="291">
        <v>355886405.44615006</v>
      </c>
      <c r="P126" s="291">
        <v>62217002.178864546</v>
      </c>
      <c r="Q126" s="291">
        <v>2118154833.4461975</v>
      </c>
      <c r="R126" s="291">
        <v>1113752460.0000002</v>
      </c>
      <c r="S126" s="690">
        <v>57735407201.206894</v>
      </c>
      <c r="U126" s="733">
        <v>8145.8818022527939</v>
      </c>
      <c r="V126" s="734">
        <v>13370.619292759311</v>
      </c>
      <c r="W126" s="734">
        <v>30136.934726217038</v>
      </c>
      <c r="X126" s="735">
        <v>73575.066081568293</v>
      </c>
      <c r="Z126" s="665">
        <v>14385115031.597424</v>
      </c>
      <c r="AB126" s="733">
        <v>32134485474.661991</v>
      </c>
      <c r="AC126" s="734">
        <v>14385115031.597424</v>
      </c>
      <c r="AD126" s="734">
        <v>7357088779.2335558</v>
      </c>
      <c r="AE126" s="735">
        <v>3858717915.7139311</v>
      </c>
      <c r="AG126" s="944">
        <v>0.55658194914385661</v>
      </c>
      <c r="AH126" s="944">
        <v>0.2491558599641559</v>
      </c>
      <c r="AI126" s="944">
        <v>0.12742767628873264</v>
      </c>
      <c r="AJ126" s="944">
        <v>6.6834514603254916E-2</v>
      </c>
      <c r="AL126" s="945">
        <v>1</v>
      </c>
      <c r="AN126" s="273"/>
      <c r="AO126" s="273"/>
      <c r="AP126" s="273"/>
      <c r="AQ126" s="273"/>
      <c r="AR126" s="273"/>
      <c r="AS126" s="273"/>
      <c r="AT126" s="273"/>
      <c r="AU126" s="273"/>
      <c r="AV126" s="273"/>
      <c r="AW126" s="273"/>
      <c r="AX126" s="273"/>
      <c r="AY126" s="273"/>
      <c r="AZ126" s="273"/>
      <c r="BA126" s="273"/>
      <c r="BB126" s="273"/>
      <c r="BC126" s="273"/>
      <c r="BD126" s="273"/>
      <c r="BE126" s="273"/>
      <c r="BF126" s="273"/>
      <c r="BG126" s="273"/>
      <c r="BH126" s="273"/>
      <c r="BI126" s="273"/>
      <c r="BJ126" s="273"/>
      <c r="BK126" s="273"/>
      <c r="BL126" s="273"/>
      <c r="BM126" s="273"/>
      <c r="BN126" s="273"/>
    </row>
    <row r="127" spans="1:66" s="665" customFormat="1" ht="15.75" thickBot="1">
      <c r="A127" s="128" t="s">
        <v>38</v>
      </c>
      <c r="B127" s="291">
        <v>17112769682.108799</v>
      </c>
      <c r="C127" s="291">
        <v>2258290610.8372378</v>
      </c>
      <c r="D127" s="291">
        <v>1474646176.7912409</v>
      </c>
      <c r="E127" s="291">
        <v>11038382182.752365</v>
      </c>
      <c r="F127" s="291">
        <v>154633395.46006399</v>
      </c>
      <c r="G127" s="291">
        <v>45784391.928477153</v>
      </c>
      <c r="H127" s="291">
        <v>676105031.24689734</v>
      </c>
      <c r="I127" s="291">
        <v>78809633.040892348</v>
      </c>
      <c r="J127" s="291">
        <v>1746890833.0680671</v>
      </c>
      <c r="K127" s="291">
        <v>1669227410.9138439</v>
      </c>
      <c r="L127" s="291">
        <v>1763837889.3402054</v>
      </c>
      <c r="M127" s="291">
        <v>266897402.40868399</v>
      </c>
      <c r="N127" s="291">
        <v>1376679818.4260139</v>
      </c>
      <c r="O127" s="291">
        <v>162661187.0878624</v>
      </c>
      <c r="P127" s="291">
        <v>39169328.00392209</v>
      </c>
      <c r="Q127" s="291">
        <v>1421652979.2056892</v>
      </c>
      <c r="R127" s="291">
        <v>1747255950</v>
      </c>
      <c r="S127" s="690">
        <v>43033693902.620255</v>
      </c>
      <c r="U127" s="733">
        <v>8725.1013100497876</v>
      </c>
      <c r="V127" s="734">
        <v>13404.41703632039</v>
      </c>
      <c r="W127" s="734">
        <v>29451.817063561404</v>
      </c>
      <c r="X127" s="735">
        <v>67371.816781893343</v>
      </c>
      <c r="Z127" s="665">
        <v>12713446146.932146</v>
      </c>
      <c r="AB127" s="733">
        <v>23334053214.443439</v>
      </c>
      <c r="AC127" s="734">
        <v>12713446146.932146</v>
      </c>
      <c r="AD127" s="734">
        <v>5179956133.3221159</v>
      </c>
      <c r="AE127" s="735">
        <v>1806238407.9225605</v>
      </c>
      <c r="AG127" s="944">
        <v>0.54222752216543202</v>
      </c>
      <c r="AH127" s="944">
        <v>0.29543004548252466</v>
      </c>
      <c r="AI127" s="944">
        <v>0.12036977687864059</v>
      </c>
      <c r="AJ127" s="944">
        <v>4.1972655473402933E-2</v>
      </c>
      <c r="AL127" s="945">
        <v>1.0000000000000002</v>
      </c>
      <c r="AN127" s="273"/>
      <c r="AO127" s="273"/>
      <c r="AP127" s="273"/>
      <c r="AQ127" s="273"/>
      <c r="AR127" s="273"/>
      <c r="AS127" s="273"/>
      <c r="AT127" s="273"/>
      <c r="AU127" s="273"/>
      <c r="AV127" s="273"/>
      <c r="AW127" s="273"/>
      <c r="AX127" s="273"/>
      <c r="AY127" s="273"/>
      <c r="AZ127" s="273"/>
      <c r="BA127" s="273"/>
      <c r="BB127" s="273"/>
      <c r="BC127" s="273"/>
      <c r="BD127" s="273"/>
      <c r="BE127" s="273"/>
      <c r="BF127" s="273"/>
      <c r="BG127" s="273"/>
      <c r="BH127" s="273"/>
      <c r="BI127" s="273"/>
      <c r="BJ127" s="273"/>
      <c r="BK127" s="273"/>
      <c r="BL127" s="273"/>
      <c r="BM127" s="273"/>
      <c r="BN127" s="273"/>
    </row>
    <row r="128" spans="1:66" s="665" customFormat="1" ht="15.75" thickBot="1">
      <c r="A128" s="127" t="s">
        <v>40</v>
      </c>
      <c r="B128" s="291">
        <v>9636536828.9458237</v>
      </c>
      <c r="C128" s="291">
        <v>1158465474.4568007</v>
      </c>
      <c r="D128" s="291">
        <v>86634207.77439557</v>
      </c>
      <c r="E128" s="291">
        <v>2044440733.5203893</v>
      </c>
      <c r="F128" s="291">
        <v>28639257.867729735</v>
      </c>
      <c r="G128" s="291">
        <v>8480238.4407882411</v>
      </c>
      <c r="H128" s="291">
        <v>417417243.04555428</v>
      </c>
      <c r="I128" s="291">
        <v>46308812.271591797</v>
      </c>
      <c r="J128" s="291">
        <v>468537997.66216362</v>
      </c>
      <c r="K128" s="291">
        <v>447696135.00753623</v>
      </c>
      <c r="L128" s="291">
        <v>198072569.19251603</v>
      </c>
      <c r="M128" s="291">
        <v>102322121.46816376</v>
      </c>
      <c r="N128" s="291">
        <v>664196772.57295465</v>
      </c>
      <c r="O128" s="291">
        <v>69263190.977342501</v>
      </c>
      <c r="P128" s="291">
        <v>13750000.029093616</v>
      </c>
      <c r="Q128" s="291">
        <v>474830542.97362667</v>
      </c>
      <c r="R128" s="291">
        <v>45203555.999999985</v>
      </c>
      <c r="S128" s="690">
        <v>15910795682.206469</v>
      </c>
      <c r="U128" s="733">
        <v>9805.782480843709</v>
      </c>
      <c r="V128" s="734">
        <v>13651.72606819775</v>
      </c>
      <c r="W128" s="734">
        <v>46951.784513639912</v>
      </c>
      <c r="X128" s="735">
        <v>61368.82921054856</v>
      </c>
      <c r="Z128" s="665">
        <v>2168194437.603303</v>
      </c>
      <c r="AB128" s="733">
        <v>11792512457.72249</v>
      </c>
      <c r="AC128" s="734">
        <v>2168194437.603303</v>
      </c>
      <c r="AD128" s="734">
        <v>1114306701.862216</v>
      </c>
      <c r="AE128" s="735">
        <v>835782085.01846087</v>
      </c>
      <c r="AG128" s="944">
        <v>0.74116421914149899</v>
      </c>
      <c r="AH128" s="944">
        <v>0.13627190499517641</v>
      </c>
      <c r="AI128" s="944">
        <v>7.0034630832974579E-2</v>
      </c>
      <c r="AJ128" s="944">
        <v>5.2529245030350155E-2</v>
      </c>
      <c r="AL128" s="945">
        <v>1</v>
      </c>
      <c r="AN128" s="273"/>
      <c r="AO128" s="273"/>
      <c r="AP128" s="273"/>
      <c r="AQ128" s="273"/>
      <c r="AR128" s="273"/>
      <c r="AS128" s="273"/>
      <c r="AT128" s="273"/>
      <c r="AU128" s="273"/>
      <c r="AV128" s="273"/>
      <c r="AW128" s="273"/>
      <c r="AX128" s="273"/>
      <c r="AY128" s="273"/>
      <c r="AZ128" s="273"/>
      <c r="BA128" s="273"/>
      <c r="BB128" s="273"/>
      <c r="BC128" s="273"/>
      <c r="BD128" s="273"/>
      <c r="BE128" s="273"/>
      <c r="BF128" s="273"/>
      <c r="BG128" s="273"/>
      <c r="BH128" s="273"/>
      <c r="BI128" s="273"/>
      <c r="BJ128" s="273"/>
      <c r="BK128" s="273"/>
      <c r="BL128" s="273"/>
      <c r="BM128" s="273"/>
      <c r="BN128" s="273"/>
    </row>
    <row r="129" spans="1:66" s="665" customFormat="1" ht="15.75" thickBot="1">
      <c r="A129" s="127" t="s">
        <v>41</v>
      </c>
      <c r="B129" s="291">
        <v>9977102533.9441643</v>
      </c>
      <c r="C129" s="291">
        <v>1558366485.8287661</v>
      </c>
      <c r="D129" s="291">
        <v>1262624174.5153358</v>
      </c>
      <c r="E129" s="291">
        <v>9727442061.2649612</v>
      </c>
      <c r="F129" s="291">
        <v>136270557.52092692</v>
      </c>
      <c r="G129" s="291">
        <v>40343965.341615498</v>
      </c>
      <c r="H129" s="291">
        <v>4819171409.0088606</v>
      </c>
      <c r="I129" s="291">
        <v>667740156.53070891</v>
      </c>
      <c r="J129" s="291">
        <v>2267986430.6304655</v>
      </c>
      <c r="K129" s="291">
        <v>2167147841.3175988</v>
      </c>
      <c r="L129" s="291">
        <v>1729771462.3263228</v>
      </c>
      <c r="M129" s="291">
        <v>162668965.57196304</v>
      </c>
      <c r="N129" s="291">
        <v>1464340046.5700181</v>
      </c>
      <c r="O129" s="291">
        <v>152721665.53048408</v>
      </c>
      <c r="P129" s="291">
        <v>35470685.787766635</v>
      </c>
      <c r="Q129" s="291">
        <v>1580994910.8842981</v>
      </c>
      <c r="R129" s="291">
        <v>17903430</v>
      </c>
      <c r="S129" s="690">
        <v>37768066782.574257</v>
      </c>
      <c r="U129" s="733">
        <v>10759.135389180956</v>
      </c>
      <c r="V129" s="734">
        <v>12384.951259151827</v>
      </c>
      <c r="W129" s="734">
        <v>52600.238340950207</v>
      </c>
      <c r="X129" s="735">
        <v>70247.905177519846</v>
      </c>
      <c r="Z129" s="665">
        <v>11166680758.642839</v>
      </c>
      <c r="AB129" s="733">
        <v>18656749611.984566</v>
      </c>
      <c r="AC129" s="734">
        <v>11166680758.642839</v>
      </c>
      <c r="AD129" s="734">
        <v>6164905734.2743874</v>
      </c>
      <c r="AE129" s="735">
        <v>1779730677.6724653</v>
      </c>
      <c r="AG129" s="944">
        <v>0.49398211773424877</v>
      </c>
      <c r="AH129" s="944">
        <v>0.29566461060683719</v>
      </c>
      <c r="AI129" s="944">
        <v>0.16323064057699671</v>
      </c>
      <c r="AJ129" s="944">
        <v>4.7122631081917388E-2</v>
      </c>
      <c r="AL129" s="945">
        <v>1</v>
      </c>
      <c r="AN129" s="273"/>
      <c r="AO129" s="273"/>
      <c r="AP129" s="273"/>
      <c r="AQ129" s="273"/>
      <c r="AR129" s="273"/>
      <c r="AS129" s="273"/>
      <c r="AT129" s="273"/>
      <c r="AU129" s="273"/>
      <c r="AV129" s="273"/>
      <c r="AW129" s="273"/>
      <c r="AX129" s="273"/>
      <c r="AY129" s="273"/>
      <c r="AZ129" s="273"/>
      <c r="BA129" s="273"/>
      <c r="BB129" s="273"/>
      <c r="BC129" s="273"/>
      <c r="BD129" s="273"/>
      <c r="BE129" s="273"/>
      <c r="BF129" s="273"/>
      <c r="BG129" s="273"/>
      <c r="BH129" s="273"/>
      <c r="BI129" s="273"/>
      <c r="BJ129" s="273"/>
      <c r="BK129" s="273"/>
      <c r="BL129" s="273"/>
      <c r="BM129" s="273"/>
      <c r="BN129" s="273"/>
    </row>
    <row r="130" spans="1:66" s="665" customFormat="1" ht="15.75" thickBot="1">
      <c r="A130" s="127" t="s">
        <v>42</v>
      </c>
      <c r="B130" s="291">
        <v>3048588290.9250154</v>
      </c>
      <c r="C130" s="291">
        <v>527074892.40365112</v>
      </c>
      <c r="D130" s="291">
        <v>965035741.93861318</v>
      </c>
      <c r="E130" s="291">
        <v>6784145121.5829353</v>
      </c>
      <c r="F130" s="291">
        <v>95036642.535576254</v>
      </c>
      <c r="G130" s="291">
        <v>28139579.310462043</v>
      </c>
      <c r="H130" s="291">
        <v>2558736004.110393</v>
      </c>
      <c r="I130" s="291">
        <v>401266963.316782</v>
      </c>
      <c r="J130" s="291">
        <v>1674363138.8016136</v>
      </c>
      <c r="K130" s="291">
        <v>1599925655.2180049</v>
      </c>
      <c r="L130" s="291">
        <v>2091755922.8259211</v>
      </c>
      <c r="M130" s="291">
        <v>76434001.342963994</v>
      </c>
      <c r="N130" s="291">
        <v>855167617.4322648</v>
      </c>
      <c r="O130" s="291">
        <v>89210996.649603263</v>
      </c>
      <c r="P130" s="291">
        <v>30248615.501809217</v>
      </c>
      <c r="Q130" s="291">
        <v>1494227035.1953676</v>
      </c>
      <c r="R130" s="291">
        <v>32101146.000000004</v>
      </c>
      <c r="S130" s="690">
        <v>22351457365.090977</v>
      </c>
      <c r="U130" s="733">
        <v>12076.69477928909</v>
      </c>
      <c r="V130" s="734">
        <v>12966.958298044645</v>
      </c>
      <c r="W130" s="734">
        <v>68905.871163345611</v>
      </c>
      <c r="X130" s="735">
        <v>90819.627706835585</v>
      </c>
      <c r="Z130" s="665">
        <v>7872357085.3675861</v>
      </c>
      <c r="AB130" s="733">
        <v>8092242947.4530191</v>
      </c>
      <c r="AC130" s="734">
        <v>7872357085.3675861</v>
      </c>
      <c r="AD130" s="734">
        <v>5366044716.8455391</v>
      </c>
      <c r="AE130" s="735">
        <v>1020812615.424832</v>
      </c>
      <c r="AG130" s="944">
        <v>0.36204542796800676</v>
      </c>
      <c r="AH130" s="944">
        <v>0.35220777584117696</v>
      </c>
      <c r="AI130" s="944">
        <v>0.24007583170958471</v>
      </c>
      <c r="AJ130" s="944">
        <v>4.5670964481231577E-2</v>
      </c>
      <c r="AL130" s="945">
        <v>1</v>
      </c>
      <c r="AN130" s="273"/>
      <c r="AO130" s="273"/>
      <c r="AP130" s="273"/>
      <c r="AQ130" s="273"/>
      <c r="AR130" s="273"/>
      <c r="AS130" s="273"/>
      <c r="AT130" s="273"/>
      <c r="AU130" s="273"/>
      <c r="AV130" s="273"/>
      <c r="AW130" s="273"/>
      <c r="AX130" s="273"/>
      <c r="AY130" s="273"/>
      <c r="AZ130" s="273"/>
      <c r="BA130" s="273"/>
      <c r="BB130" s="273"/>
      <c r="BC130" s="273"/>
      <c r="BD130" s="273"/>
      <c r="BE130" s="273"/>
      <c r="BF130" s="273"/>
      <c r="BG130" s="273"/>
      <c r="BH130" s="273"/>
      <c r="BI130" s="273"/>
      <c r="BJ130" s="273"/>
      <c r="BK130" s="273"/>
      <c r="BL130" s="273"/>
      <c r="BM130" s="273"/>
      <c r="BN130" s="273"/>
    </row>
    <row r="131" spans="1:66" s="665" customFormat="1" ht="15.75" thickBot="1">
      <c r="A131" s="128" t="s">
        <v>43</v>
      </c>
      <c r="B131" s="291">
        <v>4503097921.480711</v>
      </c>
      <c r="C131" s="291">
        <v>680999046.05688596</v>
      </c>
      <c r="D131" s="291">
        <v>525348780.01288581</v>
      </c>
      <c r="E131" s="291">
        <v>4215286136.8687291</v>
      </c>
      <c r="F131" s="291">
        <v>59052505.342395641</v>
      </c>
      <c r="G131" s="291">
        <v>17482649.607946072</v>
      </c>
      <c r="H131" s="291">
        <v>637401587.87383091</v>
      </c>
      <c r="I131" s="291">
        <v>85767323.353574559</v>
      </c>
      <c r="J131" s="291">
        <v>1182853331.7682683</v>
      </c>
      <c r="K131" s="291">
        <v>1130222536.0359263</v>
      </c>
      <c r="L131" s="291">
        <v>1020556368.999694</v>
      </c>
      <c r="M131" s="291">
        <v>72918829.861435339</v>
      </c>
      <c r="N131" s="291">
        <v>666486001.50926638</v>
      </c>
      <c r="O131" s="291">
        <v>69496946.981837943</v>
      </c>
      <c r="P131" s="291">
        <v>21745361.158186197</v>
      </c>
      <c r="Q131" s="291">
        <v>930703190.02628636</v>
      </c>
      <c r="R131" s="291">
        <v>95952227.999999985</v>
      </c>
      <c r="S131" s="690">
        <v>15915370744.937862</v>
      </c>
      <c r="U131" s="733">
        <v>10318.587042327334</v>
      </c>
      <c r="V131" s="734">
        <v>12730.230314246035</v>
      </c>
      <c r="W131" s="734">
        <v>60802.74749309443</v>
      </c>
      <c r="X131" s="735">
        <v>80487.739139556186</v>
      </c>
      <c r="Z131" s="665">
        <v>4817170071.8319569</v>
      </c>
      <c r="AB131" s="733">
        <v>6955666657.9494743</v>
      </c>
      <c r="AC131" s="734">
        <v>4817170071.8319569</v>
      </c>
      <c r="AD131" s="734">
        <v>3333632236.8038883</v>
      </c>
      <c r="AE131" s="735">
        <v>808901778.35253966</v>
      </c>
      <c r="AG131" s="944">
        <v>0.43704081855346255</v>
      </c>
      <c r="AH131" s="944">
        <v>0.30267407206735253</v>
      </c>
      <c r="AI131" s="944">
        <v>0.20945991709707443</v>
      </c>
      <c r="AJ131" s="944">
        <v>5.0825192282110285E-2</v>
      </c>
      <c r="AL131" s="945">
        <v>0.99999999999999978</v>
      </c>
      <c r="AN131" s="273"/>
      <c r="AO131" s="273"/>
      <c r="AP131" s="273"/>
      <c r="AQ131" s="273"/>
      <c r="AR131" s="273"/>
      <c r="AS131" s="273"/>
      <c r="AT131" s="273"/>
      <c r="AU131" s="273"/>
      <c r="AV131" s="273"/>
      <c r="AW131" s="273"/>
      <c r="AX131" s="273"/>
      <c r="AY131" s="273"/>
      <c r="AZ131" s="273"/>
      <c r="BA131" s="273"/>
      <c r="BB131" s="273"/>
      <c r="BC131" s="273"/>
      <c r="BD131" s="273"/>
      <c r="BE131" s="273"/>
      <c r="BF131" s="273"/>
      <c r="BG131" s="273"/>
      <c r="BH131" s="273"/>
      <c r="BI131" s="273"/>
      <c r="BJ131" s="273"/>
      <c r="BK131" s="273"/>
      <c r="BL131" s="273"/>
      <c r="BM131" s="273"/>
      <c r="BN131" s="273"/>
    </row>
    <row r="132" spans="1:66" s="665" customFormat="1" ht="15.75" thickBot="1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/>
      <c r="U132" s="732"/>
      <c r="AB132" s="732"/>
      <c r="AG132" s="732"/>
      <c r="AN132" s="273"/>
      <c r="AO132" s="273"/>
      <c r="AP132" s="273"/>
      <c r="AQ132" s="273"/>
      <c r="AR132" s="273"/>
      <c r="AS132" s="273"/>
      <c r="AT132" s="273"/>
      <c r="AU132" s="273"/>
      <c r="AV132" s="273"/>
      <c r="AW132" s="273"/>
      <c r="AX132" s="273"/>
      <c r="AY132" s="273"/>
      <c r="AZ132" s="273"/>
      <c r="BA132" s="273"/>
      <c r="BB132" s="273"/>
      <c r="BC132" s="273"/>
      <c r="BD132" s="273"/>
      <c r="BE132" s="273"/>
      <c r="BF132" s="273"/>
      <c r="BG132" s="273"/>
      <c r="BH132" s="273"/>
      <c r="BI132" s="273"/>
      <c r="BJ132" s="273"/>
      <c r="BK132" s="273"/>
      <c r="BL132" s="273"/>
      <c r="BM132" s="273"/>
      <c r="BN132" s="273"/>
    </row>
    <row r="133" spans="1:66" s="665" customFormat="1" ht="15.75" thickBot="1">
      <c r="A133" s="1051" t="s">
        <v>120</v>
      </c>
      <c r="B133" s="1054">
        <v>2013</v>
      </c>
      <c r="C133" s="1055"/>
      <c r="D133" s="1055"/>
      <c r="E133" s="1055"/>
      <c r="F133" s="1055"/>
      <c r="G133" s="1055"/>
      <c r="H133" s="1055"/>
      <c r="I133" s="1055"/>
      <c r="J133" s="1055"/>
      <c r="K133" s="1055"/>
      <c r="L133" s="1055"/>
      <c r="M133" s="1055"/>
      <c r="N133" s="1055"/>
      <c r="O133" s="1055"/>
      <c r="P133" s="1055"/>
      <c r="Q133" s="1055"/>
      <c r="R133" s="1078"/>
      <c r="S133" s="1057" t="s">
        <v>96</v>
      </c>
      <c r="U133" s="732"/>
      <c r="Z133" s="665">
        <v>13451.938417773188</v>
      </c>
      <c r="AB133" s="732"/>
      <c r="AG133" s="732"/>
      <c r="AN133" s="273"/>
      <c r="AO133" s="273"/>
      <c r="AP133" s="273"/>
      <c r="AQ133" s="273"/>
      <c r="AR133" s="273"/>
      <c r="AS133" s="273"/>
      <c r="AT133" s="273"/>
      <c r="AU133" s="273"/>
      <c r="AV133" s="273"/>
      <c r="AW133" s="273"/>
      <c r="AX133" s="273"/>
      <c r="AY133" s="273"/>
      <c r="AZ133" s="273"/>
      <c r="BA133" s="273"/>
      <c r="BB133" s="273"/>
      <c r="BC133" s="273"/>
      <c r="BD133" s="273"/>
      <c r="BE133" s="273"/>
      <c r="BF133" s="273"/>
      <c r="BG133" s="273"/>
      <c r="BH133" s="273"/>
      <c r="BI133" s="273"/>
      <c r="BJ133" s="273"/>
      <c r="BK133" s="273"/>
      <c r="BL133" s="273"/>
      <c r="BM133" s="273"/>
      <c r="BN133" s="273"/>
    </row>
    <row r="134" spans="1:66" s="665" customFormat="1" ht="15.75" thickBot="1">
      <c r="A134" s="1052"/>
      <c r="B134" s="1060" t="s">
        <v>97</v>
      </c>
      <c r="C134" s="1061"/>
      <c r="D134" s="1061"/>
      <c r="E134" s="1061"/>
      <c r="F134" s="1061"/>
      <c r="G134" s="1061"/>
      <c r="H134" s="1061" t="s">
        <v>98</v>
      </c>
      <c r="I134" s="1061"/>
      <c r="J134" s="1061" t="s">
        <v>99</v>
      </c>
      <c r="K134" s="1061"/>
      <c r="L134" s="1061"/>
      <c r="M134" s="1061"/>
      <c r="N134" s="1061"/>
      <c r="O134" s="1061"/>
      <c r="P134" s="1061"/>
      <c r="Q134" s="1061"/>
      <c r="R134" s="289" t="s">
        <v>100</v>
      </c>
      <c r="S134" s="1058"/>
      <c r="U134" s="1068">
        <v>2013</v>
      </c>
      <c r="V134" s="1069"/>
      <c r="W134" s="1069"/>
      <c r="X134" s="1070"/>
      <c r="AB134" s="1068">
        <v>2013</v>
      </c>
      <c r="AC134" s="1069"/>
      <c r="AD134" s="1069"/>
      <c r="AE134" s="1070"/>
      <c r="AG134" s="1068">
        <v>2013</v>
      </c>
      <c r="AH134" s="1069"/>
      <c r="AI134" s="1069"/>
      <c r="AJ134" s="1070"/>
      <c r="AN134" s="273"/>
      <c r="AO134" s="273"/>
      <c r="AP134" s="273"/>
      <c r="AQ134" s="273"/>
      <c r="AR134" s="273"/>
      <c r="AS134" s="273"/>
      <c r="AT134" s="273"/>
      <c r="AU134" s="273"/>
      <c r="AV134" s="273"/>
      <c r="AW134" s="273"/>
      <c r="AX134" s="273"/>
      <c r="AY134" s="273"/>
      <c r="AZ134" s="273"/>
      <c r="BA134" s="273"/>
      <c r="BB134" s="273"/>
      <c r="BC134" s="273"/>
      <c r="BD134" s="273"/>
      <c r="BE134" s="273"/>
      <c r="BF134" s="273"/>
      <c r="BG134" s="273"/>
      <c r="BH134" s="273"/>
      <c r="BI134" s="273"/>
      <c r="BJ134" s="273"/>
      <c r="BK134" s="273"/>
      <c r="BL134" s="273"/>
      <c r="BM134" s="273"/>
      <c r="BN134" s="273"/>
    </row>
    <row r="135" spans="1:66" s="665" customFormat="1">
      <c r="A135" s="1052"/>
      <c r="B135" s="1062" t="s">
        <v>101</v>
      </c>
      <c r="C135" s="1064" t="s">
        <v>102</v>
      </c>
      <c r="D135" s="1064" t="s">
        <v>103</v>
      </c>
      <c r="E135" s="1064"/>
      <c r="F135" s="1064"/>
      <c r="G135" s="1064"/>
      <c r="H135" s="1062" t="s">
        <v>101</v>
      </c>
      <c r="I135" s="1064" t="s">
        <v>102</v>
      </c>
      <c r="J135" s="1064" t="s">
        <v>104</v>
      </c>
      <c r="K135" s="1064"/>
      <c r="L135" s="1064"/>
      <c r="M135" s="1064" t="s">
        <v>105</v>
      </c>
      <c r="N135" s="1064"/>
      <c r="O135" s="1064"/>
      <c r="P135" s="1062" t="s">
        <v>101</v>
      </c>
      <c r="Q135" s="1064" t="s">
        <v>102</v>
      </c>
      <c r="R135" s="1062" t="s">
        <v>101</v>
      </c>
      <c r="S135" s="1058"/>
      <c r="U135" s="1075" t="s">
        <v>101</v>
      </c>
      <c r="V135" s="1077" t="s">
        <v>103</v>
      </c>
      <c r="W135" s="1071" t="s">
        <v>104</v>
      </c>
      <c r="X135" s="1073" t="s">
        <v>105</v>
      </c>
      <c r="AB135" s="1075" t="s">
        <v>101</v>
      </c>
      <c r="AC135" s="1077" t="s">
        <v>103</v>
      </c>
      <c r="AD135" s="1071" t="s">
        <v>104</v>
      </c>
      <c r="AE135" s="1073" t="s">
        <v>105</v>
      </c>
      <c r="AG135" s="1075" t="s">
        <v>101</v>
      </c>
      <c r="AH135" s="1077" t="s">
        <v>103</v>
      </c>
      <c r="AI135" s="1071" t="s">
        <v>104</v>
      </c>
      <c r="AJ135" s="1073" t="s">
        <v>105</v>
      </c>
      <c r="AN135" s="273"/>
      <c r="AO135" s="273"/>
      <c r="AP135" s="273"/>
      <c r="AQ135" s="273"/>
      <c r="AR135" s="273"/>
      <c r="AS135" s="273"/>
      <c r="AT135" s="273"/>
      <c r="AU135" s="273"/>
      <c r="AV135" s="273"/>
      <c r="AW135" s="273"/>
      <c r="AX135" s="273"/>
      <c r="AY135" s="273"/>
      <c r="AZ135" s="273"/>
      <c r="BA135" s="273"/>
      <c r="BB135" s="273"/>
      <c r="BC135" s="273"/>
      <c r="BD135" s="273"/>
      <c r="BE135" s="273"/>
      <c r="BF135" s="273"/>
      <c r="BG135" s="273"/>
      <c r="BH135" s="273"/>
      <c r="BI135" s="273"/>
      <c r="BJ135" s="273"/>
      <c r="BK135" s="273"/>
      <c r="BL135" s="273"/>
      <c r="BM135" s="273"/>
      <c r="BN135" s="273"/>
    </row>
    <row r="136" spans="1:66" s="665" customFormat="1" ht="15.75" thickBot="1">
      <c r="A136" s="1053"/>
      <c r="B136" s="1063"/>
      <c r="C136" s="1065"/>
      <c r="D136" s="290" t="s">
        <v>106</v>
      </c>
      <c r="E136" s="290" t="s">
        <v>107</v>
      </c>
      <c r="F136" s="290" t="s">
        <v>108</v>
      </c>
      <c r="G136" s="290" t="s">
        <v>109</v>
      </c>
      <c r="H136" s="1063"/>
      <c r="I136" s="1065"/>
      <c r="J136" s="290" t="s">
        <v>110</v>
      </c>
      <c r="K136" s="290" t="s">
        <v>111</v>
      </c>
      <c r="L136" s="290" t="s">
        <v>112</v>
      </c>
      <c r="M136" s="290" t="s">
        <v>113</v>
      </c>
      <c r="N136" s="290" t="s">
        <v>114</v>
      </c>
      <c r="O136" s="290" t="s">
        <v>115</v>
      </c>
      <c r="P136" s="1063"/>
      <c r="Q136" s="1065"/>
      <c r="R136" s="1063"/>
      <c r="S136" s="1059"/>
      <c r="U136" s="1076"/>
      <c r="V136" s="1074"/>
      <c r="W136" s="1072"/>
      <c r="X136" s="1074"/>
      <c r="AB136" s="1076"/>
      <c r="AC136" s="1074"/>
      <c r="AD136" s="1072"/>
      <c r="AE136" s="1074"/>
      <c r="AG136" s="1076"/>
      <c r="AH136" s="1074"/>
      <c r="AI136" s="1072"/>
      <c r="AJ136" s="1074"/>
      <c r="AN136" s="273"/>
      <c r="AO136" s="273"/>
      <c r="AP136" s="273"/>
      <c r="AQ136" s="273"/>
      <c r="AR136" s="273"/>
      <c r="AS136" s="273"/>
      <c r="AT136" s="273"/>
      <c r="AU136" s="273"/>
      <c r="AV136" s="273"/>
      <c r="AW136" s="273"/>
      <c r="AX136" s="273"/>
      <c r="AY136" s="273"/>
      <c r="AZ136" s="273"/>
      <c r="BA136" s="273"/>
      <c r="BB136" s="273"/>
      <c r="BC136" s="273"/>
      <c r="BD136" s="273"/>
      <c r="BE136" s="273"/>
      <c r="BF136" s="273"/>
      <c r="BG136" s="273"/>
      <c r="BH136" s="273"/>
      <c r="BI136" s="273"/>
      <c r="BJ136" s="273"/>
      <c r="BK136" s="273"/>
      <c r="BL136" s="273"/>
      <c r="BM136" s="273"/>
      <c r="BN136" s="273"/>
    </row>
    <row r="137" spans="1:66" s="665" customFormat="1" ht="15.75" thickBot="1">
      <c r="A137" s="164" t="s">
        <v>11</v>
      </c>
      <c r="B137" s="291" t="e">
        <v>#DIV/0!</v>
      </c>
      <c r="C137" s="291" t="e">
        <v>#DIV/0!</v>
      </c>
      <c r="D137" s="291" t="e">
        <v>#DIV/0!</v>
      </c>
      <c r="E137" s="291" t="e">
        <v>#DIV/0!</v>
      </c>
      <c r="F137" s="291" t="e">
        <v>#DIV/0!</v>
      </c>
      <c r="G137" s="291" t="e">
        <v>#DIV/0!</v>
      </c>
      <c r="H137" s="291" t="e">
        <v>#VALUE!</v>
      </c>
      <c r="I137" s="291" t="e">
        <v>#DIV/0!</v>
      </c>
      <c r="J137" s="291" t="e">
        <v>#DIV/0!</v>
      </c>
      <c r="K137" s="291" t="e">
        <v>#DIV/0!</v>
      </c>
      <c r="L137" s="291" t="e">
        <v>#DIV/0!</v>
      </c>
      <c r="M137" s="291" t="e">
        <v>#DIV/0!</v>
      </c>
      <c r="N137" s="291" t="e">
        <v>#DIV/0!</v>
      </c>
      <c r="O137" s="291" t="e">
        <v>#DIV/0!</v>
      </c>
      <c r="P137" s="291" t="e">
        <v>#DIV/0!</v>
      </c>
      <c r="Q137" s="291" t="e">
        <v>#DIV/0!</v>
      </c>
      <c r="R137" s="291">
        <v>0</v>
      </c>
      <c r="S137" s="690" t="e">
        <v>#DIV/0!</v>
      </c>
      <c r="U137" s="733" t="e">
        <v>#DIV/0!</v>
      </c>
      <c r="V137" s="734" t="e">
        <v>#DIV/0!</v>
      </c>
      <c r="W137" s="734" t="e">
        <v>#DIV/0!</v>
      </c>
      <c r="X137" s="735" t="e">
        <v>#DIV/0!</v>
      </c>
      <c r="AB137" s="733" t="e">
        <v>#DIV/0!</v>
      </c>
      <c r="AC137" s="734" t="e">
        <v>#DIV/0!</v>
      </c>
      <c r="AD137" s="734" t="e">
        <v>#DIV/0!</v>
      </c>
      <c r="AE137" s="735" t="e">
        <v>#DIV/0!</v>
      </c>
      <c r="AG137" s="944" t="e">
        <v>#DIV/0!</v>
      </c>
      <c r="AH137" s="944" t="e">
        <v>#DIV/0!</v>
      </c>
      <c r="AI137" s="944" t="e">
        <v>#DIV/0!</v>
      </c>
      <c r="AJ137" s="944" t="e">
        <v>#DIV/0!</v>
      </c>
      <c r="AN137" s="273"/>
      <c r="AO137" s="273"/>
      <c r="AP137" s="273"/>
      <c r="AQ137" s="273"/>
      <c r="AR137" s="273"/>
      <c r="AS137" s="273"/>
      <c r="AT137" s="273"/>
      <c r="AU137" s="273"/>
      <c r="AV137" s="273"/>
      <c r="AW137" s="273"/>
      <c r="AX137" s="273"/>
      <c r="AY137" s="273"/>
      <c r="AZ137" s="273"/>
      <c r="BA137" s="273"/>
      <c r="BB137" s="273"/>
      <c r="BC137" s="273"/>
      <c r="BD137" s="273"/>
      <c r="BE137" s="273"/>
      <c r="BF137" s="273"/>
      <c r="BG137" s="273"/>
      <c r="BH137" s="273"/>
      <c r="BI137" s="273"/>
      <c r="BJ137" s="273"/>
      <c r="BK137" s="273"/>
      <c r="BL137" s="273"/>
      <c r="BM137" s="273"/>
      <c r="BN137" s="273"/>
    </row>
    <row r="138" spans="1:66" s="665" customFormat="1" ht="15.75" thickBot="1">
      <c r="A138" s="269" t="s">
        <v>46</v>
      </c>
      <c r="B138" s="291" t="e">
        <v>#DIV/0!</v>
      </c>
      <c r="C138" s="291" t="e">
        <v>#DIV/0!</v>
      </c>
      <c r="D138" s="291" t="e">
        <v>#DIV/0!</v>
      </c>
      <c r="E138" s="291" t="e">
        <v>#DIV/0!</v>
      </c>
      <c r="F138" s="291" t="e">
        <v>#DIV/0!</v>
      </c>
      <c r="G138" s="291" t="e">
        <v>#DIV/0!</v>
      </c>
      <c r="H138" s="291" t="e">
        <v>#VALUE!</v>
      </c>
      <c r="I138" s="291" t="e">
        <v>#DIV/0!</v>
      </c>
      <c r="J138" s="291" t="e">
        <v>#DIV/0!</v>
      </c>
      <c r="K138" s="291" t="e">
        <v>#DIV/0!</v>
      </c>
      <c r="L138" s="291" t="e">
        <v>#DIV/0!</v>
      </c>
      <c r="M138" s="291" t="e">
        <v>#DIV/0!</v>
      </c>
      <c r="N138" s="291" t="e">
        <v>#DIV/0!</v>
      </c>
      <c r="O138" s="291" t="e">
        <v>#DIV/0!</v>
      </c>
      <c r="P138" s="291" t="e">
        <v>#DIV/0!</v>
      </c>
      <c r="Q138" s="291" t="e">
        <v>#DIV/0!</v>
      </c>
      <c r="R138" s="291">
        <v>0</v>
      </c>
      <c r="S138" s="690" t="e">
        <v>#DIV/0!</v>
      </c>
      <c r="U138" s="733" t="e">
        <v>#DIV/0!</v>
      </c>
      <c r="V138" s="734" t="e">
        <v>#DIV/0!</v>
      </c>
      <c r="W138" s="734" t="e">
        <v>#DIV/0!</v>
      </c>
      <c r="X138" s="735" t="e">
        <v>#DIV/0!</v>
      </c>
      <c r="AB138" s="733" t="e">
        <v>#DIV/0!</v>
      </c>
      <c r="AC138" s="734" t="e">
        <v>#DIV/0!</v>
      </c>
      <c r="AD138" s="734" t="e">
        <v>#DIV/0!</v>
      </c>
      <c r="AE138" s="735" t="e">
        <v>#DIV/0!</v>
      </c>
      <c r="AG138" s="944" t="e">
        <v>#DIV/0!</v>
      </c>
      <c r="AH138" s="944" t="e">
        <v>#DIV/0!</v>
      </c>
      <c r="AI138" s="944" t="e">
        <v>#DIV/0!</v>
      </c>
      <c r="AJ138" s="944" t="e">
        <v>#DIV/0!</v>
      </c>
      <c r="AN138" s="273"/>
      <c r="AO138" s="273"/>
      <c r="AP138" s="273"/>
      <c r="AQ138" s="273"/>
      <c r="AR138" s="273"/>
      <c r="AS138" s="273"/>
      <c r="AT138" s="273"/>
      <c r="AU138" s="273"/>
      <c r="AV138" s="273"/>
      <c r="AW138" s="273"/>
      <c r="AX138" s="273"/>
      <c r="AY138" s="273"/>
      <c r="AZ138" s="273"/>
      <c r="BA138" s="273"/>
      <c r="BB138" s="273"/>
      <c r="BC138" s="273"/>
      <c r="BD138" s="273"/>
      <c r="BE138" s="273"/>
      <c r="BF138" s="273"/>
      <c r="BG138" s="273"/>
      <c r="BH138" s="273"/>
      <c r="BI138" s="273"/>
      <c r="BJ138" s="273"/>
      <c r="BK138" s="273"/>
      <c r="BL138" s="273"/>
      <c r="BM138" s="273"/>
      <c r="BN138" s="273"/>
    </row>
    <row r="139" spans="1:66" s="665" customFormat="1" ht="15.75" thickBot="1">
      <c r="A139" s="127" t="s">
        <v>13</v>
      </c>
      <c r="B139" s="291" t="e">
        <v>#DIV/0!</v>
      </c>
      <c r="C139" s="291" t="e">
        <v>#DIV/0!</v>
      </c>
      <c r="D139" s="291" t="e">
        <v>#DIV/0!</v>
      </c>
      <c r="E139" s="291" t="e">
        <v>#DIV/0!</v>
      </c>
      <c r="F139" s="291" t="e">
        <v>#DIV/0!</v>
      </c>
      <c r="G139" s="291" t="e">
        <v>#DIV/0!</v>
      </c>
      <c r="H139" s="291" t="e">
        <v>#VALUE!</v>
      </c>
      <c r="I139" s="291" t="e">
        <v>#DIV/0!</v>
      </c>
      <c r="J139" s="291" t="e">
        <v>#DIV/0!</v>
      </c>
      <c r="K139" s="291" t="e">
        <v>#DIV/0!</v>
      </c>
      <c r="L139" s="291" t="e">
        <v>#DIV/0!</v>
      </c>
      <c r="M139" s="291" t="e">
        <v>#DIV/0!</v>
      </c>
      <c r="N139" s="291" t="e">
        <v>#DIV/0!</v>
      </c>
      <c r="O139" s="291" t="e">
        <v>#DIV/0!</v>
      </c>
      <c r="P139" s="291" t="e">
        <v>#DIV/0!</v>
      </c>
      <c r="Q139" s="291" t="e">
        <v>#DIV/0!</v>
      </c>
      <c r="R139" s="291">
        <v>0</v>
      </c>
      <c r="S139" s="690" t="e">
        <v>#DIV/0!</v>
      </c>
      <c r="U139" s="733" t="e">
        <v>#DIV/0!</v>
      </c>
      <c r="V139" s="734" t="e">
        <v>#DIV/0!</v>
      </c>
      <c r="W139" s="734" t="e">
        <v>#DIV/0!</v>
      </c>
      <c r="X139" s="735" t="e">
        <v>#DIV/0!</v>
      </c>
      <c r="Z139" s="665" t="e">
        <v>#DIV/0!</v>
      </c>
      <c r="AB139" s="733" t="e">
        <v>#DIV/0!</v>
      </c>
      <c r="AC139" s="734" t="e">
        <v>#DIV/0!</v>
      </c>
      <c r="AD139" s="734" t="e">
        <v>#DIV/0!</v>
      </c>
      <c r="AE139" s="735" t="e">
        <v>#DIV/0!</v>
      </c>
      <c r="AG139" s="944" t="e">
        <v>#DIV/0!</v>
      </c>
      <c r="AH139" s="944" t="e">
        <v>#DIV/0!</v>
      </c>
      <c r="AI139" s="944" t="e">
        <v>#DIV/0!</v>
      </c>
      <c r="AJ139" s="944" t="e">
        <v>#DIV/0!</v>
      </c>
      <c r="AN139" s="273"/>
      <c r="AO139" s="273"/>
      <c r="AP139" s="273"/>
      <c r="AQ139" s="273"/>
      <c r="AR139" s="273"/>
      <c r="AS139" s="273"/>
      <c r="AT139" s="273"/>
      <c r="AU139" s="273"/>
      <c r="AV139" s="273"/>
      <c r="AW139" s="273"/>
      <c r="AX139" s="273"/>
      <c r="AY139" s="273"/>
      <c r="AZ139" s="273"/>
      <c r="BA139" s="273"/>
      <c r="BB139" s="273"/>
      <c r="BC139" s="273"/>
      <c r="BD139" s="273"/>
      <c r="BE139" s="273"/>
      <c r="BF139" s="273"/>
      <c r="BG139" s="273"/>
      <c r="BH139" s="273"/>
      <c r="BI139" s="273"/>
      <c r="BJ139" s="273"/>
      <c r="BK139" s="273"/>
      <c r="BL139" s="273"/>
      <c r="BM139" s="273"/>
      <c r="BN139" s="273"/>
    </row>
    <row r="140" spans="1:66" s="665" customFormat="1" ht="15.75" thickBot="1">
      <c r="A140" s="127" t="s">
        <v>14</v>
      </c>
      <c r="B140" s="291" t="e">
        <v>#DIV/0!</v>
      </c>
      <c r="C140" s="291" t="e">
        <v>#DIV/0!</v>
      </c>
      <c r="D140" s="291" t="e">
        <v>#DIV/0!</v>
      </c>
      <c r="E140" s="291" t="e">
        <v>#DIV/0!</v>
      </c>
      <c r="F140" s="291" t="e">
        <v>#DIV/0!</v>
      </c>
      <c r="G140" s="291" t="e">
        <v>#DIV/0!</v>
      </c>
      <c r="H140" s="291" t="e">
        <v>#DIV/0!</v>
      </c>
      <c r="I140" s="291" t="e">
        <v>#DIV/0!</v>
      </c>
      <c r="J140" s="291" t="e">
        <v>#DIV/0!</v>
      </c>
      <c r="K140" s="291" t="e">
        <v>#DIV/0!</v>
      </c>
      <c r="L140" s="291" t="e">
        <v>#DIV/0!</v>
      </c>
      <c r="M140" s="291" t="e">
        <v>#DIV/0!</v>
      </c>
      <c r="N140" s="291" t="e">
        <v>#DIV/0!</v>
      </c>
      <c r="O140" s="291" t="e">
        <v>#DIV/0!</v>
      </c>
      <c r="P140" s="291" t="e">
        <v>#DIV/0!</v>
      </c>
      <c r="Q140" s="291" t="e">
        <v>#DIV/0!</v>
      </c>
      <c r="R140" s="291">
        <v>0</v>
      </c>
      <c r="S140" s="690" t="e">
        <v>#DIV/0!</v>
      </c>
      <c r="U140" s="733" t="e">
        <v>#DIV/0!</v>
      </c>
      <c r="V140" s="734" t="e">
        <v>#DIV/0!</v>
      </c>
      <c r="W140" s="734" t="e">
        <v>#DIV/0!</v>
      </c>
      <c r="X140" s="735" t="e">
        <v>#DIV/0!</v>
      </c>
      <c r="Z140" s="665" t="e">
        <v>#DIV/0!</v>
      </c>
      <c r="AB140" s="733" t="e">
        <v>#DIV/0!</v>
      </c>
      <c r="AC140" s="734" t="e">
        <v>#DIV/0!</v>
      </c>
      <c r="AD140" s="734" t="e">
        <v>#DIV/0!</v>
      </c>
      <c r="AE140" s="735" t="e">
        <v>#DIV/0!</v>
      </c>
      <c r="AG140" s="944" t="e">
        <v>#DIV/0!</v>
      </c>
      <c r="AH140" s="944" t="e">
        <v>#DIV/0!</v>
      </c>
      <c r="AI140" s="944" t="e">
        <v>#DIV/0!</v>
      </c>
      <c r="AJ140" s="944" t="e">
        <v>#DIV/0!</v>
      </c>
      <c r="AN140" s="273"/>
      <c r="AO140" s="273"/>
      <c r="AP140" s="273"/>
      <c r="AQ140" s="273"/>
      <c r="AR140" s="273"/>
      <c r="AS140" s="273"/>
      <c r="AT140" s="273"/>
      <c r="AU140" s="273"/>
      <c r="AV140" s="273"/>
      <c r="AW140" s="273"/>
      <c r="AX140" s="273"/>
      <c r="AY140" s="273"/>
      <c r="AZ140" s="273"/>
      <c r="BA140" s="273"/>
      <c r="BB140" s="273"/>
      <c r="BC140" s="273"/>
      <c r="BD140" s="273"/>
      <c r="BE140" s="273"/>
      <c r="BF140" s="273"/>
      <c r="BG140" s="273"/>
      <c r="BH140" s="273"/>
      <c r="BI140" s="273"/>
      <c r="BJ140" s="273"/>
      <c r="BK140" s="273"/>
      <c r="BL140" s="273"/>
      <c r="BM140" s="273"/>
      <c r="BN140" s="273"/>
    </row>
    <row r="141" spans="1:66" s="665" customFormat="1" ht="15.75" thickBot="1">
      <c r="A141" s="127" t="s">
        <v>15</v>
      </c>
      <c r="B141" s="291" t="e">
        <v>#DIV/0!</v>
      </c>
      <c r="C141" s="291" t="e">
        <v>#DIV/0!</v>
      </c>
      <c r="D141" s="291" t="e">
        <v>#DIV/0!</v>
      </c>
      <c r="E141" s="291" t="e">
        <v>#DIV/0!</v>
      </c>
      <c r="F141" s="291" t="e">
        <v>#DIV/0!</v>
      </c>
      <c r="G141" s="291" t="e">
        <v>#DIV/0!</v>
      </c>
      <c r="H141" s="291" t="e">
        <v>#DIV/0!</v>
      </c>
      <c r="I141" s="291" t="e">
        <v>#DIV/0!</v>
      </c>
      <c r="J141" s="291" t="e">
        <v>#DIV/0!</v>
      </c>
      <c r="K141" s="291" t="e">
        <v>#DIV/0!</v>
      </c>
      <c r="L141" s="291" t="e">
        <v>#DIV/0!</v>
      </c>
      <c r="M141" s="291" t="e">
        <v>#DIV/0!</v>
      </c>
      <c r="N141" s="291" t="e">
        <v>#DIV/0!</v>
      </c>
      <c r="O141" s="291" t="e">
        <v>#DIV/0!</v>
      </c>
      <c r="P141" s="291" t="e">
        <v>#DIV/0!</v>
      </c>
      <c r="Q141" s="291" t="e">
        <v>#DIV/0!</v>
      </c>
      <c r="R141" s="291">
        <v>0</v>
      </c>
      <c r="S141" s="690" t="e">
        <v>#DIV/0!</v>
      </c>
      <c r="U141" s="733" t="e">
        <v>#DIV/0!</v>
      </c>
      <c r="V141" s="734" t="e">
        <v>#DIV/0!</v>
      </c>
      <c r="W141" s="734" t="e">
        <v>#DIV/0!</v>
      </c>
      <c r="X141" s="735" t="e">
        <v>#DIV/0!</v>
      </c>
      <c r="Z141" s="665" t="e">
        <v>#DIV/0!</v>
      </c>
      <c r="AB141" s="733" t="e">
        <v>#DIV/0!</v>
      </c>
      <c r="AC141" s="734" t="e">
        <v>#DIV/0!</v>
      </c>
      <c r="AD141" s="734" t="e">
        <v>#DIV/0!</v>
      </c>
      <c r="AE141" s="735" t="e">
        <v>#DIV/0!</v>
      </c>
      <c r="AG141" s="944" t="e">
        <v>#DIV/0!</v>
      </c>
      <c r="AH141" s="944" t="e">
        <v>#DIV/0!</v>
      </c>
      <c r="AI141" s="944" t="e">
        <v>#DIV/0!</v>
      </c>
      <c r="AJ141" s="944" t="e">
        <v>#DIV/0!</v>
      </c>
      <c r="AN141" s="273"/>
      <c r="AO141" s="273"/>
      <c r="AP141" s="273"/>
      <c r="AQ141" s="273"/>
      <c r="AR141" s="273"/>
      <c r="AS141" s="273"/>
      <c r="AT141" s="273"/>
      <c r="AU141" s="273"/>
      <c r="AV141" s="273"/>
      <c r="AW141" s="273"/>
      <c r="AX141" s="273"/>
      <c r="AY141" s="273"/>
      <c r="AZ141" s="273"/>
      <c r="BA141" s="273"/>
      <c r="BB141" s="273"/>
      <c r="BC141" s="273"/>
      <c r="BD141" s="273"/>
      <c r="BE141" s="273"/>
      <c r="BF141" s="273"/>
      <c r="BG141" s="273"/>
      <c r="BH141" s="273"/>
      <c r="BI141" s="273"/>
      <c r="BJ141" s="273"/>
      <c r="BK141" s="273"/>
      <c r="BL141" s="273"/>
      <c r="BM141" s="273"/>
      <c r="BN141" s="273"/>
    </row>
    <row r="142" spans="1:66" s="665" customFormat="1" ht="15.75" thickBot="1">
      <c r="A142" s="127" t="s">
        <v>16</v>
      </c>
      <c r="B142" s="291" t="e">
        <v>#DIV/0!</v>
      </c>
      <c r="C142" s="291" t="e">
        <v>#DIV/0!</v>
      </c>
      <c r="D142" s="291" t="e">
        <v>#DIV/0!</v>
      </c>
      <c r="E142" s="291" t="e">
        <v>#DIV/0!</v>
      </c>
      <c r="F142" s="291" t="e">
        <v>#DIV/0!</v>
      </c>
      <c r="G142" s="291" t="e">
        <v>#DIV/0!</v>
      </c>
      <c r="H142" s="291" t="e">
        <v>#DIV/0!</v>
      </c>
      <c r="I142" s="291" t="e">
        <v>#DIV/0!</v>
      </c>
      <c r="J142" s="291" t="e">
        <v>#DIV/0!</v>
      </c>
      <c r="K142" s="291" t="e">
        <v>#DIV/0!</v>
      </c>
      <c r="L142" s="291" t="e">
        <v>#DIV/0!</v>
      </c>
      <c r="M142" s="291" t="e">
        <v>#DIV/0!</v>
      </c>
      <c r="N142" s="291" t="e">
        <v>#DIV/0!</v>
      </c>
      <c r="O142" s="291" t="e">
        <v>#DIV/0!</v>
      </c>
      <c r="P142" s="291" t="e">
        <v>#DIV/0!</v>
      </c>
      <c r="Q142" s="291" t="e">
        <v>#DIV/0!</v>
      </c>
      <c r="R142" s="291">
        <v>0</v>
      </c>
      <c r="S142" s="690" t="e">
        <v>#DIV/0!</v>
      </c>
      <c r="U142" s="733" t="e">
        <v>#DIV/0!</v>
      </c>
      <c r="V142" s="734" t="e">
        <v>#DIV/0!</v>
      </c>
      <c r="W142" s="734" t="e">
        <v>#DIV/0!</v>
      </c>
      <c r="X142" s="735" t="e">
        <v>#DIV/0!</v>
      </c>
      <c r="Z142" s="665" t="e">
        <v>#DIV/0!</v>
      </c>
      <c r="AB142" s="733" t="e">
        <v>#DIV/0!</v>
      </c>
      <c r="AC142" s="734" t="e">
        <v>#DIV/0!</v>
      </c>
      <c r="AD142" s="734" t="e">
        <v>#DIV/0!</v>
      </c>
      <c r="AE142" s="735" t="e">
        <v>#DIV/0!</v>
      </c>
      <c r="AG142" s="944" t="e">
        <v>#DIV/0!</v>
      </c>
      <c r="AH142" s="944" t="e">
        <v>#DIV/0!</v>
      </c>
      <c r="AI142" s="944" t="e">
        <v>#DIV/0!</v>
      </c>
      <c r="AJ142" s="944" t="e">
        <v>#DIV/0!</v>
      </c>
      <c r="AN142" s="273"/>
      <c r="AO142" s="273"/>
      <c r="AP142" s="273"/>
      <c r="AQ142" s="273"/>
      <c r="AR142" s="273"/>
      <c r="AS142" s="273"/>
      <c r="AT142" s="273"/>
      <c r="AU142" s="273"/>
      <c r="AV142" s="273"/>
      <c r="AW142" s="273"/>
      <c r="AX142" s="273"/>
      <c r="AY142" s="273"/>
      <c r="AZ142" s="273"/>
      <c r="BA142" s="273"/>
      <c r="BB142" s="273"/>
      <c r="BC142" s="273"/>
      <c r="BD142" s="273"/>
      <c r="BE142" s="273"/>
      <c r="BF142" s="273"/>
      <c r="BG142" s="273"/>
      <c r="BH142" s="273"/>
      <c r="BI142" s="273"/>
      <c r="BJ142" s="273"/>
      <c r="BK142" s="273"/>
      <c r="BL142" s="273"/>
      <c r="BM142" s="273"/>
      <c r="BN142" s="273"/>
    </row>
    <row r="143" spans="1:66" s="665" customFormat="1" ht="15.75" thickBot="1">
      <c r="A143" s="127" t="s">
        <v>17</v>
      </c>
      <c r="B143" s="291" t="e">
        <v>#DIV/0!</v>
      </c>
      <c r="C143" s="291" t="e">
        <v>#DIV/0!</v>
      </c>
      <c r="D143" s="291" t="e">
        <v>#DIV/0!</v>
      </c>
      <c r="E143" s="291" t="e">
        <v>#DIV/0!</v>
      </c>
      <c r="F143" s="291" t="e">
        <v>#DIV/0!</v>
      </c>
      <c r="G143" s="291" t="e">
        <v>#DIV/0!</v>
      </c>
      <c r="H143" s="291" t="e">
        <v>#DIV/0!</v>
      </c>
      <c r="I143" s="291" t="e">
        <v>#DIV/0!</v>
      </c>
      <c r="J143" s="291" t="e">
        <v>#DIV/0!</v>
      </c>
      <c r="K143" s="291" t="e">
        <v>#DIV/0!</v>
      </c>
      <c r="L143" s="291" t="e">
        <v>#DIV/0!</v>
      </c>
      <c r="M143" s="291" t="e">
        <v>#DIV/0!</v>
      </c>
      <c r="N143" s="291" t="e">
        <v>#DIV/0!</v>
      </c>
      <c r="O143" s="291" t="e">
        <v>#DIV/0!</v>
      </c>
      <c r="P143" s="291" t="e">
        <v>#DIV/0!</v>
      </c>
      <c r="Q143" s="291" t="e">
        <v>#DIV/0!</v>
      </c>
      <c r="R143" s="291">
        <v>0</v>
      </c>
      <c r="S143" s="690" t="e">
        <v>#DIV/0!</v>
      </c>
      <c r="U143" s="733" t="e">
        <v>#DIV/0!</v>
      </c>
      <c r="V143" s="734" t="e">
        <v>#DIV/0!</v>
      </c>
      <c r="W143" s="734" t="e">
        <v>#DIV/0!</v>
      </c>
      <c r="X143" s="735" t="e">
        <v>#DIV/0!</v>
      </c>
      <c r="Z143" s="665" t="e">
        <v>#DIV/0!</v>
      </c>
      <c r="AB143" s="733" t="e">
        <v>#DIV/0!</v>
      </c>
      <c r="AC143" s="734" t="e">
        <v>#DIV/0!</v>
      </c>
      <c r="AD143" s="734" t="e">
        <v>#DIV/0!</v>
      </c>
      <c r="AE143" s="735" t="e">
        <v>#DIV/0!</v>
      </c>
      <c r="AG143" s="944" t="e">
        <v>#DIV/0!</v>
      </c>
      <c r="AH143" s="944" t="e">
        <v>#DIV/0!</v>
      </c>
      <c r="AI143" s="944" t="e">
        <v>#DIV/0!</v>
      </c>
      <c r="AJ143" s="944" t="e">
        <v>#DIV/0!</v>
      </c>
      <c r="AN143" s="273"/>
      <c r="AO143" s="273"/>
      <c r="AP143" s="273"/>
      <c r="AQ143" s="273"/>
      <c r="AR143" s="273"/>
      <c r="AS143" s="273"/>
      <c r="AT143" s="273"/>
      <c r="AU143" s="273"/>
      <c r="AV143" s="273"/>
      <c r="AW143" s="273"/>
      <c r="AX143" s="273"/>
      <c r="AY143" s="273"/>
      <c r="AZ143" s="273"/>
      <c r="BA143" s="273"/>
      <c r="BB143" s="273"/>
      <c r="BC143" s="273"/>
      <c r="BD143" s="273"/>
      <c r="BE143" s="273"/>
      <c r="BF143" s="273"/>
      <c r="BG143" s="273"/>
      <c r="BH143" s="273"/>
      <c r="BI143" s="273"/>
      <c r="BJ143" s="273"/>
      <c r="BK143" s="273"/>
      <c r="BL143" s="273"/>
      <c r="BM143" s="273"/>
      <c r="BN143" s="273"/>
    </row>
    <row r="144" spans="1:66" s="665" customFormat="1" ht="15.75" thickBot="1">
      <c r="A144" s="127" t="s">
        <v>18</v>
      </c>
      <c r="B144" s="291" t="e">
        <v>#DIV/0!</v>
      </c>
      <c r="C144" s="291" t="e">
        <v>#DIV/0!</v>
      </c>
      <c r="D144" s="291" t="e">
        <v>#DIV/0!</v>
      </c>
      <c r="E144" s="291" t="e">
        <v>#DIV/0!</v>
      </c>
      <c r="F144" s="291" t="e">
        <v>#DIV/0!</v>
      </c>
      <c r="G144" s="291" t="e">
        <v>#DIV/0!</v>
      </c>
      <c r="H144" s="291" t="e">
        <v>#DIV/0!</v>
      </c>
      <c r="I144" s="291" t="e">
        <v>#DIV/0!</v>
      </c>
      <c r="J144" s="291" t="e">
        <v>#DIV/0!</v>
      </c>
      <c r="K144" s="291" t="e">
        <v>#DIV/0!</v>
      </c>
      <c r="L144" s="291" t="e">
        <v>#DIV/0!</v>
      </c>
      <c r="M144" s="291" t="e">
        <v>#DIV/0!</v>
      </c>
      <c r="N144" s="291" t="e">
        <v>#DIV/0!</v>
      </c>
      <c r="O144" s="291" t="e">
        <v>#DIV/0!</v>
      </c>
      <c r="P144" s="291" t="e">
        <v>#DIV/0!</v>
      </c>
      <c r="Q144" s="291" t="e">
        <v>#DIV/0!</v>
      </c>
      <c r="R144" s="291">
        <v>0</v>
      </c>
      <c r="S144" s="690" t="e">
        <v>#DIV/0!</v>
      </c>
      <c r="U144" s="733" t="e">
        <v>#DIV/0!</v>
      </c>
      <c r="V144" s="734" t="e">
        <v>#DIV/0!</v>
      </c>
      <c r="W144" s="734" t="e">
        <v>#DIV/0!</v>
      </c>
      <c r="X144" s="735" t="e">
        <v>#DIV/0!</v>
      </c>
      <c r="Z144" s="665" t="e">
        <v>#DIV/0!</v>
      </c>
      <c r="AB144" s="733" t="e">
        <v>#DIV/0!</v>
      </c>
      <c r="AC144" s="734" t="e">
        <v>#DIV/0!</v>
      </c>
      <c r="AD144" s="734" t="e">
        <v>#DIV/0!</v>
      </c>
      <c r="AE144" s="735" t="e">
        <v>#DIV/0!</v>
      </c>
      <c r="AG144" s="944" t="e">
        <v>#DIV/0!</v>
      </c>
      <c r="AH144" s="944" t="e">
        <v>#DIV/0!</v>
      </c>
      <c r="AI144" s="944" t="e">
        <v>#DIV/0!</v>
      </c>
      <c r="AJ144" s="944" t="e">
        <v>#DIV/0!</v>
      </c>
      <c r="AN144" s="273"/>
      <c r="AO144" s="273"/>
      <c r="AP144" s="273"/>
      <c r="AQ144" s="273"/>
      <c r="AR144" s="273"/>
      <c r="AS144" s="273"/>
      <c r="AT144" s="273"/>
      <c r="AU144" s="273"/>
      <c r="AV144" s="273"/>
      <c r="AW144" s="273"/>
      <c r="AX144" s="273"/>
      <c r="AY144" s="273"/>
      <c r="AZ144" s="273"/>
      <c r="BA144" s="273"/>
      <c r="BB144" s="273"/>
      <c r="BC144" s="273"/>
      <c r="BD144" s="273"/>
      <c r="BE144" s="273"/>
      <c r="BF144" s="273"/>
      <c r="BG144" s="273"/>
      <c r="BH144" s="273"/>
      <c r="BI144" s="273"/>
      <c r="BJ144" s="273"/>
      <c r="BK144" s="273"/>
      <c r="BL144" s="273"/>
      <c r="BM144" s="273"/>
      <c r="BN144" s="273"/>
    </row>
    <row r="145" spans="1:66" s="665" customFormat="1" ht="15.75" thickBot="1">
      <c r="A145" s="128" t="s">
        <v>19</v>
      </c>
      <c r="B145" s="291" t="e">
        <v>#DIV/0!</v>
      </c>
      <c r="C145" s="291" t="e">
        <v>#DIV/0!</v>
      </c>
      <c r="D145" s="291" t="e">
        <v>#DIV/0!</v>
      </c>
      <c r="E145" s="291" t="e">
        <v>#DIV/0!</v>
      </c>
      <c r="F145" s="291" t="e">
        <v>#DIV/0!</v>
      </c>
      <c r="G145" s="291" t="e">
        <v>#DIV/0!</v>
      </c>
      <c r="H145" s="291" t="e">
        <v>#DIV/0!</v>
      </c>
      <c r="I145" s="291" t="e">
        <v>#DIV/0!</v>
      </c>
      <c r="J145" s="291" t="e">
        <v>#DIV/0!</v>
      </c>
      <c r="K145" s="291" t="e">
        <v>#DIV/0!</v>
      </c>
      <c r="L145" s="291" t="e">
        <v>#DIV/0!</v>
      </c>
      <c r="M145" s="291" t="e">
        <v>#DIV/0!</v>
      </c>
      <c r="N145" s="291" t="e">
        <v>#DIV/0!</v>
      </c>
      <c r="O145" s="291" t="e">
        <v>#DIV/0!</v>
      </c>
      <c r="P145" s="291" t="e">
        <v>#DIV/0!</v>
      </c>
      <c r="Q145" s="291" t="e">
        <v>#DIV/0!</v>
      </c>
      <c r="R145" s="291">
        <v>0</v>
      </c>
      <c r="S145" s="690" t="e">
        <v>#DIV/0!</v>
      </c>
      <c r="U145" s="733" t="e">
        <v>#DIV/0!</v>
      </c>
      <c r="V145" s="734" t="e">
        <v>#DIV/0!</v>
      </c>
      <c r="W145" s="734" t="e">
        <v>#DIV/0!</v>
      </c>
      <c r="X145" s="735" t="e">
        <v>#DIV/0!</v>
      </c>
      <c r="Z145" s="665" t="e">
        <v>#DIV/0!</v>
      </c>
      <c r="AB145" s="733" t="e">
        <v>#DIV/0!</v>
      </c>
      <c r="AC145" s="734" t="e">
        <v>#DIV/0!</v>
      </c>
      <c r="AD145" s="734" t="e">
        <v>#DIV/0!</v>
      </c>
      <c r="AE145" s="735" t="e">
        <v>#DIV/0!</v>
      </c>
      <c r="AG145" s="944" t="e">
        <v>#DIV/0!</v>
      </c>
      <c r="AH145" s="944" t="e">
        <v>#DIV/0!</v>
      </c>
      <c r="AI145" s="944" t="e">
        <v>#DIV/0!</v>
      </c>
      <c r="AJ145" s="944" t="e">
        <v>#DIV/0!</v>
      </c>
      <c r="AN145" s="273"/>
      <c r="AO145" s="273"/>
      <c r="AP145" s="273"/>
      <c r="AQ145" s="273"/>
      <c r="AR145" s="273"/>
      <c r="AS145" s="273"/>
      <c r="AT145" s="273"/>
      <c r="AU145" s="273"/>
      <c r="AV145" s="273"/>
      <c r="AW145" s="273"/>
      <c r="AX145" s="273"/>
      <c r="AY145" s="273"/>
      <c r="AZ145" s="273"/>
      <c r="BA145" s="273"/>
      <c r="BB145" s="273"/>
      <c r="BC145" s="273"/>
      <c r="BD145" s="273"/>
      <c r="BE145" s="273"/>
      <c r="BF145" s="273"/>
      <c r="BG145" s="273"/>
      <c r="BH145" s="273"/>
      <c r="BI145" s="273"/>
      <c r="BJ145" s="273"/>
      <c r="BK145" s="273"/>
      <c r="BL145" s="273"/>
      <c r="BM145" s="273"/>
      <c r="BN145" s="273"/>
    </row>
    <row r="146" spans="1:66" s="665" customFormat="1" ht="15.75" thickBot="1">
      <c r="A146" s="269" t="s">
        <v>54</v>
      </c>
      <c r="B146" s="291" t="e">
        <v>#DIV/0!</v>
      </c>
      <c r="C146" s="291" t="e">
        <v>#DIV/0!</v>
      </c>
      <c r="D146" s="291" t="e">
        <v>#DIV/0!</v>
      </c>
      <c r="E146" s="291" t="e">
        <v>#DIV/0!</v>
      </c>
      <c r="F146" s="291" t="e">
        <v>#DIV/0!</v>
      </c>
      <c r="G146" s="291" t="e">
        <v>#DIV/0!</v>
      </c>
      <c r="H146" s="291" t="e">
        <v>#DIV/0!</v>
      </c>
      <c r="I146" s="291" t="e">
        <v>#DIV/0!</v>
      </c>
      <c r="J146" s="291" t="e">
        <v>#DIV/0!</v>
      </c>
      <c r="K146" s="291" t="e">
        <v>#DIV/0!</v>
      </c>
      <c r="L146" s="291" t="e">
        <v>#DIV/0!</v>
      </c>
      <c r="M146" s="291" t="e">
        <v>#DIV/0!</v>
      </c>
      <c r="N146" s="291" t="e">
        <v>#DIV/0!</v>
      </c>
      <c r="O146" s="291" t="e">
        <v>#DIV/0!</v>
      </c>
      <c r="P146" s="291" t="e">
        <v>#DIV/0!</v>
      </c>
      <c r="Q146" s="291" t="e">
        <v>#DIV/0!</v>
      </c>
      <c r="R146" s="291">
        <v>0</v>
      </c>
      <c r="S146" s="690" t="e">
        <v>#DIV/0!</v>
      </c>
      <c r="U146" s="733" t="e">
        <v>#DIV/0!</v>
      </c>
      <c r="V146" s="734" t="e">
        <v>#DIV/0!</v>
      </c>
      <c r="W146" s="734" t="e">
        <v>#DIV/0!</v>
      </c>
      <c r="X146" s="735" t="e">
        <v>#DIV/0!</v>
      </c>
      <c r="AB146" s="733" t="e">
        <v>#DIV/0!</v>
      </c>
      <c r="AC146" s="734" t="e">
        <v>#DIV/0!</v>
      </c>
      <c r="AD146" s="734" t="e">
        <v>#DIV/0!</v>
      </c>
      <c r="AE146" s="735" t="e">
        <v>#DIV/0!</v>
      </c>
      <c r="AG146" s="944" t="e">
        <v>#DIV/0!</v>
      </c>
      <c r="AH146" s="944" t="e">
        <v>#DIV/0!</v>
      </c>
      <c r="AI146" s="944" t="e">
        <v>#DIV/0!</v>
      </c>
      <c r="AJ146" s="944" t="e">
        <v>#DIV/0!</v>
      </c>
      <c r="AN146" s="273"/>
      <c r="AO146" s="273"/>
      <c r="AP146" s="273"/>
      <c r="AQ146" s="273"/>
      <c r="AR146" s="273"/>
      <c r="AS146" s="273"/>
      <c r="AT146" s="273"/>
      <c r="AU146" s="273"/>
      <c r="AV146" s="273"/>
      <c r="AW146" s="273"/>
      <c r="AX146" s="273"/>
      <c r="AY146" s="273"/>
      <c r="AZ146" s="273"/>
      <c r="BA146" s="273"/>
      <c r="BB146" s="273"/>
      <c r="BC146" s="273"/>
      <c r="BD146" s="273"/>
      <c r="BE146" s="273"/>
      <c r="BF146" s="273"/>
      <c r="BG146" s="273"/>
      <c r="BH146" s="273"/>
      <c r="BI146" s="273"/>
      <c r="BJ146" s="273"/>
      <c r="BK146" s="273"/>
      <c r="BL146" s="273"/>
      <c r="BM146" s="273"/>
      <c r="BN146" s="273"/>
    </row>
    <row r="147" spans="1:66" s="665" customFormat="1" ht="15.75" thickBot="1">
      <c r="A147" s="127" t="s">
        <v>21</v>
      </c>
      <c r="B147" s="291" t="e">
        <v>#DIV/0!</v>
      </c>
      <c r="C147" s="291" t="e">
        <v>#DIV/0!</v>
      </c>
      <c r="D147" s="291" t="e">
        <v>#DIV/0!</v>
      </c>
      <c r="E147" s="291" t="e">
        <v>#DIV/0!</v>
      </c>
      <c r="F147" s="291" t="e">
        <v>#DIV/0!</v>
      </c>
      <c r="G147" s="291" t="e">
        <v>#DIV/0!</v>
      </c>
      <c r="H147" s="291" t="e">
        <v>#DIV/0!</v>
      </c>
      <c r="I147" s="291" t="e">
        <v>#DIV/0!</v>
      </c>
      <c r="J147" s="291" t="e">
        <v>#DIV/0!</v>
      </c>
      <c r="K147" s="291" t="e">
        <v>#DIV/0!</v>
      </c>
      <c r="L147" s="291" t="e">
        <v>#DIV/0!</v>
      </c>
      <c r="M147" s="291" t="e">
        <v>#DIV/0!</v>
      </c>
      <c r="N147" s="291" t="e">
        <v>#DIV/0!</v>
      </c>
      <c r="O147" s="291" t="e">
        <v>#DIV/0!</v>
      </c>
      <c r="P147" s="291" t="e">
        <v>#DIV/0!</v>
      </c>
      <c r="Q147" s="291" t="e">
        <v>#DIV/0!</v>
      </c>
      <c r="R147" s="291">
        <v>0</v>
      </c>
      <c r="S147" s="690" t="e">
        <v>#DIV/0!</v>
      </c>
      <c r="U147" s="733" t="e">
        <v>#DIV/0!</v>
      </c>
      <c r="V147" s="734" t="e">
        <v>#DIV/0!</v>
      </c>
      <c r="W147" s="734" t="e">
        <v>#DIV/0!</v>
      </c>
      <c r="X147" s="735" t="e">
        <v>#DIV/0!</v>
      </c>
      <c r="Z147" s="665" t="e">
        <v>#DIV/0!</v>
      </c>
      <c r="AB147" s="733" t="e">
        <v>#DIV/0!</v>
      </c>
      <c r="AC147" s="734" t="e">
        <v>#DIV/0!</v>
      </c>
      <c r="AD147" s="734" t="e">
        <v>#DIV/0!</v>
      </c>
      <c r="AE147" s="735" t="e">
        <v>#DIV/0!</v>
      </c>
      <c r="AG147" s="944" t="e">
        <v>#DIV/0!</v>
      </c>
      <c r="AH147" s="944" t="e">
        <v>#DIV/0!</v>
      </c>
      <c r="AI147" s="944" t="e">
        <v>#DIV/0!</v>
      </c>
      <c r="AJ147" s="944" t="e">
        <v>#DIV/0!</v>
      </c>
      <c r="AN147" s="273"/>
      <c r="AO147" s="273"/>
      <c r="AP147" s="273"/>
      <c r="AQ147" s="273"/>
      <c r="AR147" s="273"/>
      <c r="AS147" s="273"/>
      <c r="AT147" s="273"/>
      <c r="AU147" s="273"/>
      <c r="AV147" s="273"/>
      <c r="AW147" s="273"/>
      <c r="AX147" s="273"/>
      <c r="AY147" s="273"/>
      <c r="AZ147" s="273"/>
      <c r="BA147" s="273"/>
      <c r="BB147" s="273"/>
      <c r="BC147" s="273"/>
      <c r="BD147" s="273"/>
      <c r="BE147" s="273"/>
      <c r="BF147" s="273"/>
      <c r="BG147" s="273"/>
      <c r="BH147" s="273"/>
      <c r="BI147" s="273"/>
      <c r="BJ147" s="273"/>
      <c r="BK147" s="273"/>
      <c r="BL147" s="273"/>
      <c r="BM147" s="273"/>
      <c r="BN147" s="273"/>
    </row>
    <row r="148" spans="1:66" s="665" customFormat="1" ht="15.75" thickBot="1">
      <c r="A148" s="127" t="s">
        <v>22</v>
      </c>
      <c r="B148" s="291" t="e">
        <v>#DIV/0!</v>
      </c>
      <c r="C148" s="291" t="e">
        <v>#DIV/0!</v>
      </c>
      <c r="D148" s="291" t="e">
        <v>#DIV/0!</v>
      </c>
      <c r="E148" s="291" t="e">
        <v>#DIV/0!</v>
      </c>
      <c r="F148" s="291" t="e">
        <v>#DIV/0!</v>
      </c>
      <c r="G148" s="291" t="e">
        <v>#DIV/0!</v>
      </c>
      <c r="H148" s="291" t="e">
        <v>#DIV/0!</v>
      </c>
      <c r="I148" s="291" t="e">
        <v>#DIV/0!</v>
      </c>
      <c r="J148" s="291" t="e">
        <v>#DIV/0!</v>
      </c>
      <c r="K148" s="291" t="e">
        <v>#DIV/0!</v>
      </c>
      <c r="L148" s="291" t="e">
        <v>#DIV/0!</v>
      </c>
      <c r="M148" s="291" t="e">
        <v>#DIV/0!</v>
      </c>
      <c r="N148" s="291" t="e">
        <v>#DIV/0!</v>
      </c>
      <c r="O148" s="291" t="e">
        <v>#DIV/0!</v>
      </c>
      <c r="P148" s="291" t="e">
        <v>#DIV/0!</v>
      </c>
      <c r="Q148" s="291" t="e">
        <v>#DIV/0!</v>
      </c>
      <c r="R148" s="291">
        <v>0</v>
      </c>
      <c r="S148" s="690" t="e">
        <v>#DIV/0!</v>
      </c>
      <c r="U148" s="733" t="e">
        <v>#DIV/0!</v>
      </c>
      <c r="V148" s="734" t="e">
        <v>#DIV/0!</v>
      </c>
      <c r="W148" s="734" t="e">
        <v>#DIV/0!</v>
      </c>
      <c r="X148" s="735" t="e">
        <v>#DIV/0!</v>
      </c>
      <c r="Z148" s="665" t="e">
        <v>#DIV/0!</v>
      </c>
      <c r="AB148" s="733" t="e">
        <v>#DIV/0!</v>
      </c>
      <c r="AC148" s="734" t="e">
        <v>#DIV/0!</v>
      </c>
      <c r="AD148" s="734" t="e">
        <v>#DIV/0!</v>
      </c>
      <c r="AE148" s="735" t="e">
        <v>#DIV/0!</v>
      </c>
      <c r="AG148" s="944" t="e">
        <v>#DIV/0!</v>
      </c>
      <c r="AH148" s="944" t="e">
        <v>#DIV/0!</v>
      </c>
      <c r="AI148" s="944" t="e">
        <v>#DIV/0!</v>
      </c>
      <c r="AJ148" s="944" t="e">
        <v>#DIV/0!</v>
      </c>
      <c r="AN148" s="273"/>
      <c r="AO148" s="273"/>
      <c r="AP148" s="273"/>
      <c r="AQ148" s="273"/>
      <c r="AR148" s="273"/>
      <c r="AS148" s="273"/>
      <c r="AT148" s="273"/>
      <c r="AU148" s="273"/>
      <c r="AV148" s="273"/>
      <c r="AW148" s="273"/>
      <c r="AX148" s="273"/>
      <c r="AY148" s="273"/>
      <c r="AZ148" s="273"/>
      <c r="BA148" s="273"/>
      <c r="BB148" s="273"/>
      <c r="BC148" s="273"/>
      <c r="BD148" s="273"/>
      <c r="BE148" s="273"/>
      <c r="BF148" s="273"/>
      <c r="BG148" s="273"/>
      <c r="BH148" s="273"/>
      <c r="BI148" s="273"/>
      <c r="BJ148" s="273"/>
      <c r="BK148" s="273"/>
      <c r="BL148" s="273"/>
      <c r="BM148" s="273"/>
      <c r="BN148" s="273"/>
    </row>
    <row r="149" spans="1:66" s="665" customFormat="1" ht="15.75" thickBot="1">
      <c r="A149" s="127" t="s">
        <v>23</v>
      </c>
      <c r="B149" s="291" t="e">
        <v>#DIV/0!</v>
      </c>
      <c r="C149" s="291" t="e">
        <v>#DIV/0!</v>
      </c>
      <c r="D149" s="291" t="e">
        <v>#DIV/0!</v>
      </c>
      <c r="E149" s="291" t="e">
        <v>#DIV/0!</v>
      </c>
      <c r="F149" s="291" t="e">
        <v>#DIV/0!</v>
      </c>
      <c r="G149" s="291" t="e">
        <v>#DIV/0!</v>
      </c>
      <c r="H149" s="291" t="e">
        <v>#DIV/0!</v>
      </c>
      <c r="I149" s="291" t="e">
        <v>#DIV/0!</v>
      </c>
      <c r="J149" s="291" t="e">
        <v>#DIV/0!</v>
      </c>
      <c r="K149" s="291" t="e">
        <v>#DIV/0!</v>
      </c>
      <c r="L149" s="291" t="e">
        <v>#DIV/0!</v>
      </c>
      <c r="M149" s="291" t="e">
        <v>#DIV/0!</v>
      </c>
      <c r="N149" s="291" t="e">
        <v>#DIV/0!</v>
      </c>
      <c r="O149" s="291" t="e">
        <v>#DIV/0!</v>
      </c>
      <c r="P149" s="291" t="e">
        <v>#DIV/0!</v>
      </c>
      <c r="Q149" s="291" t="e">
        <v>#DIV/0!</v>
      </c>
      <c r="R149" s="291">
        <v>0</v>
      </c>
      <c r="S149" s="690" t="e">
        <v>#DIV/0!</v>
      </c>
      <c r="U149" s="733" t="e">
        <v>#DIV/0!</v>
      </c>
      <c r="V149" s="734" t="e">
        <v>#DIV/0!</v>
      </c>
      <c r="W149" s="734" t="e">
        <v>#DIV/0!</v>
      </c>
      <c r="X149" s="735" t="e">
        <v>#DIV/0!</v>
      </c>
      <c r="Z149" s="665" t="e">
        <v>#DIV/0!</v>
      </c>
      <c r="AB149" s="733" t="e">
        <v>#DIV/0!</v>
      </c>
      <c r="AC149" s="734" t="e">
        <v>#DIV/0!</v>
      </c>
      <c r="AD149" s="734" t="e">
        <v>#DIV/0!</v>
      </c>
      <c r="AE149" s="735" t="e">
        <v>#DIV/0!</v>
      </c>
      <c r="AG149" s="944" t="e">
        <v>#DIV/0!</v>
      </c>
      <c r="AH149" s="944" t="e">
        <v>#DIV/0!</v>
      </c>
      <c r="AI149" s="944" t="e">
        <v>#DIV/0!</v>
      </c>
      <c r="AJ149" s="944" t="e">
        <v>#DIV/0!</v>
      </c>
      <c r="AN149" s="273"/>
      <c r="AO149" s="273"/>
      <c r="AP149" s="273"/>
      <c r="AQ149" s="273"/>
      <c r="AR149" s="273"/>
      <c r="AS149" s="273"/>
      <c r="AT149" s="273"/>
      <c r="AU149" s="273"/>
      <c r="AV149" s="273"/>
      <c r="AW149" s="273"/>
      <c r="AX149" s="273"/>
      <c r="AY149" s="273"/>
      <c r="AZ149" s="273"/>
      <c r="BA149" s="273"/>
      <c r="BB149" s="273"/>
      <c r="BC149" s="273"/>
      <c r="BD149" s="273"/>
      <c r="BE149" s="273"/>
      <c r="BF149" s="273"/>
      <c r="BG149" s="273"/>
      <c r="BH149" s="273"/>
      <c r="BI149" s="273"/>
      <c r="BJ149" s="273"/>
      <c r="BK149" s="273"/>
      <c r="BL149" s="273"/>
      <c r="BM149" s="273"/>
      <c r="BN149" s="273"/>
    </row>
    <row r="150" spans="1:66" s="665" customFormat="1" ht="15.75" thickBot="1">
      <c r="A150" s="127" t="s">
        <v>24</v>
      </c>
      <c r="B150" s="291" t="e">
        <v>#DIV/0!</v>
      </c>
      <c r="C150" s="291" t="e">
        <v>#DIV/0!</v>
      </c>
      <c r="D150" s="291" t="e">
        <v>#DIV/0!</v>
      </c>
      <c r="E150" s="291" t="e">
        <v>#DIV/0!</v>
      </c>
      <c r="F150" s="291" t="e">
        <v>#DIV/0!</v>
      </c>
      <c r="G150" s="291" t="e">
        <v>#DIV/0!</v>
      </c>
      <c r="H150" s="291" t="e">
        <v>#DIV/0!</v>
      </c>
      <c r="I150" s="291" t="e">
        <v>#DIV/0!</v>
      </c>
      <c r="J150" s="291" t="e">
        <v>#DIV/0!</v>
      </c>
      <c r="K150" s="291" t="e">
        <v>#DIV/0!</v>
      </c>
      <c r="L150" s="291" t="e">
        <v>#DIV/0!</v>
      </c>
      <c r="M150" s="291" t="e">
        <v>#DIV/0!</v>
      </c>
      <c r="N150" s="291" t="e">
        <v>#DIV/0!</v>
      </c>
      <c r="O150" s="291" t="e">
        <v>#DIV/0!</v>
      </c>
      <c r="P150" s="291" t="e">
        <v>#DIV/0!</v>
      </c>
      <c r="Q150" s="291" t="e">
        <v>#DIV/0!</v>
      </c>
      <c r="R150" s="291">
        <v>0</v>
      </c>
      <c r="S150" s="690" t="e">
        <v>#DIV/0!</v>
      </c>
      <c r="U150" s="733" t="e">
        <v>#DIV/0!</v>
      </c>
      <c r="V150" s="734" t="e">
        <v>#DIV/0!</v>
      </c>
      <c r="W150" s="734" t="e">
        <v>#DIV/0!</v>
      </c>
      <c r="X150" s="735" t="e">
        <v>#DIV/0!</v>
      </c>
      <c r="Z150" s="665" t="e">
        <v>#DIV/0!</v>
      </c>
      <c r="AB150" s="733" t="e">
        <v>#DIV/0!</v>
      </c>
      <c r="AC150" s="734" t="e">
        <v>#DIV/0!</v>
      </c>
      <c r="AD150" s="734" t="e">
        <v>#DIV/0!</v>
      </c>
      <c r="AE150" s="735" t="e">
        <v>#DIV/0!</v>
      </c>
      <c r="AG150" s="944" t="e">
        <v>#DIV/0!</v>
      </c>
      <c r="AH150" s="944" t="e">
        <v>#DIV/0!</v>
      </c>
      <c r="AI150" s="944" t="e">
        <v>#DIV/0!</v>
      </c>
      <c r="AJ150" s="944" t="e">
        <v>#DIV/0!</v>
      </c>
      <c r="AN150" s="273"/>
      <c r="AO150" s="273"/>
      <c r="AP150" s="273"/>
      <c r="AQ150" s="273"/>
      <c r="AR150" s="273"/>
      <c r="AS150" s="273"/>
      <c r="AT150" s="273"/>
      <c r="AU150" s="273"/>
      <c r="AV150" s="273"/>
      <c r="AW150" s="273"/>
      <c r="AX150" s="273"/>
      <c r="AY150" s="273"/>
      <c r="AZ150" s="273"/>
      <c r="BA150" s="273"/>
      <c r="BB150" s="273"/>
      <c r="BC150" s="273"/>
      <c r="BD150" s="273"/>
      <c r="BE150" s="273"/>
      <c r="BF150" s="273"/>
      <c r="BG150" s="273"/>
      <c r="BH150" s="273"/>
      <c r="BI150" s="273"/>
      <c r="BJ150" s="273"/>
      <c r="BK150" s="273"/>
      <c r="BL150" s="273"/>
      <c r="BM150" s="273"/>
      <c r="BN150" s="273"/>
    </row>
    <row r="151" spans="1:66" s="665" customFormat="1" ht="15.75" thickBot="1">
      <c r="A151" s="127" t="s">
        <v>25</v>
      </c>
      <c r="B151" s="291" t="e">
        <v>#DIV/0!</v>
      </c>
      <c r="C151" s="291" t="e">
        <v>#DIV/0!</v>
      </c>
      <c r="D151" s="291" t="e">
        <v>#DIV/0!</v>
      </c>
      <c r="E151" s="291" t="e">
        <v>#DIV/0!</v>
      </c>
      <c r="F151" s="291" t="e">
        <v>#DIV/0!</v>
      </c>
      <c r="G151" s="291" t="e">
        <v>#DIV/0!</v>
      </c>
      <c r="H151" s="291" t="e">
        <v>#DIV/0!</v>
      </c>
      <c r="I151" s="291" t="e">
        <v>#DIV/0!</v>
      </c>
      <c r="J151" s="291" t="e">
        <v>#DIV/0!</v>
      </c>
      <c r="K151" s="291" t="e">
        <v>#DIV/0!</v>
      </c>
      <c r="L151" s="291" t="e">
        <v>#DIV/0!</v>
      </c>
      <c r="M151" s="291" t="e">
        <v>#DIV/0!</v>
      </c>
      <c r="N151" s="291" t="e">
        <v>#DIV/0!</v>
      </c>
      <c r="O151" s="291" t="e">
        <v>#DIV/0!</v>
      </c>
      <c r="P151" s="291" t="e">
        <v>#DIV/0!</v>
      </c>
      <c r="Q151" s="291" t="e">
        <v>#DIV/0!</v>
      </c>
      <c r="R151" s="291">
        <v>0</v>
      </c>
      <c r="S151" s="690" t="e">
        <v>#DIV/0!</v>
      </c>
      <c r="U151" s="733" t="e">
        <v>#DIV/0!</v>
      </c>
      <c r="V151" s="734" t="e">
        <v>#DIV/0!</v>
      </c>
      <c r="W151" s="734" t="e">
        <v>#DIV/0!</v>
      </c>
      <c r="X151" s="735" t="e">
        <v>#DIV/0!</v>
      </c>
      <c r="Z151" s="665" t="e">
        <v>#DIV/0!</v>
      </c>
      <c r="AB151" s="733" t="e">
        <v>#DIV/0!</v>
      </c>
      <c r="AC151" s="734" t="e">
        <v>#DIV/0!</v>
      </c>
      <c r="AD151" s="734" t="e">
        <v>#DIV/0!</v>
      </c>
      <c r="AE151" s="735" t="e">
        <v>#DIV/0!</v>
      </c>
      <c r="AG151" s="944" t="e">
        <v>#DIV/0!</v>
      </c>
      <c r="AH151" s="944" t="e">
        <v>#DIV/0!</v>
      </c>
      <c r="AI151" s="944" t="e">
        <v>#DIV/0!</v>
      </c>
      <c r="AJ151" s="944" t="e">
        <v>#DIV/0!</v>
      </c>
      <c r="AN151" s="273"/>
      <c r="AO151" s="273"/>
      <c r="AP151" s="273"/>
      <c r="AQ151" s="273"/>
      <c r="AR151" s="273"/>
      <c r="AS151" s="273"/>
      <c r="AT151" s="273"/>
      <c r="AU151" s="273"/>
      <c r="AV151" s="273"/>
      <c r="AW151" s="273"/>
      <c r="AX151" s="273"/>
      <c r="AY151" s="273"/>
      <c r="AZ151" s="273"/>
      <c r="BA151" s="273"/>
      <c r="BB151" s="273"/>
      <c r="BC151" s="273"/>
      <c r="BD151" s="273"/>
      <c r="BE151" s="273"/>
      <c r="BF151" s="273"/>
      <c r="BG151" s="273"/>
      <c r="BH151" s="273"/>
      <c r="BI151" s="273"/>
      <c r="BJ151" s="273"/>
      <c r="BK151" s="273"/>
      <c r="BL151" s="273"/>
      <c r="BM151" s="273"/>
      <c r="BN151" s="273"/>
    </row>
    <row r="152" spans="1:66" s="665" customFormat="1" ht="15.75" thickBot="1">
      <c r="A152" s="127" t="s">
        <v>26</v>
      </c>
      <c r="B152" s="291" t="e">
        <v>#DIV/0!</v>
      </c>
      <c r="C152" s="291" t="e">
        <v>#DIV/0!</v>
      </c>
      <c r="D152" s="291" t="e">
        <v>#DIV/0!</v>
      </c>
      <c r="E152" s="291" t="e">
        <v>#DIV/0!</v>
      </c>
      <c r="F152" s="291" t="e">
        <v>#DIV/0!</v>
      </c>
      <c r="G152" s="291" t="e">
        <v>#DIV/0!</v>
      </c>
      <c r="H152" s="291" t="e">
        <v>#DIV/0!</v>
      </c>
      <c r="I152" s="291" t="e">
        <v>#DIV/0!</v>
      </c>
      <c r="J152" s="291" t="e">
        <v>#DIV/0!</v>
      </c>
      <c r="K152" s="291" t="e">
        <v>#DIV/0!</v>
      </c>
      <c r="L152" s="291" t="e">
        <v>#DIV/0!</v>
      </c>
      <c r="M152" s="291" t="e">
        <v>#DIV/0!</v>
      </c>
      <c r="N152" s="291" t="e">
        <v>#DIV/0!</v>
      </c>
      <c r="O152" s="291" t="e">
        <v>#DIV/0!</v>
      </c>
      <c r="P152" s="291" t="e">
        <v>#DIV/0!</v>
      </c>
      <c r="Q152" s="291" t="e">
        <v>#DIV/0!</v>
      </c>
      <c r="R152" s="291">
        <v>0</v>
      </c>
      <c r="S152" s="690" t="e">
        <v>#DIV/0!</v>
      </c>
      <c r="U152" s="733" t="e">
        <v>#DIV/0!</v>
      </c>
      <c r="V152" s="734" t="e">
        <v>#DIV/0!</v>
      </c>
      <c r="W152" s="734" t="e">
        <v>#DIV/0!</v>
      </c>
      <c r="X152" s="735" t="e">
        <v>#DIV/0!</v>
      </c>
      <c r="Z152" s="665" t="e">
        <v>#DIV/0!</v>
      </c>
      <c r="AB152" s="733" t="e">
        <v>#DIV/0!</v>
      </c>
      <c r="AC152" s="734" t="e">
        <v>#DIV/0!</v>
      </c>
      <c r="AD152" s="734" t="e">
        <v>#DIV/0!</v>
      </c>
      <c r="AE152" s="735" t="e">
        <v>#DIV/0!</v>
      </c>
      <c r="AG152" s="944" t="e">
        <v>#DIV/0!</v>
      </c>
      <c r="AH152" s="944" t="e">
        <v>#DIV/0!</v>
      </c>
      <c r="AI152" s="944" t="e">
        <v>#DIV/0!</v>
      </c>
      <c r="AJ152" s="944" t="e">
        <v>#DIV/0!</v>
      </c>
      <c r="AN152" s="273"/>
      <c r="AO152" s="273"/>
      <c r="AP152" s="273"/>
      <c r="AQ152" s="273"/>
      <c r="AR152" s="273"/>
      <c r="AS152" s="273"/>
      <c r="AT152" s="273"/>
      <c r="AU152" s="273"/>
      <c r="AV152" s="273"/>
      <c r="AW152" s="273"/>
      <c r="AX152" s="273"/>
      <c r="AY152" s="273"/>
      <c r="AZ152" s="273"/>
      <c r="BA152" s="273"/>
      <c r="BB152" s="273"/>
      <c r="BC152" s="273"/>
      <c r="BD152" s="273"/>
      <c r="BE152" s="273"/>
      <c r="BF152" s="273"/>
      <c r="BG152" s="273"/>
      <c r="BH152" s="273"/>
      <c r="BI152" s="273"/>
      <c r="BJ152" s="273"/>
      <c r="BK152" s="273"/>
      <c r="BL152" s="273"/>
      <c r="BM152" s="273"/>
      <c r="BN152" s="273"/>
    </row>
    <row r="153" spans="1:66" s="665" customFormat="1" ht="15.75" thickBot="1">
      <c r="A153" s="127" t="s">
        <v>27</v>
      </c>
      <c r="B153" s="291" t="e">
        <v>#DIV/0!</v>
      </c>
      <c r="C153" s="291" t="e">
        <v>#DIV/0!</v>
      </c>
      <c r="D153" s="291" t="e">
        <v>#DIV/0!</v>
      </c>
      <c r="E153" s="291" t="e">
        <v>#DIV/0!</v>
      </c>
      <c r="F153" s="291" t="e">
        <v>#DIV/0!</v>
      </c>
      <c r="G153" s="291" t="e">
        <v>#DIV/0!</v>
      </c>
      <c r="H153" s="291" t="e">
        <v>#DIV/0!</v>
      </c>
      <c r="I153" s="291" t="e">
        <v>#DIV/0!</v>
      </c>
      <c r="J153" s="291" t="e">
        <v>#DIV/0!</v>
      </c>
      <c r="K153" s="291" t="e">
        <v>#DIV/0!</v>
      </c>
      <c r="L153" s="291" t="e">
        <v>#DIV/0!</v>
      </c>
      <c r="M153" s="291" t="e">
        <v>#DIV/0!</v>
      </c>
      <c r="N153" s="291" t="e">
        <v>#DIV/0!</v>
      </c>
      <c r="O153" s="291" t="e">
        <v>#DIV/0!</v>
      </c>
      <c r="P153" s="291" t="e">
        <v>#DIV/0!</v>
      </c>
      <c r="Q153" s="291" t="e">
        <v>#DIV/0!</v>
      </c>
      <c r="R153" s="291">
        <v>0</v>
      </c>
      <c r="S153" s="690" t="e">
        <v>#DIV/0!</v>
      </c>
      <c r="U153" s="733" t="e">
        <v>#DIV/0!</v>
      </c>
      <c r="V153" s="734" t="e">
        <v>#DIV/0!</v>
      </c>
      <c r="W153" s="734" t="e">
        <v>#DIV/0!</v>
      </c>
      <c r="X153" s="735" t="e">
        <v>#DIV/0!</v>
      </c>
      <c r="Z153" s="665" t="e">
        <v>#DIV/0!</v>
      </c>
      <c r="AB153" s="733" t="e">
        <v>#DIV/0!</v>
      </c>
      <c r="AC153" s="734" t="e">
        <v>#DIV/0!</v>
      </c>
      <c r="AD153" s="734" t="e">
        <v>#DIV/0!</v>
      </c>
      <c r="AE153" s="735" t="e">
        <v>#DIV/0!</v>
      </c>
      <c r="AG153" s="944" t="e">
        <v>#DIV/0!</v>
      </c>
      <c r="AH153" s="944" t="e">
        <v>#DIV/0!</v>
      </c>
      <c r="AI153" s="944" t="e">
        <v>#DIV/0!</v>
      </c>
      <c r="AJ153" s="944" t="e">
        <v>#DIV/0!</v>
      </c>
      <c r="AN153" s="273"/>
      <c r="AO153" s="273"/>
      <c r="AP153" s="273"/>
      <c r="AQ153" s="273"/>
      <c r="AR153" s="273"/>
      <c r="AS153" s="273"/>
      <c r="AT153" s="273"/>
      <c r="AU153" s="273"/>
      <c r="AV153" s="273"/>
      <c r="AW153" s="273"/>
      <c r="AX153" s="273"/>
      <c r="AY153" s="273"/>
      <c r="AZ153" s="273"/>
      <c r="BA153" s="273"/>
      <c r="BB153" s="273"/>
      <c r="BC153" s="273"/>
      <c r="BD153" s="273"/>
      <c r="BE153" s="273"/>
      <c r="BF153" s="273"/>
      <c r="BG153" s="273"/>
      <c r="BH153" s="273"/>
      <c r="BI153" s="273"/>
      <c r="BJ153" s="273"/>
      <c r="BK153" s="273"/>
      <c r="BL153" s="273"/>
      <c r="BM153" s="273"/>
      <c r="BN153" s="273"/>
    </row>
    <row r="154" spans="1:66" s="665" customFormat="1" ht="15.75" thickBot="1">
      <c r="A154" s="127" t="s">
        <v>28</v>
      </c>
      <c r="B154" s="291" t="e">
        <v>#DIV/0!</v>
      </c>
      <c r="C154" s="291" t="e">
        <v>#DIV/0!</v>
      </c>
      <c r="D154" s="291" t="e">
        <v>#DIV/0!</v>
      </c>
      <c r="E154" s="291" t="e">
        <v>#DIV/0!</v>
      </c>
      <c r="F154" s="291" t="e">
        <v>#DIV/0!</v>
      </c>
      <c r="G154" s="291" t="e">
        <v>#DIV/0!</v>
      </c>
      <c r="H154" s="291" t="e">
        <v>#DIV/0!</v>
      </c>
      <c r="I154" s="291" t="e">
        <v>#DIV/0!</v>
      </c>
      <c r="J154" s="291" t="e">
        <v>#DIV/0!</v>
      </c>
      <c r="K154" s="291" t="e">
        <v>#DIV/0!</v>
      </c>
      <c r="L154" s="291" t="e">
        <v>#DIV/0!</v>
      </c>
      <c r="M154" s="291" t="e">
        <v>#DIV/0!</v>
      </c>
      <c r="N154" s="291" t="e">
        <v>#DIV/0!</v>
      </c>
      <c r="O154" s="291" t="e">
        <v>#DIV/0!</v>
      </c>
      <c r="P154" s="291" t="e">
        <v>#DIV/0!</v>
      </c>
      <c r="Q154" s="291" t="e">
        <v>#DIV/0!</v>
      </c>
      <c r="R154" s="291">
        <v>0</v>
      </c>
      <c r="S154" s="690" t="e">
        <v>#DIV/0!</v>
      </c>
      <c r="U154" s="733" t="e">
        <v>#DIV/0!</v>
      </c>
      <c r="V154" s="734" t="e">
        <v>#DIV/0!</v>
      </c>
      <c r="W154" s="734" t="e">
        <v>#DIV/0!</v>
      </c>
      <c r="X154" s="735" t="e">
        <v>#DIV/0!</v>
      </c>
      <c r="Z154" s="665" t="e">
        <v>#DIV/0!</v>
      </c>
      <c r="AB154" s="733" t="e">
        <v>#DIV/0!</v>
      </c>
      <c r="AC154" s="734" t="e">
        <v>#DIV/0!</v>
      </c>
      <c r="AD154" s="734" t="e">
        <v>#DIV/0!</v>
      </c>
      <c r="AE154" s="735" t="e">
        <v>#DIV/0!</v>
      </c>
      <c r="AG154" s="944" t="e">
        <v>#DIV/0!</v>
      </c>
      <c r="AH154" s="944" t="e">
        <v>#DIV/0!</v>
      </c>
      <c r="AI154" s="944" t="e">
        <v>#DIV/0!</v>
      </c>
      <c r="AJ154" s="944" t="e">
        <v>#DIV/0!</v>
      </c>
      <c r="AN154" s="273"/>
      <c r="AO154" s="273"/>
      <c r="AP154" s="273"/>
      <c r="AQ154" s="273"/>
      <c r="AR154" s="273"/>
      <c r="AS154" s="273"/>
      <c r="AT154" s="273"/>
      <c r="AU154" s="273"/>
      <c r="AV154" s="273"/>
      <c r="AW154" s="273"/>
      <c r="AX154" s="273"/>
      <c r="AY154" s="273"/>
      <c r="AZ154" s="273"/>
      <c r="BA154" s="273"/>
      <c r="BB154" s="273"/>
      <c r="BC154" s="273"/>
      <c r="BD154" s="273"/>
      <c r="BE154" s="273"/>
      <c r="BF154" s="273"/>
      <c r="BG154" s="273"/>
      <c r="BH154" s="273"/>
      <c r="BI154" s="273"/>
      <c r="BJ154" s="273"/>
      <c r="BK154" s="273"/>
      <c r="BL154" s="273"/>
      <c r="BM154" s="273"/>
      <c r="BN154" s="273"/>
    </row>
    <row r="155" spans="1:66" s="665" customFormat="1" ht="15.75" thickBot="1">
      <c r="A155" s="128" t="s">
        <v>29</v>
      </c>
      <c r="B155" s="291" t="e">
        <v>#DIV/0!</v>
      </c>
      <c r="C155" s="291" t="e">
        <v>#DIV/0!</v>
      </c>
      <c r="D155" s="291" t="e">
        <v>#DIV/0!</v>
      </c>
      <c r="E155" s="291" t="e">
        <v>#DIV/0!</v>
      </c>
      <c r="F155" s="291" t="e">
        <v>#DIV/0!</v>
      </c>
      <c r="G155" s="291" t="e">
        <v>#DIV/0!</v>
      </c>
      <c r="H155" s="291" t="e">
        <v>#DIV/0!</v>
      </c>
      <c r="I155" s="291" t="e">
        <v>#DIV/0!</v>
      </c>
      <c r="J155" s="291" t="e">
        <v>#DIV/0!</v>
      </c>
      <c r="K155" s="291" t="e">
        <v>#DIV/0!</v>
      </c>
      <c r="L155" s="291" t="e">
        <v>#DIV/0!</v>
      </c>
      <c r="M155" s="291" t="e">
        <v>#DIV/0!</v>
      </c>
      <c r="N155" s="291" t="e">
        <v>#DIV/0!</v>
      </c>
      <c r="O155" s="291" t="e">
        <v>#DIV/0!</v>
      </c>
      <c r="P155" s="291" t="e">
        <v>#DIV/0!</v>
      </c>
      <c r="Q155" s="291" t="e">
        <v>#DIV/0!</v>
      </c>
      <c r="R155" s="291">
        <v>0</v>
      </c>
      <c r="S155" s="690" t="e">
        <v>#DIV/0!</v>
      </c>
      <c r="U155" s="733" t="e">
        <v>#DIV/0!</v>
      </c>
      <c r="V155" s="734" t="e">
        <v>#DIV/0!</v>
      </c>
      <c r="W155" s="734" t="e">
        <v>#DIV/0!</v>
      </c>
      <c r="X155" s="735" t="e">
        <v>#DIV/0!</v>
      </c>
      <c r="Z155" s="665" t="e">
        <v>#DIV/0!</v>
      </c>
      <c r="AB155" s="733" t="e">
        <v>#DIV/0!</v>
      </c>
      <c r="AC155" s="734" t="e">
        <v>#DIV/0!</v>
      </c>
      <c r="AD155" s="734" t="e">
        <v>#DIV/0!</v>
      </c>
      <c r="AE155" s="735" t="e">
        <v>#DIV/0!</v>
      </c>
      <c r="AG155" s="944" t="e">
        <v>#DIV/0!</v>
      </c>
      <c r="AH155" s="944" t="e">
        <v>#DIV/0!</v>
      </c>
      <c r="AI155" s="944" t="e">
        <v>#DIV/0!</v>
      </c>
      <c r="AJ155" s="944" t="e">
        <v>#DIV/0!</v>
      </c>
      <c r="AN155" s="273"/>
      <c r="AO155" s="273"/>
      <c r="AP155" s="273"/>
      <c r="AQ155" s="273"/>
      <c r="AR155" s="273"/>
      <c r="AS155" s="273"/>
      <c r="AT155" s="273"/>
      <c r="AU155" s="273"/>
      <c r="AV155" s="273"/>
      <c r="AW155" s="273"/>
      <c r="AX155" s="273"/>
      <c r="AY155" s="273"/>
      <c r="AZ155" s="273"/>
      <c r="BA155" s="273"/>
      <c r="BB155" s="273"/>
      <c r="BC155" s="273"/>
      <c r="BD155" s="273"/>
      <c r="BE155" s="273"/>
      <c r="BF155" s="273"/>
      <c r="BG155" s="273"/>
      <c r="BH155" s="273"/>
      <c r="BI155" s="273"/>
      <c r="BJ155" s="273"/>
      <c r="BK155" s="273"/>
      <c r="BL155" s="273"/>
      <c r="BM155" s="273"/>
      <c r="BN155" s="273"/>
    </row>
    <row r="156" spans="1:66" s="665" customFormat="1" ht="15.75" thickBot="1">
      <c r="A156" s="269" t="s">
        <v>64</v>
      </c>
      <c r="B156" s="291" t="e">
        <v>#DIV/0!</v>
      </c>
      <c r="C156" s="291" t="e">
        <v>#DIV/0!</v>
      </c>
      <c r="D156" s="291" t="e">
        <v>#DIV/0!</v>
      </c>
      <c r="E156" s="291" t="e">
        <v>#DIV/0!</v>
      </c>
      <c r="F156" s="291" t="e">
        <v>#DIV/0!</v>
      </c>
      <c r="G156" s="291" t="e">
        <v>#DIV/0!</v>
      </c>
      <c r="H156" s="291" t="e">
        <v>#DIV/0!</v>
      </c>
      <c r="I156" s="291" t="e">
        <v>#DIV/0!</v>
      </c>
      <c r="J156" s="291" t="e">
        <v>#DIV/0!</v>
      </c>
      <c r="K156" s="291" t="e">
        <v>#DIV/0!</v>
      </c>
      <c r="L156" s="291" t="e">
        <v>#DIV/0!</v>
      </c>
      <c r="M156" s="291" t="e">
        <v>#DIV/0!</v>
      </c>
      <c r="N156" s="291" t="e">
        <v>#DIV/0!</v>
      </c>
      <c r="O156" s="291" t="e">
        <v>#DIV/0!</v>
      </c>
      <c r="P156" s="291" t="e">
        <v>#DIV/0!</v>
      </c>
      <c r="Q156" s="291" t="e">
        <v>#DIV/0!</v>
      </c>
      <c r="R156" s="291">
        <v>0</v>
      </c>
      <c r="S156" s="690" t="e">
        <v>#DIV/0!</v>
      </c>
      <c r="U156" s="733" t="e">
        <v>#DIV/0!</v>
      </c>
      <c r="V156" s="734" t="e">
        <v>#DIV/0!</v>
      </c>
      <c r="W156" s="734" t="e">
        <v>#DIV/0!</v>
      </c>
      <c r="X156" s="735" t="e">
        <v>#DIV/0!</v>
      </c>
      <c r="AB156" s="733" t="e">
        <v>#DIV/0!</v>
      </c>
      <c r="AC156" s="734" t="e">
        <v>#DIV/0!</v>
      </c>
      <c r="AD156" s="734" t="e">
        <v>#DIV/0!</v>
      </c>
      <c r="AE156" s="735" t="e">
        <v>#DIV/0!</v>
      </c>
      <c r="AG156" s="944" t="e">
        <v>#DIV/0!</v>
      </c>
      <c r="AH156" s="944" t="e">
        <v>#DIV/0!</v>
      </c>
      <c r="AI156" s="944" t="e">
        <v>#DIV/0!</v>
      </c>
      <c r="AJ156" s="944" t="e">
        <v>#DIV/0!</v>
      </c>
      <c r="AN156" s="273"/>
      <c r="AO156" s="273"/>
      <c r="AP156" s="273"/>
      <c r="AQ156" s="273"/>
      <c r="AR156" s="273"/>
      <c r="AS156" s="273"/>
      <c r="AT156" s="273"/>
      <c r="AU156" s="273"/>
      <c r="AV156" s="273"/>
      <c r="AW156" s="273"/>
      <c r="AX156" s="273"/>
      <c r="AY156" s="273"/>
      <c r="AZ156" s="273"/>
      <c r="BA156" s="273"/>
      <c r="BB156" s="273"/>
      <c r="BC156" s="273"/>
      <c r="BD156" s="273"/>
      <c r="BE156" s="273"/>
      <c r="BF156" s="273"/>
      <c r="BG156" s="273"/>
      <c r="BH156" s="273"/>
      <c r="BI156" s="273"/>
      <c r="BJ156" s="273"/>
      <c r="BK156" s="273"/>
      <c r="BL156" s="273"/>
      <c r="BM156" s="273"/>
      <c r="BN156" s="273"/>
    </row>
    <row r="157" spans="1:66" ht="15.75" thickBot="1">
      <c r="A157" s="127" t="s">
        <v>31</v>
      </c>
      <c r="B157" s="291" t="e">
        <v>#DIV/0!</v>
      </c>
      <c r="C157" s="291" t="e">
        <v>#DIV/0!</v>
      </c>
      <c r="D157" s="291" t="e">
        <v>#DIV/0!</v>
      </c>
      <c r="E157" s="291" t="e">
        <v>#DIV/0!</v>
      </c>
      <c r="F157" s="291" t="e">
        <v>#DIV/0!</v>
      </c>
      <c r="G157" s="291" t="e">
        <v>#DIV/0!</v>
      </c>
      <c r="H157" s="291" t="e">
        <v>#DIV/0!</v>
      </c>
      <c r="I157" s="291" t="e">
        <v>#DIV/0!</v>
      </c>
      <c r="J157" s="291" t="e">
        <v>#DIV/0!</v>
      </c>
      <c r="K157" s="291" t="e">
        <v>#DIV/0!</v>
      </c>
      <c r="L157" s="291" t="e">
        <v>#DIV/0!</v>
      </c>
      <c r="M157" s="291" t="e">
        <v>#DIV/0!</v>
      </c>
      <c r="N157" s="291" t="e">
        <v>#DIV/0!</v>
      </c>
      <c r="O157" s="291" t="e">
        <v>#DIV/0!</v>
      </c>
      <c r="P157" s="291" t="e">
        <v>#DIV/0!</v>
      </c>
      <c r="Q157" s="291" t="e">
        <v>#DIV/0!</v>
      </c>
      <c r="R157" s="291">
        <v>0</v>
      </c>
      <c r="S157" s="690" t="e">
        <v>#DIV/0!</v>
      </c>
      <c r="U157" s="733" t="e">
        <v>#DIV/0!</v>
      </c>
      <c r="V157" s="734" t="e">
        <v>#DIV/0!</v>
      </c>
      <c r="W157" s="734" t="e">
        <v>#DIV/0!</v>
      </c>
      <c r="X157" s="735" t="e">
        <v>#DIV/0!</v>
      </c>
      <c r="Z157" s="665" t="e">
        <v>#DIV/0!</v>
      </c>
      <c r="AB157" s="733" t="e">
        <v>#DIV/0!</v>
      </c>
      <c r="AC157" s="734" t="e">
        <v>#DIV/0!</v>
      </c>
      <c r="AD157" s="734" t="e">
        <v>#DIV/0!</v>
      </c>
      <c r="AE157" s="735" t="e">
        <v>#DIV/0!</v>
      </c>
      <c r="AG157" s="944" t="e">
        <v>#DIV/0!</v>
      </c>
      <c r="AH157" s="944" t="e">
        <v>#DIV/0!</v>
      </c>
      <c r="AI157" s="944" t="e">
        <v>#DIV/0!</v>
      </c>
      <c r="AJ157" s="944" t="e">
        <v>#DIV/0!</v>
      </c>
    </row>
    <row r="158" spans="1:66" ht="15.75" thickBot="1">
      <c r="A158" s="127" t="s">
        <v>32</v>
      </c>
      <c r="B158" s="291" t="e">
        <v>#DIV/0!</v>
      </c>
      <c r="C158" s="291" t="e">
        <v>#DIV/0!</v>
      </c>
      <c r="D158" s="291" t="e">
        <v>#DIV/0!</v>
      </c>
      <c r="E158" s="291" t="e">
        <v>#DIV/0!</v>
      </c>
      <c r="F158" s="291" t="e">
        <v>#DIV/0!</v>
      </c>
      <c r="G158" s="291" t="e">
        <v>#DIV/0!</v>
      </c>
      <c r="H158" s="291" t="e">
        <v>#DIV/0!</v>
      </c>
      <c r="I158" s="291" t="e">
        <v>#DIV/0!</v>
      </c>
      <c r="J158" s="291" t="e">
        <v>#DIV/0!</v>
      </c>
      <c r="K158" s="291" t="e">
        <v>#DIV/0!</v>
      </c>
      <c r="L158" s="291" t="e">
        <v>#DIV/0!</v>
      </c>
      <c r="M158" s="291" t="e">
        <v>#DIV/0!</v>
      </c>
      <c r="N158" s="291" t="e">
        <v>#DIV/0!</v>
      </c>
      <c r="O158" s="291" t="e">
        <v>#DIV/0!</v>
      </c>
      <c r="P158" s="291" t="e">
        <v>#DIV/0!</v>
      </c>
      <c r="Q158" s="291" t="e">
        <v>#DIV/0!</v>
      </c>
      <c r="R158" s="291">
        <v>0</v>
      </c>
      <c r="S158" s="690" t="e">
        <v>#DIV/0!</v>
      </c>
      <c r="U158" s="733" t="e">
        <v>#DIV/0!</v>
      </c>
      <c r="V158" s="734" t="e">
        <v>#DIV/0!</v>
      </c>
      <c r="W158" s="734" t="e">
        <v>#DIV/0!</v>
      </c>
      <c r="X158" s="735" t="e">
        <v>#DIV/0!</v>
      </c>
      <c r="Z158" s="665" t="e">
        <v>#DIV/0!</v>
      </c>
      <c r="AB158" s="733" t="e">
        <v>#DIV/0!</v>
      </c>
      <c r="AC158" s="734" t="e">
        <v>#DIV/0!</v>
      </c>
      <c r="AD158" s="734" t="e">
        <v>#DIV/0!</v>
      </c>
      <c r="AE158" s="735" t="e">
        <v>#DIV/0!</v>
      </c>
      <c r="AG158" s="944" t="e">
        <v>#DIV/0!</v>
      </c>
      <c r="AH158" s="944" t="e">
        <v>#DIV/0!</v>
      </c>
      <c r="AI158" s="944" t="e">
        <v>#DIV/0!</v>
      </c>
      <c r="AJ158" s="944" t="e">
        <v>#DIV/0!</v>
      </c>
    </row>
    <row r="159" spans="1:66" ht="15.75" thickBot="1">
      <c r="A159" s="127" t="s">
        <v>33</v>
      </c>
      <c r="B159" s="291" t="e">
        <v>#DIV/0!</v>
      </c>
      <c r="C159" s="291" t="e">
        <v>#DIV/0!</v>
      </c>
      <c r="D159" s="291" t="e">
        <v>#DIV/0!</v>
      </c>
      <c r="E159" s="291" t="e">
        <v>#DIV/0!</v>
      </c>
      <c r="F159" s="291" t="e">
        <v>#DIV/0!</v>
      </c>
      <c r="G159" s="291" t="e">
        <v>#DIV/0!</v>
      </c>
      <c r="H159" s="291" t="e">
        <v>#DIV/0!</v>
      </c>
      <c r="I159" s="291" t="e">
        <v>#DIV/0!</v>
      </c>
      <c r="J159" s="291" t="e">
        <v>#DIV/0!</v>
      </c>
      <c r="K159" s="291" t="e">
        <v>#DIV/0!</v>
      </c>
      <c r="L159" s="291" t="e">
        <v>#DIV/0!</v>
      </c>
      <c r="M159" s="291" t="e">
        <v>#DIV/0!</v>
      </c>
      <c r="N159" s="291" t="e">
        <v>#DIV/0!</v>
      </c>
      <c r="O159" s="291" t="e">
        <v>#DIV/0!</v>
      </c>
      <c r="P159" s="291" t="e">
        <v>#DIV/0!</v>
      </c>
      <c r="Q159" s="291" t="e">
        <v>#DIV/0!</v>
      </c>
      <c r="R159" s="291">
        <v>0</v>
      </c>
      <c r="S159" s="690" t="e">
        <v>#DIV/0!</v>
      </c>
      <c r="U159" s="733" t="e">
        <v>#DIV/0!</v>
      </c>
      <c r="V159" s="734" t="e">
        <v>#DIV/0!</v>
      </c>
      <c r="W159" s="734" t="e">
        <v>#DIV/0!</v>
      </c>
      <c r="X159" s="735" t="e">
        <v>#DIV/0!</v>
      </c>
      <c r="Z159" s="665" t="e">
        <v>#DIV/0!</v>
      </c>
      <c r="AB159" s="733" t="e">
        <v>#DIV/0!</v>
      </c>
      <c r="AC159" s="734" t="e">
        <v>#DIV/0!</v>
      </c>
      <c r="AD159" s="734" t="e">
        <v>#DIV/0!</v>
      </c>
      <c r="AE159" s="735" t="e">
        <v>#DIV/0!</v>
      </c>
      <c r="AG159" s="944" t="e">
        <v>#DIV/0!</v>
      </c>
      <c r="AH159" s="944" t="e">
        <v>#DIV/0!</v>
      </c>
      <c r="AI159" s="944" t="e">
        <v>#DIV/0!</v>
      </c>
      <c r="AJ159" s="944" t="e">
        <v>#DIV/0!</v>
      </c>
    </row>
    <row r="160" spans="1:66" ht="15.75" thickBot="1">
      <c r="A160" s="128" t="s">
        <v>34</v>
      </c>
      <c r="B160" s="291" t="e">
        <v>#DIV/0!</v>
      </c>
      <c r="C160" s="291" t="e">
        <v>#DIV/0!</v>
      </c>
      <c r="D160" s="291" t="e">
        <v>#DIV/0!</v>
      </c>
      <c r="E160" s="291" t="e">
        <v>#DIV/0!</v>
      </c>
      <c r="F160" s="291" t="e">
        <v>#DIV/0!</v>
      </c>
      <c r="G160" s="291" t="e">
        <v>#DIV/0!</v>
      </c>
      <c r="H160" s="291" t="e">
        <v>#DIV/0!</v>
      </c>
      <c r="I160" s="291" t="e">
        <v>#DIV/0!</v>
      </c>
      <c r="J160" s="291" t="e">
        <v>#DIV/0!</v>
      </c>
      <c r="K160" s="291" t="e">
        <v>#DIV/0!</v>
      </c>
      <c r="L160" s="291" t="e">
        <v>#DIV/0!</v>
      </c>
      <c r="M160" s="291" t="e">
        <v>#DIV/0!</v>
      </c>
      <c r="N160" s="291" t="e">
        <v>#DIV/0!</v>
      </c>
      <c r="O160" s="291" t="e">
        <v>#DIV/0!</v>
      </c>
      <c r="P160" s="291" t="e">
        <v>#DIV/0!</v>
      </c>
      <c r="Q160" s="291" t="e">
        <v>#DIV/0!</v>
      </c>
      <c r="R160" s="291">
        <v>0</v>
      </c>
      <c r="S160" s="690" t="e">
        <v>#DIV/0!</v>
      </c>
      <c r="U160" s="733" t="e">
        <v>#DIV/0!</v>
      </c>
      <c r="V160" s="734" t="e">
        <v>#DIV/0!</v>
      </c>
      <c r="W160" s="734" t="e">
        <v>#DIV/0!</v>
      </c>
      <c r="X160" s="735" t="e">
        <v>#DIV/0!</v>
      </c>
      <c r="Z160" s="665" t="e">
        <v>#DIV/0!</v>
      </c>
      <c r="AB160" s="733" t="e">
        <v>#DIV/0!</v>
      </c>
      <c r="AC160" s="734" t="e">
        <v>#DIV/0!</v>
      </c>
      <c r="AD160" s="734" t="e">
        <v>#DIV/0!</v>
      </c>
      <c r="AE160" s="735" t="e">
        <v>#DIV/0!</v>
      </c>
      <c r="AG160" s="944" t="e">
        <v>#DIV/0!</v>
      </c>
      <c r="AH160" s="944" t="e">
        <v>#DIV/0!</v>
      </c>
      <c r="AI160" s="944" t="e">
        <v>#DIV/0!</v>
      </c>
      <c r="AJ160" s="944" t="e">
        <v>#DIV/0!</v>
      </c>
    </row>
    <row r="161" spans="1:66" ht="15.75" thickBot="1">
      <c r="A161" s="269" t="s">
        <v>69</v>
      </c>
      <c r="B161" s="291" t="e">
        <v>#DIV/0!</v>
      </c>
      <c r="C161" s="291" t="e">
        <v>#DIV/0!</v>
      </c>
      <c r="D161" s="291" t="e">
        <v>#DIV/0!</v>
      </c>
      <c r="E161" s="291" t="e">
        <v>#DIV/0!</v>
      </c>
      <c r="F161" s="291" t="e">
        <v>#DIV/0!</v>
      </c>
      <c r="G161" s="291" t="e">
        <v>#DIV/0!</v>
      </c>
      <c r="H161" s="291" t="e">
        <v>#DIV/0!</v>
      </c>
      <c r="I161" s="291" t="e">
        <v>#DIV/0!</v>
      </c>
      <c r="J161" s="291" t="e">
        <v>#DIV/0!</v>
      </c>
      <c r="K161" s="291" t="e">
        <v>#DIV/0!</v>
      </c>
      <c r="L161" s="291" t="e">
        <v>#DIV/0!</v>
      </c>
      <c r="M161" s="291" t="e">
        <v>#DIV/0!</v>
      </c>
      <c r="N161" s="291" t="e">
        <v>#DIV/0!</v>
      </c>
      <c r="O161" s="291" t="e">
        <v>#DIV/0!</v>
      </c>
      <c r="P161" s="291" t="e">
        <v>#DIV/0!</v>
      </c>
      <c r="Q161" s="291" t="e">
        <v>#DIV/0!</v>
      </c>
      <c r="R161" s="291">
        <v>0</v>
      </c>
      <c r="S161" s="690" t="e">
        <v>#DIV/0!</v>
      </c>
      <c r="U161" s="733" t="e">
        <v>#DIV/0!</v>
      </c>
      <c r="V161" s="734" t="e">
        <v>#DIV/0!</v>
      </c>
      <c r="W161" s="734" t="e">
        <v>#DIV/0!</v>
      </c>
      <c r="X161" s="735" t="e">
        <v>#DIV/0!</v>
      </c>
      <c r="AB161" s="733" t="e">
        <v>#DIV/0!</v>
      </c>
      <c r="AC161" s="734" t="e">
        <v>#DIV/0!</v>
      </c>
      <c r="AD161" s="734" t="e">
        <v>#DIV/0!</v>
      </c>
      <c r="AE161" s="735" t="e">
        <v>#DIV/0!</v>
      </c>
      <c r="AG161" s="944" t="e">
        <v>#DIV/0!</v>
      </c>
      <c r="AH161" s="944" t="e">
        <v>#DIV/0!</v>
      </c>
      <c r="AI161" s="944" t="e">
        <v>#DIV/0!</v>
      </c>
      <c r="AJ161" s="944" t="e">
        <v>#DIV/0!</v>
      </c>
    </row>
    <row r="162" spans="1:66" ht="15.75" thickBot="1">
      <c r="A162" s="127" t="s">
        <v>36</v>
      </c>
      <c r="B162" s="291" t="e">
        <v>#DIV/0!</v>
      </c>
      <c r="C162" s="291" t="e">
        <v>#DIV/0!</v>
      </c>
      <c r="D162" s="291" t="e">
        <v>#DIV/0!</v>
      </c>
      <c r="E162" s="291" t="e">
        <v>#DIV/0!</v>
      </c>
      <c r="F162" s="291" t="e">
        <v>#DIV/0!</v>
      </c>
      <c r="G162" s="291" t="e">
        <v>#DIV/0!</v>
      </c>
      <c r="H162" s="291" t="e">
        <v>#DIV/0!</v>
      </c>
      <c r="I162" s="291" t="e">
        <v>#DIV/0!</v>
      </c>
      <c r="J162" s="291" t="e">
        <v>#DIV/0!</v>
      </c>
      <c r="K162" s="291" t="e">
        <v>#DIV/0!</v>
      </c>
      <c r="L162" s="291" t="e">
        <v>#DIV/0!</v>
      </c>
      <c r="M162" s="291" t="e">
        <v>#DIV/0!</v>
      </c>
      <c r="N162" s="291" t="e">
        <v>#DIV/0!</v>
      </c>
      <c r="O162" s="291" t="e">
        <v>#DIV/0!</v>
      </c>
      <c r="P162" s="291" t="e">
        <v>#DIV/0!</v>
      </c>
      <c r="Q162" s="291" t="e">
        <v>#DIV/0!</v>
      </c>
      <c r="R162" s="291">
        <v>0</v>
      </c>
      <c r="S162" s="690" t="e">
        <v>#DIV/0!</v>
      </c>
      <c r="U162" s="733" t="e">
        <v>#DIV/0!</v>
      </c>
      <c r="V162" s="734" t="e">
        <v>#DIV/0!</v>
      </c>
      <c r="W162" s="734" t="e">
        <v>#DIV/0!</v>
      </c>
      <c r="X162" s="735" t="e">
        <v>#DIV/0!</v>
      </c>
      <c r="Z162" s="665" t="e">
        <v>#DIV/0!</v>
      </c>
      <c r="AB162" s="733" t="e">
        <v>#DIV/0!</v>
      </c>
      <c r="AC162" s="734" t="e">
        <v>#DIV/0!</v>
      </c>
      <c r="AD162" s="734" t="e">
        <v>#DIV/0!</v>
      </c>
      <c r="AE162" s="735" t="e">
        <v>#DIV/0!</v>
      </c>
      <c r="AG162" s="944" t="e">
        <v>#DIV/0!</v>
      </c>
      <c r="AH162" s="944" t="e">
        <v>#DIV/0!</v>
      </c>
      <c r="AI162" s="944" t="e">
        <v>#DIV/0!</v>
      </c>
      <c r="AJ162" s="944" t="e">
        <v>#DIV/0!</v>
      </c>
    </row>
    <row r="163" spans="1:66" ht="15.75" thickBot="1">
      <c r="A163" s="127" t="s">
        <v>37</v>
      </c>
      <c r="B163" s="291" t="e">
        <v>#DIV/0!</v>
      </c>
      <c r="C163" s="291" t="e">
        <v>#DIV/0!</v>
      </c>
      <c r="D163" s="291" t="e">
        <v>#DIV/0!</v>
      </c>
      <c r="E163" s="291" t="e">
        <v>#DIV/0!</v>
      </c>
      <c r="F163" s="291" t="e">
        <v>#DIV/0!</v>
      </c>
      <c r="G163" s="291" t="e">
        <v>#DIV/0!</v>
      </c>
      <c r="H163" s="291" t="e">
        <v>#DIV/0!</v>
      </c>
      <c r="I163" s="291" t="e">
        <v>#DIV/0!</v>
      </c>
      <c r="J163" s="291" t="e">
        <v>#DIV/0!</v>
      </c>
      <c r="K163" s="291" t="e">
        <v>#DIV/0!</v>
      </c>
      <c r="L163" s="291" t="e">
        <v>#DIV/0!</v>
      </c>
      <c r="M163" s="291" t="e">
        <v>#DIV/0!</v>
      </c>
      <c r="N163" s="291" t="e">
        <v>#DIV/0!</v>
      </c>
      <c r="O163" s="291" t="e">
        <v>#DIV/0!</v>
      </c>
      <c r="P163" s="291" t="e">
        <v>#DIV/0!</v>
      </c>
      <c r="Q163" s="291" t="e">
        <v>#DIV/0!</v>
      </c>
      <c r="R163" s="291">
        <v>0</v>
      </c>
      <c r="S163" s="690" t="e">
        <v>#DIV/0!</v>
      </c>
      <c r="U163" s="733" t="e">
        <v>#DIV/0!</v>
      </c>
      <c r="V163" s="734" t="e">
        <v>#DIV/0!</v>
      </c>
      <c r="W163" s="734" t="e">
        <v>#DIV/0!</v>
      </c>
      <c r="X163" s="735" t="e">
        <v>#DIV/0!</v>
      </c>
      <c r="Z163" s="665" t="e">
        <v>#DIV/0!</v>
      </c>
      <c r="AB163" s="733" t="e">
        <v>#DIV/0!</v>
      </c>
      <c r="AC163" s="734" t="e">
        <v>#DIV/0!</v>
      </c>
      <c r="AD163" s="734" t="e">
        <v>#DIV/0!</v>
      </c>
      <c r="AE163" s="735" t="e">
        <v>#DIV/0!</v>
      </c>
      <c r="AG163" s="944" t="e">
        <v>#DIV/0!</v>
      </c>
      <c r="AH163" s="944" t="e">
        <v>#DIV/0!</v>
      </c>
      <c r="AI163" s="944" t="e">
        <v>#DIV/0!</v>
      </c>
      <c r="AJ163" s="944" t="e">
        <v>#DIV/0!</v>
      </c>
    </row>
    <row r="164" spans="1:66" ht="15.75" thickBot="1">
      <c r="A164" s="128" t="s">
        <v>38</v>
      </c>
      <c r="B164" s="291" t="e">
        <v>#DIV/0!</v>
      </c>
      <c r="C164" s="291" t="e">
        <v>#DIV/0!</v>
      </c>
      <c r="D164" s="291" t="e">
        <v>#DIV/0!</v>
      </c>
      <c r="E164" s="291" t="e">
        <v>#DIV/0!</v>
      </c>
      <c r="F164" s="291" t="e">
        <v>#DIV/0!</v>
      </c>
      <c r="G164" s="291" t="e">
        <v>#DIV/0!</v>
      </c>
      <c r="H164" s="291" t="e">
        <v>#DIV/0!</v>
      </c>
      <c r="I164" s="291" t="e">
        <v>#DIV/0!</v>
      </c>
      <c r="J164" s="291" t="e">
        <v>#DIV/0!</v>
      </c>
      <c r="K164" s="291" t="e">
        <v>#DIV/0!</v>
      </c>
      <c r="L164" s="291" t="e">
        <v>#DIV/0!</v>
      </c>
      <c r="M164" s="291" t="e">
        <v>#DIV/0!</v>
      </c>
      <c r="N164" s="291" t="e">
        <v>#DIV/0!</v>
      </c>
      <c r="O164" s="291" t="e">
        <v>#DIV/0!</v>
      </c>
      <c r="P164" s="291" t="e">
        <v>#DIV/0!</v>
      </c>
      <c r="Q164" s="291" t="e">
        <v>#DIV/0!</v>
      </c>
      <c r="R164" s="291">
        <v>0</v>
      </c>
      <c r="S164" s="690" t="e">
        <v>#DIV/0!</v>
      </c>
      <c r="U164" s="733" t="e">
        <v>#DIV/0!</v>
      </c>
      <c r="V164" s="734" t="e">
        <v>#DIV/0!</v>
      </c>
      <c r="W164" s="734" t="e">
        <v>#DIV/0!</v>
      </c>
      <c r="X164" s="735" t="e">
        <v>#DIV/0!</v>
      </c>
      <c r="Z164" s="665" t="e">
        <v>#DIV/0!</v>
      </c>
      <c r="AB164" s="733" t="e">
        <v>#DIV/0!</v>
      </c>
      <c r="AC164" s="734" t="e">
        <v>#DIV/0!</v>
      </c>
      <c r="AD164" s="734" t="e">
        <v>#DIV/0!</v>
      </c>
      <c r="AE164" s="735" t="e">
        <v>#DIV/0!</v>
      </c>
      <c r="AG164" s="944" t="e">
        <v>#DIV/0!</v>
      </c>
      <c r="AH164" s="944" t="e">
        <v>#DIV/0!</v>
      </c>
      <c r="AI164" s="944" t="e">
        <v>#DIV/0!</v>
      </c>
      <c r="AJ164" s="944" t="e">
        <v>#DIV/0!</v>
      </c>
    </row>
    <row r="165" spans="1:66" ht="15.75" thickBot="1">
      <c r="A165" s="274" t="s">
        <v>73</v>
      </c>
      <c r="B165" s="291" t="e">
        <v>#DIV/0!</v>
      </c>
      <c r="C165" s="291" t="e">
        <v>#DIV/0!</v>
      </c>
      <c r="D165" s="291" t="e">
        <v>#DIV/0!</v>
      </c>
      <c r="E165" s="291" t="e">
        <v>#DIV/0!</v>
      </c>
      <c r="F165" s="291" t="e">
        <v>#DIV/0!</v>
      </c>
      <c r="G165" s="291" t="e">
        <v>#DIV/0!</v>
      </c>
      <c r="H165" s="291" t="e">
        <v>#DIV/0!</v>
      </c>
      <c r="I165" s="291" t="e">
        <v>#DIV/0!</v>
      </c>
      <c r="J165" s="291" t="e">
        <v>#DIV/0!</v>
      </c>
      <c r="K165" s="291" t="e">
        <v>#DIV/0!</v>
      </c>
      <c r="L165" s="291" t="e">
        <v>#DIV/0!</v>
      </c>
      <c r="M165" s="291" t="e">
        <v>#DIV/0!</v>
      </c>
      <c r="N165" s="291" t="e">
        <v>#DIV/0!</v>
      </c>
      <c r="O165" s="291" t="e">
        <v>#DIV/0!</v>
      </c>
      <c r="P165" s="291" t="e">
        <v>#DIV/0!</v>
      </c>
      <c r="Q165" s="291" t="e">
        <v>#DIV/0!</v>
      </c>
      <c r="R165" s="291">
        <v>0</v>
      </c>
      <c r="S165" s="690" t="e">
        <v>#DIV/0!</v>
      </c>
      <c r="U165" s="733" t="e">
        <v>#DIV/0!</v>
      </c>
      <c r="V165" s="734" t="e">
        <v>#DIV/0!</v>
      </c>
      <c r="W165" s="734" t="e">
        <v>#DIV/0!</v>
      </c>
      <c r="X165" s="735" t="e">
        <v>#DIV/0!</v>
      </c>
      <c r="AB165" s="733" t="e">
        <v>#DIV/0!</v>
      </c>
      <c r="AC165" s="734" t="e">
        <v>#DIV/0!</v>
      </c>
      <c r="AD165" s="734" t="e">
        <v>#DIV/0!</v>
      </c>
      <c r="AE165" s="735" t="e">
        <v>#DIV/0!</v>
      </c>
      <c r="AG165" s="944" t="e">
        <v>#DIV/0!</v>
      </c>
      <c r="AH165" s="944" t="e">
        <v>#DIV/0!</v>
      </c>
      <c r="AI165" s="944" t="e">
        <v>#DIV/0!</v>
      </c>
      <c r="AJ165" s="944" t="e">
        <v>#DIV/0!</v>
      </c>
    </row>
    <row r="166" spans="1:66" ht="15.75" thickBot="1">
      <c r="A166" s="127" t="s">
        <v>40</v>
      </c>
      <c r="B166" s="291" t="e">
        <v>#DIV/0!</v>
      </c>
      <c r="C166" s="291" t="e">
        <v>#DIV/0!</v>
      </c>
      <c r="D166" s="291" t="e">
        <v>#DIV/0!</v>
      </c>
      <c r="E166" s="291" t="e">
        <v>#DIV/0!</v>
      </c>
      <c r="F166" s="291" t="e">
        <v>#DIV/0!</v>
      </c>
      <c r="G166" s="291" t="e">
        <v>#DIV/0!</v>
      </c>
      <c r="H166" s="291" t="e">
        <v>#DIV/0!</v>
      </c>
      <c r="I166" s="291" t="e">
        <v>#DIV/0!</v>
      </c>
      <c r="J166" s="291" t="e">
        <v>#DIV/0!</v>
      </c>
      <c r="K166" s="291" t="e">
        <v>#DIV/0!</v>
      </c>
      <c r="L166" s="291" t="e">
        <v>#DIV/0!</v>
      </c>
      <c r="M166" s="291" t="e">
        <v>#DIV/0!</v>
      </c>
      <c r="N166" s="291" t="e">
        <v>#DIV/0!</v>
      </c>
      <c r="O166" s="291" t="e">
        <v>#DIV/0!</v>
      </c>
      <c r="P166" s="291" t="e">
        <v>#DIV/0!</v>
      </c>
      <c r="Q166" s="291" t="e">
        <v>#DIV/0!</v>
      </c>
      <c r="R166" s="291">
        <v>0</v>
      </c>
      <c r="S166" s="690" t="e">
        <v>#DIV/0!</v>
      </c>
      <c r="U166" s="733" t="e">
        <v>#DIV/0!</v>
      </c>
      <c r="V166" s="734" t="e">
        <v>#DIV/0!</v>
      </c>
      <c r="W166" s="734" t="e">
        <v>#DIV/0!</v>
      </c>
      <c r="X166" s="735" t="e">
        <v>#DIV/0!</v>
      </c>
      <c r="Z166" s="665" t="e">
        <v>#DIV/0!</v>
      </c>
      <c r="AB166" s="733" t="e">
        <v>#DIV/0!</v>
      </c>
      <c r="AC166" s="734" t="e">
        <v>#DIV/0!</v>
      </c>
      <c r="AD166" s="734" t="e">
        <v>#DIV/0!</v>
      </c>
      <c r="AE166" s="735" t="e">
        <v>#DIV/0!</v>
      </c>
      <c r="AG166" s="944" t="e">
        <v>#DIV/0!</v>
      </c>
      <c r="AH166" s="944" t="e">
        <v>#DIV/0!</v>
      </c>
      <c r="AI166" s="944" t="e">
        <v>#DIV/0!</v>
      </c>
      <c r="AJ166" s="944" t="e">
        <v>#DIV/0!</v>
      </c>
    </row>
    <row r="167" spans="1:66" ht="15.75" thickBot="1">
      <c r="A167" s="127" t="s">
        <v>41</v>
      </c>
      <c r="B167" s="291" t="e">
        <v>#DIV/0!</v>
      </c>
      <c r="C167" s="291" t="e">
        <v>#DIV/0!</v>
      </c>
      <c r="D167" s="291" t="e">
        <v>#DIV/0!</v>
      </c>
      <c r="E167" s="291" t="e">
        <v>#DIV/0!</v>
      </c>
      <c r="F167" s="291" t="e">
        <v>#DIV/0!</v>
      </c>
      <c r="G167" s="291" t="e">
        <v>#DIV/0!</v>
      </c>
      <c r="H167" s="291" t="e">
        <v>#DIV/0!</v>
      </c>
      <c r="I167" s="291" t="e">
        <v>#DIV/0!</v>
      </c>
      <c r="J167" s="291" t="e">
        <v>#DIV/0!</v>
      </c>
      <c r="K167" s="291" t="e">
        <v>#DIV/0!</v>
      </c>
      <c r="L167" s="291" t="e">
        <v>#DIV/0!</v>
      </c>
      <c r="M167" s="291" t="e">
        <v>#DIV/0!</v>
      </c>
      <c r="N167" s="291" t="e">
        <v>#DIV/0!</v>
      </c>
      <c r="O167" s="291" t="e">
        <v>#DIV/0!</v>
      </c>
      <c r="P167" s="291" t="e">
        <v>#DIV/0!</v>
      </c>
      <c r="Q167" s="291" t="e">
        <v>#DIV/0!</v>
      </c>
      <c r="R167" s="291">
        <v>0</v>
      </c>
      <c r="S167" s="690" t="e">
        <v>#DIV/0!</v>
      </c>
      <c r="U167" s="733" t="e">
        <v>#DIV/0!</v>
      </c>
      <c r="V167" s="734" t="e">
        <v>#DIV/0!</v>
      </c>
      <c r="W167" s="734" t="e">
        <v>#DIV/0!</v>
      </c>
      <c r="X167" s="735" t="e">
        <v>#DIV/0!</v>
      </c>
      <c r="Z167" s="665" t="e">
        <v>#DIV/0!</v>
      </c>
      <c r="AB167" s="733" t="e">
        <v>#DIV/0!</v>
      </c>
      <c r="AC167" s="734" t="e">
        <v>#DIV/0!</v>
      </c>
      <c r="AD167" s="734" t="e">
        <v>#DIV/0!</v>
      </c>
      <c r="AE167" s="735" t="e">
        <v>#DIV/0!</v>
      </c>
      <c r="AG167" s="944" t="e">
        <v>#DIV/0!</v>
      </c>
      <c r="AH167" s="944" t="e">
        <v>#DIV/0!</v>
      </c>
      <c r="AI167" s="944" t="e">
        <v>#DIV/0!</v>
      </c>
      <c r="AJ167" s="944" t="e">
        <v>#DIV/0!</v>
      </c>
    </row>
    <row r="168" spans="1:66" ht="15.75" thickBot="1">
      <c r="A168" s="127" t="s">
        <v>42</v>
      </c>
      <c r="B168" s="291" t="e">
        <v>#DIV/0!</v>
      </c>
      <c r="C168" s="291" t="e">
        <v>#DIV/0!</v>
      </c>
      <c r="D168" s="291" t="e">
        <v>#DIV/0!</v>
      </c>
      <c r="E168" s="291" t="e">
        <v>#DIV/0!</v>
      </c>
      <c r="F168" s="291" t="e">
        <v>#DIV/0!</v>
      </c>
      <c r="G168" s="291" t="e">
        <v>#DIV/0!</v>
      </c>
      <c r="H168" s="291" t="e">
        <v>#DIV/0!</v>
      </c>
      <c r="I168" s="291" t="e">
        <v>#DIV/0!</v>
      </c>
      <c r="J168" s="291" t="e">
        <v>#DIV/0!</v>
      </c>
      <c r="K168" s="291" t="e">
        <v>#DIV/0!</v>
      </c>
      <c r="L168" s="291" t="e">
        <v>#DIV/0!</v>
      </c>
      <c r="M168" s="291" t="e">
        <v>#DIV/0!</v>
      </c>
      <c r="N168" s="291" t="e">
        <v>#DIV/0!</v>
      </c>
      <c r="O168" s="291" t="e">
        <v>#DIV/0!</v>
      </c>
      <c r="P168" s="291" t="e">
        <v>#DIV/0!</v>
      </c>
      <c r="Q168" s="291" t="e">
        <v>#DIV/0!</v>
      </c>
      <c r="R168" s="291">
        <v>0</v>
      </c>
      <c r="S168" s="690" t="e">
        <v>#DIV/0!</v>
      </c>
      <c r="U168" s="733" t="e">
        <v>#DIV/0!</v>
      </c>
      <c r="V168" s="734" t="e">
        <v>#DIV/0!</v>
      </c>
      <c r="W168" s="734" t="e">
        <v>#DIV/0!</v>
      </c>
      <c r="X168" s="735" t="e">
        <v>#DIV/0!</v>
      </c>
      <c r="Z168" s="665" t="e">
        <v>#DIV/0!</v>
      </c>
      <c r="AB168" s="733" t="e">
        <v>#DIV/0!</v>
      </c>
      <c r="AC168" s="734" t="e">
        <v>#DIV/0!</v>
      </c>
      <c r="AD168" s="734" t="e">
        <v>#DIV/0!</v>
      </c>
      <c r="AE168" s="735" t="e">
        <v>#DIV/0!</v>
      </c>
      <c r="AG168" s="944" t="e">
        <v>#DIV/0!</v>
      </c>
      <c r="AH168" s="944" t="e">
        <v>#DIV/0!</v>
      </c>
      <c r="AI168" s="944" t="e">
        <v>#DIV/0!</v>
      </c>
      <c r="AJ168" s="944" t="e">
        <v>#DIV/0!</v>
      </c>
    </row>
    <row r="169" spans="1:66" ht="15.75" thickBot="1">
      <c r="A169" s="128" t="s">
        <v>43</v>
      </c>
      <c r="B169" s="291" t="e">
        <v>#DIV/0!</v>
      </c>
      <c r="C169" s="291" t="e">
        <v>#DIV/0!</v>
      </c>
      <c r="D169" s="291" t="e">
        <v>#DIV/0!</v>
      </c>
      <c r="E169" s="291" t="e">
        <v>#DIV/0!</v>
      </c>
      <c r="F169" s="291" t="e">
        <v>#DIV/0!</v>
      </c>
      <c r="G169" s="291" t="e">
        <v>#DIV/0!</v>
      </c>
      <c r="H169" s="291" t="e">
        <v>#DIV/0!</v>
      </c>
      <c r="I169" s="291" t="e">
        <v>#DIV/0!</v>
      </c>
      <c r="J169" s="291" t="e">
        <v>#DIV/0!</v>
      </c>
      <c r="K169" s="291" t="e">
        <v>#DIV/0!</v>
      </c>
      <c r="L169" s="291" t="e">
        <v>#DIV/0!</v>
      </c>
      <c r="M169" s="291" t="e">
        <v>#DIV/0!</v>
      </c>
      <c r="N169" s="291" t="e">
        <v>#DIV/0!</v>
      </c>
      <c r="O169" s="291" t="e">
        <v>#DIV/0!</v>
      </c>
      <c r="P169" s="291" t="e">
        <v>#DIV/0!</v>
      </c>
      <c r="Q169" s="291" t="e">
        <v>#DIV/0!</v>
      </c>
      <c r="R169" s="291">
        <v>0</v>
      </c>
      <c r="S169" s="690" t="e">
        <v>#DIV/0!</v>
      </c>
      <c r="U169" s="733" t="e">
        <v>#DIV/0!</v>
      </c>
      <c r="V169" s="734" t="e">
        <v>#DIV/0!</v>
      </c>
      <c r="W169" s="734" t="e">
        <v>#DIV/0!</v>
      </c>
      <c r="X169" s="735" t="e">
        <v>#DIV/0!</v>
      </c>
      <c r="Z169" s="665" t="e">
        <v>#DIV/0!</v>
      </c>
      <c r="AB169" s="733" t="e">
        <v>#DIV/0!</v>
      </c>
      <c r="AC169" s="734" t="e">
        <v>#DIV/0!</v>
      </c>
      <c r="AD169" s="734" t="e">
        <v>#DIV/0!</v>
      </c>
      <c r="AE169" s="735" t="e">
        <v>#DIV/0!</v>
      </c>
      <c r="AG169" s="944" t="e">
        <v>#DIV/0!</v>
      </c>
      <c r="AH169" s="944" t="e">
        <v>#DIV/0!</v>
      </c>
      <c r="AI169" s="944" t="e">
        <v>#DIV/0!</v>
      </c>
      <c r="AJ169" s="944" t="e">
        <v>#DIV/0!</v>
      </c>
    </row>
    <row r="170" spans="1:66" s="665" customFormat="1" ht="15.75" thickBot="1">
      <c r="B170" s="691"/>
      <c r="C170" s="691"/>
      <c r="D170" s="691"/>
      <c r="E170" s="691"/>
      <c r="F170" s="691"/>
      <c r="G170" s="691"/>
      <c r="H170" s="691"/>
      <c r="I170" s="691"/>
      <c r="J170" s="691"/>
      <c r="K170" s="691"/>
      <c r="L170" s="691"/>
      <c r="M170" s="691"/>
      <c r="N170" s="691"/>
      <c r="O170" s="691"/>
      <c r="P170" s="691"/>
      <c r="Q170" s="691"/>
      <c r="R170" s="691"/>
      <c r="AN170" s="273"/>
      <c r="AO170" s="273"/>
      <c r="AP170" s="273"/>
      <c r="AQ170" s="273"/>
      <c r="AR170" s="273"/>
      <c r="AS170" s="273"/>
      <c r="AT170" s="273"/>
      <c r="AU170" s="273"/>
      <c r="AV170" s="273"/>
      <c r="AW170" s="273"/>
      <c r="AX170" s="273"/>
      <c r="AY170" s="273"/>
      <c r="AZ170" s="273"/>
      <c r="BA170" s="273"/>
      <c r="BB170" s="273"/>
      <c r="BC170" s="273"/>
      <c r="BD170" s="273"/>
      <c r="BE170" s="273"/>
      <c r="BF170" s="273"/>
      <c r="BG170" s="273"/>
      <c r="BH170" s="273"/>
      <c r="BI170" s="273"/>
      <c r="BJ170" s="273"/>
      <c r="BK170" s="273"/>
      <c r="BL170" s="273"/>
      <c r="BM170" s="273"/>
      <c r="BN170" s="273"/>
    </row>
    <row r="171" spans="1:66" s="665" customFormat="1" ht="15.75" thickBot="1">
      <c r="B171" s="691"/>
      <c r="C171" s="691"/>
      <c r="D171" s="691"/>
      <c r="E171" s="691"/>
      <c r="F171" s="691"/>
      <c r="G171" s="691"/>
      <c r="H171" s="691"/>
      <c r="I171" s="691"/>
      <c r="J171" s="691"/>
      <c r="K171" s="691"/>
      <c r="L171" s="691"/>
      <c r="M171" s="691"/>
      <c r="N171" s="691"/>
      <c r="O171" s="691"/>
      <c r="P171" s="691"/>
      <c r="Q171" s="691"/>
      <c r="R171" s="691"/>
      <c r="U171" s="1068" t="s">
        <v>121</v>
      </c>
      <c r="V171" s="1069"/>
      <c r="W171" s="1069"/>
      <c r="X171" s="1070"/>
      <c r="Z171" s="665" t="e">
        <v>#DIV/0!</v>
      </c>
      <c r="AB171" s="1068" t="s">
        <v>121</v>
      </c>
      <c r="AC171" s="1069"/>
      <c r="AD171" s="1069"/>
      <c r="AE171" s="1070"/>
      <c r="AG171" s="1068" t="s">
        <v>121</v>
      </c>
      <c r="AH171" s="1069"/>
      <c r="AI171" s="1069"/>
      <c r="AJ171" s="1070"/>
      <c r="AN171" s="273"/>
      <c r="AO171" s="273"/>
      <c r="AP171" s="273"/>
      <c r="AQ171" s="273"/>
      <c r="AR171" s="273"/>
      <c r="AS171" s="273"/>
      <c r="AT171" s="273"/>
      <c r="AU171" s="273"/>
      <c r="AV171" s="273"/>
      <c r="AW171" s="273"/>
      <c r="AX171" s="273"/>
      <c r="AY171" s="273"/>
      <c r="AZ171" s="273"/>
      <c r="BA171" s="273"/>
      <c r="BB171" s="273"/>
      <c r="BC171" s="273"/>
      <c r="BD171" s="273"/>
      <c r="BE171" s="273"/>
      <c r="BF171" s="273"/>
      <c r="BG171" s="273"/>
      <c r="BH171" s="273"/>
      <c r="BI171" s="273"/>
      <c r="BJ171" s="273"/>
      <c r="BK171" s="273"/>
      <c r="BL171" s="273"/>
      <c r="BM171" s="273"/>
      <c r="BN171" s="273"/>
    </row>
    <row r="172" spans="1:66" s="665" customFormat="1">
      <c r="B172" s="691"/>
      <c r="C172" s="691"/>
      <c r="D172" s="691"/>
      <c r="E172" s="691"/>
      <c r="F172" s="691"/>
      <c r="G172" s="691"/>
      <c r="H172" s="691"/>
      <c r="I172" s="691"/>
      <c r="J172" s="691"/>
      <c r="K172" s="691"/>
      <c r="L172" s="691"/>
      <c r="M172" s="691"/>
      <c r="N172" s="691"/>
      <c r="O172" s="691"/>
      <c r="P172" s="691"/>
      <c r="Q172" s="691"/>
      <c r="R172" s="691"/>
      <c r="U172" s="1075" t="s">
        <v>122</v>
      </c>
      <c r="V172" s="1077" t="s">
        <v>123</v>
      </c>
      <c r="W172" s="1071" t="s">
        <v>124</v>
      </c>
      <c r="X172" s="1073" t="s">
        <v>125</v>
      </c>
      <c r="AB172" s="1075" t="s">
        <v>122</v>
      </c>
      <c r="AC172" s="1077" t="s">
        <v>123</v>
      </c>
      <c r="AD172" s="1071" t="s">
        <v>124</v>
      </c>
      <c r="AE172" s="1073" t="s">
        <v>125</v>
      </c>
      <c r="AG172" s="1075" t="s">
        <v>122</v>
      </c>
      <c r="AH172" s="1077" t="s">
        <v>123</v>
      </c>
      <c r="AI172" s="1071" t="s">
        <v>124</v>
      </c>
      <c r="AJ172" s="1073" t="s">
        <v>125</v>
      </c>
      <c r="AN172" s="273"/>
      <c r="AO172" s="273"/>
      <c r="AP172" s="273"/>
      <c r="AQ172" s="273"/>
      <c r="AR172" s="273"/>
      <c r="AS172" s="273"/>
      <c r="AT172" s="273"/>
      <c r="AU172" s="273"/>
      <c r="AV172" s="273"/>
      <c r="AW172" s="273"/>
      <c r="AX172" s="273"/>
      <c r="AY172" s="273"/>
      <c r="AZ172" s="273"/>
      <c r="BA172" s="273"/>
      <c r="BB172" s="273"/>
      <c r="BC172" s="273"/>
      <c r="BD172" s="273"/>
      <c r="BE172" s="273"/>
      <c r="BF172" s="273"/>
      <c r="BG172" s="273"/>
      <c r="BH172" s="273"/>
      <c r="BI172" s="273"/>
      <c r="BJ172" s="273"/>
      <c r="BK172" s="273"/>
      <c r="BL172" s="273"/>
      <c r="BM172" s="273"/>
      <c r="BN172" s="273"/>
    </row>
    <row r="173" spans="1:66" s="665" customFormat="1" ht="15.75" thickBot="1">
      <c r="B173" s="691"/>
      <c r="C173" s="691"/>
      <c r="D173" s="691"/>
      <c r="E173" s="691"/>
      <c r="F173" s="691"/>
      <c r="G173" s="691"/>
      <c r="H173" s="691"/>
      <c r="I173" s="691"/>
      <c r="J173" s="691"/>
      <c r="K173" s="691"/>
      <c r="L173" s="691"/>
      <c r="M173" s="691"/>
      <c r="N173" s="691"/>
      <c r="O173" s="691"/>
      <c r="P173" s="691"/>
      <c r="Q173" s="691"/>
      <c r="R173" s="691"/>
      <c r="U173" s="1076"/>
      <c r="V173" s="1074"/>
      <c r="W173" s="1072"/>
      <c r="X173" s="1074"/>
      <c r="AB173" s="1076"/>
      <c r="AC173" s="1074"/>
      <c r="AD173" s="1072"/>
      <c r="AE173" s="1074"/>
      <c r="AG173" s="1076"/>
      <c r="AH173" s="1074"/>
      <c r="AI173" s="1072"/>
      <c r="AJ173" s="1074"/>
      <c r="AN173" s="273"/>
      <c r="AO173" s="273"/>
      <c r="AP173" s="273"/>
      <c r="AQ173" s="273"/>
      <c r="AR173" s="273"/>
      <c r="AS173" s="273"/>
      <c r="AT173" s="273"/>
      <c r="AU173" s="273"/>
      <c r="AV173" s="273"/>
      <c r="AW173" s="273"/>
      <c r="AX173" s="273"/>
      <c r="AY173" s="273"/>
      <c r="AZ173" s="273"/>
      <c r="BA173" s="273"/>
      <c r="BB173" s="273"/>
      <c r="BC173" s="273"/>
      <c r="BD173" s="273"/>
      <c r="BE173" s="273"/>
      <c r="BF173" s="273"/>
      <c r="BG173" s="273"/>
      <c r="BH173" s="273"/>
      <c r="BI173" s="273"/>
      <c r="BJ173" s="273"/>
      <c r="BK173" s="273"/>
      <c r="BL173" s="273"/>
      <c r="BM173" s="273"/>
      <c r="BN173" s="273"/>
    </row>
    <row r="174" spans="1:66" s="665" customFormat="1">
      <c r="B174" s="691"/>
      <c r="C174" s="691"/>
      <c r="D174" s="691"/>
      <c r="E174" s="691"/>
      <c r="F174" s="691"/>
      <c r="G174" s="691"/>
      <c r="H174" s="691"/>
      <c r="I174" s="691"/>
      <c r="J174" s="691"/>
      <c r="K174" s="691"/>
      <c r="L174" s="691"/>
      <c r="M174" s="691"/>
      <c r="N174" s="691"/>
      <c r="O174" s="691"/>
      <c r="P174" s="691"/>
      <c r="Q174" s="691"/>
      <c r="R174" s="691"/>
      <c r="U174" s="733" t="e">
        <v>#DIV/0!</v>
      </c>
      <c r="V174" s="733" t="e">
        <v>#DIV/0!</v>
      </c>
      <c r="W174" s="733" t="e">
        <v>#DIV/0!</v>
      </c>
      <c r="X174" s="733" t="e">
        <v>#DIV/0!</v>
      </c>
      <c r="AB174" s="733" t="e">
        <v>#DIV/0!</v>
      </c>
      <c r="AC174" s="733" t="e">
        <v>#DIV/0!</v>
      </c>
      <c r="AD174" s="733" t="e">
        <v>#DIV/0!</v>
      </c>
      <c r="AE174" s="733" t="e">
        <v>#DIV/0!</v>
      </c>
      <c r="AG174" s="733" t="e">
        <v>#DIV/0!</v>
      </c>
      <c r="AH174" s="733" t="e">
        <v>#DIV/0!</v>
      </c>
      <c r="AI174" s="733" t="e">
        <v>#DIV/0!</v>
      </c>
      <c r="AJ174" s="733" t="e">
        <v>#DIV/0!</v>
      </c>
      <c r="AN174" s="273"/>
      <c r="AO174" s="273"/>
      <c r="AP174" s="273"/>
      <c r="AQ174" s="273"/>
      <c r="AR174" s="273"/>
      <c r="AS174" s="273"/>
      <c r="AT174" s="273"/>
      <c r="AU174" s="273"/>
      <c r="AV174" s="273"/>
      <c r="AW174" s="273"/>
      <c r="AX174" s="273"/>
      <c r="AY174" s="273"/>
      <c r="AZ174" s="273"/>
      <c r="BA174" s="273"/>
      <c r="BB174" s="273"/>
      <c r="BC174" s="273"/>
      <c r="BD174" s="273"/>
      <c r="BE174" s="273"/>
      <c r="BF174" s="273"/>
      <c r="BG174" s="273"/>
      <c r="BH174" s="273"/>
      <c r="BI174" s="273"/>
      <c r="BJ174" s="273"/>
      <c r="BK174" s="273"/>
      <c r="BL174" s="273"/>
      <c r="BM174" s="273"/>
      <c r="BN174" s="273"/>
    </row>
    <row r="175" spans="1:66" s="665" customFormat="1">
      <c r="B175" s="691"/>
      <c r="C175" s="691"/>
      <c r="D175" s="691"/>
      <c r="E175" s="691"/>
      <c r="F175" s="691"/>
      <c r="G175" s="691"/>
      <c r="H175" s="691"/>
      <c r="I175" s="691"/>
      <c r="J175" s="691"/>
      <c r="K175" s="691"/>
      <c r="L175" s="691"/>
      <c r="M175" s="691"/>
      <c r="N175" s="691"/>
      <c r="O175" s="691"/>
      <c r="P175" s="691"/>
      <c r="Q175" s="691"/>
      <c r="R175" s="691"/>
      <c r="AN175" s="273"/>
      <c r="AO175" s="273"/>
      <c r="AP175" s="273"/>
      <c r="AQ175" s="273"/>
      <c r="AR175" s="273"/>
      <c r="AS175" s="273"/>
      <c r="AT175" s="273"/>
      <c r="AU175" s="273"/>
      <c r="AV175" s="273"/>
      <c r="AW175" s="273"/>
      <c r="AX175" s="273"/>
      <c r="AY175" s="273"/>
      <c r="AZ175" s="273"/>
      <c r="BA175" s="273"/>
      <c r="BB175" s="273"/>
      <c r="BC175" s="273"/>
      <c r="BD175" s="273"/>
      <c r="BE175" s="273"/>
      <c r="BF175" s="273"/>
      <c r="BG175" s="273"/>
      <c r="BH175" s="273"/>
      <c r="BI175" s="273"/>
      <c r="BJ175" s="273"/>
      <c r="BK175" s="273"/>
      <c r="BL175" s="273"/>
      <c r="BM175" s="273"/>
      <c r="BN175" s="273"/>
    </row>
    <row r="176" spans="1:66" s="665" customFormat="1">
      <c r="B176" s="691"/>
      <c r="C176" s="691"/>
      <c r="D176" s="691"/>
      <c r="E176" s="691"/>
      <c r="F176" s="691"/>
      <c r="G176" s="691"/>
      <c r="H176" s="691"/>
      <c r="I176" s="691"/>
      <c r="J176" s="691"/>
      <c r="K176" s="691"/>
      <c r="L176" s="691"/>
      <c r="M176" s="691"/>
      <c r="N176" s="691"/>
      <c r="O176" s="691"/>
      <c r="P176" s="691"/>
      <c r="Q176" s="691"/>
      <c r="R176" s="691"/>
      <c r="AN176" s="273"/>
      <c r="AO176" s="273"/>
      <c r="AP176" s="273"/>
      <c r="AQ176" s="273"/>
      <c r="AR176" s="273"/>
      <c r="AS176" s="273"/>
      <c r="AT176" s="273"/>
      <c r="AU176" s="273"/>
      <c r="AV176" s="273"/>
      <c r="AW176" s="273"/>
      <c r="AX176" s="273"/>
      <c r="AY176" s="273"/>
      <c r="AZ176" s="273"/>
      <c r="BA176" s="273"/>
      <c r="BB176" s="273"/>
      <c r="BC176" s="273"/>
      <c r="BD176" s="273"/>
      <c r="BE176" s="273"/>
      <c r="BF176" s="273"/>
      <c r="BG176" s="273"/>
      <c r="BH176" s="273"/>
      <c r="BI176" s="273"/>
      <c r="BJ176" s="273"/>
      <c r="BK176" s="273"/>
      <c r="BL176" s="273"/>
      <c r="BM176" s="273"/>
      <c r="BN176" s="273"/>
    </row>
    <row r="177" spans="1:66" s="665" customFormat="1">
      <c r="B177" s="691"/>
      <c r="C177" s="691"/>
      <c r="D177" s="691"/>
      <c r="E177" s="691"/>
      <c r="F177" s="691"/>
      <c r="G177" s="691"/>
      <c r="H177" s="691"/>
      <c r="I177" s="691"/>
      <c r="J177" s="691"/>
      <c r="K177" s="691"/>
      <c r="L177" s="691"/>
      <c r="M177" s="691"/>
      <c r="N177" s="691"/>
      <c r="O177" s="691"/>
      <c r="P177" s="691"/>
      <c r="Q177" s="691"/>
      <c r="R177" s="691"/>
      <c r="AN177" s="273"/>
      <c r="AO177" s="273"/>
      <c r="AP177" s="273"/>
      <c r="AQ177" s="273"/>
      <c r="AR177" s="273"/>
      <c r="AS177" s="273"/>
      <c r="AT177" s="273"/>
      <c r="AU177" s="273"/>
      <c r="AV177" s="273"/>
      <c r="AW177" s="273"/>
      <c r="AX177" s="273"/>
      <c r="AY177" s="273"/>
      <c r="AZ177" s="273"/>
      <c r="BA177" s="273"/>
      <c r="BB177" s="273"/>
      <c r="BC177" s="273"/>
      <c r="BD177" s="273"/>
      <c r="BE177" s="273"/>
      <c r="BF177" s="273"/>
      <c r="BG177" s="273"/>
      <c r="BH177" s="273"/>
      <c r="BI177" s="273"/>
      <c r="BJ177" s="273"/>
      <c r="BK177" s="273"/>
      <c r="BL177" s="273"/>
      <c r="BM177" s="273"/>
      <c r="BN177" s="273"/>
    </row>
    <row r="178" spans="1:66" s="665" customFormat="1">
      <c r="B178" s="691"/>
      <c r="C178" s="691"/>
      <c r="D178" s="691"/>
      <c r="E178" s="691"/>
      <c r="F178" s="691"/>
      <c r="G178" s="691"/>
      <c r="H178" s="691"/>
      <c r="I178" s="691"/>
      <c r="J178" s="691"/>
      <c r="K178" s="691"/>
      <c r="L178" s="691"/>
      <c r="M178" s="691"/>
      <c r="N178" s="691"/>
      <c r="O178" s="691"/>
      <c r="P178" s="691"/>
      <c r="Q178" s="691"/>
      <c r="R178" s="691"/>
      <c r="AN178" s="273"/>
      <c r="AO178" s="273"/>
      <c r="AP178" s="273"/>
      <c r="AQ178" s="273"/>
      <c r="AR178" s="273"/>
      <c r="AS178" s="273"/>
      <c r="AT178" s="273"/>
      <c r="AU178" s="273"/>
      <c r="AV178" s="273"/>
      <c r="AW178" s="273"/>
      <c r="AX178" s="273"/>
      <c r="AY178" s="273"/>
      <c r="AZ178" s="273"/>
      <c r="BA178" s="273"/>
      <c r="BB178" s="273"/>
      <c r="BC178" s="273"/>
      <c r="BD178" s="273"/>
      <c r="BE178" s="273"/>
      <c r="BF178" s="273"/>
      <c r="BG178" s="273"/>
      <c r="BH178" s="273"/>
      <c r="BI178" s="273"/>
      <c r="BJ178" s="273"/>
      <c r="BK178" s="273"/>
      <c r="BL178" s="273"/>
      <c r="BM178" s="273"/>
      <c r="BN178" s="273"/>
    </row>
    <row r="179" spans="1:66" s="665" customFormat="1">
      <c r="B179" s="691"/>
      <c r="C179" s="691"/>
      <c r="D179" s="691"/>
      <c r="E179" s="691"/>
      <c r="F179" s="691"/>
      <c r="G179" s="691"/>
      <c r="H179" s="691"/>
      <c r="I179" s="691"/>
      <c r="J179" s="691"/>
      <c r="K179" s="691"/>
      <c r="L179" s="691"/>
      <c r="M179" s="691"/>
      <c r="N179" s="691"/>
      <c r="O179" s="691"/>
      <c r="P179" s="691"/>
      <c r="Q179" s="691"/>
      <c r="R179" s="691"/>
      <c r="AN179" s="273"/>
      <c r="AO179" s="273"/>
      <c r="AP179" s="273"/>
      <c r="AQ179" s="273"/>
      <c r="AR179" s="273"/>
      <c r="AS179" s="273"/>
      <c r="AT179" s="273"/>
      <c r="AU179" s="273"/>
      <c r="AV179" s="273"/>
      <c r="AW179" s="273"/>
      <c r="AX179" s="273"/>
      <c r="AY179" s="273"/>
      <c r="AZ179" s="273"/>
      <c r="BA179" s="273"/>
      <c r="BB179" s="273"/>
      <c r="BC179" s="273"/>
      <c r="BD179" s="273"/>
      <c r="BE179" s="273"/>
      <c r="BF179" s="273"/>
      <c r="BG179" s="273"/>
      <c r="BH179" s="273"/>
      <c r="BI179" s="273"/>
      <c r="BJ179" s="273"/>
      <c r="BK179" s="273"/>
      <c r="BL179" s="273"/>
      <c r="BM179" s="273"/>
      <c r="BN179" s="273"/>
    </row>
    <row r="180" spans="1:66" s="665" customFormat="1">
      <c r="B180" s="691"/>
      <c r="C180" s="691"/>
      <c r="D180" s="691"/>
      <c r="E180" s="691"/>
      <c r="F180" s="691"/>
      <c r="G180" s="691"/>
      <c r="H180" s="691"/>
      <c r="I180" s="691"/>
      <c r="J180" s="691"/>
      <c r="K180" s="691"/>
      <c r="L180" s="691"/>
      <c r="M180" s="691"/>
      <c r="N180" s="691"/>
      <c r="O180" s="691"/>
      <c r="P180" s="691"/>
      <c r="Q180" s="691"/>
      <c r="R180" s="691"/>
      <c r="AN180" s="273"/>
      <c r="AO180" s="273"/>
      <c r="AP180" s="273"/>
      <c r="AQ180" s="273"/>
      <c r="AR180" s="273"/>
      <c r="AS180" s="273"/>
      <c r="AT180" s="273"/>
      <c r="AU180" s="273"/>
      <c r="AV180" s="273"/>
      <c r="AW180" s="273"/>
      <c r="AX180" s="273"/>
      <c r="AY180" s="273"/>
      <c r="AZ180" s="273"/>
      <c r="BA180" s="273"/>
      <c r="BB180" s="273"/>
      <c r="BC180" s="273"/>
      <c r="BD180" s="273"/>
      <c r="BE180" s="273"/>
      <c r="BF180" s="273"/>
      <c r="BG180" s="273"/>
      <c r="BH180" s="273"/>
      <c r="BI180" s="273"/>
      <c r="BJ180" s="273"/>
      <c r="BK180" s="273"/>
      <c r="BL180" s="273"/>
      <c r="BM180" s="273"/>
      <c r="BN180" s="273"/>
    </row>
    <row r="181" spans="1:66" s="665" customFormat="1">
      <c r="B181" s="691"/>
      <c r="C181" s="691"/>
      <c r="D181" s="691"/>
      <c r="E181" s="691"/>
      <c r="F181" s="691"/>
      <c r="G181" s="691"/>
      <c r="H181" s="691"/>
      <c r="I181" s="691"/>
      <c r="J181" s="691"/>
      <c r="K181" s="691"/>
      <c r="L181" s="691"/>
      <c r="M181" s="691"/>
      <c r="N181" s="691"/>
      <c r="O181" s="691"/>
      <c r="P181" s="691"/>
      <c r="Q181" s="691"/>
      <c r="R181" s="691"/>
      <c r="AN181" s="273"/>
      <c r="AO181" s="273"/>
      <c r="AP181" s="273"/>
      <c r="AQ181" s="273"/>
      <c r="AR181" s="273"/>
      <c r="AS181" s="273"/>
      <c r="AT181" s="273"/>
      <c r="AU181" s="273"/>
      <c r="AV181" s="273"/>
      <c r="AW181" s="273"/>
      <c r="AX181" s="273"/>
      <c r="AY181" s="273"/>
      <c r="AZ181" s="273"/>
      <c r="BA181" s="273"/>
      <c r="BB181" s="273"/>
      <c r="BC181" s="273"/>
      <c r="BD181" s="273"/>
      <c r="BE181" s="273"/>
      <c r="BF181" s="273"/>
      <c r="BG181" s="273"/>
      <c r="BH181" s="273"/>
      <c r="BI181" s="273"/>
      <c r="BJ181" s="273"/>
      <c r="BK181" s="273"/>
      <c r="BL181" s="273"/>
      <c r="BM181" s="273"/>
      <c r="BN181" s="273"/>
    </row>
    <row r="182" spans="1:66" s="665" customFormat="1">
      <c r="B182" s="691"/>
      <c r="C182" s="691"/>
      <c r="D182" s="691"/>
      <c r="E182" s="691"/>
      <c r="F182" s="691"/>
      <c r="G182" s="691"/>
      <c r="H182" s="691"/>
      <c r="I182" s="691"/>
      <c r="J182" s="691"/>
      <c r="K182" s="691"/>
      <c r="L182" s="691"/>
      <c r="M182" s="691"/>
      <c r="N182" s="691"/>
      <c r="O182" s="691"/>
      <c r="P182" s="691"/>
      <c r="Q182" s="691"/>
      <c r="R182" s="691"/>
      <c r="AN182" s="273"/>
      <c r="AO182" s="273"/>
      <c r="AP182" s="273"/>
      <c r="AQ182" s="273"/>
      <c r="AR182" s="273"/>
      <c r="AS182" s="273"/>
      <c r="AT182" s="273"/>
      <c r="AU182" s="273"/>
      <c r="AV182" s="273"/>
      <c r="AW182" s="273"/>
      <c r="AX182" s="273"/>
      <c r="AY182" s="273"/>
      <c r="AZ182" s="273"/>
      <c r="BA182" s="273"/>
      <c r="BB182" s="273"/>
      <c r="BC182" s="273"/>
      <c r="BD182" s="273"/>
      <c r="BE182" s="273"/>
      <c r="BF182" s="273"/>
      <c r="BG182" s="273"/>
      <c r="BH182" s="273"/>
      <c r="BI182" s="273"/>
      <c r="BJ182" s="273"/>
      <c r="BK182" s="273"/>
      <c r="BL182" s="273"/>
      <c r="BM182" s="273"/>
      <c r="BN182" s="273"/>
    </row>
    <row r="183" spans="1:66" s="665" customFormat="1">
      <c r="B183" s="691"/>
      <c r="C183" s="691"/>
      <c r="D183" s="691"/>
      <c r="E183" s="691"/>
      <c r="F183" s="691"/>
      <c r="G183" s="691"/>
      <c r="H183" s="691"/>
      <c r="I183" s="691"/>
      <c r="J183" s="691"/>
      <c r="K183" s="691"/>
      <c r="L183" s="691"/>
      <c r="M183" s="691"/>
      <c r="N183" s="691"/>
      <c r="O183" s="691"/>
      <c r="P183" s="691"/>
      <c r="Q183" s="691"/>
      <c r="R183" s="691"/>
      <c r="AN183" s="273"/>
      <c r="AO183" s="273"/>
      <c r="AP183" s="273"/>
      <c r="AQ183" s="273"/>
      <c r="AR183" s="273"/>
      <c r="AS183" s="273"/>
      <c r="AT183" s="273"/>
      <c r="AU183" s="273"/>
      <c r="AV183" s="273"/>
      <c r="AW183" s="273"/>
      <c r="AX183" s="273"/>
      <c r="AY183" s="273"/>
      <c r="AZ183" s="273"/>
      <c r="BA183" s="273"/>
      <c r="BB183" s="273"/>
      <c r="BC183" s="273"/>
      <c r="BD183" s="273"/>
      <c r="BE183" s="273"/>
      <c r="BF183" s="273"/>
      <c r="BG183" s="273"/>
      <c r="BH183" s="273"/>
      <c r="BI183" s="273"/>
      <c r="BJ183" s="273"/>
      <c r="BK183" s="273"/>
      <c r="BL183" s="273"/>
      <c r="BM183" s="273"/>
      <c r="BN183" s="273"/>
    </row>
    <row r="184" spans="1:66" s="665" customFormat="1">
      <c r="B184" s="691"/>
      <c r="C184" s="691"/>
      <c r="D184" s="691"/>
      <c r="E184" s="691"/>
      <c r="F184" s="691"/>
      <c r="G184" s="691"/>
      <c r="H184" s="691"/>
      <c r="I184" s="691"/>
      <c r="J184" s="691"/>
      <c r="K184" s="691"/>
      <c r="L184" s="691"/>
      <c r="M184" s="691"/>
      <c r="N184" s="691"/>
      <c r="O184" s="691"/>
      <c r="P184" s="691"/>
      <c r="Q184" s="691"/>
      <c r="R184" s="691"/>
      <c r="AN184" s="273"/>
      <c r="AO184" s="273"/>
      <c r="AP184" s="273"/>
      <c r="AQ184" s="273"/>
      <c r="AR184" s="273"/>
      <c r="AS184" s="273"/>
      <c r="AT184" s="273"/>
      <c r="AU184" s="273"/>
      <c r="AV184" s="273"/>
      <c r="AW184" s="273"/>
      <c r="AX184" s="273"/>
      <c r="AY184" s="273"/>
      <c r="AZ184" s="273"/>
      <c r="BA184" s="273"/>
      <c r="BB184" s="273"/>
      <c r="BC184" s="273"/>
      <c r="BD184" s="273"/>
      <c r="BE184" s="273"/>
      <c r="BF184" s="273"/>
      <c r="BG184" s="273"/>
      <c r="BH184" s="273"/>
      <c r="BI184" s="273"/>
      <c r="BJ184" s="273"/>
      <c r="BK184" s="273"/>
      <c r="BL184" s="273"/>
      <c r="BM184" s="273"/>
      <c r="BN184" s="273"/>
    </row>
    <row r="185" spans="1:66" s="665" customFormat="1">
      <c r="B185" s="691"/>
      <c r="C185" s="691"/>
      <c r="D185" s="691"/>
      <c r="E185" s="691"/>
      <c r="F185" s="691"/>
      <c r="G185" s="691"/>
      <c r="H185" s="691"/>
      <c r="I185" s="691"/>
      <c r="J185" s="691"/>
      <c r="K185" s="691"/>
      <c r="L185" s="691"/>
      <c r="M185" s="691"/>
      <c r="N185" s="691"/>
      <c r="O185" s="691"/>
      <c r="P185" s="691"/>
      <c r="Q185" s="691"/>
      <c r="R185" s="691"/>
      <c r="AN185" s="273"/>
      <c r="AO185" s="273"/>
      <c r="AP185" s="273"/>
      <c r="AQ185" s="273"/>
      <c r="AR185" s="273"/>
      <c r="AS185" s="273"/>
      <c r="AT185" s="273"/>
      <c r="AU185" s="273"/>
      <c r="AV185" s="273"/>
      <c r="AW185" s="273"/>
      <c r="AX185" s="273"/>
      <c r="AY185" s="273"/>
      <c r="AZ185" s="273"/>
      <c r="BA185" s="273"/>
      <c r="BB185" s="273"/>
      <c r="BC185" s="273"/>
      <c r="BD185" s="273"/>
      <c r="BE185" s="273"/>
      <c r="BF185" s="273"/>
      <c r="BG185" s="273"/>
      <c r="BH185" s="273"/>
      <c r="BI185" s="273"/>
      <c r="BJ185" s="273"/>
      <c r="BK185" s="273"/>
      <c r="BL185" s="273"/>
      <c r="BM185" s="273"/>
      <c r="BN185" s="273"/>
    </row>
    <row r="186" spans="1:66" s="665" customFormat="1">
      <c r="B186" s="691"/>
      <c r="C186" s="691"/>
      <c r="D186" s="691"/>
      <c r="E186" s="691"/>
      <c r="F186" s="691"/>
      <c r="G186" s="691"/>
      <c r="H186" s="691"/>
      <c r="I186" s="691"/>
      <c r="J186" s="691"/>
      <c r="K186" s="691"/>
      <c r="L186" s="691"/>
      <c r="M186" s="691"/>
      <c r="N186" s="691"/>
      <c r="O186" s="691"/>
      <c r="P186" s="691"/>
      <c r="Q186" s="691"/>
      <c r="R186" s="691"/>
      <c r="AN186" s="273"/>
      <c r="AO186" s="273"/>
      <c r="AP186" s="273"/>
      <c r="AQ186" s="273"/>
      <c r="AR186" s="273"/>
      <c r="AS186" s="273"/>
      <c r="AT186" s="273"/>
      <c r="AU186" s="273"/>
      <c r="AV186" s="273"/>
      <c r="AW186" s="273"/>
      <c r="AX186" s="273"/>
      <c r="AY186" s="273"/>
      <c r="AZ186" s="273"/>
      <c r="BA186" s="273"/>
      <c r="BB186" s="273"/>
      <c r="BC186" s="273"/>
      <c r="BD186" s="273"/>
      <c r="BE186" s="273"/>
      <c r="BF186" s="273"/>
      <c r="BG186" s="273"/>
      <c r="BH186" s="273"/>
      <c r="BI186" s="273"/>
      <c r="BJ186" s="273"/>
      <c r="BK186" s="273"/>
      <c r="BL186" s="273"/>
      <c r="BM186" s="273"/>
      <c r="BN186" s="273"/>
    </row>
    <row r="187" spans="1:66" s="665" customFormat="1">
      <c r="B187" s="691"/>
      <c r="C187" s="691"/>
      <c r="D187" s="691"/>
      <c r="E187" s="691"/>
      <c r="F187" s="691"/>
      <c r="G187" s="691"/>
      <c r="H187" s="691"/>
      <c r="I187" s="691"/>
      <c r="J187" s="691"/>
      <c r="K187" s="691"/>
      <c r="L187" s="691"/>
      <c r="M187" s="691"/>
      <c r="N187" s="691"/>
      <c r="O187" s="691"/>
      <c r="P187" s="691"/>
      <c r="Q187" s="691"/>
      <c r="R187" s="691"/>
      <c r="AN187" s="273"/>
      <c r="AO187" s="273"/>
      <c r="AP187" s="273"/>
      <c r="AQ187" s="273"/>
      <c r="AR187" s="273"/>
      <c r="AS187" s="273"/>
      <c r="AT187" s="273"/>
      <c r="AU187" s="273"/>
      <c r="AV187" s="273"/>
      <c r="AW187" s="273"/>
      <c r="AX187" s="273"/>
      <c r="AY187" s="273"/>
      <c r="AZ187" s="273"/>
      <c r="BA187" s="273"/>
      <c r="BB187" s="273"/>
      <c r="BC187" s="273"/>
      <c r="BD187" s="273"/>
      <c r="BE187" s="273"/>
      <c r="BF187" s="273"/>
      <c r="BG187" s="273"/>
      <c r="BH187" s="273"/>
      <c r="BI187" s="273"/>
      <c r="BJ187" s="273"/>
      <c r="BK187" s="273"/>
      <c r="BL187" s="273"/>
      <c r="BM187" s="273"/>
      <c r="BN187" s="273"/>
    </row>
    <row r="188" spans="1:66" s="665" customFormat="1">
      <c r="B188" s="691"/>
      <c r="C188" s="691"/>
      <c r="D188" s="691"/>
      <c r="E188" s="691"/>
      <c r="F188" s="691"/>
      <c r="G188" s="691"/>
      <c r="H188" s="691"/>
      <c r="I188" s="691"/>
      <c r="J188" s="691"/>
      <c r="K188" s="691"/>
      <c r="L188" s="691"/>
      <c r="M188" s="691"/>
      <c r="N188" s="691"/>
      <c r="O188" s="691"/>
      <c r="P188" s="691"/>
      <c r="Q188" s="691"/>
      <c r="R188" s="691"/>
      <c r="AN188" s="273"/>
      <c r="AO188" s="273"/>
      <c r="AP188" s="273"/>
      <c r="AQ188" s="273"/>
      <c r="AR188" s="273"/>
      <c r="AS188" s="273"/>
      <c r="AT188" s="273"/>
      <c r="AU188" s="273"/>
      <c r="AV188" s="273"/>
      <c r="AW188" s="273"/>
      <c r="AX188" s="273"/>
      <c r="AY188" s="273"/>
      <c r="AZ188" s="273"/>
      <c r="BA188" s="273"/>
      <c r="BB188" s="273"/>
      <c r="BC188" s="273"/>
      <c r="BD188" s="273"/>
      <c r="BE188" s="273"/>
      <c r="BF188" s="273"/>
      <c r="BG188" s="273"/>
      <c r="BH188" s="273"/>
      <c r="BI188" s="273"/>
      <c r="BJ188" s="273"/>
      <c r="BK188" s="273"/>
      <c r="BL188" s="273"/>
      <c r="BM188" s="273"/>
      <c r="BN188" s="273"/>
    </row>
    <row r="189" spans="1:66" s="665" customFormat="1">
      <c r="B189" s="691"/>
      <c r="C189" s="691"/>
      <c r="D189" s="691"/>
      <c r="E189" s="691"/>
      <c r="F189" s="691"/>
      <c r="G189" s="691"/>
      <c r="H189" s="691"/>
      <c r="I189" s="691"/>
      <c r="J189" s="691"/>
      <c r="K189" s="691"/>
      <c r="L189" s="691"/>
      <c r="M189" s="691"/>
      <c r="N189" s="691"/>
      <c r="O189" s="691"/>
      <c r="P189" s="691"/>
      <c r="Q189" s="691"/>
      <c r="R189" s="691"/>
      <c r="AN189" s="273"/>
      <c r="AO189" s="273"/>
      <c r="AP189" s="273"/>
      <c r="AQ189" s="273"/>
      <c r="AR189" s="273"/>
      <c r="AS189" s="273"/>
      <c r="AT189" s="273"/>
      <c r="AU189" s="273"/>
      <c r="AV189" s="273"/>
      <c r="AW189" s="273"/>
      <c r="AX189" s="273"/>
      <c r="AY189" s="273"/>
      <c r="AZ189" s="273"/>
      <c r="BA189" s="273"/>
      <c r="BB189" s="273"/>
      <c r="BC189" s="273"/>
      <c r="BD189" s="273"/>
      <c r="BE189" s="273"/>
      <c r="BF189" s="273"/>
      <c r="BG189" s="273"/>
      <c r="BH189" s="273"/>
      <c r="BI189" s="273"/>
      <c r="BJ189" s="273"/>
      <c r="BK189" s="273"/>
      <c r="BL189" s="273"/>
      <c r="BM189" s="273"/>
      <c r="BN189" s="273"/>
    </row>
    <row r="190" spans="1:66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</row>
  </sheetData>
  <mergeCells count="181">
    <mergeCell ref="AH135:AH136"/>
    <mergeCell ref="AI135:AI136"/>
    <mergeCell ref="AJ135:AJ136"/>
    <mergeCell ref="U171:X171"/>
    <mergeCell ref="AB171:AE171"/>
    <mergeCell ref="AG171:AJ171"/>
    <mergeCell ref="W135:W136"/>
    <mergeCell ref="X135:X136"/>
    <mergeCell ref="AB135:AB136"/>
    <mergeCell ref="AC135:AC136"/>
    <mergeCell ref="AD172:AD173"/>
    <mergeCell ref="AE172:AE173"/>
    <mergeCell ref="AG172:AG173"/>
    <mergeCell ref="AH172:AH173"/>
    <mergeCell ref="AI172:AI173"/>
    <mergeCell ref="AJ172:AJ173"/>
    <mergeCell ref="U172:U173"/>
    <mergeCell ref="V172:V173"/>
    <mergeCell ref="W172:W173"/>
    <mergeCell ref="X172:X173"/>
    <mergeCell ref="AB172:AB173"/>
    <mergeCell ref="AC172:AC173"/>
    <mergeCell ref="A133:A136"/>
    <mergeCell ref="B133:R133"/>
    <mergeCell ref="S133:S136"/>
    <mergeCell ref="B134:G134"/>
    <mergeCell ref="H134:I134"/>
    <mergeCell ref="J134:Q134"/>
    <mergeCell ref="U134:X134"/>
    <mergeCell ref="AB134:AE134"/>
    <mergeCell ref="AG134:AJ134"/>
    <mergeCell ref="AD135:AD136"/>
    <mergeCell ref="AE135:AE136"/>
    <mergeCell ref="M135:O135"/>
    <mergeCell ref="P135:P136"/>
    <mergeCell ref="Q135:Q136"/>
    <mergeCell ref="R135:R136"/>
    <mergeCell ref="U135:U136"/>
    <mergeCell ref="V135:V136"/>
    <mergeCell ref="B135:B136"/>
    <mergeCell ref="C135:C136"/>
    <mergeCell ref="D135:G135"/>
    <mergeCell ref="H135:H136"/>
    <mergeCell ref="I135:I136"/>
    <mergeCell ref="J135:L135"/>
    <mergeCell ref="AG135:AG136"/>
    <mergeCell ref="X69:X70"/>
    <mergeCell ref="AG101:AJ101"/>
    <mergeCell ref="B102:B103"/>
    <mergeCell ref="C102:C103"/>
    <mergeCell ref="D102:G102"/>
    <mergeCell ref="H102:H103"/>
    <mergeCell ref="I102:I103"/>
    <mergeCell ref="J102:L102"/>
    <mergeCell ref="M102:O102"/>
    <mergeCell ref="P102:P103"/>
    <mergeCell ref="Q102:Q103"/>
    <mergeCell ref="AJ102:AJ103"/>
    <mergeCell ref="AC102:AC103"/>
    <mergeCell ref="AD102:AD103"/>
    <mergeCell ref="AE102:AE103"/>
    <mergeCell ref="AG102:AG103"/>
    <mergeCell ref="AH102:AH103"/>
    <mergeCell ref="AI102:AI103"/>
    <mergeCell ref="R102:R103"/>
    <mergeCell ref="U102:U103"/>
    <mergeCell ref="V102:V103"/>
    <mergeCell ref="W102:W103"/>
    <mergeCell ref="X102:X103"/>
    <mergeCell ref="AB102:AB103"/>
    <mergeCell ref="J69:L69"/>
    <mergeCell ref="M69:O69"/>
    <mergeCell ref="P69:P70"/>
    <mergeCell ref="AI69:AI70"/>
    <mergeCell ref="AJ69:AJ70"/>
    <mergeCell ref="A100:A103"/>
    <mergeCell ref="B100:R100"/>
    <mergeCell ref="S100:S103"/>
    <mergeCell ref="B101:G101"/>
    <mergeCell ref="H101:I101"/>
    <mergeCell ref="J101:Q101"/>
    <mergeCell ref="U101:X101"/>
    <mergeCell ref="AB101:AE101"/>
    <mergeCell ref="AB69:AB70"/>
    <mergeCell ref="AC69:AC70"/>
    <mergeCell ref="AD69:AD70"/>
    <mergeCell ref="AE69:AE70"/>
    <mergeCell ref="AG69:AG70"/>
    <mergeCell ref="AH69:AH70"/>
    <mergeCell ref="Q69:Q70"/>
    <mergeCell ref="R69:R70"/>
    <mergeCell ref="U69:U70"/>
    <mergeCell ref="V69:V70"/>
    <mergeCell ref="W69:W70"/>
    <mergeCell ref="A67:A70"/>
    <mergeCell ref="B67:R67"/>
    <mergeCell ref="S67:S70"/>
    <mergeCell ref="B68:G68"/>
    <mergeCell ref="H68:I68"/>
    <mergeCell ref="J68:Q68"/>
    <mergeCell ref="U68:X68"/>
    <mergeCell ref="AJ36:AJ37"/>
    <mergeCell ref="AN36:AN37"/>
    <mergeCell ref="AC36:AC37"/>
    <mergeCell ref="AD36:AD37"/>
    <mergeCell ref="AE36:AE37"/>
    <mergeCell ref="AG36:AG37"/>
    <mergeCell ref="AH36:AH37"/>
    <mergeCell ref="AI36:AI37"/>
    <mergeCell ref="R36:R37"/>
    <mergeCell ref="U36:U37"/>
    <mergeCell ref="AB68:AE68"/>
    <mergeCell ref="AG68:AJ68"/>
    <mergeCell ref="B69:B70"/>
    <mergeCell ref="C69:C70"/>
    <mergeCell ref="D69:G69"/>
    <mergeCell ref="H69:H70"/>
    <mergeCell ref="I69:I70"/>
    <mergeCell ref="V36:V37"/>
    <mergeCell ref="W36:W37"/>
    <mergeCell ref="X36:X37"/>
    <mergeCell ref="AB36:AB37"/>
    <mergeCell ref="U35:X35"/>
    <mergeCell ref="AB35:AE35"/>
    <mergeCell ref="AG35:AJ35"/>
    <mergeCell ref="AN35:AQ35"/>
    <mergeCell ref="AT35:AX35"/>
    <mergeCell ref="AV36:AV37"/>
    <mergeCell ref="AW36:AW37"/>
    <mergeCell ref="AX36:AX37"/>
    <mergeCell ref="AO36:AO37"/>
    <mergeCell ref="AP36:AP37"/>
    <mergeCell ref="AQ36:AQ37"/>
    <mergeCell ref="AT36:AT37"/>
    <mergeCell ref="AU36:AU37"/>
    <mergeCell ref="B36:B37"/>
    <mergeCell ref="C36:C37"/>
    <mergeCell ref="D36:G36"/>
    <mergeCell ref="H36:H37"/>
    <mergeCell ref="I36:I37"/>
    <mergeCell ref="A34:A37"/>
    <mergeCell ref="B34:R34"/>
    <mergeCell ref="S34:S37"/>
    <mergeCell ref="B35:G35"/>
    <mergeCell ref="H35:I35"/>
    <mergeCell ref="J35:Q35"/>
    <mergeCell ref="J36:L36"/>
    <mergeCell ref="M36:O36"/>
    <mergeCell ref="P36:P37"/>
    <mergeCell ref="Q36:Q37"/>
    <mergeCell ref="U2:X2"/>
    <mergeCell ref="AB2:AE2"/>
    <mergeCell ref="AG2:AJ2"/>
    <mergeCell ref="B3:B4"/>
    <mergeCell ref="C3:C4"/>
    <mergeCell ref="D3:G3"/>
    <mergeCell ref="H3:H4"/>
    <mergeCell ref="I3:I4"/>
    <mergeCell ref="J3:L3"/>
    <mergeCell ref="M3:O3"/>
    <mergeCell ref="AD3:AD4"/>
    <mergeCell ref="AE3:AE4"/>
    <mergeCell ref="AG3:AG4"/>
    <mergeCell ref="AH3:AH4"/>
    <mergeCell ref="AI3:AI4"/>
    <mergeCell ref="AJ3:AJ4"/>
    <mergeCell ref="U3:U4"/>
    <mergeCell ref="V3:V4"/>
    <mergeCell ref="W3:W4"/>
    <mergeCell ref="X3:X4"/>
    <mergeCell ref="AB3:AB4"/>
    <mergeCell ref="AC3:AC4"/>
    <mergeCell ref="A1:A4"/>
    <mergeCell ref="B1:R1"/>
    <mergeCell ref="S1:S4"/>
    <mergeCell ref="B2:G2"/>
    <mergeCell ref="H2:I2"/>
    <mergeCell ref="J2:Q2"/>
    <mergeCell ref="P3:P4"/>
    <mergeCell ref="Q3:Q4"/>
    <mergeCell ref="R3:R4"/>
  </mergeCells>
  <pageMargins left="0.51181102362204722" right="0.51181102362204722" top="0.78740157480314965" bottom="0.78740157480314965" header="0.31496062992125984" footer="0.31496062992125984"/>
  <pageSetup paperSize="9"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0.39997558519241921"/>
  </sheetPr>
  <dimension ref="A1:BL210"/>
  <sheetViews>
    <sheetView topLeftCell="A23" zoomScale="90" zoomScaleNormal="90" zoomScalePageLayoutView="90" workbookViewId="0">
      <pane xSplit="1" topLeftCell="AX73" activePane="topRight" state="frozen"/>
      <selection pane="topRight" activeCell="AX73" sqref="AX73:AX75"/>
      <selection activeCell="A145" sqref="A145"/>
    </sheetView>
  </sheetViews>
  <sheetFormatPr defaultColWidth="8.85546875" defaultRowHeight="15"/>
  <cols>
    <col min="1" max="1" width="22.42578125" customWidth="1"/>
    <col min="2" max="2" width="15.28515625" style="272" bestFit="1" customWidth="1"/>
    <col min="3" max="3" width="14.42578125" style="272" bestFit="1" customWidth="1"/>
    <col min="4" max="4" width="13.85546875" style="272" bestFit="1" customWidth="1"/>
    <col min="5" max="5" width="14.85546875" style="272" bestFit="1" customWidth="1"/>
    <col min="6" max="6" width="12.7109375" style="272" bestFit="1" customWidth="1"/>
    <col min="7" max="7" width="11.140625" style="272" bestFit="1" customWidth="1"/>
    <col min="8" max="8" width="13.85546875" style="272" bestFit="1" customWidth="1"/>
    <col min="9" max="9" width="14.42578125" style="272" bestFit="1" customWidth="1"/>
    <col min="10" max="12" width="13.85546875" style="272" bestFit="1" customWidth="1"/>
    <col min="13" max="14" width="13.140625" style="272" bestFit="1" customWidth="1"/>
    <col min="15" max="15" width="13.85546875" style="272" bestFit="1" customWidth="1"/>
    <col min="16" max="16" width="11.140625" style="272" bestFit="1" customWidth="1"/>
    <col min="17" max="17" width="14.42578125" style="272" bestFit="1" customWidth="1"/>
    <col min="18" max="18" width="14.85546875" style="272" bestFit="1" customWidth="1"/>
    <col min="19" max="19" width="17.28515625" bestFit="1" customWidth="1"/>
    <col min="20" max="20" width="8.85546875" style="665"/>
    <col min="21" max="21" width="10.42578125" style="665" bestFit="1" customWidth="1"/>
    <col min="22" max="22" width="11.42578125" style="665" bestFit="1" customWidth="1"/>
    <col min="23" max="23" width="10" style="665" bestFit="1" customWidth="1"/>
    <col min="24" max="25" width="8.85546875" style="665"/>
    <col min="26" max="26" width="11" style="665" bestFit="1" customWidth="1"/>
    <col min="27" max="27" width="8.85546875" style="665"/>
    <col min="28" max="28" width="15.85546875" style="665" bestFit="1" customWidth="1"/>
    <col min="29" max="31" width="14.85546875" style="665" bestFit="1" customWidth="1"/>
    <col min="32" max="32" width="8.85546875" style="665"/>
    <col min="33" max="33" width="15.85546875" style="665" bestFit="1" customWidth="1"/>
    <col min="34" max="36" width="14.85546875" style="665" bestFit="1" customWidth="1"/>
    <col min="37" max="39" width="8.85546875" style="665"/>
    <col min="40" max="44" width="8.85546875" style="273"/>
    <col min="45" max="46" width="14" style="273" bestFit="1" customWidth="1"/>
    <col min="47" max="48" width="13.140625" style="273" bestFit="1" customWidth="1"/>
    <col min="49" max="49" width="8.85546875" style="273"/>
    <col min="50" max="50" width="13" style="273" bestFit="1" customWidth="1"/>
    <col min="51" max="64" width="8.85546875" style="273"/>
  </cols>
  <sheetData>
    <row r="1" spans="1:38" ht="15.75" customHeight="1" thickBot="1">
      <c r="A1" s="1051" t="s">
        <v>95</v>
      </c>
      <c r="B1" s="1054">
        <v>2009</v>
      </c>
      <c r="C1" s="1055"/>
      <c r="D1" s="1055"/>
      <c r="E1" s="1055"/>
      <c r="F1" s="1055"/>
      <c r="G1" s="1055"/>
      <c r="H1" s="1055"/>
      <c r="I1" s="1055"/>
      <c r="J1" s="1055"/>
      <c r="K1" s="1055"/>
      <c r="L1" s="1055"/>
      <c r="M1" s="1055"/>
      <c r="N1" s="1055"/>
      <c r="O1" s="1055"/>
      <c r="P1" s="1055"/>
      <c r="Q1" s="1055"/>
      <c r="R1" s="1056"/>
      <c r="S1" s="1057" t="s">
        <v>96</v>
      </c>
    </row>
    <row r="2" spans="1:38" ht="15.75" thickBot="1">
      <c r="A2" s="1052"/>
      <c r="B2" s="1060" t="s">
        <v>97</v>
      </c>
      <c r="C2" s="1061"/>
      <c r="D2" s="1061"/>
      <c r="E2" s="1061"/>
      <c r="F2" s="1061"/>
      <c r="G2" s="1061"/>
      <c r="H2" s="1061" t="s">
        <v>98</v>
      </c>
      <c r="I2" s="1061"/>
      <c r="J2" s="1061" t="s">
        <v>99</v>
      </c>
      <c r="K2" s="1061"/>
      <c r="L2" s="1061"/>
      <c r="M2" s="1061"/>
      <c r="N2" s="1061"/>
      <c r="O2" s="1061"/>
      <c r="P2" s="1061"/>
      <c r="Q2" s="1061"/>
      <c r="R2" s="689" t="s">
        <v>100</v>
      </c>
      <c r="S2" s="1058"/>
      <c r="U2" s="1068">
        <v>2009</v>
      </c>
      <c r="V2" s="1069"/>
      <c r="W2" s="1069"/>
      <c r="X2" s="1070"/>
      <c r="AB2" s="1068">
        <v>2009</v>
      </c>
      <c r="AC2" s="1069"/>
      <c r="AD2" s="1069"/>
      <c r="AE2" s="1070"/>
      <c r="AG2" s="1068">
        <v>2009</v>
      </c>
      <c r="AH2" s="1069"/>
      <c r="AI2" s="1069"/>
      <c r="AJ2" s="1070"/>
    </row>
    <row r="3" spans="1:38" ht="15" customHeight="1">
      <c r="A3" s="1052"/>
      <c r="B3" s="1062" t="s">
        <v>101</v>
      </c>
      <c r="C3" s="1064" t="s">
        <v>102</v>
      </c>
      <c r="D3" s="1064" t="s">
        <v>103</v>
      </c>
      <c r="E3" s="1064"/>
      <c r="F3" s="1064"/>
      <c r="G3" s="1064"/>
      <c r="H3" s="1062" t="s">
        <v>101</v>
      </c>
      <c r="I3" s="1064" t="s">
        <v>102</v>
      </c>
      <c r="J3" s="1064" t="s">
        <v>104</v>
      </c>
      <c r="K3" s="1064"/>
      <c r="L3" s="1064"/>
      <c r="M3" s="1064" t="s">
        <v>105</v>
      </c>
      <c r="N3" s="1064"/>
      <c r="O3" s="1064"/>
      <c r="P3" s="1062" t="s">
        <v>101</v>
      </c>
      <c r="Q3" s="1064" t="s">
        <v>102</v>
      </c>
      <c r="R3" s="1066" t="s">
        <v>101</v>
      </c>
      <c r="S3" s="1058"/>
      <c r="U3" s="1075" t="s">
        <v>101</v>
      </c>
      <c r="V3" s="1077" t="s">
        <v>103</v>
      </c>
      <c r="W3" s="1071" t="s">
        <v>104</v>
      </c>
      <c r="X3" s="1073" t="s">
        <v>105</v>
      </c>
      <c r="AB3" s="1075" t="s">
        <v>101</v>
      </c>
      <c r="AC3" s="1077" t="s">
        <v>103</v>
      </c>
      <c r="AD3" s="1071" t="s">
        <v>104</v>
      </c>
      <c r="AE3" s="1073" t="s">
        <v>105</v>
      </c>
      <c r="AG3" s="1075" t="s">
        <v>101</v>
      </c>
      <c r="AH3" s="1077" t="s">
        <v>103</v>
      </c>
      <c r="AI3" s="1071" t="s">
        <v>104</v>
      </c>
      <c r="AJ3" s="1073" t="s">
        <v>105</v>
      </c>
    </row>
    <row r="4" spans="1:38" ht="15.75" thickBot="1">
      <c r="A4" s="1053"/>
      <c r="B4" s="1063"/>
      <c r="C4" s="1065"/>
      <c r="D4" s="290" t="s">
        <v>106</v>
      </c>
      <c r="E4" s="290" t="s">
        <v>107</v>
      </c>
      <c r="F4" s="290" t="s">
        <v>108</v>
      </c>
      <c r="G4" s="290" t="s">
        <v>109</v>
      </c>
      <c r="H4" s="1063"/>
      <c r="I4" s="1065"/>
      <c r="J4" s="290" t="s">
        <v>110</v>
      </c>
      <c r="K4" s="290" t="s">
        <v>111</v>
      </c>
      <c r="L4" s="290" t="s">
        <v>112</v>
      </c>
      <c r="M4" s="290" t="s">
        <v>113</v>
      </c>
      <c r="N4" s="290" t="s">
        <v>114</v>
      </c>
      <c r="O4" s="290" t="s">
        <v>115</v>
      </c>
      <c r="P4" s="1063"/>
      <c r="Q4" s="1065"/>
      <c r="R4" s="1067"/>
      <c r="S4" s="1059"/>
      <c r="U4" s="1076"/>
      <c r="V4" s="1074"/>
      <c r="W4" s="1072"/>
      <c r="X4" s="1074"/>
      <c r="AB4" s="1076"/>
      <c r="AC4" s="1074"/>
      <c r="AD4" s="1072"/>
      <c r="AE4" s="1074"/>
      <c r="AG4" s="1076"/>
      <c r="AH4" s="1074"/>
      <c r="AI4" s="1072"/>
      <c r="AJ4" s="1074"/>
    </row>
    <row r="5" spans="1:38" ht="15.75" thickBot="1">
      <c r="A5" s="164" t="s">
        <v>11</v>
      </c>
      <c r="B5" s="291">
        <f>KMA!B5*FRO_TOT!B5</f>
        <v>185454242718.40207</v>
      </c>
      <c r="C5" s="291">
        <f>KMA!C5*FRO_TOT!C5</f>
        <v>24677754320.880978</v>
      </c>
      <c r="D5" s="291">
        <f>KMA!D5*FRO_TOT!D5</f>
        <v>12779516837.471046</v>
      </c>
      <c r="E5" s="291">
        <f>KMA!E5*FRO_TOT!E5</f>
        <v>159158141551.10138</v>
      </c>
      <c r="F5" s="291">
        <f>KMA!F5*FRO_TOT!F5</f>
        <v>2229612754.5256243</v>
      </c>
      <c r="G5" s="291">
        <f>KMA!G5*FRO_TOT!G5</f>
        <v>660127199.70518017</v>
      </c>
      <c r="H5" s="291">
        <f>KMA!H5*FRO_TOT!H5</f>
        <v>102317090346.90707</v>
      </c>
      <c r="I5" s="291">
        <f>KMA!I5*FRO_TOT!I5</f>
        <v>11881868689.369419</v>
      </c>
      <c r="J5" s="291">
        <f>KMA!J5*FRO_TOT!J5</f>
        <v>33828047090.184875</v>
      </c>
      <c r="K5" s="291">
        <f>KMA!K5*FRO_TOT!K5</f>
        <v>32323830234.142033</v>
      </c>
      <c r="L5" s="291">
        <f>KMA!L5*FRO_TOT!L5</f>
        <v>19598060840.938015</v>
      </c>
      <c r="M5" s="291">
        <f>KMA!M5*FRO_TOT!M5</f>
        <v>7782609256.6578331</v>
      </c>
      <c r="N5" s="291">
        <f>KMA!N5*FRO_TOT!N5</f>
        <v>38204499020.927399</v>
      </c>
      <c r="O5" s="291">
        <f>KMA!O5*FRO_TOT!O5</f>
        <v>4804405957.7394562</v>
      </c>
      <c r="P5" s="291">
        <f>KMA!P5*FRO_TOT!P5</f>
        <v>606554463.08461463</v>
      </c>
      <c r="Q5" s="291">
        <f>KMA!Q5*FRO_TOT!Q5</f>
        <v>22351690919.30447</v>
      </c>
      <c r="R5" s="291">
        <f>KMA!R5*FRO_TOT!R5</f>
        <v>29002015277.999996</v>
      </c>
      <c r="S5" s="690">
        <f>SUM(B5:R5)</f>
        <v>687660067479.34155</v>
      </c>
      <c r="U5" s="733">
        <f>(B5+C5+H5+I5+P5+Q5+R5)/(DEN!C3+DEN!F3+DEN!G3+DEN!L3)</f>
        <v>9727.2932903465153</v>
      </c>
      <c r="V5" s="734">
        <f>SUM(D5:G5)/SUM(DEN!I3:J3)</f>
        <v>12703.743844794695</v>
      </c>
      <c r="W5" s="734">
        <f>SUM(J5:L5)/SUM(DEN!D3:E3)</f>
        <v>36842.173670593744</v>
      </c>
      <c r="X5" s="735">
        <f>SUM(M5:O5)/(DEN!H3+DEN!K3)</f>
        <v>77894.524595815834</v>
      </c>
      <c r="AB5" s="733">
        <f>($B5+$C5+$H5+$I5+$P5+$Q5+$R5)</f>
        <v>376291216735.94861</v>
      </c>
      <c r="AC5" s="734">
        <f>SUM($D5:$G5)</f>
        <v>174827398342.80322</v>
      </c>
      <c r="AD5" s="734">
        <f>SUM($J5:$L5)</f>
        <v>85749938165.264923</v>
      </c>
      <c r="AE5" s="735">
        <f>SUM($M5:$O5)</f>
        <v>50791514235.324692</v>
      </c>
      <c r="AG5" s="944">
        <f>AB5/$S5</f>
        <v>0.54720527558807686</v>
      </c>
      <c r="AH5" s="944">
        <f t="shared" ref="AH5:AJ5" si="0">AC5/$S5</f>
        <v>0.25423520516996623</v>
      </c>
      <c r="AI5" s="944">
        <f t="shared" si="0"/>
        <v>0.12469814988615868</v>
      </c>
      <c r="AJ5" s="944">
        <f t="shared" si="0"/>
        <v>7.3861369355798095E-2</v>
      </c>
      <c r="AL5" s="945">
        <f t="shared" ref="AL5:AL68" si="1">SUM(AG5:AJ5)</f>
        <v>0.99999999999999989</v>
      </c>
    </row>
    <row r="6" spans="1:38" ht="15.75" thickBot="1">
      <c r="A6" s="269" t="s">
        <v>46</v>
      </c>
      <c r="B6" s="291">
        <f>KMA!B6*FRO_TOT!B6</f>
        <v>10891515426.803925</v>
      </c>
      <c r="C6" s="291">
        <f>KMA!C6*FRO_TOT!C6</f>
        <v>1803918154.2714622</v>
      </c>
      <c r="D6" s="291">
        <f>KMA!D6*FRO_TOT!D6</f>
        <v>1506710118.0188475</v>
      </c>
      <c r="E6" s="291">
        <f>KMA!E6*FRO_TOT!E6</f>
        <v>11915206137.42454</v>
      </c>
      <c r="F6" s="291">
        <f>KMA!F6*FRO_TOT!F6</f>
        <v>166921302.06041372</v>
      </c>
      <c r="G6" s="291">
        <f>KMA!G6*FRO_TOT!G6</f>
        <v>49419348.479698785</v>
      </c>
      <c r="H6" s="291">
        <f>KMA!H6*FRO_TOT!H6</f>
        <v>1643874859.584743</v>
      </c>
      <c r="I6" s="291">
        <f>KMA!I6*FRO_TOT!I6</f>
        <v>266292931.41381893</v>
      </c>
      <c r="J6" s="291">
        <f>KMA!J6*FRO_TOT!J6</f>
        <v>4418060848.9225483</v>
      </c>
      <c r="K6" s="291">
        <f>KMA!K6*FRO_TOT!K6</f>
        <v>4221523005.1170087</v>
      </c>
      <c r="L6" s="291">
        <f>KMA!L6*FRO_TOT!L6</f>
        <v>1795430784.5425076</v>
      </c>
      <c r="M6" s="291">
        <f>KMA!M6*FRO_TOT!M6</f>
        <v>472212015.74679512</v>
      </c>
      <c r="N6" s="291">
        <f>KMA!N6*FRO_TOT!N6</f>
        <v>2376573624.8078938</v>
      </c>
      <c r="O6" s="291">
        <f>KMA!O6*FRO_TOT!O6</f>
        <v>416415818.66333914</v>
      </c>
      <c r="P6" s="291">
        <f>KMA!P6*FRO_TOT!P6</f>
        <v>48241164.866031699</v>
      </c>
      <c r="Q6" s="291">
        <f>KMA!Q6*FRO_TOT!Q6</f>
        <v>2287456921.6956396</v>
      </c>
      <c r="R6" s="291">
        <f>KMA!R6*FRO_TOT!R6</f>
        <v>0</v>
      </c>
      <c r="S6" s="690">
        <f t="shared" ref="S6:S37" si="2">SUM(B6:R6)</f>
        <v>44279772462.41922</v>
      </c>
      <c r="U6" s="733">
        <f>(B6+C6+H6+I6+P6+Q6+R6)/(DEN!C4+DEN!F4+DEN!G4+DEN!L4)</f>
        <v>14989.050567474857</v>
      </c>
      <c r="V6" s="734">
        <f>SUM(D6:G6)/SUM(DEN!I4:J4)</f>
        <v>13423.2301817028</v>
      </c>
      <c r="W6" s="734">
        <f>SUM(J6:L6)/SUM(DEN!D4:E4)</f>
        <v>94420.849818868432</v>
      </c>
      <c r="X6" s="735">
        <f>SUM(M6:O6)/(DEN!H4+DEN!K4)</f>
        <v>106859.58434409046</v>
      </c>
      <c r="AB6" s="733">
        <f t="shared" ref="AB6:AB37" si="3">($B6+$C6+$H6+$I6+$P6+$Q6+$R6)</f>
        <v>16941299458.63562</v>
      </c>
      <c r="AC6" s="734">
        <f t="shared" ref="AC6:AC37" si="4">SUM($D6:$G6)</f>
        <v>13638256905.983498</v>
      </c>
      <c r="AD6" s="734">
        <f t="shared" ref="AD6:AD37" si="5">SUM($J6:$L6)</f>
        <v>10435014638.582064</v>
      </c>
      <c r="AE6" s="735">
        <f t="shared" ref="AE6:AE37" si="6">SUM($M6:$O6)</f>
        <v>3265201459.2180281</v>
      </c>
      <c r="AG6" s="944">
        <f t="shared" ref="AG6:AG37" si="7">AB6/$S6</f>
        <v>0.38259680473773677</v>
      </c>
      <c r="AH6" s="944">
        <f t="shared" ref="AH6:AH37" si="8">AC6/$S6</f>
        <v>0.30800196449876638</v>
      </c>
      <c r="AI6" s="944">
        <f t="shared" ref="AI6:AI37" si="9">AD6/$S6</f>
        <v>0.23566098148852024</v>
      </c>
      <c r="AJ6" s="944">
        <f t="shared" ref="AJ6:AJ37" si="10">AE6/$S6</f>
        <v>7.3740249274976383E-2</v>
      </c>
      <c r="AL6" s="945">
        <f t="shared" si="1"/>
        <v>0.99999999999999978</v>
      </c>
    </row>
    <row r="7" spans="1:38" ht="15.75" thickBot="1">
      <c r="A7" s="127" t="s">
        <v>13</v>
      </c>
      <c r="B7" s="291">
        <f>KMA!B7*FRO_TOT!B7</f>
        <v>487126820.55494756</v>
      </c>
      <c r="C7" s="291">
        <f>KMA!C7*FRO_TOT!C7</f>
        <v>76130776.160759777</v>
      </c>
      <c r="D7" s="291">
        <f>KMA!D7*FRO_TOT!D7</f>
        <v>63221456.631182835</v>
      </c>
      <c r="E7" s="291">
        <f>KMA!E7*FRO_TOT!E7</f>
        <v>623344789.89712524</v>
      </c>
      <c r="F7" s="291">
        <f>KMA!F7*FRO_TOT!F7</f>
        <v>8733626.786710985</v>
      </c>
      <c r="G7" s="291">
        <f>KMA!G7*FRO_TOT!G7</f>
        <v>2585739.1492312592</v>
      </c>
      <c r="H7" s="291">
        <f>KMA!H7*FRO_TOT!H7</f>
        <v>72029573.430864736</v>
      </c>
      <c r="I7" s="291">
        <f>KMA!I7*FRO_TOT!I7</f>
        <v>10762318.688661931</v>
      </c>
      <c r="J7" s="291">
        <f>KMA!J7*FRO_TOT!J7</f>
        <v>186537833.26505509</v>
      </c>
      <c r="K7" s="291">
        <f>KMA!K7*FRO_TOT!K7</f>
        <v>178228465.92569408</v>
      </c>
      <c r="L7" s="291">
        <f>KMA!L7*FRO_TOT!L7</f>
        <v>47310705.485656433</v>
      </c>
      <c r="M7" s="291">
        <f>KMA!M7*FRO_TOT!M7</f>
        <v>7079707.4956284156</v>
      </c>
      <c r="N7" s="291">
        <f>KMA!N7*FRO_TOT!N7</f>
        <v>51672279.243255503</v>
      </c>
      <c r="O7" s="291">
        <f>KMA!O7*FRO_TOT!O7</f>
        <v>9059038.6187295876</v>
      </c>
      <c r="P7" s="291">
        <f>KMA!P7*FRO_TOT!P7</f>
        <v>3033101.9579595127</v>
      </c>
      <c r="Q7" s="291">
        <f>KMA!Q7*FRO_TOT!Q7</f>
        <v>137462082.82750633</v>
      </c>
      <c r="R7" s="291">
        <f>KMA!R7*FRO_TOT!R7</f>
        <v>0</v>
      </c>
      <c r="S7" s="690">
        <f t="shared" si="2"/>
        <v>1964318316.118969</v>
      </c>
      <c r="U7" s="733">
        <f>(B7+C7+H7+I7+P7+Q7+R7)/(DEN!C5+DEN!F5+DEN!G5+DEN!L5)</f>
        <v>13881.833279574652</v>
      </c>
      <c r="V7" s="734">
        <f>SUM(D7:G7)/SUM(DEN!I5:J5)</f>
        <v>12609.504073722588</v>
      </c>
      <c r="W7" s="734">
        <f>SUM(J7:L7)/SUM(DEN!D5:E5)</f>
        <v>84650.165299179454</v>
      </c>
      <c r="X7" s="735">
        <f>SUM(M7:O7)/(DEN!H5+DEN!K5)</f>
        <v>103213.12839819407</v>
      </c>
      <c r="AB7" s="733">
        <f t="shared" si="3"/>
        <v>786544673.62069976</v>
      </c>
      <c r="AC7" s="734">
        <f t="shared" si="4"/>
        <v>697885612.46425033</v>
      </c>
      <c r="AD7" s="734">
        <f t="shared" si="5"/>
        <v>412077004.67640561</v>
      </c>
      <c r="AE7" s="735">
        <f t="shared" si="6"/>
        <v>67811025.357613504</v>
      </c>
      <c r="AG7" s="944">
        <f t="shared" si="7"/>
        <v>0.40041609710931531</v>
      </c>
      <c r="AH7" s="944">
        <f t="shared" si="8"/>
        <v>0.35528132418126007</v>
      </c>
      <c r="AI7" s="944">
        <f t="shared" si="9"/>
        <v>0.20978117512571631</v>
      </c>
      <c r="AJ7" s="944">
        <f t="shared" si="10"/>
        <v>3.4521403583708442E-2</v>
      </c>
      <c r="AL7" s="945">
        <f t="shared" si="1"/>
        <v>1.0000000000000002</v>
      </c>
    </row>
    <row r="8" spans="1:38" ht="15.75" thickBot="1">
      <c r="A8" s="127" t="s">
        <v>14</v>
      </c>
      <c r="B8" s="291">
        <f>KMA!B8*FRO_TOT!B8</f>
        <v>636049701.90453386</v>
      </c>
      <c r="C8" s="291">
        <f>KMA!C8*FRO_TOT!C8</f>
        <v>111165670.21626866</v>
      </c>
      <c r="D8" s="291">
        <f>KMA!D8*FRO_TOT!D8</f>
        <v>40325777.65164905</v>
      </c>
      <c r="E8" s="291">
        <f>KMA!E8*FRO_TOT!E8</f>
        <v>435643501.91823053</v>
      </c>
      <c r="F8" s="291">
        <f>KMA!F8*FRO_TOT!F8</f>
        <v>6104465.49214919</v>
      </c>
      <c r="G8" s="291">
        <f>KMA!G8*FRO_TOT!G8</f>
        <v>1805771.2057928233</v>
      </c>
      <c r="H8" s="291">
        <f>KMA!H8*FRO_TOT!H8</f>
        <v>49120004.872103803</v>
      </c>
      <c r="I8" s="291">
        <f>KMA!I8*FRO_TOT!I8</f>
        <v>8324115.9603392193</v>
      </c>
      <c r="J8" s="291">
        <f>KMA!J8*FRO_TOT!J8</f>
        <v>208260970.39780715</v>
      </c>
      <c r="K8" s="291">
        <f>KMA!K8*FRO_TOT!K8</f>
        <v>198953217.53086606</v>
      </c>
      <c r="L8" s="291">
        <f>KMA!L8*FRO_TOT!L8</f>
        <v>43649928.02388037</v>
      </c>
      <c r="M8" s="291">
        <f>KMA!M8*FRO_TOT!M8</f>
        <v>22567506.201970067</v>
      </c>
      <c r="N8" s="291">
        <f>KMA!N8*FRO_TOT!N8</f>
        <v>93941654.496398836</v>
      </c>
      <c r="O8" s="291">
        <f>KMA!O8*FRO_TOT!O8</f>
        <v>16416044.345662016</v>
      </c>
      <c r="P8" s="291">
        <f>KMA!P8*FRO_TOT!P8</f>
        <v>2977282.433928167</v>
      </c>
      <c r="Q8" s="291">
        <f>KMA!Q8*FRO_TOT!Q8</f>
        <v>150963736.5740023</v>
      </c>
      <c r="R8" s="291">
        <f>KMA!R8*FRO_TOT!R8</f>
        <v>0</v>
      </c>
      <c r="S8" s="690">
        <f t="shared" si="2"/>
        <v>2026269349.2255824</v>
      </c>
      <c r="U8" s="733">
        <f>(B8+C8+H8+I8+P8+Q8+R8)/(DEN!C6+DEN!F6+DEN!G6+DEN!L6)</f>
        <v>17295.765588214057</v>
      </c>
      <c r="V8" s="734">
        <f>SUM(D8:G8)/SUM(DEN!I6:J6)</f>
        <v>14823.831758710299</v>
      </c>
      <c r="W8" s="734">
        <f>SUM(J8:L8)/SUM(DEN!D6:E6)</f>
        <v>147437.57879416403</v>
      </c>
      <c r="X8" s="735">
        <f>SUM(M8:O8)/(DEN!H6+DEN!K6)</f>
        <v>167201.51577865524</v>
      </c>
      <c r="AB8" s="733">
        <f t="shared" si="3"/>
        <v>958600511.96117592</v>
      </c>
      <c r="AC8" s="734">
        <f t="shared" si="4"/>
        <v>483879516.26782161</v>
      </c>
      <c r="AD8" s="734">
        <f t="shared" si="5"/>
        <v>450864115.95255357</v>
      </c>
      <c r="AE8" s="735">
        <f t="shared" si="6"/>
        <v>132925205.04403092</v>
      </c>
      <c r="AG8" s="944">
        <f t="shared" si="7"/>
        <v>0.47308641979287819</v>
      </c>
      <c r="AH8" s="944">
        <f t="shared" si="8"/>
        <v>0.23880315637837338</v>
      </c>
      <c r="AI8" s="944">
        <f t="shared" si="9"/>
        <v>0.22250946850914408</v>
      </c>
      <c r="AJ8" s="944">
        <f t="shared" si="10"/>
        <v>6.5600955319604207E-2</v>
      </c>
      <c r="AL8" s="945">
        <f t="shared" si="1"/>
        <v>0.99999999999999989</v>
      </c>
    </row>
    <row r="9" spans="1:38" ht="15.75" thickBot="1">
      <c r="A9" s="127" t="s">
        <v>15</v>
      </c>
      <c r="B9" s="291">
        <f>KMA!B9*FRO_TOT!B9</f>
        <v>3115472416.7607093</v>
      </c>
      <c r="C9" s="291">
        <f>KMA!C9*FRO_TOT!C9</f>
        <v>576967827.99068069</v>
      </c>
      <c r="D9" s="291">
        <f>KMA!D9*FRO_TOT!D9</f>
        <v>170565389.08243695</v>
      </c>
      <c r="E9" s="291">
        <f>KMA!E9*FRO_TOT!E9</f>
        <v>1534937684.0122323</v>
      </c>
      <c r="F9" s="291">
        <f>KMA!F9*FRO_TOT!F9</f>
        <v>21503416.89202876</v>
      </c>
      <c r="G9" s="291">
        <f>KMA!G9*FRO_TOT!G9</f>
        <v>6366948.3571671396</v>
      </c>
      <c r="H9" s="291">
        <f>KMA!H9*FRO_TOT!H9</f>
        <v>469306523.27005631</v>
      </c>
      <c r="I9" s="291">
        <f>KMA!I9*FRO_TOT!I9</f>
        <v>81734573.277212679</v>
      </c>
      <c r="J9" s="291">
        <f>KMA!J9*FRO_TOT!J9</f>
        <v>714854662.33113813</v>
      </c>
      <c r="K9" s="291">
        <f>KMA!K9*FRO_TOT!K9</f>
        <v>683113644.01169753</v>
      </c>
      <c r="L9" s="291">
        <f>KMA!L9*FRO_TOT!L9</f>
        <v>296606249.06722027</v>
      </c>
      <c r="M9" s="291">
        <f>KMA!M9*FRO_TOT!M9</f>
        <v>127469120.74505371</v>
      </c>
      <c r="N9" s="291">
        <f>KMA!N9*FRO_TOT!N9</f>
        <v>680580884.06162143</v>
      </c>
      <c r="O9" s="291">
        <f>KMA!O9*FRO_TOT!O9</f>
        <v>119236812.56746529</v>
      </c>
      <c r="P9" s="291">
        <f>KMA!P9*FRO_TOT!P9</f>
        <v>7785087.2913582632</v>
      </c>
      <c r="Q9" s="291">
        <f>KMA!Q9*FRO_TOT!Q9</f>
        <v>414991659.59002531</v>
      </c>
      <c r="R9" s="291">
        <f>KMA!R9*FRO_TOT!R9</f>
        <v>0</v>
      </c>
      <c r="S9" s="690">
        <f t="shared" si="2"/>
        <v>9021492899.3081055</v>
      </c>
      <c r="U9" s="733">
        <f>(B9+C9+H9+I9+P9+Q9+R9)/(DEN!C7+DEN!F7+DEN!G7+DEN!L7)</f>
        <v>16070.484733470779</v>
      </c>
      <c r="V9" s="734">
        <f>SUM(D9:G9)/SUM(DEN!I7:J7)</f>
        <v>14259.992911388799</v>
      </c>
      <c r="W9" s="734">
        <f>SUM(J9:L9)/SUM(DEN!D7:E7)</f>
        <v>101812.93892153664</v>
      </c>
      <c r="X9" s="735">
        <f>SUM(M9:O9)/(DEN!H7+DEN!K7)</f>
        <v>116084.97964122941</v>
      </c>
      <c r="AB9" s="733">
        <f t="shared" si="3"/>
        <v>4666258088.1800423</v>
      </c>
      <c r="AC9" s="734">
        <f t="shared" si="4"/>
        <v>1733373438.3438654</v>
      </c>
      <c r="AD9" s="734">
        <f t="shared" si="5"/>
        <v>1694574555.4100559</v>
      </c>
      <c r="AE9" s="735">
        <f t="shared" si="6"/>
        <v>927286817.3741405</v>
      </c>
      <c r="AG9" s="944">
        <f t="shared" si="7"/>
        <v>0.51723790510747025</v>
      </c>
      <c r="AH9" s="944">
        <f t="shared" si="8"/>
        <v>0.19213820347592411</v>
      </c>
      <c r="AI9" s="944">
        <f t="shared" si="9"/>
        <v>0.18783748702390704</v>
      </c>
      <c r="AJ9" s="944">
        <f t="shared" si="10"/>
        <v>0.10278640439269844</v>
      </c>
      <c r="AL9" s="945">
        <f t="shared" si="1"/>
        <v>0.99999999999999989</v>
      </c>
    </row>
    <row r="10" spans="1:38" ht="15.75" thickBot="1">
      <c r="A10" s="127" t="s">
        <v>16</v>
      </c>
      <c r="B10" s="291">
        <f>KMA!B10*FRO_TOT!B10</f>
        <v>4019448219.0917692</v>
      </c>
      <c r="C10" s="291">
        <f>KMA!C10*FRO_TOT!C10</f>
        <v>561869992.3558588</v>
      </c>
      <c r="D10" s="291">
        <f>KMA!D10*FRO_TOT!D10</f>
        <v>465009914.93577993</v>
      </c>
      <c r="E10" s="291">
        <f>KMA!E10*FRO_TOT!E10</f>
        <v>4238449476.9157352</v>
      </c>
      <c r="F10" s="291">
        <f>KMA!F10*FRO_TOT!F10</f>
        <v>59375878.952258252</v>
      </c>
      <c r="G10" s="291">
        <f>KMA!G10*FRO_TOT!G10</f>
        <v>17579357.665828094</v>
      </c>
      <c r="H10" s="291">
        <f>KMA!H10*FRO_TOT!H10</f>
        <v>282142944.91477412</v>
      </c>
      <c r="I10" s="291">
        <f>KMA!I10*FRO_TOT!I10</f>
        <v>37961070.678746581</v>
      </c>
      <c r="J10" s="291">
        <f>KMA!J10*FRO_TOT!J10</f>
        <v>1649814834.5359201</v>
      </c>
      <c r="K10" s="291">
        <f>KMA!K10*FRO_TOT!K10</f>
        <v>1576417363.1543493</v>
      </c>
      <c r="L10" s="291">
        <f>KMA!L10*FRO_TOT!L10</f>
        <v>502773158.48559123</v>
      </c>
      <c r="M10" s="291">
        <f>KMA!M10*FRO_TOT!M10</f>
        <v>224770860.91369542</v>
      </c>
      <c r="N10" s="291">
        <f>KMA!N10*FRO_TOT!N10</f>
        <v>989310775.7017976</v>
      </c>
      <c r="O10" s="291">
        <f>KMA!O10*FRO_TOT!O10</f>
        <v>173367371.20110616</v>
      </c>
      <c r="P10" s="291">
        <f>KMA!P10*FRO_TOT!P10</f>
        <v>18319824.956898779</v>
      </c>
      <c r="Q10" s="291">
        <f>KMA!Q10*FRO_TOT!Q10</f>
        <v>746950773.95085835</v>
      </c>
      <c r="R10" s="291">
        <f>KMA!R10*FRO_TOT!R10</f>
        <v>0</v>
      </c>
      <c r="S10" s="690">
        <f t="shared" si="2"/>
        <v>15563561818.410975</v>
      </c>
      <c r="U10" s="733">
        <f>(B10+C10+H10+I10+P10+Q10+R10)/(DEN!C8+DEN!F8+DEN!G8+DEN!L8)</f>
        <v>15101.193946267282</v>
      </c>
      <c r="V10" s="734">
        <f>SUM(D10:G10)/SUM(DEN!I8:J8)</f>
        <v>13909.412272011919</v>
      </c>
      <c r="W10" s="734">
        <f>SUM(J10:L10)/SUM(DEN!D8:E8)</f>
        <v>94505.68594900555</v>
      </c>
      <c r="X10" s="735">
        <f>SUM(M10:O10)/(DEN!H8+DEN!K8)</f>
        <v>106432.11167663387</v>
      </c>
      <c r="AB10" s="733">
        <f t="shared" si="3"/>
        <v>5666692825.948905</v>
      </c>
      <c r="AC10" s="734">
        <f t="shared" si="4"/>
        <v>4780414628.4696007</v>
      </c>
      <c r="AD10" s="734">
        <f t="shared" si="5"/>
        <v>3729005356.1758609</v>
      </c>
      <c r="AE10" s="735">
        <f t="shared" si="6"/>
        <v>1387449007.8165991</v>
      </c>
      <c r="AG10" s="944">
        <f t="shared" si="7"/>
        <v>0.36409999793527142</v>
      </c>
      <c r="AH10" s="944">
        <f t="shared" si="8"/>
        <v>0.30715428025059088</v>
      </c>
      <c r="AI10" s="944">
        <f t="shared" si="9"/>
        <v>0.2395984543695274</v>
      </c>
      <c r="AJ10" s="944">
        <f t="shared" si="10"/>
        <v>8.9147267444609699E-2</v>
      </c>
      <c r="AL10" s="945">
        <f t="shared" si="1"/>
        <v>0.99999999999999944</v>
      </c>
    </row>
    <row r="11" spans="1:38" ht="15.75" thickBot="1">
      <c r="A11" s="127" t="s">
        <v>17</v>
      </c>
      <c r="B11" s="291">
        <f>KMA!B11*FRO_TOT!B11</f>
        <v>1218827764.8026509</v>
      </c>
      <c r="C11" s="291">
        <f>KMA!C11*FRO_TOT!C11</f>
        <v>215661815.35873237</v>
      </c>
      <c r="D11" s="291">
        <f>KMA!D11*FRO_TOT!D11</f>
        <v>348629093.69492656</v>
      </c>
      <c r="E11" s="291">
        <f>KMA!E11*FRO_TOT!E11</f>
        <v>2627467200.7746415</v>
      </c>
      <c r="F11" s="291">
        <f>KMA!F11*FRO_TOT!F11</f>
        <v>36809088.838669531</v>
      </c>
      <c r="G11" s="291">
        <f>KMA!G11*FRO_TOT!G11</f>
        <v>10898212.944644378</v>
      </c>
      <c r="H11" s="291">
        <f>KMA!H11*FRO_TOT!H11</f>
        <v>337889579.85856736</v>
      </c>
      <c r="I11" s="291">
        <f>KMA!I11*FRO_TOT!I11</f>
        <v>58020456.100322224</v>
      </c>
      <c r="J11" s="291">
        <f>KMA!J11*FRO_TOT!J11</f>
        <v>861446885.79995072</v>
      </c>
      <c r="K11" s="291">
        <f>KMA!K11*FRO_TOT!K11</f>
        <v>823177079.67968118</v>
      </c>
      <c r="L11" s="291">
        <f>KMA!L11*FRO_TOT!L11</f>
        <v>513403594.56388599</v>
      </c>
      <c r="M11" s="291">
        <f>KMA!M11*FRO_TOT!M11</f>
        <v>30873731.83605428</v>
      </c>
      <c r="N11" s="291">
        <f>KMA!N11*FRO_TOT!N11</f>
        <v>320300800.72921205</v>
      </c>
      <c r="O11" s="291">
        <f>KMA!O11*FRO_TOT!O11</f>
        <v>56146151.328263238</v>
      </c>
      <c r="P11" s="291">
        <f>KMA!P11*FRO_TOT!P11</f>
        <v>8117362.1362931384</v>
      </c>
      <c r="Q11" s="291">
        <f>KMA!Q11*FRO_TOT!Q11</f>
        <v>418651242.88677961</v>
      </c>
      <c r="R11" s="291">
        <f>KMA!R11*FRO_TOT!R11</f>
        <v>0</v>
      </c>
      <c r="S11" s="690">
        <f t="shared" si="2"/>
        <v>7886320061.3332729</v>
      </c>
      <c r="U11" s="733">
        <f>(B11+C11+H11+I11+P11+Q11+R11)/(DEN!C9+DEN!F9+DEN!G9+DEN!L9)</f>
        <v>13392.557337728038</v>
      </c>
      <c r="V11" s="734">
        <f>SUM(D11:G11)/SUM(DEN!I9:J9)</f>
        <v>12088.589837780424</v>
      </c>
      <c r="W11" s="734">
        <f>SUM(J11:L11)/SUM(DEN!D9:E9)</f>
        <v>93350.359298544048</v>
      </c>
      <c r="X11" s="735">
        <f>SUM(M11:O11)/(DEN!H9+DEN!K9)</f>
        <v>112209.55479160593</v>
      </c>
      <c r="AB11" s="733">
        <f t="shared" si="3"/>
        <v>2257168221.1433458</v>
      </c>
      <c r="AC11" s="734">
        <f t="shared" si="4"/>
        <v>3023803596.252882</v>
      </c>
      <c r="AD11" s="734">
        <f t="shared" si="5"/>
        <v>2198027560.0435181</v>
      </c>
      <c r="AE11" s="735">
        <f t="shared" si="6"/>
        <v>407320683.89352953</v>
      </c>
      <c r="AG11" s="944">
        <f t="shared" si="7"/>
        <v>0.28621311379565612</v>
      </c>
      <c r="AH11" s="944">
        <f t="shared" si="8"/>
        <v>0.38342390021407186</v>
      </c>
      <c r="AI11" s="944">
        <f t="shared" si="9"/>
        <v>0.27871396835901641</v>
      </c>
      <c r="AJ11" s="944">
        <f t="shared" si="10"/>
        <v>5.1649017631255928E-2</v>
      </c>
      <c r="AL11" s="945">
        <f t="shared" si="1"/>
        <v>1.0000000000000002</v>
      </c>
    </row>
    <row r="12" spans="1:38" ht="15.75" thickBot="1">
      <c r="A12" s="127" t="s">
        <v>18</v>
      </c>
      <c r="B12" s="291">
        <f>KMA!B12*FRO_TOT!B12</f>
        <v>460972734.55361551</v>
      </c>
      <c r="C12" s="291">
        <f>KMA!C12*FRO_TOT!C12</f>
        <v>98964040.428351447</v>
      </c>
      <c r="D12" s="291">
        <f>KMA!D12*FRO_TOT!D12</f>
        <v>68007018.792488247</v>
      </c>
      <c r="E12" s="291">
        <f>KMA!E12*FRO_TOT!E12</f>
        <v>589307228.07482457</v>
      </c>
      <c r="F12" s="291">
        <f>KMA!F12*FRO_TOT!F12</f>
        <v>8255759.8964131866</v>
      </c>
      <c r="G12" s="291">
        <f>KMA!G12*FRO_TOT!G12</f>
        <v>2443016.5967175197</v>
      </c>
      <c r="H12" s="291">
        <f>KMA!H12*FRO_TOT!H12</f>
        <v>16659843.114155315</v>
      </c>
      <c r="I12" s="291">
        <f>KMA!I12*FRO_TOT!I12</f>
        <v>3454901.4541277136</v>
      </c>
      <c r="J12" s="291">
        <f>KMA!J12*FRO_TOT!J12</f>
        <v>100686648.97916488</v>
      </c>
      <c r="K12" s="291">
        <f>KMA!K12*FRO_TOT!K12</f>
        <v>96170951.134184554</v>
      </c>
      <c r="L12" s="291">
        <f>KMA!L12*FRO_TOT!L12</f>
        <v>29585524.403155942</v>
      </c>
      <c r="M12" s="291">
        <f>KMA!M12*FRO_TOT!M12</f>
        <v>14494010.444075666</v>
      </c>
      <c r="N12" s="291">
        <f>KMA!N12*FRO_TOT!N12</f>
        <v>49902631.22486864</v>
      </c>
      <c r="O12" s="291">
        <f>KMA!O12*FRO_TOT!O12</f>
        <v>8741680.5160035081</v>
      </c>
      <c r="P12" s="291">
        <f>KMA!P12*FRO_TOT!P12</f>
        <v>1551092.2509519171</v>
      </c>
      <c r="Q12" s="291">
        <f>KMA!Q12*FRO_TOT!Q12</f>
        <v>96106211.861589387</v>
      </c>
      <c r="R12" s="291">
        <f>KMA!R12*FRO_TOT!R12</f>
        <v>0</v>
      </c>
      <c r="S12" s="690">
        <f t="shared" si="2"/>
        <v>1645303293.7246883</v>
      </c>
      <c r="U12" s="733">
        <f>(B12+C12+H12+I12+P12+Q12+R12)/(DEN!C10+DEN!F10+DEN!G10+DEN!L10)</f>
        <v>14456.862998907616</v>
      </c>
      <c r="V12" s="734">
        <f>SUM(D12:G12)/SUM(DEN!I10:J10)</f>
        <v>13227.718725578572</v>
      </c>
      <c r="W12" s="734">
        <f>SUM(J12:L12)/SUM(DEN!D10:E10)</f>
        <v>72858.148171333785</v>
      </c>
      <c r="X12" s="735">
        <f>SUM(M12:O12)/(DEN!H10+DEN!K10)</f>
        <v>78812.847182055833</v>
      </c>
      <c r="AB12" s="733">
        <f t="shared" si="3"/>
        <v>677708823.66279125</v>
      </c>
      <c r="AC12" s="734">
        <f t="shared" si="4"/>
        <v>668013023.36044347</v>
      </c>
      <c r="AD12" s="734">
        <f t="shared" si="5"/>
        <v>226443124.51650539</v>
      </c>
      <c r="AE12" s="735">
        <f t="shared" si="6"/>
        <v>73138322.184947819</v>
      </c>
      <c r="AG12" s="944">
        <f t="shared" si="7"/>
        <v>0.41190510360468136</v>
      </c>
      <c r="AH12" s="944">
        <f t="shared" si="8"/>
        <v>0.40601208659114457</v>
      </c>
      <c r="AI12" s="944">
        <f t="shared" si="9"/>
        <v>0.13763001957157484</v>
      </c>
      <c r="AJ12" s="944">
        <f t="shared" si="10"/>
        <v>4.4452790232599022E-2</v>
      </c>
      <c r="AL12" s="945">
        <f t="shared" si="1"/>
        <v>0.99999999999999989</v>
      </c>
    </row>
    <row r="13" spans="1:38" ht="15.75" thickBot="1">
      <c r="A13" s="128" t="s">
        <v>19</v>
      </c>
      <c r="B13" s="291">
        <f>KMA!B13*FRO_TOT!B13</f>
        <v>1021168040.4211514</v>
      </c>
      <c r="C13" s="291">
        <f>KMA!C13*FRO_TOT!C13</f>
        <v>173691197.05517262</v>
      </c>
      <c r="D13" s="291">
        <f>KMA!D13*FRO_TOT!D13</f>
        <v>320929986.81745225</v>
      </c>
      <c r="E13" s="291">
        <f>KMA!E13*FRO_TOT!E13</f>
        <v>1675894382.7098527</v>
      </c>
      <c r="F13" s="291">
        <f>KMA!F13*FRO_TOT!F13</f>
        <v>23475050.176852554</v>
      </c>
      <c r="G13" s="291">
        <f>KMA!G13*FRO_TOT!G13</f>
        <v>6951473.7203655448</v>
      </c>
      <c r="H13" s="291">
        <f>KMA!H13*FRO_TOT!H13</f>
        <v>415667586.15310287</v>
      </c>
      <c r="I13" s="291">
        <f>KMA!I13*FRO_TOT!I13</f>
        <v>67058159.548268519</v>
      </c>
      <c r="J13" s="291">
        <f>KMA!J13*FRO_TOT!J13</f>
        <v>678042264.59367537</v>
      </c>
      <c r="K13" s="291">
        <f>KMA!K13*FRO_TOT!K13</f>
        <v>647863786.19826436</v>
      </c>
      <c r="L13" s="291">
        <f>KMA!L13*FRO_TOT!L13</f>
        <v>328251168.30000401</v>
      </c>
      <c r="M13" s="291">
        <f>KMA!M13*FRO_TOT!M13</f>
        <v>52915123.041995421</v>
      </c>
      <c r="N13" s="291">
        <f>KMA!N13*FRO_TOT!N13</f>
        <v>227873406.11627534</v>
      </c>
      <c r="O13" s="291">
        <f>KMA!O13*FRO_TOT!O13</f>
        <v>39916738.684419021</v>
      </c>
      <c r="P13" s="291">
        <f>KMA!P13*FRO_TOT!P13</f>
        <v>6497584.1065376531</v>
      </c>
      <c r="Q13" s="291">
        <f>KMA!Q13*FRO_TOT!Q13</f>
        <v>320473916.71399647</v>
      </c>
      <c r="R13" s="291">
        <f>KMA!R13*FRO_TOT!R13</f>
        <v>0</v>
      </c>
      <c r="S13" s="690">
        <f t="shared" si="2"/>
        <v>6006669864.3573856</v>
      </c>
      <c r="U13" s="733">
        <f>(B13+C13+H13+I13+P13+Q13+R13)/(DEN!C11+DEN!F11+DEN!G11+DEN!L11)</f>
        <v>14617.501742807979</v>
      </c>
      <c r="V13" s="734">
        <f>SUM(D13:G13)/SUM(DEN!I11:J11)</f>
        <v>12501.855579963263</v>
      </c>
      <c r="W13" s="734">
        <f>SUM(J13:L13)/SUM(DEN!D11:E11)</f>
        <v>83400.081632143978</v>
      </c>
      <c r="X13" s="735">
        <f>SUM(M13:O13)/(DEN!H11+DEN!K11)</f>
        <v>91057.713754312834</v>
      </c>
      <c r="AB13" s="733">
        <f t="shared" si="3"/>
        <v>2004556483.9982295</v>
      </c>
      <c r="AC13" s="734">
        <f t="shared" si="4"/>
        <v>2027250893.4245229</v>
      </c>
      <c r="AD13" s="734">
        <f t="shared" si="5"/>
        <v>1654157219.0919437</v>
      </c>
      <c r="AE13" s="735">
        <f t="shared" si="6"/>
        <v>320705267.84268981</v>
      </c>
      <c r="AG13" s="944">
        <f t="shared" si="7"/>
        <v>0.33372176751263555</v>
      </c>
      <c r="AH13" s="944">
        <f t="shared" si="8"/>
        <v>0.33749996906836915</v>
      </c>
      <c r="AI13" s="944">
        <f t="shared" si="9"/>
        <v>0.27538673781747969</v>
      </c>
      <c r="AJ13" s="944">
        <f t="shared" si="10"/>
        <v>5.3391525601515638E-2</v>
      </c>
      <c r="AL13" s="945">
        <f t="shared" si="1"/>
        <v>1</v>
      </c>
    </row>
    <row r="14" spans="1:38" ht="15.75" thickBot="1">
      <c r="A14" s="269" t="s">
        <v>54</v>
      </c>
      <c r="B14" s="291">
        <f>KMA!B14*FRO_TOT!B14</f>
        <v>26166794590.970604</v>
      </c>
      <c r="C14" s="291">
        <f>KMA!C14*FRO_TOT!C14</f>
        <v>3992952507.8305807</v>
      </c>
      <c r="D14" s="291">
        <f>KMA!D14*FRO_TOT!D14</f>
        <v>2316716912.4847808</v>
      </c>
      <c r="E14" s="291">
        <f>KMA!E14*FRO_TOT!E14</f>
        <v>37765433079.322708</v>
      </c>
      <c r="F14" s="291">
        <f>KMA!F14*FRO_TOT!F14</f>
        <v>529049876.23510122</v>
      </c>
      <c r="G14" s="291">
        <f>KMA!G14*FRO_TOT!G14</f>
        <v>156636754.99116728</v>
      </c>
      <c r="H14" s="291">
        <f>KMA!H14*FRO_TOT!H14</f>
        <v>9998163747.3121433</v>
      </c>
      <c r="I14" s="291">
        <f>KMA!I14*FRO_TOT!I14</f>
        <v>1267713887.6347449</v>
      </c>
      <c r="J14" s="291">
        <f>KMA!J14*FRO_TOT!J14</f>
        <v>4787537707.5572119</v>
      </c>
      <c r="K14" s="291">
        <f>KMA!K14*FRO_TOT!K14</f>
        <v>4574683364.5778437</v>
      </c>
      <c r="L14" s="291">
        <f>KMA!L14*FRO_TOT!L14</f>
        <v>1507630745.9975746</v>
      </c>
      <c r="M14" s="291">
        <f>KMA!M14*FRO_TOT!M14</f>
        <v>1799337662.5123355</v>
      </c>
      <c r="N14" s="291">
        <f>KMA!N14*FRO_TOT!N14</f>
        <v>6668378608.2352772</v>
      </c>
      <c r="O14" s="291">
        <f>KMA!O14*FRO_TOT!O14</f>
        <v>991438492.38193536</v>
      </c>
      <c r="P14" s="291">
        <f>KMA!P14*FRO_TOT!P14</f>
        <v>114451707.61691299</v>
      </c>
      <c r="Q14" s="291">
        <f>KMA!Q14*FRO_TOT!Q14</f>
        <v>4534198080.7552996</v>
      </c>
      <c r="R14" s="291">
        <f>KMA!R14*FRO_TOT!R14</f>
        <v>5560627890</v>
      </c>
      <c r="S14" s="690">
        <f t="shared" si="2"/>
        <v>112731745616.41623</v>
      </c>
      <c r="U14" s="733">
        <f>(B14+C14+H14+I14+P14+Q14+R14)/(DEN!C12+DEN!F12+DEN!G12+DEN!L12)</f>
        <v>12021.933676360199</v>
      </c>
      <c r="V14" s="734">
        <f>SUM(D14:G14)/SUM(DEN!I12:J12)</f>
        <v>13945.750860677994</v>
      </c>
      <c r="W14" s="734">
        <f>SUM(J14:L14)/SUM(DEN!D12:E12)</f>
        <v>34864.634904666629</v>
      </c>
      <c r="X14" s="735">
        <f>SUM(M14:O14)/(DEN!H12+DEN!K12)</f>
        <v>84513.332706093803</v>
      </c>
      <c r="AB14" s="733">
        <f t="shared" si="3"/>
        <v>51634902412.120285</v>
      </c>
      <c r="AC14" s="734">
        <f t="shared" si="4"/>
        <v>40767836623.033752</v>
      </c>
      <c r="AD14" s="734">
        <f t="shared" si="5"/>
        <v>10869851818.132629</v>
      </c>
      <c r="AE14" s="735">
        <f t="shared" si="6"/>
        <v>9459154763.129549</v>
      </c>
      <c r="AG14" s="944">
        <f t="shared" si="7"/>
        <v>0.45803337941571892</v>
      </c>
      <c r="AH14" s="944">
        <f t="shared" si="8"/>
        <v>0.36163581429627978</v>
      </c>
      <c r="AI14" s="944">
        <f t="shared" si="9"/>
        <v>9.6422278912620146E-2</v>
      </c>
      <c r="AJ14" s="944">
        <f t="shared" si="10"/>
        <v>8.3908527375381001E-2</v>
      </c>
      <c r="AL14" s="945">
        <f t="shared" si="1"/>
        <v>0.99999999999999978</v>
      </c>
    </row>
    <row r="15" spans="1:38" ht="15.75" thickBot="1">
      <c r="A15" s="127" t="s">
        <v>21</v>
      </c>
      <c r="B15" s="291">
        <f>KMA!B15*FRO_TOT!B15</f>
        <v>1151690466.1318998</v>
      </c>
      <c r="C15" s="291">
        <f>KMA!C15*FRO_TOT!C15</f>
        <v>187056581.87398621</v>
      </c>
      <c r="D15" s="291">
        <f>KMA!D15*FRO_TOT!D15</f>
        <v>108148691.47571051</v>
      </c>
      <c r="E15" s="291">
        <f>KMA!E15*FRO_TOT!E15</f>
        <v>1493257824.4882119</v>
      </c>
      <c r="F15" s="291">
        <f>KMA!F15*FRO_TOT!F15</f>
        <v>20917831.414953608</v>
      </c>
      <c r="G15" s="291">
        <f>KMA!G15*FRO_TOT!G15</f>
        <v>6193621.3834334342</v>
      </c>
      <c r="H15" s="291">
        <f>KMA!H15*FRO_TOT!H15</f>
        <v>638714002.11932898</v>
      </c>
      <c r="I15" s="291">
        <f>KMA!I15*FRO_TOT!I15</f>
        <v>85562269.233874127</v>
      </c>
      <c r="J15" s="291">
        <f>KMA!J15*FRO_TOT!J15</f>
        <v>172469807.43432066</v>
      </c>
      <c r="K15" s="291">
        <f>KMA!K15*FRO_TOT!K15</f>
        <v>164791672.95896924</v>
      </c>
      <c r="L15" s="291">
        <f>KMA!L15*FRO_TOT!L15</f>
        <v>54258289.535426147</v>
      </c>
      <c r="M15" s="291">
        <f>KMA!M15*FRO_TOT!M15</f>
        <v>114907700.60375708</v>
      </c>
      <c r="N15" s="291">
        <f>KMA!N15*FRO_TOT!N15</f>
        <v>295318681.8854503</v>
      </c>
      <c r="O15" s="291">
        <f>KMA!O15*FRO_TOT!O15</f>
        <v>43925554.450159326</v>
      </c>
      <c r="P15" s="291">
        <f>KMA!P15*FRO_TOT!P15</f>
        <v>4178655.997305356</v>
      </c>
      <c r="Q15" s="291">
        <f>KMA!Q15*FRO_TOT!Q15</f>
        <v>165295249.17627144</v>
      </c>
      <c r="R15" s="291">
        <f>KMA!R15*FRO_TOT!R15</f>
        <v>514497948</v>
      </c>
      <c r="S15" s="690">
        <f t="shared" si="2"/>
        <v>5221184848.1630573</v>
      </c>
      <c r="U15" s="733">
        <f>(B15+C15+H15+I15+P15+Q15+R15)/(DEN!C13+DEN!F13+DEN!G13+DEN!L13)</f>
        <v>12591.826861080168</v>
      </c>
      <c r="V15" s="734">
        <f>SUM(D15:G15)/SUM(DEN!I13:J13)</f>
        <v>14305.197325764088</v>
      </c>
      <c r="W15" s="734">
        <f>SUM(J15:L15)/SUM(DEN!D13:E13)</f>
        <v>26402.304263855691</v>
      </c>
      <c r="X15" s="735">
        <f>SUM(M15:O15)/(DEN!H13+DEN!K13)</f>
        <v>58973.112185348225</v>
      </c>
      <c r="AB15" s="733">
        <f t="shared" si="3"/>
        <v>2746995172.5326662</v>
      </c>
      <c r="AC15" s="734">
        <f t="shared" si="4"/>
        <v>1628517968.7623096</v>
      </c>
      <c r="AD15" s="734">
        <f t="shared" si="5"/>
        <v>391519769.92871606</v>
      </c>
      <c r="AE15" s="735">
        <f t="shared" si="6"/>
        <v>454151936.9393667</v>
      </c>
      <c r="AG15" s="944">
        <f t="shared" si="7"/>
        <v>0.52612486483774412</v>
      </c>
      <c r="AH15" s="944">
        <f t="shared" si="8"/>
        <v>0.31190582523337834</v>
      </c>
      <c r="AI15" s="944">
        <f t="shared" si="9"/>
        <v>7.4986766665896237E-2</v>
      </c>
      <c r="AJ15" s="944">
        <f t="shared" si="10"/>
        <v>8.6982543262981507E-2</v>
      </c>
      <c r="AL15" s="945">
        <f t="shared" si="1"/>
        <v>1.0000000000000002</v>
      </c>
    </row>
    <row r="16" spans="1:38" ht="15.75" thickBot="1">
      <c r="A16" s="127" t="s">
        <v>22</v>
      </c>
      <c r="B16" s="291">
        <f>KMA!B16*FRO_TOT!B16</f>
        <v>6978396847.2914705</v>
      </c>
      <c r="C16" s="291">
        <f>KMA!C16*FRO_TOT!C16</f>
        <v>1188006995.5420225</v>
      </c>
      <c r="D16" s="291">
        <f>KMA!D16*FRO_TOT!D16</f>
        <v>485442917.71720034</v>
      </c>
      <c r="E16" s="291">
        <f>KMA!E16*FRO_TOT!E16</f>
        <v>8119995786.7845812</v>
      </c>
      <c r="F16" s="291">
        <f>KMA!F16*FRO_TOT!F16</f>
        <v>113752538.53609782</v>
      </c>
      <c r="G16" s="291">
        <f>KMA!G16*FRO_TOT!G16</f>
        <v>33678105.662513733</v>
      </c>
      <c r="H16" s="291">
        <f>KMA!H16*FRO_TOT!H16</f>
        <v>3307532360.3633757</v>
      </c>
      <c r="I16" s="291">
        <f>KMA!I16*FRO_TOT!I16</f>
        <v>442740026.47713685</v>
      </c>
      <c r="J16" s="291">
        <f>KMA!J16*FRO_TOT!J16</f>
        <v>1522649298.057529</v>
      </c>
      <c r="K16" s="291">
        <f>KMA!K16*FRO_TOT!K16</f>
        <v>1454949848.2912767</v>
      </c>
      <c r="L16" s="291">
        <f>KMA!L16*FRO_TOT!L16</f>
        <v>645711650.73957348</v>
      </c>
      <c r="M16" s="291">
        <f>KMA!M16*FRO_TOT!M16</f>
        <v>656648193.76864374</v>
      </c>
      <c r="N16" s="291">
        <f>KMA!N16*FRO_TOT!N16</f>
        <v>2815230941.2592072</v>
      </c>
      <c r="O16" s="291">
        <f>KMA!O16*FRO_TOT!O16</f>
        <v>418544610.33985901</v>
      </c>
      <c r="P16" s="291">
        <f>KMA!P16*FRO_TOT!P16</f>
        <v>32537955.95105011</v>
      </c>
      <c r="Q16" s="291">
        <f>KMA!Q16*FRO_TOT!Q16</f>
        <v>1429763853.2138057</v>
      </c>
      <c r="R16" s="291">
        <f>KMA!R16*FRO_TOT!R16</f>
        <v>1184834880</v>
      </c>
      <c r="S16" s="690">
        <f t="shared" si="2"/>
        <v>30830416809.995346</v>
      </c>
      <c r="U16" s="733">
        <f>(B16+C16+H16+I16+P16+Q16+R16)/(DEN!C14+DEN!F14+DEN!G14+DEN!L14)</f>
        <v>12713.546874463776</v>
      </c>
      <c r="V16" s="734">
        <f>SUM(D16:G16)/SUM(DEN!I14:J14)</f>
        <v>14407.066775357003</v>
      </c>
      <c r="W16" s="734">
        <f>SUM(J16:L16)/SUM(DEN!D14:E14)</f>
        <v>42785.744784653471</v>
      </c>
      <c r="X16" s="735">
        <f>SUM(M16:O16)/(DEN!H14+DEN!K14)</f>
        <v>105024.53217524796</v>
      </c>
      <c r="AB16" s="733">
        <f t="shared" si="3"/>
        <v>14563812918.838861</v>
      </c>
      <c r="AC16" s="734">
        <f t="shared" si="4"/>
        <v>8752869348.7003937</v>
      </c>
      <c r="AD16" s="734">
        <f t="shared" si="5"/>
        <v>3623310797.0883789</v>
      </c>
      <c r="AE16" s="735">
        <f t="shared" si="6"/>
        <v>3890423745.3677101</v>
      </c>
      <c r="AG16" s="944">
        <f t="shared" si="7"/>
        <v>0.47238456127901635</v>
      </c>
      <c r="AH16" s="944">
        <f t="shared" si="8"/>
        <v>0.28390369817714167</v>
      </c>
      <c r="AI16" s="944">
        <f t="shared" si="9"/>
        <v>0.117523899187561</v>
      </c>
      <c r="AJ16" s="944">
        <f t="shared" si="10"/>
        <v>0.12618784135628094</v>
      </c>
      <c r="AL16" s="945">
        <f t="shared" si="1"/>
        <v>0.99999999999999989</v>
      </c>
    </row>
    <row r="17" spans="1:38" ht="15.75" thickBot="1">
      <c r="A17" s="127" t="s">
        <v>23</v>
      </c>
      <c r="B17" s="291">
        <f>KMA!B17*FRO_TOT!B17</f>
        <v>3896065103.7346106</v>
      </c>
      <c r="C17" s="291">
        <f>KMA!C17*FRO_TOT!C17</f>
        <v>558452202.04981756</v>
      </c>
      <c r="D17" s="291">
        <f>KMA!D17*FRO_TOT!D17</f>
        <v>355242945.16626954</v>
      </c>
      <c r="E17" s="291">
        <f>KMA!E17*FRO_TOT!E17</f>
        <v>6995471743.2244005</v>
      </c>
      <c r="F17" s="291">
        <f>KMA!F17*FRO_TOT!F17</f>
        <v>97997916.754657</v>
      </c>
      <c r="G17" s="291">
        <f>KMA!G17*FRO_TOT!G17</f>
        <v>29014495.358533271</v>
      </c>
      <c r="H17" s="291">
        <f>KMA!H17*FRO_TOT!H17</f>
        <v>1077403902.9411869</v>
      </c>
      <c r="I17" s="291">
        <f>KMA!I17*FRO_TOT!I17</f>
        <v>132858633.18336427</v>
      </c>
      <c r="J17" s="291">
        <f>KMA!J17*FRO_TOT!J17</f>
        <v>613892010.49250078</v>
      </c>
      <c r="K17" s="291">
        <f>KMA!K17*FRO_TOT!K17</f>
        <v>586589926.21580696</v>
      </c>
      <c r="L17" s="291">
        <f>KMA!L17*FRO_TOT!L17</f>
        <v>187880941.67908564</v>
      </c>
      <c r="M17" s="291">
        <f>KMA!M17*FRO_TOT!M17</f>
        <v>200021944.62820119</v>
      </c>
      <c r="N17" s="291">
        <f>KMA!N17*FRO_TOT!N17</f>
        <v>739111385.72505105</v>
      </c>
      <c r="O17" s="291">
        <f>KMA!O17*FRO_TOT!O17</f>
        <v>109868488.92801124</v>
      </c>
      <c r="P17" s="291">
        <f>KMA!P17*FRO_TOT!P17</f>
        <v>20997033.545825135</v>
      </c>
      <c r="Q17" s="291">
        <f>KMA!Q17*FRO_TOT!Q17</f>
        <v>777030260.21740746</v>
      </c>
      <c r="R17" s="291">
        <f>KMA!R17*FRO_TOT!R17</f>
        <v>953366100</v>
      </c>
      <c r="S17" s="690">
        <f t="shared" si="2"/>
        <v>17331265033.84473</v>
      </c>
      <c r="U17" s="733">
        <f>(B17+C17+H17+I17+P17+Q17+R17)/(DEN!C15+DEN!F15+DEN!G15+DEN!L15)</f>
        <v>10339.458746540295</v>
      </c>
      <c r="V17" s="734">
        <f>SUM(D17:G17)/SUM(DEN!I15:J15)</f>
        <v>12566.151321113786</v>
      </c>
      <c r="W17" s="734">
        <f>SUM(J17:L17)/SUM(DEN!D15:E15)</f>
        <v>28675.11160103669</v>
      </c>
      <c r="X17" s="735">
        <f>SUM(M17:O17)/(DEN!H15+DEN!K15)</f>
        <v>69567.068060299978</v>
      </c>
      <c r="AB17" s="733">
        <f t="shared" si="3"/>
        <v>7416173235.6722107</v>
      </c>
      <c r="AC17" s="734">
        <f t="shared" si="4"/>
        <v>7477727100.5038595</v>
      </c>
      <c r="AD17" s="734">
        <f t="shared" si="5"/>
        <v>1388362878.3873935</v>
      </c>
      <c r="AE17" s="735">
        <f t="shared" si="6"/>
        <v>1049001819.2812634</v>
      </c>
      <c r="AG17" s="944">
        <f t="shared" si="7"/>
        <v>0.42790720822685513</v>
      </c>
      <c r="AH17" s="944">
        <f t="shared" si="8"/>
        <v>0.43145881653192958</v>
      </c>
      <c r="AI17" s="944">
        <f t="shared" si="9"/>
        <v>8.0107417183695448E-2</v>
      </c>
      <c r="AJ17" s="944">
        <f t="shared" si="10"/>
        <v>6.052655805751965E-2</v>
      </c>
      <c r="AL17" s="945">
        <f t="shared" si="1"/>
        <v>0.99999999999999967</v>
      </c>
    </row>
    <row r="18" spans="1:38" ht="15.75" thickBot="1">
      <c r="A18" s="127" t="s">
        <v>24</v>
      </c>
      <c r="B18" s="291">
        <f>KMA!B18*FRO_TOT!B18</f>
        <v>2071327555.489568</v>
      </c>
      <c r="C18" s="291">
        <f>KMA!C18*FRO_TOT!C18</f>
        <v>363611946.66334939</v>
      </c>
      <c r="D18" s="291">
        <f>KMA!D18*FRO_TOT!D18</f>
        <v>385184387.46525764</v>
      </c>
      <c r="E18" s="291">
        <f>KMA!E18*FRO_TOT!E18</f>
        <v>4488292404.7890482</v>
      </c>
      <c r="F18" s="291">
        <f>KMA!F18*FRO_TOT!F18</f>
        <v>62875201.371142581</v>
      </c>
      <c r="G18" s="291">
        <f>KMA!G18*FRO_TOT!G18</f>
        <v>18617486.44190326</v>
      </c>
      <c r="H18" s="291">
        <f>KMA!H18*FRO_TOT!H18</f>
        <v>844131541.52885592</v>
      </c>
      <c r="I18" s="291">
        <f>KMA!I18*FRO_TOT!I18</f>
        <v>143465765.03252202</v>
      </c>
      <c r="J18" s="291">
        <f>KMA!J18*FRO_TOT!J18</f>
        <v>363021879.98903185</v>
      </c>
      <c r="K18" s="291">
        <f>KMA!K18*FRO_TOT!K18</f>
        <v>346873120.64884907</v>
      </c>
      <c r="L18" s="291">
        <f>KMA!L18*FRO_TOT!L18</f>
        <v>57734357.460478753</v>
      </c>
      <c r="M18" s="291">
        <f>KMA!M18*FRO_TOT!M18</f>
        <v>118619144.90139662</v>
      </c>
      <c r="N18" s="291">
        <f>KMA!N18*FRO_TOT!N18</f>
        <v>431077863.25783867</v>
      </c>
      <c r="O18" s="291">
        <f>KMA!O18*FRO_TOT!O18</f>
        <v>64110642.660381302</v>
      </c>
      <c r="P18" s="291">
        <f>KMA!P18*FRO_TOT!P18</f>
        <v>6773424.9575840412</v>
      </c>
      <c r="Q18" s="291">
        <f>KMA!Q18*FRO_TOT!Q18</f>
        <v>341544901.42277592</v>
      </c>
      <c r="R18" s="291">
        <f>KMA!R18*FRO_TOT!R18</f>
        <v>0</v>
      </c>
      <c r="S18" s="690">
        <f t="shared" si="2"/>
        <v>10107261624.079983</v>
      </c>
      <c r="U18" s="733">
        <f>(B18+C18+H18+I18+P18+Q18+R18)/(DEN!C16+DEN!F16+DEN!G16+DEN!L16)</f>
        <v>14641.197801967979</v>
      </c>
      <c r="V18" s="734">
        <f>SUM(D18:G18)/SUM(DEN!I16:J16)</f>
        <v>15788.001300223523</v>
      </c>
      <c r="W18" s="734">
        <f>SUM(J18:L18)/SUM(DEN!D16:E16)</f>
        <v>35104.466003492009</v>
      </c>
      <c r="X18" s="735">
        <f>SUM(M18:O18)/(DEN!H16+DEN!K16)</f>
        <v>87040.222748102184</v>
      </c>
      <c r="AB18" s="733">
        <f t="shared" si="3"/>
        <v>3770855135.094655</v>
      </c>
      <c r="AC18" s="734">
        <f t="shared" si="4"/>
        <v>4954969480.0673513</v>
      </c>
      <c r="AD18" s="734">
        <f t="shared" si="5"/>
        <v>767629358.0983597</v>
      </c>
      <c r="AE18" s="735">
        <f t="shared" si="6"/>
        <v>613807650.81961656</v>
      </c>
      <c r="AG18" s="944">
        <f t="shared" si="7"/>
        <v>0.373083756544978</v>
      </c>
      <c r="AH18" s="944">
        <f t="shared" si="8"/>
        <v>0.49023856949170236</v>
      </c>
      <c r="AI18" s="944">
        <f t="shared" si="9"/>
        <v>7.5948301988099917E-2</v>
      </c>
      <c r="AJ18" s="944">
        <f t="shared" si="10"/>
        <v>6.0729371975219708E-2</v>
      </c>
      <c r="AL18" s="945">
        <f t="shared" si="1"/>
        <v>0.99999999999999989</v>
      </c>
    </row>
    <row r="19" spans="1:38" ht="15.75" thickBot="1">
      <c r="A19" s="127" t="s">
        <v>25</v>
      </c>
      <c r="B19" s="291">
        <f>KMA!B19*FRO_TOT!B19</f>
        <v>2328600352.2382936</v>
      </c>
      <c r="C19" s="291">
        <f>KMA!C19*FRO_TOT!C19</f>
        <v>322117795.90367579</v>
      </c>
      <c r="D19" s="291">
        <f>KMA!D19*FRO_TOT!D19</f>
        <v>200645041.5571031</v>
      </c>
      <c r="E19" s="291">
        <f>KMA!E19*FRO_TOT!E19</f>
        <v>3094864481.8159747</v>
      </c>
      <c r="F19" s="291">
        <f>KMA!F19*FRO_TOT!F19</f>
        <v>43356225.01636979</v>
      </c>
      <c r="G19" s="291">
        <f>KMA!G19*FRO_TOT!G19</f>
        <v>12835715.816460399</v>
      </c>
      <c r="H19" s="291">
        <f>KMA!H19*FRO_TOT!H19</f>
        <v>700539796.44028556</v>
      </c>
      <c r="I19" s="291">
        <f>KMA!I19*FRO_TOT!I19</f>
        <v>82724114.515372306</v>
      </c>
      <c r="J19" s="291">
        <f>KMA!J19*FRO_TOT!J19</f>
        <v>300279801.00021678</v>
      </c>
      <c r="K19" s="291">
        <f>KMA!K19*FRO_TOT!K19</f>
        <v>286947369.96426117</v>
      </c>
      <c r="L19" s="291">
        <f>KMA!L19*FRO_TOT!L19</f>
        <v>73125622.399830684</v>
      </c>
      <c r="M19" s="291">
        <f>KMA!M19*FRO_TOT!M19</f>
        <v>89811852.888538763</v>
      </c>
      <c r="N19" s="291">
        <f>KMA!N19*FRO_TOT!N19</f>
        <v>353107036.40435439</v>
      </c>
      <c r="O19" s="291">
        <f>KMA!O19*FRO_TOT!O19</f>
        <v>52502031.279636025</v>
      </c>
      <c r="P19" s="291">
        <f>KMA!P19*FRO_TOT!P19</f>
        <v>8162513.0465981504</v>
      </c>
      <c r="Q19" s="291">
        <f>KMA!Q19*FRO_TOT!Q19</f>
        <v>298353359.9629941</v>
      </c>
      <c r="R19" s="291">
        <f>KMA!R19*FRO_TOT!R19</f>
        <v>512319894</v>
      </c>
      <c r="S19" s="690">
        <f t="shared" si="2"/>
        <v>8760293004.2499657</v>
      </c>
      <c r="U19" s="733">
        <f>(B19+C19+H19+I19+P19+Q19+R19)/(DEN!C17+DEN!F17+DEN!G17+DEN!L17)</f>
        <v>13075.213603069624</v>
      </c>
      <c r="V19" s="734">
        <f>SUM(D19:G19)/SUM(DEN!I17:J17)</f>
        <v>15304.153604037827</v>
      </c>
      <c r="W19" s="734">
        <f>SUM(J19:L19)/SUM(DEN!D17:E17)</f>
        <v>31969.054674879393</v>
      </c>
      <c r="X19" s="735">
        <f>SUM(M19:O19)/(DEN!H17+DEN!K17)</f>
        <v>79381.656877508285</v>
      </c>
      <c r="AB19" s="733">
        <f t="shared" si="3"/>
        <v>4252817826.1072197</v>
      </c>
      <c r="AC19" s="734">
        <f t="shared" si="4"/>
        <v>3351701464.2059083</v>
      </c>
      <c r="AD19" s="734">
        <f t="shared" si="5"/>
        <v>660352793.36430871</v>
      </c>
      <c r="AE19" s="735">
        <f t="shared" si="6"/>
        <v>495420920.5725292</v>
      </c>
      <c r="AG19" s="944">
        <f t="shared" si="7"/>
        <v>0.48546524916963496</v>
      </c>
      <c r="AH19" s="944">
        <f t="shared" si="8"/>
        <v>0.38260152515216844</v>
      </c>
      <c r="AI19" s="944">
        <f t="shared" si="9"/>
        <v>7.5380217652987788E-2</v>
      </c>
      <c r="AJ19" s="944">
        <f t="shared" si="10"/>
        <v>5.6553008025208844E-2</v>
      </c>
      <c r="AL19" s="945">
        <f t="shared" si="1"/>
        <v>0.99999999999999989</v>
      </c>
    </row>
    <row r="20" spans="1:38" ht="15.75" thickBot="1">
      <c r="A20" s="127" t="s">
        <v>26</v>
      </c>
      <c r="B20" s="291">
        <f>KMA!B20*FRO_TOT!B20</f>
        <v>4632045012.3125</v>
      </c>
      <c r="C20" s="291">
        <f>KMA!C20*FRO_TOT!C20</f>
        <v>649548570.97844052</v>
      </c>
      <c r="D20" s="291">
        <f>KMA!D20*FRO_TOT!D20</f>
        <v>250394277.72088492</v>
      </c>
      <c r="E20" s="291">
        <f>KMA!E20*FRO_TOT!E20</f>
        <v>5861470144.2073374</v>
      </c>
      <c r="F20" s="291">
        <f>KMA!F20*FRO_TOT!F20</f>
        <v>82112296.353092894</v>
      </c>
      <c r="G20" s="291">
        <f>KMA!G20*FRO_TOT!G20</f>
        <v>24310412.148632225</v>
      </c>
      <c r="H20" s="291">
        <f>KMA!H20*FRO_TOT!H20</f>
        <v>2273030724.6486044</v>
      </c>
      <c r="I20" s="291">
        <f>KMA!I20*FRO_TOT!I20</f>
        <v>261112023.44890368</v>
      </c>
      <c r="J20" s="291">
        <f>KMA!J20*FRO_TOT!J20</f>
        <v>896177590.14465582</v>
      </c>
      <c r="K20" s="291">
        <f>KMA!K20*FRO_TOT!K20</f>
        <v>856335976.72598481</v>
      </c>
      <c r="L20" s="291">
        <f>KMA!L20*FRO_TOT!L20</f>
        <v>301782652.56951964</v>
      </c>
      <c r="M20" s="291">
        <f>KMA!M20*FRO_TOT!M20</f>
        <v>315803844.34054762</v>
      </c>
      <c r="N20" s="291">
        <f>KMA!N20*FRO_TOT!N20</f>
        <v>1023775342.9799011</v>
      </c>
      <c r="O20" s="291">
        <f>KMA!O20*FRO_TOT!O20</f>
        <v>152196164.72333178</v>
      </c>
      <c r="P20" s="291">
        <f>KMA!P20*FRO_TOT!P20</f>
        <v>16783064.686666612</v>
      </c>
      <c r="Q20" s="291">
        <f>KMA!Q20*FRO_TOT!Q20</f>
        <v>615313207.18635964</v>
      </c>
      <c r="R20" s="291">
        <f>KMA!R20*FRO_TOT!R20</f>
        <v>900356712</v>
      </c>
      <c r="S20" s="690">
        <f t="shared" si="2"/>
        <v>19112548017.175362</v>
      </c>
      <c r="U20" s="733">
        <f>(B20+C20+H20+I20+P20+Q20+R20)/(DEN!C18+DEN!F18+DEN!G18+DEN!L18)</f>
        <v>10627.32617575372</v>
      </c>
      <c r="V20" s="734">
        <f>SUM(D20:G20)/SUM(DEN!I18:J18)</f>
        <v>12845.895887416536</v>
      </c>
      <c r="W20" s="734">
        <f>SUM(J20:L20)/SUM(DEN!D18:E18)</f>
        <v>30429.509990226044</v>
      </c>
      <c r="X20" s="735">
        <f>SUM(M20:O20)/(DEN!H18+DEN!K18)</f>
        <v>71421.235794694323</v>
      </c>
      <c r="AB20" s="733">
        <f t="shared" si="3"/>
        <v>9348189315.2614746</v>
      </c>
      <c r="AC20" s="734">
        <f t="shared" si="4"/>
        <v>6218287130.4299479</v>
      </c>
      <c r="AD20" s="734">
        <f t="shared" si="5"/>
        <v>2054296219.4401603</v>
      </c>
      <c r="AE20" s="735">
        <f t="shared" si="6"/>
        <v>1491775352.0437803</v>
      </c>
      <c r="AG20" s="944">
        <f t="shared" si="7"/>
        <v>0.48911266602761638</v>
      </c>
      <c r="AH20" s="944">
        <f t="shared" si="8"/>
        <v>0.32535102723309978</v>
      </c>
      <c r="AI20" s="944">
        <f t="shared" si="9"/>
        <v>0.10748416263462522</v>
      </c>
      <c r="AJ20" s="944">
        <f t="shared" si="10"/>
        <v>7.8052144104658702E-2</v>
      </c>
      <c r="AL20" s="945">
        <f t="shared" si="1"/>
        <v>1</v>
      </c>
    </row>
    <row r="21" spans="1:38" ht="15.75" thickBot="1">
      <c r="A21" s="127" t="s">
        <v>27</v>
      </c>
      <c r="B21" s="291">
        <f>KMA!B21*FRO_TOT!B21</f>
        <v>1525360341.8300965</v>
      </c>
      <c r="C21" s="291">
        <f>KMA!C21*FRO_TOT!C21</f>
        <v>216870263.99905568</v>
      </c>
      <c r="D21" s="291">
        <f>KMA!D21*FRO_TOT!D21</f>
        <v>263714385.67693564</v>
      </c>
      <c r="E21" s="291">
        <f>KMA!E21*FRO_TOT!E21</f>
        <v>3192997400.4965982</v>
      </c>
      <c r="F21" s="291">
        <f>KMA!F21*FRO_TOT!F21</f>
        <v>44730356.789871976</v>
      </c>
      <c r="G21" s="291">
        <f>KMA!G21*FRO_TOT!G21</f>
        <v>13243287.151600054</v>
      </c>
      <c r="H21" s="291">
        <f>KMA!H21*FRO_TOT!H21</f>
        <v>201355053.48665103</v>
      </c>
      <c r="I21" s="291">
        <f>KMA!I21*FRO_TOT!I21</f>
        <v>28047989.968867932</v>
      </c>
      <c r="J21" s="291">
        <f>KMA!J21*FRO_TOT!J21</f>
        <v>311151362.6242286</v>
      </c>
      <c r="K21" s="291">
        <f>KMA!K21*FRO_TOT!K21</f>
        <v>297309340.82062745</v>
      </c>
      <c r="L21" s="291">
        <f>KMA!L21*FRO_TOT!L21</f>
        <v>66665055.662681423</v>
      </c>
      <c r="M21" s="291">
        <f>KMA!M21*FRO_TOT!M21</f>
        <v>76387105.397984833</v>
      </c>
      <c r="N21" s="291">
        <f>KMA!N21*FRO_TOT!N21</f>
        <v>349778231.06924665</v>
      </c>
      <c r="O21" s="291">
        <f>KMA!O21*FRO_TOT!O21</f>
        <v>52011524.405967124</v>
      </c>
      <c r="P21" s="291">
        <f>KMA!P21*FRO_TOT!P21</f>
        <v>10133955.749994852</v>
      </c>
      <c r="Q21" s="291">
        <f>KMA!Q21*FRO_TOT!Q21</f>
        <v>418664736.44517434</v>
      </c>
      <c r="R21" s="291">
        <f>KMA!R21*FRO_TOT!R21</f>
        <v>2951543.9999999995</v>
      </c>
      <c r="S21" s="690">
        <f t="shared" si="2"/>
        <v>7071371935.5755816</v>
      </c>
      <c r="U21" s="733">
        <f>(B21+C21+H21+I21+P21+Q21+R21)/(DEN!C19+DEN!F19+DEN!G19+DEN!L19)</f>
        <v>12118.41112053367</v>
      </c>
      <c r="V21" s="734">
        <f>SUM(D21:G21)/SUM(DEN!I19:J19)</f>
        <v>14523.553527555923</v>
      </c>
      <c r="W21" s="734">
        <f>SUM(J21:L21)/SUM(DEN!D19:E19)</f>
        <v>40613.95410621052</v>
      </c>
      <c r="X21" s="735">
        <f>SUM(M21:O21)/(DEN!H19+DEN!K19)</f>
        <v>104451.0399460897</v>
      </c>
      <c r="AB21" s="733">
        <f t="shared" si="3"/>
        <v>2403383885.4798403</v>
      </c>
      <c r="AC21" s="734">
        <f t="shared" si="4"/>
        <v>3514685430.115006</v>
      </c>
      <c r="AD21" s="734">
        <f t="shared" si="5"/>
        <v>675125759.10753751</v>
      </c>
      <c r="AE21" s="735">
        <f t="shared" si="6"/>
        <v>478176860.87319863</v>
      </c>
      <c r="AG21" s="944">
        <f t="shared" si="7"/>
        <v>0.33987519075168182</v>
      </c>
      <c r="AH21" s="944">
        <f t="shared" si="8"/>
        <v>0.49703020321033708</v>
      </c>
      <c r="AI21" s="944">
        <f t="shared" si="9"/>
        <v>9.5473094225326585E-2</v>
      </c>
      <c r="AJ21" s="944">
        <f t="shared" si="10"/>
        <v>6.7621511812654633E-2</v>
      </c>
      <c r="AL21" s="945">
        <f t="shared" si="1"/>
        <v>1</v>
      </c>
    </row>
    <row r="22" spans="1:38" ht="15.75" thickBot="1">
      <c r="A22" s="127" t="s">
        <v>28</v>
      </c>
      <c r="B22" s="291">
        <f>KMA!B22*FRO_TOT!B22</f>
        <v>2107221493.0601478</v>
      </c>
      <c r="C22" s="291">
        <f>KMA!C22*FRO_TOT!C22</f>
        <v>336597081.2241866</v>
      </c>
      <c r="D22" s="291">
        <f>KMA!D22*FRO_TOT!D22</f>
        <v>188948631.05043927</v>
      </c>
      <c r="E22" s="291">
        <f>KMA!E22*FRO_TOT!E22</f>
        <v>2931214610.1436496</v>
      </c>
      <c r="F22" s="291">
        <f>KMA!F22*FRO_TOT!F22</f>
        <v>41062524.391881093</v>
      </c>
      <c r="G22" s="291">
        <f>KMA!G22*FRO_TOT!G22</f>
        <v>12157696.123898156</v>
      </c>
      <c r="H22" s="291">
        <f>KMA!H22*FRO_TOT!H22</f>
        <v>608011787.7104609</v>
      </c>
      <c r="I22" s="291">
        <f>KMA!I22*FRO_TOT!I22</f>
        <v>73942942.815937981</v>
      </c>
      <c r="J22" s="291">
        <f>KMA!J22*FRO_TOT!J22</f>
        <v>327401128.36437851</v>
      </c>
      <c r="K22" s="291">
        <f>KMA!K22*FRO_TOT!K22</f>
        <v>312867443.38613695</v>
      </c>
      <c r="L22" s="291">
        <f>KMA!L22*FRO_TOT!L22</f>
        <v>76755863.082063884</v>
      </c>
      <c r="M22" s="291">
        <f>KMA!M22*FRO_TOT!M22</f>
        <v>123101401.23391518</v>
      </c>
      <c r="N22" s="291">
        <f>KMA!N22*FRO_TOT!N22</f>
        <v>374430871.92078888</v>
      </c>
      <c r="O22" s="291">
        <f>KMA!O22*FRO_TOT!O22</f>
        <v>55695357.704751484</v>
      </c>
      <c r="P22" s="291">
        <f>KMA!P22*FRO_TOT!P22</f>
        <v>8627332.48051209</v>
      </c>
      <c r="Q22" s="291">
        <f>KMA!Q22*FRO_TOT!Q22</f>
        <v>329162115.29731256</v>
      </c>
      <c r="R22" s="291">
        <f>KMA!R22*FRO_TOT!R22</f>
        <v>927752886</v>
      </c>
      <c r="S22" s="690">
        <f t="shared" si="2"/>
        <v>8834951165.9904594</v>
      </c>
      <c r="U22" s="733">
        <f>(B22+C22+H22+I22+P22+Q22+R22)/(DEN!C20+DEN!F20+DEN!G20+DEN!L20)</f>
        <v>12540.131071041998</v>
      </c>
      <c r="V22" s="734">
        <f>SUM(D22:G22)/SUM(DEN!I20:J20)</f>
        <v>13835.336497287624</v>
      </c>
      <c r="W22" s="734">
        <f>SUM(J22:L22)/SUM(DEN!D20:E20)</f>
        <v>32748.318558236097</v>
      </c>
      <c r="X22" s="735">
        <f>SUM(M22:O22)/(DEN!H20+DEN!K20)</f>
        <v>77072.670780085755</v>
      </c>
      <c r="AB22" s="733">
        <f t="shared" si="3"/>
        <v>4391315638.5885582</v>
      </c>
      <c r="AC22" s="734">
        <f t="shared" si="4"/>
        <v>3173383461.709868</v>
      </c>
      <c r="AD22" s="734">
        <f t="shared" si="5"/>
        <v>717024434.83257937</v>
      </c>
      <c r="AE22" s="735">
        <f t="shared" si="6"/>
        <v>553227630.85945559</v>
      </c>
      <c r="AG22" s="944">
        <f t="shared" si="7"/>
        <v>0.49703903916216624</v>
      </c>
      <c r="AH22" s="944">
        <f t="shared" si="8"/>
        <v>0.3591851728536532</v>
      </c>
      <c r="AI22" s="944">
        <f t="shared" si="9"/>
        <v>8.1157713422652059E-2</v>
      </c>
      <c r="AJ22" s="944">
        <f t="shared" si="10"/>
        <v>6.2618074561528708E-2</v>
      </c>
      <c r="AL22" s="945">
        <f t="shared" si="1"/>
        <v>1.0000000000000002</v>
      </c>
    </row>
    <row r="23" spans="1:38" ht="15.75" thickBot="1">
      <c r="A23" s="128" t="s">
        <v>29</v>
      </c>
      <c r="B23" s="291">
        <f>KMA!B23*FRO_TOT!B23</f>
        <v>1446442366.4167738</v>
      </c>
      <c r="C23" s="291">
        <f>KMA!C23*FRO_TOT!C23</f>
        <v>180339604.99054873</v>
      </c>
      <c r="D23" s="291">
        <f>KMA!D23*FRO_TOT!D23</f>
        <v>122880829.54272634</v>
      </c>
      <c r="E23" s="291">
        <f>KMA!E23*FRO_TOT!E23</f>
        <v>1606196297.8703785</v>
      </c>
      <c r="F23" s="291">
        <f>KMA!F23*FRO_TOT!F23</f>
        <v>22501870.8850311</v>
      </c>
      <c r="G23" s="291">
        <f>KMA!G23*FRO_TOT!G23</f>
        <v>6662233.2034188192</v>
      </c>
      <c r="H23" s="291">
        <f>KMA!H23*FRO_TOT!H23</f>
        <v>330622811.58110869</v>
      </c>
      <c r="I23" s="291">
        <f>KMA!I23*FRO_TOT!I23</f>
        <v>33507719.700522829</v>
      </c>
      <c r="J23" s="291">
        <f>KMA!J23*FRO_TOT!J23</f>
        <v>220516354.31255463</v>
      </c>
      <c r="K23" s="291">
        <f>KMA!K23*FRO_TOT!K23</f>
        <v>210707426.37035081</v>
      </c>
      <c r="L23" s="291">
        <f>KMA!L23*FRO_TOT!L23</f>
        <v>49601785.905872397</v>
      </c>
      <c r="M23" s="291">
        <f>KMA!M23*FRO_TOT!M23</f>
        <v>84347968.242641628</v>
      </c>
      <c r="N23" s="291">
        <f>KMA!N23*FRO_TOT!N23</f>
        <v>352182480.52346867</v>
      </c>
      <c r="O23" s="291">
        <f>KMA!O23*FRO_TOT!O23</f>
        <v>52342557.408032835</v>
      </c>
      <c r="P23" s="291">
        <f>KMA!P23*FRO_TOT!P23</f>
        <v>3857630.1942168847</v>
      </c>
      <c r="Q23" s="291">
        <f>KMA!Q23*FRO_TOT!Q23</f>
        <v>118182736.25939962</v>
      </c>
      <c r="R23" s="291">
        <f>KMA!R23*FRO_TOT!R23</f>
        <v>564547926.00000012</v>
      </c>
      <c r="S23" s="690">
        <f t="shared" si="2"/>
        <v>5405440599.4070454</v>
      </c>
      <c r="U23" s="733">
        <f>(B23+C23+H23+I23+P23+Q23+R23)/(DEN!C21+DEN!F21+DEN!G21+DEN!L21)</f>
        <v>13180.244628923037</v>
      </c>
      <c r="V23" s="734">
        <f>SUM(D23:G23)/SUM(DEN!I21:J21)</f>
        <v>14827.343600589929</v>
      </c>
      <c r="W23" s="734">
        <f>SUM(J23:L23)/SUM(DEN!D21:E21)</f>
        <v>31445.004681759063</v>
      </c>
      <c r="X23" s="735">
        <f>SUM(M23:O23)/(DEN!H21+DEN!K21)</f>
        <v>79285.275085005371</v>
      </c>
      <c r="AB23" s="733">
        <f t="shared" si="3"/>
        <v>2677500795.1425705</v>
      </c>
      <c r="AC23" s="734">
        <f t="shared" si="4"/>
        <v>1758241231.5015545</v>
      </c>
      <c r="AD23" s="734">
        <f t="shared" si="5"/>
        <v>480825566.58877784</v>
      </c>
      <c r="AE23" s="735">
        <f t="shared" si="6"/>
        <v>488873006.17414314</v>
      </c>
      <c r="AG23" s="944">
        <f t="shared" si="7"/>
        <v>0.4953344220332902</v>
      </c>
      <c r="AH23" s="944">
        <f t="shared" si="8"/>
        <v>0.32527251001415619</v>
      </c>
      <c r="AI23" s="944">
        <f t="shared" si="9"/>
        <v>8.8952150661228691E-2</v>
      </c>
      <c r="AJ23" s="944">
        <f t="shared" si="10"/>
        <v>9.0440917291325057E-2</v>
      </c>
      <c r="AL23" s="945">
        <f t="shared" si="1"/>
        <v>1</v>
      </c>
    </row>
    <row r="24" spans="1:38" ht="15.75" thickBot="1">
      <c r="A24" s="269" t="s">
        <v>64</v>
      </c>
      <c r="B24" s="291">
        <f>KMA!B24*FRO_TOT!B24</f>
        <v>88820120338.878235</v>
      </c>
      <c r="C24" s="291">
        <f>KMA!C24*FRO_TOT!C24</f>
        <v>11799168748.087318</v>
      </c>
      <c r="D24" s="291">
        <f>KMA!D24*FRO_TOT!D24</f>
        <v>4533148827.1354904</v>
      </c>
      <c r="E24" s="291">
        <f>KMA!E24*FRO_TOT!E24</f>
        <v>68256140680.683044</v>
      </c>
      <c r="F24" s="291">
        <f>KMA!F24*FRO_TOT!F24</f>
        <v>956181963.22369397</v>
      </c>
      <c r="G24" s="291">
        <f>KMA!G24*FRO_TOT!G24</f>
        <v>283098900.65980279</v>
      </c>
      <c r="H24" s="291">
        <f>KMA!H24*FRO_TOT!H24</f>
        <v>67903516542.81942</v>
      </c>
      <c r="I24" s="291">
        <f>KMA!I24*FRO_TOT!I24</f>
        <v>7408307237.4367599</v>
      </c>
      <c r="J24" s="291">
        <f>KMA!J24*FRO_TOT!J24</f>
        <v>13649321646.023146</v>
      </c>
      <c r="K24" s="291">
        <f>KMA!K24*FRO_TOT!K24</f>
        <v>13042335609.610559</v>
      </c>
      <c r="L24" s="291">
        <f>KMA!L24*FRO_TOT!L24</f>
        <v>7146898021.8660307</v>
      </c>
      <c r="M24" s="291">
        <f>KMA!M24*FRO_TOT!M24</f>
        <v>4288323603.54845</v>
      </c>
      <c r="N24" s="291">
        <f>KMA!N24*FRO_TOT!N24</f>
        <v>20060700089.114414</v>
      </c>
      <c r="O24" s="291">
        <f>KMA!O24*FRO_TOT!O24</f>
        <v>2401133722.9197354</v>
      </c>
      <c r="P24" s="291">
        <f>KMA!P24*FRO_TOT!P24</f>
        <v>236439364.09301203</v>
      </c>
      <c r="Q24" s="291">
        <f>KMA!Q24*FRO_TOT!Q24</f>
        <v>8248136700.281004</v>
      </c>
      <c r="R24" s="291">
        <f>KMA!R24*FRO_TOT!R24</f>
        <v>19953897342</v>
      </c>
      <c r="S24" s="690">
        <f t="shared" si="2"/>
        <v>338986869338.38013</v>
      </c>
      <c r="U24" s="733">
        <f>(B24+C24+H24+I24+P24+Q24+R24)/(DEN!C22+DEN!F22+DEN!G22+DEN!L22)</f>
        <v>9369.8754603897996</v>
      </c>
      <c r="V24" s="734">
        <f>SUM(D24:G24)/SUM(DEN!I22:J22)</f>
        <v>12710.888473012499</v>
      </c>
      <c r="W24" s="734">
        <f>SUM(J24:L24)/SUM(DEN!D22:E22)</f>
        <v>31286.196112449958</v>
      </c>
      <c r="X24" s="735">
        <f>SUM(M24:O24)/(DEN!H22+DEN!K22)</f>
        <v>75699.922788181822</v>
      </c>
      <c r="AB24" s="733">
        <f t="shared" si="3"/>
        <v>204369586273.59576</v>
      </c>
      <c r="AC24" s="734">
        <f t="shared" si="4"/>
        <v>74028570371.702042</v>
      </c>
      <c r="AD24" s="734">
        <f t="shared" si="5"/>
        <v>33838555277.499737</v>
      </c>
      <c r="AE24" s="735">
        <f t="shared" si="6"/>
        <v>26750157415.5826</v>
      </c>
      <c r="AG24" s="944">
        <f t="shared" si="7"/>
        <v>0.60288348829698168</v>
      </c>
      <c r="AH24" s="944">
        <f t="shared" si="8"/>
        <v>0.2183818226239494</v>
      </c>
      <c r="AI24" s="944">
        <f t="shared" si="9"/>
        <v>9.982261361197961E-2</v>
      </c>
      <c r="AJ24" s="944">
        <f t="shared" si="10"/>
        <v>7.8912075467089324E-2</v>
      </c>
      <c r="AL24" s="945">
        <f t="shared" si="1"/>
        <v>1</v>
      </c>
    </row>
    <row r="25" spans="1:38" ht="15.75" thickBot="1">
      <c r="A25" s="127" t="s">
        <v>31</v>
      </c>
      <c r="B25" s="291">
        <f>KMA!B25*FRO_TOT!B25</f>
        <v>3626746511.9515276</v>
      </c>
      <c r="C25" s="291">
        <f>KMA!C25*FRO_TOT!C25</f>
        <v>538818753.0145824</v>
      </c>
      <c r="D25" s="291">
        <f>KMA!D25*FRO_TOT!D25</f>
        <v>308302482.65761167</v>
      </c>
      <c r="E25" s="291">
        <f>KMA!E25*FRO_TOT!E25</f>
        <v>3316393696.7848887</v>
      </c>
      <c r="F25" s="291">
        <f>KMA!F25*FRO_TOT!F25</f>
        <v>46456872.858021393</v>
      </c>
      <c r="G25" s="291">
        <f>KMA!G25*FRO_TOT!G25</f>
        <v>13754902.339931646</v>
      </c>
      <c r="H25" s="291">
        <f>KMA!H25*FRO_TOT!H25</f>
        <v>1061323785.315876</v>
      </c>
      <c r="I25" s="291">
        <f>KMA!I25*FRO_TOT!I25</f>
        <v>136561659.7527619</v>
      </c>
      <c r="J25" s="291">
        <f>KMA!J25*FRO_TOT!J25</f>
        <v>400497012.03711128</v>
      </c>
      <c r="K25" s="291">
        <f>KMA!K25*FRO_TOT!K25</f>
        <v>382693365.27983248</v>
      </c>
      <c r="L25" s="291">
        <f>KMA!L25*FRO_TOT!L25</f>
        <v>297211093.8421815</v>
      </c>
      <c r="M25" s="291">
        <f>KMA!M25*FRO_TOT!M25</f>
        <v>130243725.0186104</v>
      </c>
      <c r="N25" s="291">
        <f>KMA!N25*FRO_TOT!N25</f>
        <v>879736992.18880045</v>
      </c>
      <c r="O25" s="291">
        <f>KMA!O25*FRO_TOT!O25</f>
        <v>123478940.80039012</v>
      </c>
      <c r="P25" s="291">
        <f>KMA!P25*FRO_TOT!P25</f>
        <v>12264185.254038773</v>
      </c>
      <c r="Q25" s="291">
        <f>KMA!Q25*FRO_TOT!Q25</f>
        <v>480181489.97163683</v>
      </c>
      <c r="R25" s="291">
        <f>KMA!R25*FRO_TOT!R25</f>
        <v>535928658</v>
      </c>
      <c r="S25" s="690">
        <f t="shared" si="2"/>
        <v>12290594127.067804</v>
      </c>
      <c r="U25" s="733">
        <f>(B25+C25+H25+I25+P25+Q25+R25)/(DEN!C23+DEN!F23+DEN!G23+DEN!L23)</f>
        <v>9146.5055632659059</v>
      </c>
      <c r="V25" s="734">
        <f>SUM(D25:G25)/SUM(DEN!I23:J23)</f>
        <v>12493.034424137937</v>
      </c>
      <c r="W25" s="734">
        <f>SUM(J25:L25)/SUM(DEN!D23:E23)</f>
        <v>17273.710087921296</v>
      </c>
      <c r="X25" s="735">
        <f>SUM(M25:O25)/(DEN!H23+DEN!K23)</f>
        <v>70576.566501108406</v>
      </c>
      <c r="AB25" s="733">
        <f t="shared" si="3"/>
        <v>6391825043.2604237</v>
      </c>
      <c r="AC25" s="734">
        <f t="shared" si="4"/>
        <v>3684907954.6404533</v>
      </c>
      <c r="AD25" s="734">
        <f t="shared" si="5"/>
        <v>1080401471.1591253</v>
      </c>
      <c r="AE25" s="735">
        <f t="shared" si="6"/>
        <v>1133459658.0078011</v>
      </c>
      <c r="AG25" s="944">
        <f t="shared" si="7"/>
        <v>0.5200582638380018</v>
      </c>
      <c r="AH25" s="944">
        <f t="shared" si="8"/>
        <v>0.29981528285317893</v>
      </c>
      <c r="AI25" s="944">
        <f t="shared" si="9"/>
        <v>8.7904739184230085E-2</v>
      </c>
      <c r="AJ25" s="944">
        <f t="shared" si="10"/>
        <v>9.2221714124589127E-2</v>
      </c>
      <c r="AL25" s="945">
        <f t="shared" si="1"/>
        <v>1</v>
      </c>
    </row>
    <row r="26" spans="1:38" ht="15.75" thickBot="1">
      <c r="A26" s="127" t="s">
        <v>32</v>
      </c>
      <c r="B26" s="291">
        <f>KMA!B26*FRO_TOT!B26</f>
        <v>21786814610.907726</v>
      </c>
      <c r="C26" s="291">
        <f>KMA!C26*FRO_TOT!C26</f>
        <v>2936244903.0396399</v>
      </c>
      <c r="D26" s="291">
        <f>KMA!D26*FRO_TOT!D26</f>
        <v>881061298.37144959</v>
      </c>
      <c r="E26" s="291">
        <f>KMA!E26*FRO_TOT!E26</f>
        <v>19706255908.735725</v>
      </c>
      <c r="F26" s="291">
        <f>KMA!F26*FRO_TOT!F26</f>
        <v>276058014.74645555</v>
      </c>
      <c r="G26" s="291">
        <f>KMA!G26*FRO_TOT!G26</f>
        <v>81733566.492352605</v>
      </c>
      <c r="H26" s="291">
        <f>KMA!H26*FRO_TOT!H26</f>
        <v>7445470841.5140781</v>
      </c>
      <c r="I26" s="291">
        <f>KMA!I26*FRO_TOT!I26</f>
        <v>904025840.60113561</v>
      </c>
      <c r="J26" s="291">
        <f>KMA!J26*FRO_TOT!J26</f>
        <v>5089929237.3955946</v>
      </c>
      <c r="K26" s="291">
        <f>KMA!K26*FRO_TOT!K26</f>
        <v>4863528146.4123383</v>
      </c>
      <c r="L26" s="291">
        <f>KMA!L26*FRO_TOT!L26</f>
        <v>2601376622.8080878</v>
      </c>
      <c r="M26" s="291">
        <f>KMA!M26*FRO_TOT!M26</f>
        <v>793316352.94350612</v>
      </c>
      <c r="N26" s="291">
        <f>KMA!N26*FRO_TOT!N26</f>
        <v>5140697869.0666571</v>
      </c>
      <c r="O26" s="291">
        <f>KMA!O26*FRO_TOT!O26</f>
        <v>567479585.54614317</v>
      </c>
      <c r="P26" s="291">
        <f>KMA!P26*FRO_TOT!P26</f>
        <v>62965200.083605662</v>
      </c>
      <c r="Q26" s="291">
        <f>KMA!Q26*FRO_TOT!Q26</f>
        <v>2366344547.8218541</v>
      </c>
      <c r="R26" s="291">
        <f>KMA!R26*FRO_TOT!R26</f>
        <v>737557007.99999988</v>
      </c>
      <c r="S26" s="690">
        <f t="shared" si="2"/>
        <v>76240859554.486328</v>
      </c>
      <c r="U26" s="733">
        <f>(B26+C26+H26+I26+P26+Q26+R26)/(DEN!C24+DEN!F24+DEN!G24+DEN!L24)</f>
        <v>9015.8650783086723</v>
      </c>
      <c r="V26" s="734">
        <f>SUM(D26:G26)/SUM(DEN!I24:J24)</f>
        <v>13269.936662180644</v>
      </c>
      <c r="W26" s="734">
        <f>SUM(J26:L26)/SUM(DEN!D24:E24)</f>
        <v>46697.937923526784</v>
      </c>
      <c r="X26" s="735">
        <f>SUM(M26:O26)/(DEN!H24+DEN!K24)</f>
        <v>84595.386154999185</v>
      </c>
      <c r="AB26" s="733">
        <f t="shared" si="3"/>
        <v>36239422951.96804</v>
      </c>
      <c r="AC26" s="734">
        <f t="shared" si="4"/>
        <v>20945108788.345982</v>
      </c>
      <c r="AD26" s="734">
        <f t="shared" si="5"/>
        <v>12554834006.616022</v>
      </c>
      <c r="AE26" s="735">
        <f t="shared" si="6"/>
        <v>6501493807.5563068</v>
      </c>
      <c r="AG26" s="944">
        <f t="shared" si="7"/>
        <v>0.47532810049274377</v>
      </c>
      <c r="AH26" s="944">
        <f t="shared" si="8"/>
        <v>0.27472288364452846</v>
      </c>
      <c r="AI26" s="944">
        <f t="shared" si="9"/>
        <v>0.16467330090426877</v>
      </c>
      <c r="AJ26" s="944">
        <f t="shared" si="10"/>
        <v>8.5275714958459328E-2</v>
      </c>
      <c r="AL26" s="945">
        <f t="shared" si="1"/>
        <v>1.0000000000000004</v>
      </c>
    </row>
    <row r="27" spans="1:38" ht="15.75" thickBot="1">
      <c r="A27" s="127" t="s">
        <v>33</v>
      </c>
      <c r="B27" s="291">
        <f>KMA!B27*FRO_TOT!B27</f>
        <v>12655830025.55625</v>
      </c>
      <c r="C27" s="291">
        <f>KMA!C27*FRO_TOT!C27</f>
        <v>1955841815.5708981</v>
      </c>
      <c r="D27" s="291">
        <f>KMA!D27*FRO_TOT!D27</f>
        <v>642154765.73386168</v>
      </c>
      <c r="E27" s="291">
        <f>KMA!E27*FRO_TOT!E27</f>
        <v>7394135768.4613209</v>
      </c>
      <c r="F27" s="291">
        <f>KMA!F27*FRO_TOT!F27</f>
        <v>103582531.58485299</v>
      </c>
      <c r="G27" s="291">
        <f>KMA!G27*FRO_TOT!G27</f>
        <v>30667080.786110211</v>
      </c>
      <c r="H27" s="291">
        <f>KMA!H27*FRO_TOT!H27</f>
        <v>5524626319.129487</v>
      </c>
      <c r="I27" s="291">
        <f>KMA!I27*FRO_TOT!I27</f>
        <v>530409877.11281073</v>
      </c>
      <c r="J27" s="291">
        <f>KMA!J27*FRO_TOT!J27</f>
        <v>1206850423.1773531</v>
      </c>
      <c r="K27" s="291">
        <f>KMA!K27*FRO_TOT!K27</f>
        <v>1153195089.6651323</v>
      </c>
      <c r="L27" s="291">
        <f>KMA!L27*FRO_TOT!L27</f>
        <v>350754732.83879036</v>
      </c>
      <c r="M27" s="291">
        <f>KMA!M27*FRO_TOT!M27</f>
        <v>1190033728.0446157</v>
      </c>
      <c r="N27" s="291">
        <f>KMA!N27*FRO_TOT!N27</f>
        <v>3473446552.5688357</v>
      </c>
      <c r="O27" s="291">
        <f>KMA!O27*FRO_TOT!O27</f>
        <v>532115618.05263174</v>
      </c>
      <c r="P27" s="291">
        <f>KMA!P27*FRO_TOT!P27</f>
        <v>26471548.488873836</v>
      </c>
      <c r="Q27" s="291">
        <f>KMA!Q27*FRO_TOT!Q27</f>
        <v>788618834.35773635</v>
      </c>
      <c r="R27" s="291">
        <f>KMA!R27*FRO_TOT!R27</f>
        <v>13219214856.000002</v>
      </c>
      <c r="S27" s="690">
        <f t="shared" si="2"/>
        <v>50777949567.129562</v>
      </c>
      <c r="U27" s="733">
        <f>(B27+C27+H27+I27+P27+Q27+R27)/(DEN!C25+DEN!F25+DEN!G25+DEN!L25)</f>
        <v>10748.648877361515</v>
      </c>
      <c r="V27" s="734">
        <f>SUM(D27:G27)/SUM(DEN!I25:J25)</f>
        <v>14369.321936944736</v>
      </c>
      <c r="W27" s="734">
        <f>SUM(J27:L27)/SUM(DEN!D25:E25)</f>
        <v>24527.467591509991</v>
      </c>
      <c r="X27" s="735">
        <f>SUM(M27:O27)/(DEN!H25+DEN!K25)</f>
        <v>84996.742825037742</v>
      </c>
      <c r="AB27" s="733">
        <f t="shared" si="3"/>
        <v>34701013276.216057</v>
      </c>
      <c r="AC27" s="734">
        <f t="shared" si="4"/>
        <v>8170540146.5661459</v>
      </c>
      <c r="AD27" s="734">
        <f t="shared" si="5"/>
        <v>2710800245.6812758</v>
      </c>
      <c r="AE27" s="735">
        <f t="shared" si="6"/>
        <v>5195595898.6660824</v>
      </c>
      <c r="AG27" s="944">
        <f t="shared" si="7"/>
        <v>0.68338744616579206</v>
      </c>
      <c r="AH27" s="944">
        <f t="shared" si="8"/>
        <v>0.16090724844579463</v>
      </c>
      <c r="AI27" s="944">
        <f t="shared" si="9"/>
        <v>5.3385382213937932E-2</v>
      </c>
      <c r="AJ27" s="944">
        <f t="shared" si="10"/>
        <v>0.10231992317447539</v>
      </c>
      <c r="AL27" s="945">
        <f t="shared" si="1"/>
        <v>1</v>
      </c>
    </row>
    <row r="28" spans="1:38" ht="15.75" thickBot="1">
      <c r="A28" s="128" t="s">
        <v>34</v>
      </c>
      <c r="B28" s="291">
        <f>KMA!B28*FRO_TOT!B28</f>
        <v>50760854606.361145</v>
      </c>
      <c r="C28" s="291">
        <f>KMA!C28*FRO_TOT!C28</f>
        <v>6421011020.7711515</v>
      </c>
      <c r="D28" s="291">
        <f>KMA!D28*FRO_TOT!D28</f>
        <v>2693562995.2366433</v>
      </c>
      <c r="E28" s="291">
        <f>KMA!E28*FRO_TOT!E28</f>
        <v>37659841928.342018</v>
      </c>
      <c r="F28" s="291">
        <f>KMA!F28*FRO_TOT!F28</f>
        <v>527569624.60784572</v>
      </c>
      <c r="G28" s="291">
        <f>KMA!G28*FRO_TOT!G28</f>
        <v>156198657.35020953</v>
      </c>
      <c r="H28" s="291">
        <f>KMA!H28*FRO_TOT!H28</f>
        <v>53887422254.107826</v>
      </c>
      <c r="I28" s="291">
        <f>KMA!I28*FRO_TOT!I28</f>
        <v>5822506340.5848389</v>
      </c>
      <c r="J28" s="291">
        <f>KMA!J28*FRO_TOT!J28</f>
        <v>7001423935.3954754</v>
      </c>
      <c r="K28" s="291">
        <f>KMA!K28*FRO_TOT!K28</f>
        <v>6690096740.6461735</v>
      </c>
      <c r="L28" s="291">
        <f>KMA!L28*FRO_TOT!L28</f>
        <v>3860930507.6808186</v>
      </c>
      <c r="M28" s="291">
        <f>KMA!M28*FRO_TOT!M28</f>
        <v>2209175852.3207097</v>
      </c>
      <c r="N28" s="291">
        <f>KMA!N28*FRO_TOT!N28</f>
        <v>10554001351.441248</v>
      </c>
      <c r="O28" s="291">
        <f>KMA!O28*FRO_TOT!O28</f>
        <v>1184377533.1917326</v>
      </c>
      <c r="P28" s="291">
        <f>KMA!P28*FRO_TOT!P28</f>
        <v>132485897.67255008</v>
      </c>
      <c r="Q28" s="291">
        <f>KMA!Q28*FRO_TOT!Q28</f>
        <v>4526602410.2711878</v>
      </c>
      <c r="R28" s="291">
        <f>KMA!R28*FRO_TOT!R28</f>
        <v>5461196820</v>
      </c>
      <c r="S28" s="690">
        <f t="shared" si="2"/>
        <v>199549258475.98157</v>
      </c>
      <c r="U28" s="733">
        <f>(B28+C28+H28+I28+P28+Q28+R28)/(DEN!C26+DEN!F26+DEN!G26+DEN!L26)</f>
        <v>9160.894242541015</v>
      </c>
      <c r="V28" s="734">
        <f>SUM(D28:G28)/SUM(DEN!I26:J26)</f>
        <v>12133.733720572181</v>
      </c>
      <c r="W28" s="734">
        <f>SUM(J28:L28)/SUM(DEN!D26:E26)</f>
        <v>27440.196828516411</v>
      </c>
      <c r="X28" s="735">
        <f>SUM(M28:O28)/(DEN!H26+DEN!K26)</f>
        <v>69972.180489407969</v>
      </c>
      <c r="AB28" s="733">
        <f t="shared" si="3"/>
        <v>127012079349.76869</v>
      </c>
      <c r="AC28" s="734">
        <f t="shared" si="4"/>
        <v>41037173205.53672</v>
      </c>
      <c r="AD28" s="734">
        <f t="shared" si="5"/>
        <v>17552451183.722466</v>
      </c>
      <c r="AE28" s="735">
        <f t="shared" si="6"/>
        <v>13947554736.95369</v>
      </c>
      <c r="AG28" s="944">
        <f t="shared" si="7"/>
        <v>0.63649487008770966</v>
      </c>
      <c r="AH28" s="944">
        <f t="shared" si="8"/>
        <v>0.20564933951120692</v>
      </c>
      <c r="AI28" s="944">
        <f t="shared" si="9"/>
        <v>8.7960493152296718E-2</v>
      </c>
      <c r="AJ28" s="944">
        <f t="shared" si="10"/>
        <v>6.9895297248786639E-2</v>
      </c>
      <c r="AL28" s="945">
        <f t="shared" si="1"/>
        <v>0.99999999999999989</v>
      </c>
    </row>
    <row r="29" spans="1:38" ht="15.75" thickBot="1">
      <c r="A29" s="269" t="s">
        <v>69</v>
      </c>
      <c r="B29" s="291">
        <f>KMA!B29*FRO_TOT!B29</f>
        <v>41391877412.55529</v>
      </c>
      <c r="C29" s="291">
        <f>KMA!C29*FRO_TOT!C29</f>
        <v>4777958033.496666</v>
      </c>
      <c r="D29" s="291">
        <f>KMA!D29*FRO_TOT!D29</f>
        <v>2634578462.818037</v>
      </c>
      <c r="E29" s="291">
        <f>KMA!E29*FRO_TOT!E29</f>
        <v>27136318940.567932</v>
      </c>
      <c r="F29" s="291">
        <f>KMA!F29*FRO_TOT!F29</f>
        <v>380145467.69751745</v>
      </c>
      <c r="G29" s="291">
        <f>KMA!G29*FRO_TOT!G29</f>
        <v>112553017.63351011</v>
      </c>
      <c r="H29" s="291">
        <f>KMA!H29*FRO_TOT!H29</f>
        <v>13111440001.541784</v>
      </c>
      <c r="I29" s="291">
        <f>KMA!I29*FRO_TOT!I29</f>
        <v>1415303404.3911977</v>
      </c>
      <c r="J29" s="291">
        <f>KMA!J29*FRO_TOT!J29</f>
        <v>6673262714.741992</v>
      </c>
      <c r="K29" s="291">
        <f>KMA!K29*FRO_TOT!K29</f>
        <v>6376621001.6274834</v>
      </c>
      <c r="L29" s="291">
        <f>KMA!L29*FRO_TOT!L29</f>
        <v>5514328689.71523</v>
      </c>
      <c r="M29" s="291">
        <f>KMA!M29*FRO_TOT!M29</f>
        <v>1002580870.9015636</v>
      </c>
      <c r="N29" s="291">
        <f>KMA!N29*FRO_TOT!N29</f>
        <v>6289536390.5755463</v>
      </c>
      <c r="O29" s="291">
        <f>KMA!O29*FRO_TOT!O29</f>
        <v>743217443.13523352</v>
      </c>
      <c r="P29" s="291">
        <f>KMA!P29*FRO_TOT!P29</f>
        <v>134926002.24535599</v>
      </c>
      <c r="Q29" s="291">
        <f>KMA!Q29*FRO_TOT!Q29</f>
        <v>4362713538.9495363</v>
      </c>
      <c r="R29" s="291">
        <f>KMA!R29*FRO_TOT!R29</f>
        <v>3250104516</v>
      </c>
      <c r="S29" s="690">
        <f t="shared" si="2"/>
        <v>125307465908.5939</v>
      </c>
      <c r="U29" s="733">
        <f>(B29+C29+H29+I29+P29+Q29+R29)/(DEN!C27+DEN!F27+DEN!G27+DEN!L27)</f>
        <v>8235.2776227660288</v>
      </c>
      <c r="V29" s="734">
        <f>SUM(D29:G29)/SUM(DEN!I27:J27)</f>
        <v>11867.913926168463</v>
      </c>
      <c r="W29" s="734">
        <f>SUM(J29:L29)/SUM(DEN!D27:E27)</f>
        <v>30613.352384421578</v>
      </c>
      <c r="X29" s="735">
        <f>SUM(M29:O29)/(DEN!H27+DEN!K27)</f>
        <v>74515.089763178403</v>
      </c>
      <c r="AB29" s="733">
        <f t="shared" si="3"/>
        <v>68444322909.179832</v>
      </c>
      <c r="AC29" s="734">
        <f t="shared" si="4"/>
        <v>30263595888.716999</v>
      </c>
      <c r="AD29" s="734">
        <f t="shared" si="5"/>
        <v>18564212406.084705</v>
      </c>
      <c r="AE29" s="735">
        <f t="shared" si="6"/>
        <v>8035334704.6123438</v>
      </c>
      <c r="AG29" s="944">
        <f t="shared" si="7"/>
        <v>0.54621105305175399</v>
      </c>
      <c r="AH29" s="944">
        <f t="shared" si="8"/>
        <v>0.24151470679961651</v>
      </c>
      <c r="AI29" s="944">
        <f t="shared" si="9"/>
        <v>0.14814929239432911</v>
      </c>
      <c r="AJ29" s="944">
        <f t="shared" si="10"/>
        <v>6.4124947754300249E-2</v>
      </c>
      <c r="AL29" s="945">
        <f t="shared" si="1"/>
        <v>0.99999999999999978</v>
      </c>
    </row>
    <row r="30" spans="1:38" ht="15.75" thickBot="1">
      <c r="A30" s="127" t="s">
        <v>36</v>
      </c>
      <c r="B30" s="291">
        <f>KMA!B30*FRO_TOT!B30</f>
        <v>12271698180.043312</v>
      </c>
      <c r="C30" s="291">
        <f>KMA!C30*FRO_TOT!C30</f>
        <v>1525811617.2552953</v>
      </c>
      <c r="D30" s="291">
        <f>KMA!D30*FRO_TOT!D30</f>
        <v>918726944.12699795</v>
      </c>
      <c r="E30" s="291">
        <f>KMA!E30*FRO_TOT!E30</f>
        <v>8556798810.1842823</v>
      </c>
      <c r="F30" s="291">
        <f>KMA!F30*FRO_TOT!F30</f>
        <v>119871011.38864747</v>
      </c>
      <c r="G30" s="291">
        <f>KMA!G30*FRO_TOT!G30</f>
        <v>35491313.896177739</v>
      </c>
      <c r="H30" s="291">
        <f>KMA!H30*FRO_TOT!H30</f>
        <v>7441434094.8317976</v>
      </c>
      <c r="I30" s="291">
        <f>KMA!I30*FRO_TOT!I30</f>
        <v>831304333.43857896</v>
      </c>
      <c r="J30" s="291">
        <f>KMA!J30*FRO_TOT!J30</f>
        <v>2672743508.9158936</v>
      </c>
      <c r="K30" s="291">
        <f>KMA!K30*FRO_TOT!K30</f>
        <v>2553946364.4416776</v>
      </c>
      <c r="L30" s="291">
        <f>KMA!L30*FRO_TOT!L30</f>
        <v>2389336512.3981214</v>
      </c>
      <c r="M30" s="291">
        <f>KMA!M30*FRO_TOT!M30</f>
        <v>362595272.44548744</v>
      </c>
      <c r="N30" s="291">
        <f>KMA!N30*FRO_TOT!N30</f>
        <v>2444571568.8715796</v>
      </c>
      <c r="O30" s="291">
        <f>KMA!O30*FRO_TOT!O30</f>
        <v>288858463.56030631</v>
      </c>
      <c r="P30" s="291">
        <f>KMA!P30*FRO_TOT!P30</f>
        <v>51314580.820993088</v>
      </c>
      <c r="Q30" s="291">
        <f>KMA!Q30*FRO_TOT!Q30</f>
        <v>1788271917.9380744</v>
      </c>
      <c r="R30" s="291">
        <f>KMA!R30*FRO_TOT!R30</f>
        <v>403541946</v>
      </c>
      <c r="S30" s="690">
        <f t="shared" si="2"/>
        <v>44656316440.557228</v>
      </c>
      <c r="U30" s="733">
        <f>(B30+C30+H30+I30+P30+Q30+R30)/(DEN!C28+DEN!F28+DEN!G28+DEN!L28)</f>
        <v>7572.9135628298054</v>
      </c>
      <c r="V30" s="734">
        <f>SUM(D30:G30)/SUM(DEN!I28:J28)</f>
        <v>10208.927779393121</v>
      </c>
      <c r="W30" s="734">
        <f>SUM(J30:L30)/SUM(DEN!D28:E28)</f>
        <v>29773.130725153405</v>
      </c>
      <c r="X30" s="735">
        <f>SUM(M30:O30)/(DEN!H28+DEN!K28)</f>
        <v>72959.238950804138</v>
      </c>
      <c r="AB30" s="733">
        <f t="shared" si="3"/>
        <v>24313376670.328053</v>
      </c>
      <c r="AC30" s="734">
        <f t="shared" si="4"/>
        <v>9630888079.5961037</v>
      </c>
      <c r="AD30" s="734">
        <f t="shared" si="5"/>
        <v>7616026385.7556915</v>
      </c>
      <c r="AE30" s="735">
        <f t="shared" si="6"/>
        <v>3096025304.8773737</v>
      </c>
      <c r="AG30" s="944">
        <f t="shared" si="7"/>
        <v>0.54445549047226038</v>
      </c>
      <c r="AH30" s="944">
        <f t="shared" si="8"/>
        <v>0.21566687195115924</v>
      </c>
      <c r="AI30" s="944">
        <f t="shared" si="9"/>
        <v>0.17054757294846545</v>
      </c>
      <c r="AJ30" s="944">
        <f t="shared" si="10"/>
        <v>6.9330064628114696E-2</v>
      </c>
      <c r="AL30" s="945">
        <f t="shared" si="1"/>
        <v>0.99999999999999978</v>
      </c>
    </row>
    <row r="31" spans="1:38" ht="15.75" thickBot="1">
      <c r="A31" s="127" t="s">
        <v>37</v>
      </c>
      <c r="B31" s="291">
        <f>KMA!B31*FRO_TOT!B31</f>
        <v>18210879114.934841</v>
      </c>
      <c r="C31" s="291">
        <f>KMA!C31*FRO_TOT!C31</f>
        <v>1954989708.8247788</v>
      </c>
      <c r="D31" s="291">
        <f>KMA!D31*FRO_TOT!D31</f>
        <v>733993792.42971206</v>
      </c>
      <c r="E31" s="291">
        <f>KMA!E31*FRO_TOT!E31</f>
        <v>10167952823.489311</v>
      </c>
      <c r="F31" s="291">
        <f>KMA!F31*FRO_TOT!F31</f>
        <v>142439075.45838374</v>
      </c>
      <c r="G31" s="291">
        <f>KMA!G31*FRO_TOT!G31</f>
        <v>42172603.636614524</v>
      </c>
      <c r="H31" s="291">
        <f>KMA!H31*FRO_TOT!H31</f>
        <v>2546651840.4345341</v>
      </c>
      <c r="I31" s="291">
        <f>KMA!I31*FRO_TOT!I31</f>
        <v>249156786.26893604</v>
      </c>
      <c r="J31" s="291">
        <f>KMA!J31*FRO_TOT!J31</f>
        <v>2422487970.0304084</v>
      </c>
      <c r="K31" s="291">
        <f>KMA!K31*FRO_TOT!K31</f>
        <v>2314799030.5692396</v>
      </c>
      <c r="L31" s="291">
        <f>KMA!L31*FRO_TOT!L31</f>
        <v>1672455371.0092185</v>
      </c>
      <c r="M31" s="291">
        <f>KMA!M31*FRO_TOT!M31</f>
        <v>422403166.70141947</v>
      </c>
      <c r="N31" s="291">
        <f>KMA!N31*FRO_TOT!N31</f>
        <v>2612277957.1674013</v>
      </c>
      <c r="O31" s="291">
        <f>KMA!O31*FRO_TOT!O31</f>
        <v>308712763.0096823</v>
      </c>
      <c r="P31" s="291">
        <f>KMA!P31*FRO_TOT!P31</f>
        <v>51771137.383032933</v>
      </c>
      <c r="Q31" s="291">
        <f>KMA!Q31*FRO_TOT!Q31</f>
        <v>1554560089.6309085</v>
      </c>
      <c r="R31" s="291">
        <f>KMA!R31*FRO_TOT!R31</f>
        <v>1056523446.0000002</v>
      </c>
      <c r="S31" s="690">
        <f t="shared" si="2"/>
        <v>46464226676.978416</v>
      </c>
      <c r="U31" s="733">
        <f>(B31+C31+H31+I31+P31+Q31+R31)/(DEN!C29+DEN!F29+DEN!G29+DEN!L29)</f>
        <v>8317.1554398360986</v>
      </c>
      <c r="V31" s="734">
        <f>SUM(D31:G31)/SUM(DEN!I29:J29)</f>
        <v>12864.884087283275</v>
      </c>
      <c r="W31" s="734">
        <f>SUM(J31:L31)/SUM(DEN!D29:E29)</f>
        <v>31308.424168578294</v>
      </c>
      <c r="X31" s="735">
        <f>SUM(M31:O31)/(DEN!H29+DEN!K29)</f>
        <v>77239.612966744506</v>
      </c>
      <c r="AB31" s="733">
        <f t="shared" si="3"/>
        <v>25624532123.477032</v>
      </c>
      <c r="AC31" s="734">
        <f t="shared" si="4"/>
        <v>11086558295.014021</v>
      </c>
      <c r="AD31" s="734">
        <f t="shared" si="5"/>
        <v>6409742371.6088657</v>
      </c>
      <c r="AE31" s="735">
        <f t="shared" si="6"/>
        <v>3343393886.8785028</v>
      </c>
      <c r="AG31" s="944">
        <f t="shared" si="7"/>
        <v>0.55148947816607463</v>
      </c>
      <c r="AH31" s="944">
        <f t="shared" si="8"/>
        <v>0.2386041711635129</v>
      </c>
      <c r="AI31" s="944">
        <f t="shared" si="9"/>
        <v>0.13795004953315396</v>
      </c>
      <c r="AJ31" s="944">
        <f t="shared" si="10"/>
        <v>7.1956301137258594E-2</v>
      </c>
      <c r="AL31" s="945">
        <f t="shared" si="1"/>
        <v>1</v>
      </c>
    </row>
    <row r="32" spans="1:38" ht="15.75" thickBot="1">
      <c r="A32" s="128" t="s">
        <v>38</v>
      </c>
      <c r="B32" s="291">
        <f>KMA!B32*FRO_TOT!B32</f>
        <v>10954121599.743811</v>
      </c>
      <c r="C32" s="291">
        <f>KMA!C32*FRO_TOT!C32</f>
        <v>1278752736.659867</v>
      </c>
      <c r="D32" s="291">
        <f>KMA!D32*FRO_TOT!D32</f>
        <v>961895338.47279799</v>
      </c>
      <c r="E32" s="291">
        <f>KMA!E32*FRO_TOT!E32</f>
        <v>8361645255.3365841</v>
      </c>
      <c r="F32" s="291">
        <f>KMA!F32*FRO_TOT!F32</f>
        <v>117135788.20323375</v>
      </c>
      <c r="G32" s="291">
        <f>KMA!G32*FRO_TOT!G32</f>
        <v>34681970.346651293</v>
      </c>
      <c r="H32" s="291">
        <f>KMA!H32*FRO_TOT!H32</f>
        <v>3132492887.9238248</v>
      </c>
      <c r="I32" s="291">
        <f>KMA!I32*FRO_TOT!I32</f>
        <v>326015394.30295658</v>
      </c>
      <c r="J32" s="291">
        <f>KMA!J32*FRO_TOT!J32</f>
        <v>1577893475.1368167</v>
      </c>
      <c r="K32" s="291">
        <f>KMA!K32*FRO_TOT!K32</f>
        <v>1507743351.9841754</v>
      </c>
      <c r="L32" s="291">
        <f>KMA!L32*FRO_TOT!L32</f>
        <v>1433688302.0907593</v>
      </c>
      <c r="M32" s="291">
        <f>KMA!M32*FRO_TOT!M32</f>
        <v>221153927.71647108</v>
      </c>
      <c r="N32" s="291">
        <f>KMA!N32*FRO_TOT!N32</f>
        <v>1247153454.6009972</v>
      </c>
      <c r="O32" s="291">
        <f>KMA!O32*FRO_TOT!O32</f>
        <v>147357038.79066426</v>
      </c>
      <c r="P32" s="291">
        <f>KMA!P32*FRO_TOT!P32</f>
        <v>32042650.607850198</v>
      </c>
      <c r="Q32" s="291">
        <f>KMA!Q32*FRO_TOT!Q32</f>
        <v>1017163536.2175251</v>
      </c>
      <c r="R32" s="291">
        <f>KMA!R32*FRO_TOT!R32</f>
        <v>1790039124</v>
      </c>
      <c r="S32" s="690">
        <f t="shared" si="2"/>
        <v>34140975832.134991</v>
      </c>
      <c r="U32" s="733">
        <f>(B32+C32+H32+I32+P32+Q32+R32)/(DEN!C30+DEN!F30+DEN!G30+DEN!L30)</f>
        <v>9175.3178595029822</v>
      </c>
      <c r="V32" s="734">
        <f>SUM(D32:G32)/SUM(DEN!I30:J30)</f>
        <v>12720.531238106272</v>
      </c>
      <c r="W32" s="734">
        <f>SUM(J32:L32)/SUM(DEN!D30:E30)</f>
        <v>30980.169245614499</v>
      </c>
      <c r="X32" s="735">
        <f>SUM(M32:O32)/(DEN!H30+DEN!K30)</f>
        <v>73060.70458117628</v>
      </c>
      <c r="AB32" s="733">
        <f t="shared" si="3"/>
        <v>18530627929.455833</v>
      </c>
      <c r="AC32" s="734">
        <f t="shared" si="4"/>
        <v>9475358352.3592663</v>
      </c>
      <c r="AD32" s="734">
        <f t="shared" si="5"/>
        <v>4519325129.2117519</v>
      </c>
      <c r="AE32" s="735">
        <f t="shared" si="6"/>
        <v>1615664421.1081324</v>
      </c>
      <c r="AG32" s="944">
        <f t="shared" si="7"/>
        <v>0.54276796365070479</v>
      </c>
      <c r="AH32" s="944">
        <f t="shared" si="8"/>
        <v>0.27753624849353725</v>
      </c>
      <c r="AI32" s="944">
        <f t="shared" si="9"/>
        <v>0.13237246502362607</v>
      </c>
      <c r="AJ32" s="944">
        <f t="shared" si="10"/>
        <v>4.732332283213176E-2</v>
      </c>
      <c r="AL32" s="945">
        <f t="shared" si="1"/>
        <v>1</v>
      </c>
    </row>
    <row r="33" spans="1:64" ht="15.75" thickBot="1">
      <c r="A33" s="274" t="s">
        <v>73</v>
      </c>
      <c r="B33" s="291">
        <f>KMA!B33*FRO_TOT!B33</f>
        <v>17601518148.998192</v>
      </c>
      <c r="C33" s="291">
        <f>KMA!C33*FRO_TOT!C33</f>
        <v>2335191455.3738585</v>
      </c>
      <c r="D33" s="291">
        <f>KMA!D33*FRO_TOT!D33</f>
        <v>1884160849.4633582</v>
      </c>
      <c r="E33" s="291">
        <f>KMA!E33*FRO_TOT!E33</f>
        <v>15475969444.520363</v>
      </c>
      <c r="F33" s="291">
        <f>KMA!F33*FRO_TOT!F33</f>
        <v>216799950.73420948</v>
      </c>
      <c r="G33" s="291">
        <f>KMA!G33*FRO_TOT!G33</f>
        <v>64188105.147443071</v>
      </c>
      <c r="H33" s="291">
        <f>KMA!H33*FRO_TOT!H33</f>
        <v>9852255168.9398861</v>
      </c>
      <c r="I33" s="291">
        <f>KMA!I33*FRO_TOT!I33</f>
        <v>1338650164.6944504</v>
      </c>
      <c r="J33" s="291">
        <f>KMA!J33*FRO_TOT!J33</f>
        <v>4388908677.6583977</v>
      </c>
      <c r="K33" s="291">
        <f>KMA!K33*FRO_TOT!K33</f>
        <v>4193736050.4923992</v>
      </c>
      <c r="L33" s="291">
        <f>KMA!L33*FRO_TOT!L33</f>
        <v>3281345121.5921464</v>
      </c>
      <c r="M33" s="291">
        <f>KMA!M33*FRO_TOT!M33</f>
        <v>320327246.56620884</v>
      </c>
      <c r="N33" s="291">
        <f>KMA!N33*FRO_TOT!N33</f>
        <v>2917633244.1349711</v>
      </c>
      <c r="O33" s="291">
        <f>KMA!O33*FRO_TOT!O33</f>
        <v>304286503.68688822</v>
      </c>
      <c r="P33" s="291">
        <f>KMA!P33*FRO_TOT!P33</f>
        <v>70853989.656277508</v>
      </c>
      <c r="Q33" s="291">
        <f>KMA!Q33*FRO_TOT!Q33</f>
        <v>2959350686.0836134</v>
      </c>
      <c r="R33" s="291">
        <f>KMA!R33*FRO_TOT!R33</f>
        <v>224793030</v>
      </c>
      <c r="S33" s="690">
        <f t="shared" si="2"/>
        <v>67429967837.742676</v>
      </c>
      <c r="U33" s="733">
        <f>(B33+C33+H33+I33+P33+Q33+R33)/(DEN!C31+DEN!F31+DEN!G31+DEN!L31)</f>
        <v>10962.791085341069</v>
      </c>
      <c r="V33" s="734">
        <f>SUM(D33:G33)/SUM(DEN!I31:J31)</f>
        <v>12179.038710778163</v>
      </c>
      <c r="W33" s="734">
        <f>SUM(J33:L33)/SUM(DEN!D31:E31)</f>
        <v>54618.64903318345</v>
      </c>
      <c r="X33" s="735">
        <f>SUM(M33:O33)/(DEN!H31+DEN!K31)</f>
        <v>73235.341432105284</v>
      </c>
      <c r="AB33" s="733">
        <f t="shared" si="3"/>
        <v>34382612643.746277</v>
      </c>
      <c r="AC33" s="734">
        <f t="shared" si="4"/>
        <v>17641118349.865376</v>
      </c>
      <c r="AD33" s="734">
        <f t="shared" si="5"/>
        <v>11863989849.742943</v>
      </c>
      <c r="AE33" s="735">
        <f t="shared" si="6"/>
        <v>3542246994.3880682</v>
      </c>
      <c r="AG33" s="944">
        <f t="shared" si="7"/>
        <v>0.50990106841636729</v>
      </c>
      <c r="AH33" s="944">
        <f t="shared" si="8"/>
        <v>0.26162133715257513</v>
      </c>
      <c r="AI33" s="944">
        <f t="shared" si="9"/>
        <v>0.17594535827588359</v>
      </c>
      <c r="AJ33" s="944">
        <f t="shared" si="10"/>
        <v>5.2532236155173738E-2</v>
      </c>
      <c r="AL33" s="945">
        <f t="shared" si="1"/>
        <v>0.99999999999999989</v>
      </c>
    </row>
    <row r="34" spans="1:64" ht="15.75" thickBot="1">
      <c r="A34" s="127" t="s">
        <v>40</v>
      </c>
      <c r="B34" s="291">
        <f>KMA!B34*FRO_TOT!B34</f>
        <v>6939734328.9383965</v>
      </c>
      <c r="C34" s="291">
        <f>KMA!C34*FRO_TOT!C34</f>
        <v>687393573.61245823</v>
      </c>
      <c r="D34" s="291">
        <f>KMA!D34*FRO_TOT!D34</f>
        <v>60784050.626089647</v>
      </c>
      <c r="E34" s="291">
        <f>KMA!E34*FRO_TOT!E34</f>
        <v>1476674801.2591209</v>
      </c>
      <c r="F34" s="291">
        <f>KMA!F34*FRO_TOT!F34</f>
        <v>20685789.383200403</v>
      </c>
      <c r="G34" s="291">
        <f>KMA!G34*FRO_TOT!G34</f>
        <v>6125173.6031584246</v>
      </c>
      <c r="H34" s="291">
        <f>KMA!H34*FRO_TOT!H34</f>
        <v>1519233262.0073521</v>
      </c>
      <c r="I34" s="291">
        <f>KMA!I34*FRO_TOT!I34</f>
        <v>141397623.58787808</v>
      </c>
      <c r="J34" s="291">
        <f>KMA!J34*FRO_TOT!J34</f>
        <v>437368741.03125644</v>
      </c>
      <c r="K34" s="291">
        <f>KMA!K34*FRO_TOT!K34</f>
        <v>417913372.89572817</v>
      </c>
      <c r="L34" s="291">
        <f>KMA!L34*FRO_TOT!L34</f>
        <v>149183781.09274879</v>
      </c>
      <c r="M34" s="291">
        <f>KMA!M34*FRO_TOT!M34</f>
        <v>109739745.05978747</v>
      </c>
      <c r="N34" s="291">
        <f>KMA!N34*FRO_TOT!N34</f>
        <v>661643256.54959929</v>
      </c>
      <c r="O34" s="291">
        <f>KMA!O34*FRO_TOT!O34</f>
        <v>68996907.437143683</v>
      </c>
      <c r="P34" s="291">
        <f>KMA!P34*FRO_TOT!P34</f>
        <v>12111595.118401203</v>
      </c>
      <c r="Q34" s="291">
        <f>KMA!Q34*FRO_TOT!Q34</f>
        <v>344120150.35622072</v>
      </c>
      <c r="R34" s="291">
        <f>KMA!R34*FRO_TOT!R34</f>
        <v>0</v>
      </c>
      <c r="S34" s="690">
        <f t="shared" si="2"/>
        <v>13053106152.558538</v>
      </c>
      <c r="U34" s="733">
        <f>(B34+C34+H34+I34+P34+Q34+R34)/(DEN!C32+DEN!F32+DEN!G32+DEN!L32)</f>
        <v>10272.973907026199</v>
      </c>
      <c r="V34" s="734">
        <f>SUM(D34:G34)/SUM(DEN!I32:J32)</f>
        <v>13524.959923840715</v>
      </c>
      <c r="W34" s="734">
        <f>SUM(J34:L34)/SUM(DEN!D32:E32)</f>
        <v>51063.285802436752</v>
      </c>
      <c r="X34" s="735">
        <f>SUM(M34:O34)/(DEN!H32+DEN!K32)</f>
        <v>66454.20757919742</v>
      </c>
      <c r="AB34" s="733">
        <f t="shared" si="3"/>
        <v>9643990533.6207047</v>
      </c>
      <c r="AC34" s="734">
        <f t="shared" si="4"/>
        <v>1564269814.8715694</v>
      </c>
      <c r="AD34" s="734">
        <f t="shared" si="5"/>
        <v>1004465895.0197333</v>
      </c>
      <c r="AE34" s="735">
        <f t="shared" si="6"/>
        <v>840379909.04653049</v>
      </c>
      <c r="AG34" s="944">
        <f t="shared" si="7"/>
        <v>0.73882725084024437</v>
      </c>
      <c r="AH34" s="944">
        <f t="shared" si="8"/>
        <v>0.11983889478788594</v>
      </c>
      <c r="AI34" s="944">
        <f t="shared" si="9"/>
        <v>7.6952250543281461E-2</v>
      </c>
      <c r="AJ34" s="944">
        <f t="shared" si="10"/>
        <v>6.4381603828588166E-2</v>
      </c>
      <c r="AL34" s="945">
        <f t="shared" si="1"/>
        <v>0.99999999999999989</v>
      </c>
    </row>
    <row r="35" spans="1:64" ht="15.75" thickBot="1">
      <c r="A35" s="127" t="s">
        <v>41</v>
      </c>
      <c r="B35" s="291">
        <f>KMA!B35*FRO_TOT!B35</f>
        <v>6479149441.971344</v>
      </c>
      <c r="C35" s="291">
        <f>KMA!C35*FRO_TOT!C35</f>
        <v>968942868.70979416</v>
      </c>
      <c r="D35" s="291">
        <f>KMA!D35*FRO_TOT!D35</f>
        <v>846198731.19317245</v>
      </c>
      <c r="E35" s="291">
        <f>KMA!E35*FRO_TOT!E35</f>
        <v>6794287824.6164598</v>
      </c>
      <c r="F35" s="291">
        <f>KMA!F35*FRO_TOT!F35</f>
        <v>95180355.121820301</v>
      </c>
      <c r="G35" s="291">
        <f>KMA!G35*FRO_TOT!G35</f>
        <v>28178889.248674847</v>
      </c>
      <c r="H35" s="291">
        <f>KMA!H35*FRO_TOT!H35</f>
        <v>4719125355.4221954</v>
      </c>
      <c r="I35" s="291">
        <f>KMA!I35*FRO_TOT!I35</f>
        <v>642116027.93054974</v>
      </c>
      <c r="J35" s="291">
        <f>KMA!J35*FRO_TOT!J35</f>
        <v>1687576021.4976015</v>
      </c>
      <c r="K35" s="291">
        <f>KMA!K35*FRO_TOT!K35</f>
        <v>1612543480.2673025</v>
      </c>
      <c r="L35" s="291">
        <f>KMA!L35*FRO_TOT!L35</f>
        <v>1089708408.8515282</v>
      </c>
      <c r="M35" s="291">
        <f>KMA!M35*FRO_TOT!M35</f>
        <v>106170916.49895608</v>
      </c>
      <c r="N35" s="291">
        <f>KMA!N35*FRO_TOT!N35</f>
        <v>1111353462.3255627</v>
      </c>
      <c r="O35" s="291">
        <f>KMA!O35*FRO_TOT!O35</f>
        <v>115907334.60919137</v>
      </c>
      <c r="P35" s="291">
        <f>KMA!P35*FRO_TOT!P35</f>
        <v>23676061.67488797</v>
      </c>
      <c r="Q35" s="291">
        <f>KMA!Q35*FRO_TOT!Q35</f>
        <v>1009378047.4404322</v>
      </c>
      <c r="R35" s="291">
        <f>KMA!R35*FRO_TOT!R35</f>
        <v>0</v>
      </c>
      <c r="S35" s="690">
        <f t="shared" si="2"/>
        <v>27329493227.379475</v>
      </c>
      <c r="U35" s="733">
        <f>(B35+C35+H35+I35+P35+Q35+R35)/(DEN!C33+DEN!F33+DEN!G33+DEN!L33)</f>
        <v>11125.273404774525</v>
      </c>
      <c r="V35" s="734">
        <f>SUM(D35:G35)/SUM(DEN!I33:J33)</f>
        <v>12031.057294601145</v>
      </c>
      <c r="W35" s="734">
        <f>SUM(J35:L35)/SUM(DEN!D33:E33)</f>
        <v>47818.434354550358</v>
      </c>
      <c r="X35" s="735">
        <f>SUM(M35:O35)/(DEN!H33+DEN!K33)</f>
        <v>66555.114221797354</v>
      </c>
      <c r="AB35" s="733">
        <f t="shared" si="3"/>
        <v>13842387803.149202</v>
      </c>
      <c r="AC35" s="734">
        <f t="shared" si="4"/>
        <v>7763845800.1801271</v>
      </c>
      <c r="AD35" s="734">
        <f t="shared" si="5"/>
        <v>4389827910.6164322</v>
      </c>
      <c r="AE35" s="735">
        <f t="shared" si="6"/>
        <v>1333431713.4337101</v>
      </c>
      <c r="AG35" s="944">
        <f t="shared" si="7"/>
        <v>0.50649998110032646</v>
      </c>
      <c r="AH35" s="944">
        <f t="shared" si="8"/>
        <v>0.28408305033633346</v>
      </c>
      <c r="AI35" s="944">
        <f t="shared" si="9"/>
        <v>0.16062602676505452</v>
      </c>
      <c r="AJ35" s="944">
        <f t="shared" si="10"/>
        <v>4.8790941798285511E-2</v>
      </c>
      <c r="AL35" s="945">
        <f t="shared" si="1"/>
        <v>1</v>
      </c>
    </row>
    <row r="36" spans="1:64" ht="15.75" thickBot="1">
      <c r="A36" s="127" t="s">
        <v>42</v>
      </c>
      <c r="B36" s="291">
        <f>KMA!B36*FRO_TOT!B36</f>
        <v>1699315166.5856514</v>
      </c>
      <c r="C36" s="291">
        <f>KMA!C36*FRO_TOT!C36</f>
        <v>297628807.36229032</v>
      </c>
      <c r="D36" s="291">
        <f>KMA!D36*FRO_TOT!D36</f>
        <v>640408970.41016066</v>
      </c>
      <c r="E36" s="291">
        <f>KMA!E36*FRO_TOT!E36</f>
        <v>4408858267.7396708</v>
      </c>
      <c r="F36" s="291">
        <f>KMA!F36*FRO_TOT!F36</f>
        <v>61762105.567020848</v>
      </c>
      <c r="G36" s="291">
        <f>KMA!G36*FRO_TOT!G36</f>
        <v>18287258.699545506</v>
      </c>
      <c r="H36" s="291">
        <f>KMA!H36*FRO_TOT!H36</f>
        <v>2348986208.8282261</v>
      </c>
      <c r="I36" s="291">
        <f>KMA!I36*FRO_TOT!I36</f>
        <v>378994121.60923558</v>
      </c>
      <c r="J36" s="291">
        <f>KMA!J36*FRO_TOT!J36</f>
        <v>1300540335.0248451</v>
      </c>
      <c r="K36" s="291">
        <f>KMA!K36*FRO_TOT!K36</f>
        <v>1242721963.6125832</v>
      </c>
      <c r="L36" s="291">
        <f>KMA!L36*FRO_TOT!L36</f>
        <v>1440602451.26424</v>
      </c>
      <c r="M36" s="291">
        <f>KMA!M36*FRO_TOT!M36</f>
        <v>52302910.617635019</v>
      </c>
      <c r="N36" s="291">
        <f>KMA!N36*FRO_TOT!N36</f>
        <v>591963854.53766489</v>
      </c>
      <c r="O36" s="291">
        <f>KMA!O36*FRO_TOT!O36</f>
        <v>61753607.558729611</v>
      </c>
      <c r="P36" s="291">
        <f>KMA!P36*FRO_TOT!P36</f>
        <v>20025613.848221112</v>
      </c>
      <c r="Q36" s="291">
        <f>KMA!Q36*FRO_TOT!Q36</f>
        <v>993787997.34003341</v>
      </c>
      <c r="R36" s="291">
        <f>KMA!R36*FRO_TOT!R36</f>
        <v>0</v>
      </c>
      <c r="S36" s="690">
        <f t="shared" si="2"/>
        <v>15557939640.605753</v>
      </c>
      <c r="U36" s="733">
        <f>(B36+C36+H36+I36+P36+Q36+R36)/(DEN!C34+DEN!F34+DEN!G34+DEN!L34)</f>
        <v>12367.063438398174</v>
      </c>
      <c r="V36" s="734">
        <f>SUM(D36:G36)/SUM(DEN!I34:J34)</f>
        <v>12333.052662698721</v>
      </c>
      <c r="W36" s="734">
        <f>SUM(J36:L36)/SUM(DEN!D34:E34)</f>
        <v>65075.626029527899</v>
      </c>
      <c r="X36" s="735">
        <f>SUM(M36:O36)/(DEN!H34+DEN!K34)</f>
        <v>87087.747960284891</v>
      </c>
      <c r="AB36" s="733">
        <f t="shared" si="3"/>
        <v>5738737915.573658</v>
      </c>
      <c r="AC36" s="734">
        <f t="shared" si="4"/>
        <v>5129316602.416398</v>
      </c>
      <c r="AD36" s="734">
        <f t="shared" si="5"/>
        <v>3983864749.9016685</v>
      </c>
      <c r="AE36" s="735">
        <f t="shared" si="6"/>
        <v>706020372.71402955</v>
      </c>
      <c r="AG36" s="944">
        <f t="shared" si="7"/>
        <v>0.36886233319711081</v>
      </c>
      <c r="AH36" s="944">
        <f t="shared" si="8"/>
        <v>0.3296912522419766</v>
      </c>
      <c r="AI36" s="944">
        <f t="shared" si="9"/>
        <v>0.25606634566854225</v>
      </c>
      <c r="AJ36" s="944">
        <f t="shared" si="10"/>
        <v>4.5380068892370409E-2</v>
      </c>
      <c r="AL36" s="945">
        <f t="shared" si="1"/>
        <v>1</v>
      </c>
    </row>
    <row r="37" spans="1:64" ht="15.75" thickBot="1">
      <c r="A37" s="128" t="s">
        <v>43</v>
      </c>
      <c r="B37" s="291">
        <f>KMA!B37*FRO_TOT!B37</f>
        <v>2510046612.1439061</v>
      </c>
      <c r="C37" s="291">
        <f>KMA!C37*FRO_TOT!C37</f>
        <v>376948327.49516523</v>
      </c>
      <c r="D37" s="291">
        <f>KMA!D37*FRO_TOT!D37</f>
        <v>330279184.40144879</v>
      </c>
      <c r="E37" s="291">
        <f>KMA!E37*FRO_TOT!E37</f>
        <v>2742348597.600358</v>
      </c>
      <c r="F37" s="291">
        <f>KMA!F37*FRO_TOT!F37</f>
        <v>38417927.028508492</v>
      </c>
      <c r="G37" s="291">
        <f>KMA!G37*FRO_TOT!G37</f>
        <v>11373728.396597905</v>
      </c>
      <c r="H37" s="291">
        <f>KMA!H37*FRO_TOT!H37</f>
        <v>1269237333.5734696</v>
      </c>
      <c r="I37" s="291">
        <f>KMA!I37*FRO_TOT!I37</f>
        <v>171963091.89928174</v>
      </c>
      <c r="J37" s="291">
        <f>KMA!J37*FRO_TOT!J37</f>
        <v>950049530.91375804</v>
      </c>
      <c r="K37" s="291">
        <f>KMA!K37*FRO_TOT!K37</f>
        <v>907777288.48588181</v>
      </c>
      <c r="L37" s="291">
        <f>KMA!L37*FRO_TOT!L37</f>
        <v>673650177.57640505</v>
      </c>
      <c r="M37" s="291">
        <f>KMA!M37*FRO_TOT!M37</f>
        <v>46017286.312207624</v>
      </c>
      <c r="N37" s="291">
        <f>KMA!N37*FRO_TOT!N37</f>
        <v>500678249.10981059</v>
      </c>
      <c r="O37" s="291">
        <f>KMA!O37*FRO_TOT!O37</f>
        <v>52207562.731323458</v>
      </c>
      <c r="P37" s="291">
        <f>KMA!P37*FRO_TOT!P37</f>
        <v>15091119.419139406</v>
      </c>
      <c r="Q37" s="291">
        <f>KMA!Q37*FRO_TOT!Q37</f>
        <v>633455941.66255629</v>
      </c>
      <c r="R37" s="291">
        <f>KMA!R37*FRO_TOT!R37</f>
        <v>137084370</v>
      </c>
      <c r="S37" s="690">
        <f t="shared" si="2"/>
        <v>11366626328.749817</v>
      </c>
      <c r="U37" s="733">
        <f>(B37+C37+H37+I37+P37+Q37+R37)/(DEN!C35+DEN!F35+DEN!G35+DEN!L35)</f>
        <v>10452.059305679988</v>
      </c>
      <c r="V37" s="734">
        <f>SUM(D37:G37)/SUM(DEN!I35:J35)</f>
        <v>11496.093390181082</v>
      </c>
      <c r="W37" s="734">
        <f>SUM(J37:L37)/SUM(DEN!D35:E35)</f>
        <v>56857.736382904222</v>
      </c>
      <c r="X37" s="735">
        <f>SUM(M37:O37)/(DEN!H35+DEN!K35)</f>
        <v>79010.962817063541</v>
      </c>
      <c r="AB37" s="733">
        <f t="shared" si="3"/>
        <v>5113826796.1935196</v>
      </c>
      <c r="AC37" s="734">
        <f t="shared" si="4"/>
        <v>3122419437.4269133</v>
      </c>
      <c r="AD37" s="734">
        <f t="shared" si="5"/>
        <v>2531476996.9760447</v>
      </c>
      <c r="AE37" s="735">
        <f t="shared" si="6"/>
        <v>598903098.15334165</v>
      </c>
      <c r="AG37" s="944">
        <f t="shared" si="7"/>
        <v>0.44989838218390477</v>
      </c>
      <c r="AH37" s="944">
        <f t="shared" si="8"/>
        <v>0.27470063210658385</v>
      </c>
      <c r="AI37" s="944">
        <f t="shared" si="9"/>
        <v>0.2227113766002084</v>
      </c>
      <c r="AJ37" s="944">
        <f t="shared" si="10"/>
        <v>5.2689609109303176E-2</v>
      </c>
      <c r="AL37" s="945">
        <f t="shared" si="1"/>
        <v>1.0000000000000002</v>
      </c>
    </row>
    <row r="38" spans="1:64" s="1" customFormat="1" ht="15.75" thickBot="1"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T38" s="665"/>
      <c r="U38" s="732"/>
      <c r="V38" s="732"/>
      <c r="W38" s="665"/>
      <c r="X38" s="665"/>
      <c r="Y38" s="665"/>
      <c r="Z38" s="665"/>
      <c r="AA38" s="665"/>
      <c r="AB38" s="732"/>
      <c r="AC38" s="732"/>
      <c r="AD38" s="665"/>
      <c r="AE38" s="665"/>
      <c r="AF38" s="665"/>
      <c r="AG38" s="732"/>
      <c r="AH38" s="732"/>
      <c r="AI38" s="665"/>
      <c r="AJ38" s="665"/>
      <c r="AK38" s="665"/>
      <c r="AL38" s="945">
        <f t="shared" si="1"/>
        <v>0</v>
      </c>
      <c r="AM38" s="665"/>
      <c r="AN38" s="273"/>
      <c r="AO38" s="273"/>
      <c r="AP38" s="273"/>
      <c r="AQ38" s="273"/>
      <c r="AR38" s="273"/>
      <c r="AS38" s="273"/>
      <c r="AT38" s="273"/>
      <c r="AU38" s="273"/>
      <c r="AV38" s="273"/>
      <c r="AW38" s="273"/>
      <c r="AX38" s="273"/>
      <c r="AY38" s="273"/>
      <c r="AZ38" s="273"/>
      <c r="BA38" s="273"/>
      <c r="BB38" s="273"/>
      <c r="BC38" s="273"/>
      <c r="BD38" s="273"/>
      <c r="BE38" s="273"/>
      <c r="BF38" s="273"/>
      <c r="BG38" s="273"/>
      <c r="BH38" s="273"/>
      <c r="BI38" s="273"/>
      <c r="BJ38" s="273"/>
      <c r="BK38" s="273"/>
      <c r="BL38" s="273"/>
    </row>
    <row r="39" spans="1:64" ht="15.75" customHeight="1" thickBot="1">
      <c r="A39" s="1051" t="s">
        <v>116</v>
      </c>
      <c r="B39" s="1054">
        <v>2010</v>
      </c>
      <c r="C39" s="1055"/>
      <c r="D39" s="1055"/>
      <c r="E39" s="1055"/>
      <c r="F39" s="1055"/>
      <c r="G39" s="1055"/>
      <c r="H39" s="1055"/>
      <c r="I39" s="1055"/>
      <c r="J39" s="1055"/>
      <c r="K39" s="1055"/>
      <c r="L39" s="1055"/>
      <c r="M39" s="1055"/>
      <c r="N39" s="1055"/>
      <c r="O39" s="1055"/>
      <c r="P39" s="1055"/>
      <c r="Q39" s="1055"/>
      <c r="R39" s="1078"/>
      <c r="S39" s="1057" t="s">
        <v>96</v>
      </c>
      <c r="U39" s="732"/>
      <c r="AB39" s="732"/>
      <c r="AG39" s="732"/>
      <c r="AL39" s="945">
        <f t="shared" si="1"/>
        <v>0</v>
      </c>
    </row>
    <row r="40" spans="1:64" ht="15.75" thickBot="1">
      <c r="A40" s="1052"/>
      <c r="B40" s="1060" t="s">
        <v>97</v>
      </c>
      <c r="C40" s="1061"/>
      <c r="D40" s="1061"/>
      <c r="E40" s="1061"/>
      <c r="F40" s="1061"/>
      <c r="G40" s="1061"/>
      <c r="H40" s="1061" t="s">
        <v>98</v>
      </c>
      <c r="I40" s="1061"/>
      <c r="J40" s="1061" t="s">
        <v>99</v>
      </c>
      <c r="K40" s="1061"/>
      <c r="L40" s="1061"/>
      <c r="M40" s="1061"/>
      <c r="N40" s="1061"/>
      <c r="O40" s="1061"/>
      <c r="P40" s="1061"/>
      <c r="Q40" s="1061"/>
      <c r="R40" s="289" t="s">
        <v>100</v>
      </c>
      <c r="S40" s="1058"/>
      <c r="U40" s="1068">
        <v>2010</v>
      </c>
      <c r="V40" s="1069"/>
      <c r="W40" s="1069"/>
      <c r="X40" s="1070"/>
      <c r="AB40" s="1068">
        <v>2010</v>
      </c>
      <c r="AC40" s="1069"/>
      <c r="AD40" s="1069"/>
      <c r="AE40" s="1070"/>
      <c r="AG40" s="1068">
        <v>2010</v>
      </c>
      <c r="AH40" s="1069"/>
      <c r="AI40" s="1069"/>
      <c r="AJ40" s="1070"/>
      <c r="AL40" s="945">
        <f t="shared" si="1"/>
        <v>2010</v>
      </c>
      <c r="AN40" s="1068">
        <v>2010</v>
      </c>
      <c r="AO40" s="1069"/>
      <c r="AP40" s="1069"/>
      <c r="AQ40" s="1070"/>
      <c r="AS40" s="1068" t="s">
        <v>117</v>
      </c>
      <c r="AT40" s="1069"/>
      <c r="AU40" s="1069"/>
      <c r="AV40" s="1070"/>
    </row>
    <row r="41" spans="1:64">
      <c r="A41" s="1052"/>
      <c r="B41" s="1062" t="s">
        <v>101</v>
      </c>
      <c r="C41" s="1064" t="s">
        <v>102</v>
      </c>
      <c r="D41" s="1064" t="s">
        <v>103</v>
      </c>
      <c r="E41" s="1064"/>
      <c r="F41" s="1064"/>
      <c r="G41" s="1064"/>
      <c r="H41" s="1062" t="s">
        <v>101</v>
      </c>
      <c r="I41" s="1064" t="s">
        <v>102</v>
      </c>
      <c r="J41" s="1064" t="s">
        <v>104</v>
      </c>
      <c r="K41" s="1064"/>
      <c r="L41" s="1064"/>
      <c r="M41" s="1064" t="s">
        <v>105</v>
      </c>
      <c r="N41" s="1064"/>
      <c r="O41" s="1064"/>
      <c r="P41" s="1062" t="s">
        <v>101</v>
      </c>
      <c r="Q41" s="1064" t="s">
        <v>102</v>
      </c>
      <c r="R41" s="1062" t="s">
        <v>101</v>
      </c>
      <c r="S41" s="1058"/>
      <c r="U41" s="1075" t="s">
        <v>101</v>
      </c>
      <c r="V41" s="1077" t="s">
        <v>103</v>
      </c>
      <c r="W41" s="1071" t="s">
        <v>104</v>
      </c>
      <c r="X41" s="1073" t="s">
        <v>105</v>
      </c>
      <c r="AB41" s="1075" t="s">
        <v>101</v>
      </c>
      <c r="AC41" s="1077" t="s">
        <v>103</v>
      </c>
      <c r="AD41" s="1071" t="s">
        <v>104</v>
      </c>
      <c r="AE41" s="1073" t="s">
        <v>105</v>
      </c>
      <c r="AG41" s="1075" t="s">
        <v>101</v>
      </c>
      <c r="AH41" s="1077" t="s">
        <v>103</v>
      </c>
      <c r="AI41" s="1071" t="s">
        <v>104</v>
      </c>
      <c r="AJ41" s="1073" t="s">
        <v>105</v>
      </c>
      <c r="AL41" s="945">
        <f t="shared" si="1"/>
        <v>0</v>
      </c>
      <c r="AN41" s="1084" t="s">
        <v>101</v>
      </c>
      <c r="AO41" s="1079" t="s">
        <v>103</v>
      </c>
      <c r="AP41" s="1081" t="s">
        <v>104</v>
      </c>
      <c r="AQ41" s="1083" t="s">
        <v>105</v>
      </c>
      <c r="AS41" s="1075" t="s">
        <v>101</v>
      </c>
      <c r="AT41" s="1077" t="s">
        <v>103</v>
      </c>
      <c r="AU41" s="1071" t="s">
        <v>104</v>
      </c>
      <c r="AV41" s="1073" t="s">
        <v>105</v>
      </c>
    </row>
    <row r="42" spans="1:64" ht="15.75" thickBot="1">
      <c r="A42" s="1053"/>
      <c r="B42" s="1063"/>
      <c r="C42" s="1065"/>
      <c r="D42" s="290" t="s">
        <v>106</v>
      </c>
      <c r="E42" s="290" t="s">
        <v>107</v>
      </c>
      <c r="F42" s="290" t="s">
        <v>108</v>
      </c>
      <c r="G42" s="290" t="s">
        <v>109</v>
      </c>
      <c r="H42" s="1063"/>
      <c r="I42" s="1065"/>
      <c r="J42" s="290" t="s">
        <v>110</v>
      </c>
      <c r="K42" s="290" t="s">
        <v>111</v>
      </c>
      <c r="L42" s="290" t="s">
        <v>112</v>
      </c>
      <c r="M42" s="290" t="s">
        <v>113</v>
      </c>
      <c r="N42" s="290" t="s">
        <v>114</v>
      </c>
      <c r="O42" s="290" t="s">
        <v>115</v>
      </c>
      <c r="P42" s="1063"/>
      <c r="Q42" s="1065"/>
      <c r="R42" s="1063"/>
      <c r="S42" s="1059"/>
      <c r="U42" s="1076"/>
      <c r="V42" s="1074"/>
      <c r="W42" s="1072"/>
      <c r="X42" s="1074"/>
      <c r="AB42" s="1076"/>
      <c r="AC42" s="1074"/>
      <c r="AD42" s="1072"/>
      <c r="AE42" s="1074"/>
      <c r="AG42" s="1076"/>
      <c r="AH42" s="1074"/>
      <c r="AI42" s="1072"/>
      <c r="AJ42" s="1074"/>
      <c r="AL42" s="945">
        <f t="shared" si="1"/>
        <v>0</v>
      </c>
      <c r="AN42" s="1085"/>
      <c r="AO42" s="1080"/>
      <c r="AP42" s="1082"/>
      <c r="AQ42" s="1080"/>
      <c r="AS42" s="1076"/>
      <c r="AT42" s="1074"/>
      <c r="AU42" s="1072"/>
      <c r="AV42" s="1074"/>
    </row>
    <row r="43" spans="1:64" ht="15.75" thickBot="1">
      <c r="A43" s="164" t="s">
        <v>11</v>
      </c>
      <c r="B43" s="291">
        <f>KMA!B43*FRO_TOT!B43</f>
        <v>217202690832.90561</v>
      </c>
      <c r="C43" s="291">
        <f>KMA!C43*FRO_TOT!C43</f>
        <v>29456902641.454685</v>
      </c>
      <c r="D43" s="291">
        <f>KMA!D43*FRO_TOT!D43</f>
        <v>14821697125.627319</v>
      </c>
      <c r="E43" s="291">
        <f>KMA!E43*FRO_TOT!E43</f>
        <v>186888130059.4277</v>
      </c>
      <c r="F43" s="291">
        <f>KMA!F43*FRO_TOT!F43</f>
        <v>2618076836.5944633</v>
      </c>
      <c r="G43" s="291">
        <f>KMA!G43*FRO_TOT!G43</f>
        <v>775140612.83376276</v>
      </c>
      <c r="H43" s="291">
        <f>KMA!H43*FRO_TOT!H43</f>
        <v>100414110722.511</v>
      </c>
      <c r="I43" s="291">
        <f>KMA!I43*FRO_TOT!I43</f>
        <v>11851768374.319839</v>
      </c>
      <c r="J43" s="291">
        <f>KMA!J43*FRO_TOT!J43</f>
        <v>36449123621.931038</v>
      </c>
      <c r="K43" s="291">
        <f>KMA!K43*FRO_TOT!K43</f>
        <v>34828354769.469383</v>
      </c>
      <c r="L43" s="291">
        <f>KMA!L43*FRO_TOT!L43</f>
        <v>22101048127.471546</v>
      </c>
      <c r="M43" s="291">
        <f>KMA!M43*FRO_TOT!M43</f>
        <v>8564289529.1538401</v>
      </c>
      <c r="N43" s="291">
        <f>KMA!N43*FRO_TOT!N43</f>
        <v>41459024170.201797</v>
      </c>
      <c r="O43" s="291">
        <f>KMA!O43*FRO_TOT!O43</f>
        <v>5226391086.9485302</v>
      </c>
      <c r="P43" s="291">
        <f>KMA!P43*FRO_TOT!P43</f>
        <v>671389510.99063814</v>
      </c>
      <c r="Q43" s="291">
        <f>KMA!Q43*FRO_TOT!Q43</f>
        <v>25292845309.725025</v>
      </c>
      <c r="R43" s="291">
        <f>KMA!R43*FRO_TOT!R43</f>
        <v>27700251204</v>
      </c>
      <c r="S43" s="690">
        <f>SUM(B43:R43)</f>
        <v>766321234535.56592</v>
      </c>
      <c r="U43" s="733">
        <f>(B43+C43+H43+I43+P43+Q43+R43)/(DEN!C39+DEN!F39+DEN!G39+DEN!L39)</f>
        <v>9875.4657803050504</v>
      </c>
      <c r="V43" s="734">
        <f>SUM(D43:G43)/SUM(DEN!I39:J39)</f>
        <v>13308.189251093139</v>
      </c>
      <c r="W43" s="734">
        <f>SUM(J43:L43)/SUM(DEN!D39:E39)</f>
        <v>37854.650329022814</v>
      </c>
      <c r="X43" s="735">
        <f>SUM(M43:O43)/(DEN!H39+DEN!K39)</f>
        <v>79397.844658622169</v>
      </c>
      <c r="AB43" s="733">
        <f>($B43+$C43+$H43+$I43+$P43+$Q43+$R43)</f>
        <v>412589958595.9068</v>
      </c>
      <c r="AC43" s="734">
        <f>SUM($D43:$G43)</f>
        <v>205103044634.48325</v>
      </c>
      <c r="AD43" s="734">
        <f>SUM($J43:$L43)</f>
        <v>93378526518.871964</v>
      </c>
      <c r="AE43" s="735">
        <f>SUM($M43:$O43)</f>
        <v>55249704786.304169</v>
      </c>
      <c r="AG43" s="944">
        <f>AB43/$S43</f>
        <v>0.53840340056081015</v>
      </c>
      <c r="AH43" s="944">
        <f t="shared" ref="AH43:AH75" si="11">AC43/$S43</f>
        <v>0.26764630208738416</v>
      </c>
      <c r="AI43" s="944">
        <f t="shared" ref="AI43:AI75" si="12">AD43/$S43</f>
        <v>0.1218529805917027</v>
      </c>
      <c r="AJ43" s="944">
        <f t="shared" ref="AJ43:AJ75" si="13">AE43/$S43</f>
        <v>7.2097316760103378E-2</v>
      </c>
      <c r="AL43" s="945">
        <f t="shared" si="1"/>
        <v>1.0000000000000004</v>
      </c>
      <c r="AN43" s="946">
        <f>AVERAGE(AG43,AG81,AG119)</f>
        <v>0.52690044780012701</v>
      </c>
      <c r="AO43" s="946">
        <f t="shared" ref="AO43:AQ43" si="14">AVERAGE(AH43,AH81,AH119)</f>
        <v>0.28465645383306615</v>
      </c>
      <c r="AP43" s="946">
        <f t="shared" si="14"/>
        <v>0.11831499206739864</v>
      </c>
      <c r="AQ43" s="947">
        <f t="shared" si="14"/>
        <v>7.0128106299408258E-2</v>
      </c>
      <c r="AS43" s="733">
        <f>AVERAGE(AB43,AB81,AB119)</f>
        <v>437941599644.34552</v>
      </c>
      <c r="AT43" s="733">
        <f t="shared" ref="AT43:AV58" si="15">AVERAGE(AC43,AC81,AC119)</f>
        <v>237523834982.08414</v>
      </c>
      <c r="AU43" s="733">
        <f t="shared" si="15"/>
        <v>98285973668.45491</v>
      </c>
      <c r="AV43" s="733">
        <f t="shared" si="15"/>
        <v>58266100292.187721</v>
      </c>
    </row>
    <row r="44" spans="1:64" ht="15.75" thickBot="1">
      <c r="A44" s="269" t="s">
        <v>46</v>
      </c>
      <c r="B44" s="291">
        <f>KMA!B44*FRO_TOT!B44</f>
        <v>12754627050.784384</v>
      </c>
      <c r="C44" s="291">
        <f>KMA!C44*FRO_TOT!C44</f>
        <v>2131699384.4562709</v>
      </c>
      <c r="D44" s="291">
        <f>KMA!D44*FRO_TOT!D44</f>
        <v>1696073321.4393868</v>
      </c>
      <c r="E44" s="291">
        <f>KMA!E44*FRO_TOT!E44</f>
        <v>14227859846.781637</v>
      </c>
      <c r="F44" s="291">
        <f>KMA!F44*FRO_TOT!F44</f>
        <v>199319628.79535729</v>
      </c>
      <c r="G44" s="291">
        <f>KMA!G44*FRO_TOT!G44</f>
        <v>59011286.455208473</v>
      </c>
      <c r="H44" s="291">
        <f>KMA!H44*FRO_TOT!H44</f>
        <v>1418494121.3123348</v>
      </c>
      <c r="I44" s="291">
        <f>KMA!I44*FRO_TOT!I44</f>
        <v>226890543.86719966</v>
      </c>
      <c r="J44" s="291">
        <f>KMA!J44*FRO_TOT!J44</f>
        <v>4678874302.6204147</v>
      </c>
      <c r="K44" s="291">
        <f>KMA!K44*FRO_TOT!K44</f>
        <v>4470735014.2008572</v>
      </c>
      <c r="L44" s="291">
        <f>KMA!L44*FRO_TOT!L44</f>
        <v>1939232681.6965933</v>
      </c>
      <c r="M44" s="291">
        <f>KMA!M44*FRO_TOT!M44</f>
        <v>508010640.69651705</v>
      </c>
      <c r="N44" s="291">
        <f>KMA!N44*FRO_TOT!N44</f>
        <v>2594510908.8777628</v>
      </c>
      <c r="O44" s="291">
        <f>KMA!O44*FRO_TOT!O44</f>
        <v>454602829.67718309</v>
      </c>
      <c r="P44" s="291">
        <f>KMA!P44*FRO_TOT!P44</f>
        <v>53453385.052195914</v>
      </c>
      <c r="Q44" s="291">
        <f>KMA!Q44*FRO_TOT!Q44</f>
        <v>2541381739.6391616</v>
      </c>
      <c r="R44" s="291">
        <f>KMA!R44*FRO_TOT!R44</f>
        <v>0</v>
      </c>
      <c r="S44" s="690">
        <f t="shared" ref="S44:S75" si="16">SUM(B44:R44)</f>
        <v>49954776686.352463</v>
      </c>
      <c r="U44" s="733">
        <f>(B44+C44+H44+I44+P44+Q44+R44)/(DEN!C40+DEN!F40+DEN!G40+DEN!L40)</f>
        <v>15138.360333588096</v>
      </c>
      <c r="V44" s="734">
        <f>SUM(D44:G44)/SUM(DEN!I40:J40)</f>
        <v>13717.491494286665</v>
      </c>
      <c r="W44" s="734">
        <f>SUM(J44:L44)/SUM(DEN!D40:E40)</f>
        <v>93636.779694300683</v>
      </c>
      <c r="X44" s="735">
        <f>SUM(M44:O44)/(DEN!H40+DEN!K40)</f>
        <v>106075.15892084043</v>
      </c>
      <c r="AB44" s="733">
        <f t="shared" ref="AB44:AB75" si="17">($B44+$C44+$H44+$I44+$P44+$Q44+$R44)</f>
        <v>19126546225.111546</v>
      </c>
      <c r="AC44" s="734">
        <f t="shared" ref="AC44:AC75" si="18">SUM($D44:$G44)</f>
        <v>16182264083.471588</v>
      </c>
      <c r="AD44" s="734">
        <f t="shared" ref="AD44:AD75" si="19">SUM($J44:$L44)</f>
        <v>11088841998.517864</v>
      </c>
      <c r="AE44" s="735">
        <f t="shared" ref="AE44:AE75" si="20">SUM($M44:$O44)</f>
        <v>3557124379.2514629</v>
      </c>
      <c r="AG44" s="944">
        <f t="shared" ref="AG44:AG75" si="21">AB44/$S44</f>
        <v>0.38287722403805435</v>
      </c>
      <c r="AH44" s="944">
        <f t="shared" si="11"/>
        <v>0.32393827291179839</v>
      </c>
      <c r="AI44" s="944">
        <f t="shared" si="12"/>
        <v>0.22197761123306778</v>
      </c>
      <c r="AJ44" s="944">
        <f t="shared" si="13"/>
        <v>7.1206891817079454E-2</v>
      </c>
      <c r="AL44" s="945">
        <f t="shared" si="1"/>
        <v>1</v>
      </c>
      <c r="AN44" s="946">
        <f t="shared" ref="AN44:AN75" si="22">AVERAGE(AG44,AG82,AG120)</f>
        <v>0.37974138307097821</v>
      </c>
      <c r="AO44" s="946">
        <f t="shared" ref="AO44:AO75" si="23">AVERAGE(AH44,AH82,AH120)</f>
        <v>0.33634744262078481</v>
      </c>
      <c r="AP44" s="946">
        <f t="shared" ref="AP44:AP75" si="24">AVERAGE(AI44,AI82,AI120)</f>
        <v>0.21262362665052867</v>
      </c>
      <c r="AQ44" s="947">
        <f t="shared" ref="AQ44:AQ75" si="25">AVERAGE(AJ44,AJ82,AJ120)</f>
        <v>7.1287547657708325E-2</v>
      </c>
      <c r="AS44" s="733">
        <f t="shared" ref="AS44:AS75" si="26">AVERAGE(AB44,AB82,AB120)</f>
        <v>21033477166.25642</v>
      </c>
      <c r="AT44" s="733">
        <f t="shared" si="15"/>
        <v>18690537551.497807</v>
      </c>
      <c r="AU44" s="733">
        <f t="shared" si="15"/>
        <v>11743599421.398329</v>
      </c>
      <c r="AV44" s="733">
        <f t="shared" si="15"/>
        <v>3949796627.3473601</v>
      </c>
    </row>
    <row r="45" spans="1:64" ht="15.75" thickBot="1">
      <c r="A45" s="127" t="s">
        <v>13</v>
      </c>
      <c r="B45" s="291">
        <f>KMA!B45*FRO_TOT!B45</f>
        <v>602897285.35506463</v>
      </c>
      <c r="C45" s="291">
        <f>KMA!C45*FRO_TOT!C45</f>
        <v>92999692.545413241</v>
      </c>
      <c r="D45" s="291">
        <f>KMA!D45*FRO_TOT!D45</f>
        <v>75275740.462218195</v>
      </c>
      <c r="E45" s="291">
        <f>KMA!E45*FRO_TOT!E45</f>
        <v>812485084.92163014</v>
      </c>
      <c r="F45" s="291">
        <f>KMA!F45*FRO_TOT!F45</f>
        <v>11383654.145317858</v>
      </c>
      <c r="G45" s="291">
        <f>KMA!G45*FRO_TOT!G45</f>
        <v>3370324.9410251188</v>
      </c>
      <c r="H45" s="291">
        <f>KMA!H45*FRO_TOT!H45</f>
        <v>61568167.22848545</v>
      </c>
      <c r="I45" s="291">
        <f>KMA!I45*FRO_TOT!I45</f>
        <v>9047751.5512055438</v>
      </c>
      <c r="J45" s="291">
        <f>KMA!J45*FRO_TOT!J45</f>
        <v>223167946.27562556</v>
      </c>
      <c r="K45" s="291">
        <f>KMA!K45*FRO_TOT!K45</f>
        <v>213226882.78455344</v>
      </c>
      <c r="L45" s="291">
        <f>KMA!L45*FRO_TOT!L45</f>
        <v>58427224.387763575</v>
      </c>
      <c r="M45" s="291">
        <f>KMA!M45*FRO_TOT!M45</f>
        <v>8709227.5293196719</v>
      </c>
      <c r="N45" s="291">
        <f>KMA!N45*FRO_TOT!N45</f>
        <v>58428796.358094797</v>
      </c>
      <c r="O45" s="291">
        <f>KMA!O45*FRO_TOT!O45</f>
        <v>10243572.190072402</v>
      </c>
      <c r="P45" s="291">
        <f>KMA!P45*FRO_TOT!P45</f>
        <v>3795650.1432413929</v>
      </c>
      <c r="Q45" s="291">
        <f>KMA!Q45*FRO_TOT!Q45</f>
        <v>169880163.36296573</v>
      </c>
      <c r="R45" s="291">
        <f>KMA!R45*FRO_TOT!R45</f>
        <v>0</v>
      </c>
      <c r="S45" s="690">
        <f t="shared" si="16"/>
        <v>2414907164.1819963</v>
      </c>
      <c r="U45" s="733">
        <f>(B45+C45+H45+I45+P45+Q45+R45)/(DEN!C41+DEN!F41+DEN!G41+DEN!L41)</f>
        <v>14668.674782531803</v>
      </c>
      <c r="V45" s="734">
        <f>SUM(D45:G45)/SUM(DEN!I41:J41)</f>
        <v>13358.913016329303</v>
      </c>
      <c r="W45" s="734">
        <f>SUM(J45:L45)/SUM(DEN!D41:E41)</f>
        <v>93468.464950499154</v>
      </c>
      <c r="X45" s="735">
        <f>SUM(M45:O45)/(DEN!H41+DEN!K41)</f>
        <v>112636.96663389646</v>
      </c>
      <c r="AB45" s="733">
        <f t="shared" si="17"/>
        <v>940188710.18637598</v>
      </c>
      <c r="AC45" s="734">
        <f t="shared" si="18"/>
        <v>902514804.47019136</v>
      </c>
      <c r="AD45" s="734">
        <f t="shared" si="19"/>
        <v>494822053.44794255</v>
      </c>
      <c r="AE45" s="735">
        <f t="shared" si="20"/>
        <v>77381596.077486873</v>
      </c>
      <c r="AG45" s="944">
        <f t="shared" si="21"/>
        <v>0.38932706156629709</v>
      </c>
      <c r="AH45" s="944">
        <f t="shared" si="11"/>
        <v>0.37372650090087461</v>
      </c>
      <c r="AI45" s="944">
        <f t="shared" si="12"/>
        <v>0.2049031369765115</v>
      </c>
      <c r="AJ45" s="944">
        <f t="shared" si="13"/>
        <v>3.2043300556317003E-2</v>
      </c>
      <c r="AL45" s="945">
        <f t="shared" si="1"/>
        <v>1.0000000000000002</v>
      </c>
      <c r="AN45" s="946">
        <f t="shared" si="22"/>
        <v>0.38093503712359977</v>
      </c>
      <c r="AO45" s="946">
        <f t="shared" si="23"/>
        <v>0.38130710325059702</v>
      </c>
      <c r="AP45" s="946">
        <f t="shared" si="24"/>
        <v>0.20322178001269556</v>
      </c>
      <c r="AQ45" s="947">
        <f t="shared" si="25"/>
        <v>3.4536079613107708E-2</v>
      </c>
      <c r="AS45" s="949">
        <f t="shared" si="26"/>
        <v>1034596766.0144588</v>
      </c>
      <c r="AT45" s="949">
        <f t="shared" si="15"/>
        <v>1037725748.273455</v>
      </c>
      <c r="AU45" s="949">
        <f t="shared" si="15"/>
        <v>555158235.30167496</v>
      </c>
      <c r="AV45" s="949">
        <f t="shared" si="15"/>
        <v>94921684.335049197</v>
      </c>
      <c r="AX45" s="952">
        <f>SUM(AS45:AV45)</f>
        <v>2722402433.9246378</v>
      </c>
    </row>
    <row r="46" spans="1:64" ht="15.75" thickBot="1">
      <c r="A46" s="127" t="s">
        <v>14</v>
      </c>
      <c r="B46" s="291">
        <f>KMA!B46*FRO_TOT!B46</f>
        <v>729646561.14982295</v>
      </c>
      <c r="C46" s="291">
        <f>KMA!C46*FRO_TOT!C46</f>
        <v>128930342.52342136</v>
      </c>
      <c r="D46" s="291">
        <f>KMA!D46*FRO_TOT!D46</f>
        <v>46094187.322727732</v>
      </c>
      <c r="E46" s="291">
        <f>KMA!E46*FRO_TOT!E46</f>
        <v>514728249.87819773</v>
      </c>
      <c r="F46" s="291">
        <f>KMA!F46*FRO_TOT!F46</f>
        <v>7212642.5055814981</v>
      </c>
      <c r="G46" s="291">
        <f>KMA!G46*FRO_TOT!G46</f>
        <v>2133582.7307086634</v>
      </c>
      <c r="H46" s="291">
        <f>KMA!H46*FRO_TOT!H46</f>
        <v>42642002.620320447</v>
      </c>
      <c r="I46" s="291">
        <f>KMA!I46*FRO_TOT!I46</f>
        <v>7297147.0504471809</v>
      </c>
      <c r="J46" s="291">
        <f>KMA!J46*FRO_TOT!J46</f>
        <v>220479029.95973998</v>
      </c>
      <c r="K46" s="291">
        <f>KMA!K46*FRO_TOT!K46</f>
        <v>210625218.56489131</v>
      </c>
      <c r="L46" s="291">
        <f>KMA!L46*FRO_TOT!L46</f>
        <v>44622438.907747999</v>
      </c>
      <c r="M46" s="291">
        <f>KMA!M46*FRO_TOT!M46</f>
        <v>25031897.144426584</v>
      </c>
      <c r="N46" s="291">
        <f>KMA!N46*FRO_TOT!N46</f>
        <v>99509795.904700369</v>
      </c>
      <c r="O46" s="291">
        <f>KMA!O46*FRO_TOT!O46</f>
        <v>17389061.659138214</v>
      </c>
      <c r="P46" s="291">
        <f>KMA!P46*FRO_TOT!P46</f>
        <v>3365160.858606868</v>
      </c>
      <c r="Q46" s="291">
        <f>KMA!Q46*FRO_TOT!Q46</f>
        <v>172547931.637382</v>
      </c>
      <c r="R46" s="291">
        <f>KMA!R46*FRO_TOT!R46</f>
        <v>0</v>
      </c>
      <c r="S46" s="690">
        <f t="shared" si="16"/>
        <v>2272255250.4178605</v>
      </c>
      <c r="U46" s="733">
        <f>(B46+C46+H46+I46+P46+Q46+R46)/(DEN!C42+DEN!F42+DEN!G42+DEN!L42)</f>
        <v>17275.682562926158</v>
      </c>
      <c r="V46" s="734">
        <f>SUM(D46:G46)/SUM(DEN!I42:J42)</f>
        <v>14875.646701902364</v>
      </c>
      <c r="W46" s="734">
        <f>SUM(J46:L46)/SUM(DEN!D42:E42)</f>
        <v>147329.41698122615</v>
      </c>
      <c r="X46" s="735">
        <f>SUM(M46:O46)/(DEN!H42+DEN!K42)</f>
        <v>166000.88269972533</v>
      </c>
      <c r="AB46" s="733">
        <f t="shared" si="17"/>
        <v>1084429145.8400009</v>
      </c>
      <c r="AC46" s="734">
        <f t="shared" si="18"/>
        <v>570168662.43721569</v>
      </c>
      <c r="AD46" s="734">
        <f t="shared" si="19"/>
        <v>475726687.43237925</v>
      </c>
      <c r="AE46" s="735">
        <f t="shared" si="20"/>
        <v>141930754.70826516</v>
      </c>
      <c r="AG46" s="944">
        <f t="shared" si="21"/>
        <v>0.4772479437072828</v>
      </c>
      <c r="AH46" s="944">
        <f t="shared" si="11"/>
        <v>0.25092632631495226</v>
      </c>
      <c r="AI46" s="944">
        <f t="shared" si="12"/>
        <v>0.20936322507997049</v>
      </c>
      <c r="AJ46" s="944">
        <f t="shared" si="13"/>
        <v>6.2462504897794618E-2</v>
      </c>
      <c r="AL46" s="945">
        <f t="shared" si="1"/>
        <v>1.0000000000000002</v>
      </c>
      <c r="AN46" s="946">
        <f t="shared" si="22"/>
        <v>0.46264458442315481</v>
      </c>
      <c r="AO46" s="946">
        <f t="shared" si="23"/>
        <v>0.25991671969515012</v>
      </c>
      <c r="AP46" s="946">
        <f t="shared" si="24"/>
        <v>0.20883517229731782</v>
      </c>
      <c r="AQ46" s="947">
        <f t="shared" si="25"/>
        <v>6.8603523584377379E-2</v>
      </c>
      <c r="AS46" s="949">
        <f t="shared" si="26"/>
        <v>1210542340.0738351</v>
      </c>
      <c r="AT46" s="949">
        <f t="shared" si="15"/>
        <v>684387554.86091483</v>
      </c>
      <c r="AU46" s="949">
        <f t="shared" si="15"/>
        <v>548313749.44251823</v>
      </c>
      <c r="AV46" s="949">
        <f t="shared" si="15"/>
        <v>181804107.59079933</v>
      </c>
      <c r="AX46" s="952">
        <f t="shared" ref="AX46:AX75" si="27">SUM(AS46:AV46)</f>
        <v>2625047751.9680676</v>
      </c>
    </row>
    <row r="47" spans="1:64" ht="15.75" thickBot="1">
      <c r="A47" s="127" t="s">
        <v>15</v>
      </c>
      <c r="B47" s="291">
        <f>KMA!B47*FRO_TOT!B47</f>
        <v>3594784524.2405472</v>
      </c>
      <c r="C47" s="291">
        <f>KMA!C47*FRO_TOT!C47</f>
        <v>684673095.16819263</v>
      </c>
      <c r="D47" s="291">
        <f>KMA!D47*FRO_TOT!D47</f>
        <v>193441926.26379335</v>
      </c>
      <c r="E47" s="291">
        <f>KMA!E47*FRO_TOT!E47</f>
        <v>1800376647.5626268</v>
      </c>
      <c r="F47" s="291">
        <f>KMA!F47*FRO_TOT!F47</f>
        <v>25222033.453511689</v>
      </c>
      <c r="G47" s="291">
        <f>KMA!G47*FRO_TOT!G47</f>
        <v>7467993.8201253992</v>
      </c>
      <c r="H47" s="291">
        <f>KMA!H47*FRO_TOT!H47</f>
        <v>345778537.76311958</v>
      </c>
      <c r="I47" s="291">
        <f>KMA!I47*FRO_TOT!I47</f>
        <v>61793511.856134422</v>
      </c>
      <c r="J47" s="291">
        <f>KMA!J47*FRO_TOT!J47</f>
        <v>604375020.18434584</v>
      </c>
      <c r="K47" s="291">
        <f>KMA!K47*FRO_TOT!K47</f>
        <v>577539525.36512423</v>
      </c>
      <c r="L47" s="291">
        <f>KMA!L47*FRO_TOT!L47</f>
        <v>248929607.07392958</v>
      </c>
      <c r="M47" s="291">
        <f>KMA!M47*FRO_TOT!M47</f>
        <v>108703087.03942084</v>
      </c>
      <c r="N47" s="291">
        <f>KMA!N47*FRO_TOT!N47</f>
        <v>564227384.97929537</v>
      </c>
      <c r="O47" s="291">
        <f>KMA!O47*FRO_TOT!O47</f>
        <v>98851843.364610195</v>
      </c>
      <c r="P47" s="291">
        <f>KMA!P47*FRO_TOT!P47</f>
        <v>6767982.1812397689</v>
      </c>
      <c r="Q47" s="291">
        <f>KMA!Q47*FRO_TOT!Q47</f>
        <v>371301077.66716623</v>
      </c>
      <c r="R47" s="291">
        <f>KMA!R47*FRO_TOT!R47</f>
        <v>0</v>
      </c>
      <c r="S47" s="690">
        <f t="shared" si="16"/>
        <v>9294233797.9831829</v>
      </c>
      <c r="U47" s="733">
        <f>(B47+C47+H47+I47+P47+Q47+R47)/(DEN!C43+DEN!F43+DEN!G43+DEN!L43)</f>
        <v>15741.902258760128</v>
      </c>
      <c r="V47" s="734">
        <f>SUM(D47:G47)/SUM(DEN!I43:J43)</f>
        <v>14504.277194778464</v>
      </c>
      <c r="W47" s="734">
        <f>SUM(J47:L47)/SUM(DEN!D43:E43)</f>
        <v>80343.87964643717</v>
      </c>
      <c r="X47" s="735">
        <f>SUM(M47:O47)/(DEN!H43+DEN!K43)</f>
        <v>91270.377883553272</v>
      </c>
      <c r="AB47" s="733">
        <f t="shared" si="17"/>
        <v>5065098728.8764</v>
      </c>
      <c r="AC47" s="734">
        <f t="shared" si="18"/>
        <v>2026508601.1000574</v>
      </c>
      <c r="AD47" s="734">
        <f t="shared" si="19"/>
        <v>1430844152.6233995</v>
      </c>
      <c r="AE47" s="735">
        <f t="shared" si="20"/>
        <v>771782315.38332641</v>
      </c>
      <c r="AG47" s="944">
        <f t="shared" si="21"/>
        <v>0.54497216650344105</v>
      </c>
      <c r="AH47" s="944">
        <f t="shared" si="11"/>
        <v>0.21803933978288806</v>
      </c>
      <c r="AI47" s="944">
        <f t="shared" si="12"/>
        <v>0.15394966209413494</v>
      </c>
      <c r="AJ47" s="944">
        <f t="shared" si="13"/>
        <v>8.3038831619536027E-2</v>
      </c>
      <c r="AL47" s="945">
        <f t="shared" si="1"/>
        <v>1</v>
      </c>
      <c r="AN47" s="946">
        <f t="shared" si="22"/>
        <v>0.53429583132316993</v>
      </c>
      <c r="AO47" s="946">
        <f t="shared" si="23"/>
        <v>0.22900918951525553</v>
      </c>
      <c r="AP47" s="946">
        <f t="shared" si="24"/>
        <v>0.15180725199928291</v>
      </c>
      <c r="AQ47" s="947">
        <f t="shared" si="25"/>
        <v>8.4887727162291579E-2</v>
      </c>
      <c r="AS47" s="949">
        <f t="shared" si="26"/>
        <v>5494520633.4830256</v>
      </c>
      <c r="AT47" s="949">
        <f t="shared" si="15"/>
        <v>2364884246.9740272</v>
      </c>
      <c r="AU47" s="949">
        <f t="shared" si="15"/>
        <v>1559378809.4014416</v>
      </c>
      <c r="AV47" s="949">
        <f t="shared" si="15"/>
        <v>874365175.51603425</v>
      </c>
      <c r="AX47" s="952">
        <f t="shared" si="27"/>
        <v>10293148865.374529</v>
      </c>
    </row>
    <row r="48" spans="1:64" ht="15.75" thickBot="1">
      <c r="A48" s="127" t="s">
        <v>16</v>
      </c>
      <c r="B48" s="291">
        <f>KMA!B48*FRO_TOT!B48</f>
        <v>4537180317.9268351</v>
      </c>
      <c r="C48" s="291">
        <f>KMA!C48*FRO_TOT!C48</f>
        <v>640728786.97666168</v>
      </c>
      <c r="D48" s="291">
        <f>KMA!D48*FRO_TOT!D48</f>
        <v>529346931.77159286</v>
      </c>
      <c r="E48" s="291">
        <f>KMA!E48*FRO_TOT!E48</f>
        <v>5163363279.051897</v>
      </c>
      <c r="F48" s="291">
        <f>KMA!F48*FRO_TOT!F48</f>
        <v>72332874.253491014</v>
      </c>
      <c r="G48" s="291">
        <f>KMA!G48*FRO_TOT!G48</f>
        <v>21415522.42993997</v>
      </c>
      <c r="H48" s="291">
        <f>KMA!H48*FRO_TOT!H48</f>
        <v>307792530.41181636</v>
      </c>
      <c r="I48" s="291">
        <f>KMA!I48*FRO_TOT!I48</f>
        <v>41705626.213111423</v>
      </c>
      <c r="J48" s="291">
        <f>KMA!J48*FRO_TOT!J48</f>
        <v>1829480157.8350132</v>
      </c>
      <c r="K48" s="291">
        <f>KMA!K48*FRO_TOT!K48</f>
        <v>1748089680.1177855</v>
      </c>
      <c r="L48" s="291">
        <f>KMA!L48*FRO_TOT!L48</f>
        <v>588100519.20704842</v>
      </c>
      <c r="M48" s="291">
        <f>KMA!M48*FRO_TOT!M48</f>
        <v>253735577.16568297</v>
      </c>
      <c r="N48" s="291">
        <f>KMA!N48*FRO_TOT!N48</f>
        <v>1126106516.9064951</v>
      </c>
      <c r="O48" s="291">
        <f>KMA!O48*FRO_TOT!O48</f>
        <v>197339533.06029707</v>
      </c>
      <c r="P48" s="291">
        <f>KMA!P48*FRO_TOT!P48</f>
        <v>21011469.257341318</v>
      </c>
      <c r="Q48" s="291">
        <f>KMA!Q48*FRO_TOT!Q48</f>
        <v>865297376.90387487</v>
      </c>
      <c r="R48" s="291">
        <f>KMA!R48*FRO_TOT!R48</f>
        <v>0</v>
      </c>
      <c r="S48" s="690">
        <f t="shared" si="16"/>
        <v>17943026699.48888</v>
      </c>
      <c r="U48" s="733">
        <f>(B48+C48+H48+I48+P48+Q48+R48)/(DEN!C44+DEN!F44+DEN!G44+DEN!L44)</f>
        <v>15371.509220412949</v>
      </c>
      <c r="V48" s="734">
        <f>SUM(D48:G48)/SUM(DEN!I44:J44)</f>
        <v>14208.545587270097</v>
      </c>
      <c r="W48" s="734">
        <f>SUM(J48:L48)/SUM(DEN!D44:E44)</f>
        <v>97958.150668074013</v>
      </c>
      <c r="X48" s="735">
        <f>SUM(M48:O48)/(DEN!H44+DEN!K44)</f>
        <v>110169.15529005833</v>
      </c>
      <c r="AB48" s="733">
        <f t="shared" si="17"/>
        <v>6413716107.689642</v>
      </c>
      <c r="AC48" s="734">
        <f t="shared" si="18"/>
        <v>5786458607.5069218</v>
      </c>
      <c r="AD48" s="734">
        <f t="shared" si="19"/>
        <v>4165670357.1598473</v>
      </c>
      <c r="AE48" s="735">
        <f t="shared" si="20"/>
        <v>1577181627.1324751</v>
      </c>
      <c r="AG48" s="944">
        <f t="shared" si="21"/>
        <v>0.35744895301707047</v>
      </c>
      <c r="AH48" s="944">
        <f t="shared" si="11"/>
        <v>0.32249066472557569</v>
      </c>
      <c r="AI48" s="944">
        <f t="shared" si="12"/>
        <v>0.23216096297056221</v>
      </c>
      <c r="AJ48" s="944">
        <f t="shared" si="13"/>
        <v>8.7899419286791916E-2</v>
      </c>
      <c r="AL48" s="945">
        <f t="shared" si="1"/>
        <v>1.0000000000000004</v>
      </c>
      <c r="AN48" s="946">
        <f t="shared" si="22"/>
        <v>0.3513430269004098</v>
      </c>
      <c r="AO48" s="946">
        <f t="shared" si="23"/>
        <v>0.33941317471804205</v>
      </c>
      <c r="AP48" s="946">
        <f t="shared" si="24"/>
        <v>0.22193928655291981</v>
      </c>
      <c r="AQ48" s="947">
        <f t="shared" si="25"/>
        <v>8.7304511828628417E-2</v>
      </c>
      <c r="AS48" s="949">
        <f t="shared" si="26"/>
        <v>7211658551.1407776</v>
      </c>
      <c r="AT48" s="949">
        <f t="shared" si="15"/>
        <v>7011888173.3759527</v>
      </c>
      <c r="AU48" s="949">
        <f t="shared" si="15"/>
        <v>4541419164.7518826</v>
      </c>
      <c r="AV48" s="949">
        <f t="shared" si="15"/>
        <v>1792000645.7257826</v>
      </c>
      <c r="AX48" s="952">
        <f t="shared" si="27"/>
        <v>20556966534.9944</v>
      </c>
    </row>
    <row r="49" spans="1:50" ht="15.75" thickBot="1">
      <c r="A49" s="127" t="s">
        <v>17</v>
      </c>
      <c r="B49" s="291">
        <f>KMA!B49*FRO_TOT!B49</f>
        <v>1560689912.4809084</v>
      </c>
      <c r="C49" s="291">
        <f>KMA!C49*FRO_TOT!C49</f>
        <v>268853128.94671178</v>
      </c>
      <c r="D49" s="291">
        <f>KMA!D49*FRO_TOT!D49</f>
        <v>389146862.46762723</v>
      </c>
      <c r="E49" s="291">
        <f>KMA!E49*FRO_TOT!E49</f>
        <v>3045896767.4828839</v>
      </c>
      <c r="F49" s="291">
        <f>KMA!F49*FRO_TOT!F49</f>
        <v>42671012.096607372</v>
      </c>
      <c r="G49" s="291">
        <f>KMA!G49*FRO_TOT!G49</f>
        <v>12633775.816362537</v>
      </c>
      <c r="H49" s="291">
        <f>KMA!H49*FRO_TOT!H49</f>
        <v>255217418.12524462</v>
      </c>
      <c r="I49" s="291">
        <f>KMA!I49*FRO_TOT!I49</f>
        <v>42619825.689229481</v>
      </c>
      <c r="J49" s="291">
        <f>KMA!J49*FRO_TOT!J49</f>
        <v>920000180.8776865</v>
      </c>
      <c r="K49" s="291">
        <f>KMA!K49*FRO_TOT!K49</f>
        <v>879129142.70554507</v>
      </c>
      <c r="L49" s="291">
        <f>KMA!L49*FRO_TOT!L49</f>
        <v>546390168.99740779</v>
      </c>
      <c r="M49" s="291">
        <f>KMA!M49*FRO_TOT!M49</f>
        <v>34949312.999830626</v>
      </c>
      <c r="N49" s="291">
        <f>KMA!N49*FRO_TOT!N49</f>
        <v>360571339.42173183</v>
      </c>
      <c r="O49" s="291">
        <f>KMA!O49*FRO_TOT!O49</f>
        <v>63205252.50551071</v>
      </c>
      <c r="P49" s="291">
        <f>KMA!P49*FRO_TOT!P49</f>
        <v>9294904.3920467515</v>
      </c>
      <c r="Q49" s="291">
        <f>KMA!Q49*FRO_TOT!Q49</f>
        <v>467115357.55974889</v>
      </c>
      <c r="R49" s="291">
        <f>KMA!R49*FRO_TOT!R49</f>
        <v>0</v>
      </c>
      <c r="S49" s="690">
        <f t="shared" si="16"/>
        <v>8898384362.5650826</v>
      </c>
      <c r="U49" s="733">
        <f>(B49+C49+H49+I49+P49+Q49+R49)/(DEN!C45+DEN!F45+DEN!G45+DEN!L45)</f>
        <v>13484.854457475218</v>
      </c>
      <c r="V49" s="734">
        <f>SUM(D49:G49)/SUM(DEN!I45:J45)</f>
        <v>12155.055224631835</v>
      </c>
      <c r="W49" s="734">
        <f>SUM(J49:L49)/SUM(DEN!D45:E45)</f>
        <v>92627.734483083463</v>
      </c>
      <c r="X49" s="735">
        <f>SUM(M49:O49)/(DEN!H45+DEN!K45)</f>
        <v>111314.22104515242</v>
      </c>
      <c r="AB49" s="733">
        <f t="shared" si="17"/>
        <v>2603790547.1938896</v>
      </c>
      <c r="AC49" s="734">
        <f t="shared" si="18"/>
        <v>3490348417.8634806</v>
      </c>
      <c r="AD49" s="734">
        <f t="shared" si="19"/>
        <v>2345519492.5806394</v>
      </c>
      <c r="AE49" s="735">
        <f t="shared" si="20"/>
        <v>458725904.92707312</v>
      </c>
      <c r="AG49" s="944">
        <f t="shared" si="21"/>
        <v>0.29261385450462951</v>
      </c>
      <c r="AH49" s="944">
        <f t="shared" si="11"/>
        <v>0.39224518470421965</v>
      </c>
      <c r="AI49" s="944">
        <f t="shared" si="12"/>
        <v>0.2635893660031236</v>
      </c>
      <c r="AJ49" s="944">
        <f t="shared" si="13"/>
        <v>5.1551594788027233E-2</v>
      </c>
      <c r="AL49" s="945">
        <f t="shared" si="1"/>
        <v>1</v>
      </c>
      <c r="AN49" s="946">
        <f t="shared" si="22"/>
        <v>0.30041983519753257</v>
      </c>
      <c r="AO49" s="946">
        <f t="shared" si="23"/>
        <v>0.40465418542615977</v>
      </c>
      <c r="AP49" s="946">
        <f t="shared" si="24"/>
        <v>0.24445259461958177</v>
      </c>
      <c r="AQ49" s="947">
        <f t="shared" si="25"/>
        <v>5.0473384756725879E-2</v>
      </c>
      <c r="AS49" s="949">
        <f t="shared" si="26"/>
        <v>2843518948.6023569</v>
      </c>
      <c r="AT49" s="949">
        <f t="shared" si="15"/>
        <v>3830947552.5263152</v>
      </c>
      <c r="AU49" s="949">
        <f t="shared" si="15"/>
        <v>2304040865.4775648</v>
      </c>
      <c r="AV49" s="949">
        <f t="shared" si="15"/>
        <v>476715308.07986802</v>
      </c>
      <c r="AX49" s="952">
        <f t="shared" si="27"/>
        <v>9455222674.6861038</v>
      </c>
    </row>
    <row r="50" spans="1:50" ht="15.75" thickBot="1">
      <c r="A50" s="127" t="s">
        <v>18</v>
      </c>
      <c r="B50" s="291">
        <f>KMA!B50*FRO_TOT!B50</f>
        <v>531359034.6379016</v>
      </c>
      <c r="C50" s="291">
        <f>KMA!C50*FRO_TOT!C50</f>
        <v>111469844.74684218</v>
      </c>
      <c r="D50" s="291">
        <f>KMA!D50*FRO_TOT!D50</f>
        <v>73114444.344932824</v>
      </c>
      <c r="E50" s="291">
        <f>KMA!E50*FRO_TOT!E50</f>
        <v>681367665.4147526</v>
      </c>
      <c r="F50" s="291">
        <f>KMA!F50*FRO_TOT!F50</f>
        <v>9545458.767272342</v>
      </c>
      <c r="G50" s="291">
        <f>KMA!G50*FRO_TOT!G50</f>
        <v>2824659.9324988378</v>
      </c>
      <c r="H50" s="291">
        <f>KMA!H50*FRO_TOT!H50</f>
        <v>17009497.2961712</v>
      </c>
      <c r="I50" s="291">
        <f>KMA!I50*FRO_TOT!I50</f>
        <v>3441955.4760277369</v>
      </c>
      <c r="J50" s="291">
        <f>KMA!J50*FRO_TOT!J50</f>
        <v>158958070.95349795</v>
      </c>
      <c r="K50" s="291">
        <f>KMA!K50*FRO_TOT!K50</f>
        <v>151828956.7588695</v>
      </c>
      <c r="L50" s="291">
        <f>KMA!L50*FRO_TOT!L50</f>
        <v>50670610.171439372</v>
      </c>
      <c r="M50" s="291">
        <f>KMA!M50*FRO_TOT!M50</f>
        <v>23828261.193780519</v>
      </c>
      <c r="N50" s="291">
        <f>KMA!N50*FRO_TOT!N50</f>
        <v>76994168.238102973</v>
      </c>
      <c r="O50" s="291">
        <f>KMA!O50*FRO_TOT!O50</f>
        <v>13487433.504257925</v>
      </c>
      <c r="P50" s="291">
        <f>KMA!P50*FRO_TOT!P50</f>
        <v>2625179.6032459196</v>
      </c>
      <c r="Q50" s="291">
        <f>KMA!Q50*FRO_TOT!Q50</f>
        <v>158951316.75909501</v>
      </c>
      <c r="R50" s="291">
        <f>KMA!R50*FRO_TOT!R50</f>
        <v>0</v>
      </c>
      <c r="S50" s="690">
        <f t="shared" si="16"/>
        <v>2067476557.7986882</v>
      </c>
      <c r="U50" s="733">
        <f>(B50+C50+H50+I50+P50+Q50+R50)/(DEN!C46+DEN!F46+DEN!G46+DEN!L46)</f>
        <v>15451.965616111869</v>
      </c>
      <c r="V50" s="734">
        <f>SUM(D50:G50)/SUM(DEN!I46:J46)</f>
        <v>13351.886138166532</v>
      </c>
      <c r="W50" s="734">
        <f>SUM(J50:L50)/SUM(DEN!D46:E46)</f>
        <v>107994.51385832291</v>
      </c>
      <c r="X50" s="735">
        <f>SUM(M50:O50)/(DEN!H46+DEN!K46)</f>
        <v>114999.86210879417</v>
      </c>
      <c r="AB50" s="733">
        <f t="shared" si="17"/>
        <v>824856828.51928377</v>
      </c>
      <c r="AC50" s="734">
        <f t="shared" si="18"/>
        <v>766852228.45945656</v>
      </c>
      <c r="AD50" s="734">
        <f t="shared" si="19"/>
        <v>361457637.88380677</v>
      </c>
      <c r="AE50" s="735">
        <f t="shared" si="20"/>
        <v>114309862.9361414</v>
      </c>
      <c r="AG50" s="944">
        <f t="shared" si="21"/>
        <v>0.39896792319499697</v>
      </c>
      <c r="AH50" s="944">
        <f t="shared" si="11"/>
        <v>0.37091217579557462</v>
      </c>
      <c r="AI50" s="944">
        <f t="shared" si="12"/>
        <v>0.17483034403478939</v>
      </c>
      <c r="AJ50" s="944">
        <f t="shared" si="13"/>
        <v>5.5289556974639151E-2</v>
      </c>
      <c r="AL50" s="945">
        <f t="shared" si="1"/>
        <v>1.0000000000000002</v>
      </c>
      <c r="AN50" s="946">
        <f t="shared" si="22"/>
        <v>0.4109801153165164</v>
      </c>
      <c r="AO50" s="946">
        <f t="shared" si="23"/>
        <v>0.39367019582305512</v>
      </c>
      <c r="AP50" s="946">
        <f t="shared" si="24"/>
        <v>0.14766444254732883</v>
      </c>
      <c r="AQ50" s="947">
        <f t="shared" si="25"/>
        <v>4.7685246313099609E-2</v>
      </c>
      <c r="AS50" s="949">
        <f t="shared" si="26"/>
        <v>844503042.04545176</v>
      </c>
      <c r="AT50" s="949">
        <f t="shared" si="15"/>
        <v>809240489.52566671</v>
      </c>
      <c r="AU50" s="949">
        <f t="shared" si="15"/>
        <v>303165344.80991679</v>
      </c>
      <c r="AV50" s="949">
        <f t="shared" si="15"/>
        <v>97892086.475011885</v>
      </c>
      <c r="AX50" s="952">
        <f t="shared" si="27"/>
        <v>2054800962.8560469</v>
      </c>
    </row>
    <row r="51" spans="1:50" ht="15.75" thickBot="1">
      <c r="A51" s="128" t="s">
        <v>19</v>
      </c>
      <c r="B51" s="291">
        <f>KMA!B51*FRO_TOT!B51</f>
        <v>1265761489.2964327</v>
      </c>
      <c r="C51" s="291">
        <f>KMA!C51*FRO_TOT!C51</f>
        <v>215700058.59048098</v>
      </c>
      <c r="D51" s="291">
        <f>KMA!D51*FRO_TOT!D51</f>
        <v>362639461.48087859</v>
      </c>
      <c r="E51" s="291">
        <f>KMA!E51*FRO_TOT!E51</f>
        <v>2013344874.6817651</v>
      </c>
      <c r="F51" s="291">
        <f>KMA!F51*FRO_TOT!F51</f>
        <v>28201879.810612172</v>
      </c>
      <c r="G51" s="291">
        <f>KMA!G51*FRO_TOT!G51</f>
        <v>8351190.9406560864</v>
      </c>
      <c r="H51" s="291">
        <f>KMA!H51*FRO_TOT!H51</f>
        <v>387041113.63758373</v>
      </c>
      <c r="I51" s="291">
        <f>KMA!I51*FRO_TOT!I51</f>
        <v>62348083.102638483</v>
      </c>
      <c r="J51" s="291">
        <f>KMA!J51*FRO_TOT!J51</f>
        <v>751614412.601776</v>
      </c>
      <c r="K51" s="291">
        <f>KMA!K51*FRO_TOT!K51</f>
        <v>718161366.2404623</v>
      </c>
      <c r="L51" s="291">
        <f>KMA!L51*FRO_TOT!L51</f>
        <v>372886136.88513684</v>
      </c>
      <c r="M51" s="291">
        <f>KMA!M51*FRO_TOT!M51</f>
        <v>57538946.420083724</v>
      </c>
      <c r="N51" s="291">
        <f>KMA!N51*FRO_TOT!N51</f>
        <v>296207887.44504744</v>
      </c>
      <c r="O51" s="291">
        <f>KMA!O51*FRO_TOT!O51</f>
        <v>51886936.000660762</v>
      </c>
      <c r="P51" s="291">
        <f>KMA!P51*FRO_TOT!P51</f>
        <v>7550446.8758003181</v>
      </c>
      <c r="Q51" s="291">
        <f>KMA!Q51*FRO_TOT!Q51</f>
        <v>373473780.57896107</v>
      </c>
      <c r="R51" s="291">
        <f>KMA!R51*FRO_TOT!R51</f>
        <v>0</v>
      </c>
      <c r="S51" s="690">
        <f t="shared" si="16"/>
        <v>6972708064.5889769</v>
      </c>
      <c r="U51" s="733">
        <f>(B51+C51+H51+I51+P51+Q51+R51)/(DEN!C47+DEN!F47+DEN!G47+DEN!L47)</f>
        <v>15299.892604311583</v>
      </c>
      <c r="V51" s="734">
        <f>SUM(D51:G51)/SUM(DEN!I47:J47)</f>
        <v>13238.460943243754</v>
      </c>
      <c r="W51" s="734">
        <f>SUM(J51:L51)/SUM(DEN!D47:E47)</f>
        <v>88174.079611798996</v>
      </c>
      <c r="X51" s="735">
        <f>SUM(M51:O51)/(DEN!H47+DEN!K47)</f>
        <v>98814.560259632621</v>
      </c>
      <c r="AB51" s="733">
        <f t="shared" si="17"/>
        <v>2311874972.0818973</v>
      </c>
      <c r="AC51" s="734">
        <f t="shared" si="18"/>
        <v>2412537406.9139118</v>
      </c>
      <c r="AD51" s="734">
        <f t="shared" si="19"/>
        <v>1842661915.7273753</v>
      </c>
      <c r="AE51" s="735">
        <f t="shared" si="20"/>
        <v>405633769.86579192</v>
      </c>
      <c r="AG51" s="944">
        <f t="shared" si="21"/>
        <v>0.3315605573425332</v>
      </c>
      <c r="AH51" s="944">
        <f t="shared" si="11"/>
        <v>0.34599719141634888</v>
      </c>
      <c r="AI51" s="944">
        <f t="shared" si="12"/>
        <v>0.26426775632345301</v>
      </c>
      <c r="AJ51" s="944">
        <f t="shared" si="13"/>
        <v>5.8174494917664819E-2</v>
      </c>
      <c r="AL51" s="945">
        <f t="shared" si="1"/>
        <v>0.99999999999999989</v>
      </c>
      <c r="AN51" s="946">
        <f t="shared" si="22"/>
        <v>0.33170212910807262</v>
      </c>
      <c r="AO51" s="946">
        <f t="shared" si="23"/>
        <v>0.35416524821404433</v>
      </c>
      <c r="AP51" s="946">
        <f t="shared" si="24"/>
        <v>0.2550149916669</v>
      </c>
      <c r="AQ51" s="947">
        <f t="shared" si="25"/>
        <v>5.9117631010983114E-2</v>
      </c>
      <c r="AS51" s="949">
        <f t="shared" si="26"/>
        <v>2517676024.7509384</v>
      </c>
      <c r="AT51" s="949">
        <f t="shared" si="15"/>
        <v>2691427986.1484942</v>
      </c>
      <c r="AU51" s="949">
        <f t="shared" si="15"/>
        <v>1930984157.5516403</v>
      </c>
      <c r="AV51" s="949">
        <f t="shared" si="15"/>
        <v>448930161.77443761</v>
      </c>
      <c r="AX51" s="952">
        <f t="shared" si="27"/>
        <v>7589018330.2255116</v>
      </c>
    </row>
    <row r="52" spans="1:50" ht="15.75" thickBot="1">
      <c r="A52" s="269" t="s">
        <v>54</v>
      </c>
      <c r="B52" s="291">
        <f>KMA!B52*FRO_TOT!B52</f>
        <v>32537043989.631721</v>
      </c>
      <c r="C52" s="291">
        <f>KMA!C52*FRO_TOT!C52</f>
        <v>4984999181.2417154</v>
      </c>
      <c r="D52" s="291">
        <f>KMA!D52*FRO_TOT!D52</f>
        <v>2803452392.5541391</v>
      </c>
      <c r="E52" s="291">
        <f>KMA!E52*FRO_TOT!E52</f>
        <v>47387051200.221443</v>
      </c>
      <c r="F52" s="291">
        <f>KMA!F52*FRO_TOT!F52</f>
        <v>663837589.14773643</v>
      </c>
      <c r="G52" s="291">
        <f>KMA!G52*FRO_TOT!G52</f>
        <v>196543658.17456055</v>
      </c>
      <c r="H52" s="291">
        <f>KMA!H52*FRO_TOT!H52</f>
        <v>8943502667.707653</v>
      </c>
      <c r="I52" s="291">
        <f>KMA!I52*FRO_TOT!I52</f>
        <v>1178770431.7805696</v>
      </c>
      <c r="J52" s="291">
        <f>KMA!J52*FRO_TOT!J52</f>
        <v>5203063096.5822372</v>
      </c>
      <c r="K52" s="291">
        <f>KMA!K52*FRO_TOT!K52</f>
        <v>4971733404.2625685</v>
      </c>
      <c r="L52" s="291">
        <f>KMA!L52*FRO_TOT!L52</f>
        <v>1718374215.6199708</v>
      </c>
      <c r="M52" s="291">
        <f>KMA!M52*FRO_TOT!M52</f>
        <v>2001427069.9672356</v>
      </c>
      <c r="N52" s="291">
        <f>KMA!N52*FRO_TOT!N52</f>
        <v>7389011529.9002972</v>
      </c>
      <c r="O52" s="291">
        <f>KMA!O52*FRO_TOT!O52</f>
        <v>1098579641.5068913</v>
      </c>
      <c r="P52" s="291">
        <f>KMA!P52*FRO_TOT!P52</f>
        <v>127088197.67132589</v>
      </c>
      <c r="Q52" s="291">
        <f>KMA!Q52*FRO_TOT!Q52</f>
        <v>5134541551.9001322</v>
      </c>
      <c r="R52" s="291">
        <f>KMA!R52*FRO_TOT!R52</f>
        <v>5195548062</v>
      </c>
      <c r="S52" s="690">
        <f t="shared" si="16"/>
        <v>131534567879.87021</v>
      </c>
      <c r="U52" s="733">
        <f>(B52+C52+H52+I52+P52+Q52+R52)/(DEN!C48+DEN!F48+DEN!G48+DEN!L48)</f>
        <v>12257.016504129962</v>
      </c>
      <c r="V52" s="734">
        <f>SUM(D52:G52)/SUM(DEN!I48:J48)</f>
        <v>14678.196496413429</v>
      </c>
      <c r="W52" s="734">
        <f>SUM(J52:L52)/SUM(DEN!D48:E48)</f>
        <v>35265.251243042316</v>
      </c>
      <c r="X52" s="735">
        <f>SUM(M52:O52)/(DEN!H48+DEN!K48)</f>
        <v>85205.220355104451</v>
      </c>
      <c r="AB52" s="733">
        <f t="shared" si="17"/>
        <v>58101494081.933113</v>
      </c>
      <c r="AC52" s="734">
        <f t="shared" si="18"/>
        <v>51050884840.097878</v>
      </c>
      <c r="AD52" s="734">
        <f t="shared" si="19"/>
        <v>11893170716.464777</v>
      </c>
      <c r="AE52" s="735">
        <f t="shared" si="20"/>
        <v>10489018241.374424</v>
      </c>
      <c r="AG52" s="944">
        <f t="shared" si="21"/>
        <v>0.44172034027584967</v>
      </c>
      <c r="AH52" s="944">
        <f t="shared" si="11"/>
        <v>0.38811763069554739</v>
      </c>
      <c r="AI52" s="944">
        <f t="shared" si="12"/>
        <v>9.0418594200474697E-2</v>
      </c>
      <c r="AJ52" s="944">
        <f t="shared" si="13"/>
        <v>7.9743434828128124E-2</v>
      </c>
      <c r="AL52" s="945">
        <f t="shared" si="1"/>
        <v>0.99999999999999978</v>
      </c>
      <c r="AN52" s="946">
        <f t="shared" si="22"/>
        <v>0.42651997247945506</v>
      </c>
      <c r="AO52" s="946">
        <f t="shared" si="23"/>
        <v>0.4107740245517843</v>
      </c>
      <c r="AP52" s="946">
        <f t="shared" si="24"/>
        <v>8.6148242731231395E-2</v>
      </c>
      <c r="AQ52" s="947">
        <f t="shared" si="25"/>
        <v>7.6557760237529193E-2</v>
      </c>
      <c r="AS52" s="733">
        <f t="shared" si="26"/>
        <v>62953936156.912621</v>
      </c>
      <c r="AT52" s="733">
        <f t="shared" si="15"/>
        <v>61030592750.995934</v>
      </c>
      <c r="AU52" s="733">
        <f t="shared" si="15"/>
        <v>12700416919.803848</v>
      </c>
      <c r="AV52" s="733">
        <f t="shared" si="15"/>
        <v>11294135531.327669</v>
      </c>
      <c r="AX52" s="952">
        <f t="shared" si="27"/>
        <v>147979081359.04007</v>
      </c>
    </row>
    <row r="53" spans="1:50" ht="15.75" thickBot="1">
      <c r="A53" s="127" t="s">
        <v>21</v>
      </c>
      <c r="B53" s="291">
        <f>KMA!B53*FRO_TOT!B53</f>
        <v>1625347937.012912</v>
      </c>
      <c r="C53" s="291">
        <f>KMA!C53*FRO_TOT!C53</f>
        <v>253589193.13419393</v>
      </c>
      <c r="D53" s="291">
        <f>KMA!D53*FRO_TOT!D53</f>
        <v>134375638.93569902</v>
      </c>
      <c r="E53" s="291">
        <f>KMA!E53*FRO_TOT!E53</f>
        <v>1919706728.3481655</v>
      </c>
      <c r="F53" s="291">
        <f>KMA!F53*FRO_TOT!F53</f>
        <v>26891606.42670792</v>
      </c>
      <c r="G53" s="291">
        <f>KMA!G53*FRO_TOT!G53</f>
        <v>7962413.755771419</v>
      </c>
      <c r="H53" s="291">
        <f>KMA!H53*FRO_TOT!H53</f>
        <v>502350269.10267234</v>
      </c>
      <c r="I53" s="291">
        <f>KMA!I53*FRO_TOT!I53</f>
        <v>64149885.315804444</v>
      </c>
      <c r="J53" s="291">
        <f>KMA!J53*FRO_TOT!J53</f>
        <v>190066675.61771557</v>
      </c>
      <c r="K53" s="291">
        <f>KMA!K53*FRO_TOT!K53</f>
        <v>181605151.15505522</v>
      </c>
      <c r="L53" s="291">
        <f>KMA!L53*FRO_TOT!L53</f>
        <v>59890277.180765636</v>
      </c>
      <c r="M53" s="291">
        <f>KMA!M53*FRO_TOT!M53</f>
        <v>128823645.32572176</v>
      </c>
      <c r="N53" s="291">
        <f>KMA!N53*FRO_TOT!N53</f>
        <v>328517193.12565768</v>
      </c>
      <c r="O53" s="291">
        <f>KMA!O53*FRO_TOT!O53</f>
        <v>48863484.566316321</v>
      </c>
      <c r="P53" s="291">
        <f>KMA!P53*FRO_TOT!P53</f>
        <v>4679649.721913971</v>
      </c>
      <c r="Q53" s="291">
        <f>KMA!Q53*FRO_TOT!Q53</f>
        <v>184984126.5920583</v>
      </c>
      <c r="R53" s="291">
        <f>KMA!R53*FRO_TOT!R53</f>
        <v>497896134</v>
      </c>
      <c r="S53" s="690">
        <f t="shared" si="16"/>
        <v>6159700009.317132</v>
      </c>
      <c r="U53" s="733">
        <f>(B53+C53+H53+I53+P53+Q53+R53)/(DEN!C49+DEN!F49+DEN!G49+DEN!L49)</f>
        <v>13033.627016114431</v>
      </c>
      <c r="V53" s="734">
        <f>SUM(D53:G53)/SUM(DEN!I49:J49)</f>
        <v>15520.278671161745</v>
      </c>
      <c r="W53" s="734">
        <f>SUM(J53:L53)/SUM(DEN!D49:E49)</f>
        <v>26833.433063081291</v>
      </c>
      <c r="X53" s="735">
        <f>SUM(M53:O53)/(DEN!H49+DEN!K49)</f>
        <v>59820.884308401764</v>
      </c>
      <c r="AB53" s="733">
        <f t="shared" si="17"/>
        <v>3132997194.8795547</v>
      </c>
      <c r="AC53" s="734">
        <f t="shared" si="18"/>
        <v>2088936387.4663439</v>
      </c>
      <c r="AD53" s="734">
        <f t="shared" si="19"/>
        <v>431562103.95353639</v>
      </c>
      <c r="AE53" s="735">
        <f t="shared" si="20"/>
        <v>506204323.01769572</v>
      </c>
      <c r="AG53" s="944">
        <f t="shared" si="21"/>
        <v>0.50862821081231202</v>
      </c>
      <c r="AH53" s="944">
        <f t="shared" si="11"/>
        <v>0.33912956545069223</v>
      </c>
      <c r="AI53" s="944">
        <f t="shared" si="12"/>
        <v>7.0062195123262117E-2</v>
      </c>
      <c r="AJ53" s="944">
        <f t="shared" si="13"/>
        <v>8.2180028613733386E-2</v>
      </c>
      <c r="AL53" s="945">
        <f t="shared" si="1"/>
        <v>0.99999999999999967</v>
      </c>
      <c r="AN53" s="946">
        <f t="shared" si="22"/>
        <v>0.49469284999314089</v>
      </c>
      <c r="AO53" s="946">
        <f t="shared" si="23"/>
        <v>0.36055851313771509</v>
      </c>
      <c r="AP53" s="946">
        <f t="shared" si="24"/>
        <v>6.617424969565823E-2</v>
      </c>
      <c r="AQ53" s="947">
        <f t="shared" si="25"/>
        <v>7.8574387173485694E-2</v>
      </c>
      <c r="AS53" s="950">
        <f t="shared" si="26"/>
        <v>3479868005.4511032</v>
      </c>
      <c r="AT53" s="950">
        <f t="shared" si="15"/>
        <v>2555677628.6752439</v>
      </c>
      <c r="AU53" s="950">
        <f t="shared" si="15"/>
        <v>463504263.32734442</v>
      </c>
      <c r="AV53" s="950">
        <f t="shared" si="15"/>
        <v>550958744.24619281</v>
      </c>
      <c r="AX53" s="952">
        <f t="shared" si="27"/>
        <v>7050008641.6998844</v>
      </c>
    </row>
    <row r="54" spans="1:50" ht="15.75" thickBot="1">
      <c r="A54" s="127" t="s">
        <v>22</v>
      </c>
      <c r="B54" s="291">
        <f>KMA!B54*FRO_TOT!B54</f>
        <v>8328024418.8144197</v>
      </c>
      <c r="C54" s="291">
        <f>KMA!C54*FRO_TOT!C54</f>
        <v>1424516581.7184989</v>
      </c>
      <c r="D54" s="291">
        <f>KMA!D54*FRO_TOT!D54</f>
        <v>590582303.57840788</v>
      </c>
      <c r="E54" s="291">
        <f>KMA!E54*FRO_TOT!E54</f>
        <v>10003476193.766403</v>
      </c>
      <c r="F54" s="291">
        <f>KMA!F54*FRO_TOT!F54</f>
        <v>140138103.65250853</v>
      </c>
      <c r="G54" s="291">
        <f>KMA!G54*FRO_TOT!G54</f>
        <v>41489938.799526542</v>
      </c>
      <c r="H54" s="291">
        <f>KMA!H54*FRO_TOT!H54</f>
        <v>3235372461.8616304</v>
      </c>
      <c r="I54" s="291">
        <f>KMA!I54*FRO_TOT!I54</f>
        <v>471410348.3594293</v>
      </c>
      <c r="J54" s="291">
        <f>KMA!J54*FRO_TOT!J54</f>
        <v>1639664505.7230072</v>
      </c>
      <c r="K54" s="291">
        <f>KMA!K54*FRO_TOT!K54</f>
        <v>1566762370.6218307</v>
      </c>
      <c r="L54" s="291">
        <f>KMA!L54*FRO_TOT!L54</f>
        <v>742036869.83574772</v>
      </c>
      <c r="M54" s="291">
        <f>KMA!M54*FRO_TOT!M54</f>
        <v>740383988.70073152</v>
      </c>
      <c r="N54" s="291">
        <f>KMA!N54*FRO_TOT!N54</f>
        <v>3080941909.5021353</v>
      </c>
      <c r="O54" s="291">
        <f>KMA!O54*FRO_TOT!O54</f>
        <v>458048258.88121802</v>
      </c>
      <c r="P54" s="291">
        <f>KMA!P54*FRO_TOT!P54</f>
        <v>35594928.099356681</v>
      </c>
      <c r="Q54" s="291">
        <f>KMA!Q54*FRO_TOT!Q54</f>
        <v>1595034719.6349392</v>
      </c>
      <c r="R54" s="291">
        <f>KMA!R54*FRO_TOT!R54</f>
        <v>997430466</v>
      </c>
      <c r="S54" s="690">
        <f t="shared" si="16"/>
        <v>35090908367.549789</v>
      </c>
      <c r="U54" s="733">
        <f>(B54+C54+H54+I54+P54+Q54+R54)/(DEN!C50+DEN!F50+DEN!G50+DEN!L50)</f>
        <v>12718.144070031745</v>
      </c>
      <c r="V54" s="734">
        <f>SUM(D54:G54)/SUM(DEN!I50:J50)</f>
        <v>14856.028460816147</v>
      </c>
      <c r="W54" s="734">
        <f>SUM(J54:L54)/SUM(DEN!D50:E50)</f>
        <v>42724.431069831153</v>
      </c>
      <c r="X54" s="735">
        <f>SUM(M54:O54)/(DEN!H50+DEN!K50)</f>
        <v>103817.90774100156</v>
      </c>
      <c r="AB54" s="733">
        <f t="shared" si="17"/>
        <v>16087383924.488276</v>
      </c>
      <c r="AC54" s="734">
        <f t="shared" si="18"/>
        <v>10775686539.796844</v>
      </c>
      <c r="AD54" s="734">
        <f t="shared" si="19"/>
        <v>3948463746.1805859</v>
      </c>
      <c r="AE54" s="735">
        <f t="shared" si="20"/>
        <v>4279374157.0840845</v>
      </c>
      <c r="AG54" s="944">
        <f t="shared" si="21"/>
        <v>0.45844877413789137</v>
      </c>
      <c r="AH54" s="944">
        <f t="shared" si="11"/>
        <v>0.30707915642792616</v>
      </c>
      <c r="AI54" s="944">
        <f t="shared" si="12"/>
        <v>0.11252098990494973</v>
      </c>
      <c r="AJ54" s="944">
        <f t="shared" si="13"/>
        <v>0.12195107952923279</v>
      </c>
      <c r="AL54" s="945">
        <f t="shared" si="1"/>
        <v>1</v>
      </c>
      <c r="AN54" s="946">
        <f t="shared" si="22"/>
        <v>0.44716495646310778</v>
      </c>
      <c r="AO54" s="946">
        <f t="shared" si="23"/>
        <v>0.32631074159400097</v>
      </c>
      <c r="AP54" s="946">
        <f t="shared" si="24"/>
        <v>0.10929814089651983</v>
      </c>
      <c r="AQ54" s="947">
        <f t="shared" si="25"/>
        <v>0.11722616104637158</v>
      </c>
      <c r="AS54" s="950">
        <f t="shared" si="26"/>
        <v>17383357935.655449</v>
      </c>
      <c r="AT54" s="950">
        <f t="shared" si="15"/>
        <v>12748647504.967834</v>
      </c>
      <c r="AU54" s="950">
        <f t="shared" si="15"/>
        <v>4246071041.9335685</v>
      </c>
      <c r="AV54" s="950">
        <f t="shared" si="15"/>
        <v>4551678873.1172924</v>
      </c>
      <c r="AX54" s="952">
        <f t="shared" si="27"/>
        <v>38929755355.674149</v>
      </c>
    </row>
    <row r="55" spans="1:50" ht="15.75" thickBot="1">
      <c r="A55" s="127" t="s">
        <v>23</v>
      </c>
      <c r="B55" s="291">
        <f>KMA!B55*FRO_TOT!B55</f>
        <v>4750219451.5400143</v>
      </c>
      <c r="C55" s="291">
        <f>KMA!C55*FRO_TOT!C55</f>
        <v>684203522.48608124</v>
      </c>
      <c r="D55" s="291">
        <f>KMA!D55*FRO_TOT!D55</f>
        <v>434155826.97173095</v>
      </c>
      <c r="E55" s="291">
        <f>KMA!E55*FRO_TOT!E55</f>
        <v>8748059004.4991055</v>
      </c>
      <c r="F55" s="291">
        <f>KMA!F55*FRO_TOT!F55</f>
        <v>122549499.09819557</v>
      </c>
      <c r="G55" s="291">
        <f>KMA!G55*FRO_TOT!G55</f>
        <v>36283545.51328969</v>
      </c>
      <c r="H55" s="291">
        <f>KMA!H55*FRO_TOT!H55</f>
        <v>1043325972.0730621</v>
      </c>
      <c r="I55" s="291">
        <f>KMA!I55*FRO_TOT!I55</f>
        <v>129369112.56139113</v>
      </c>
      <c r="J55" s="291">
        <f>KMA!J55*FRO_TOT!J55</f>
        <v>680417506.78176391</v>
      </c>
      <c r="K55" s="291">
        <f>KMA!K55*FRO_TOT!K55</f>
        <v>650156783.72952843</v>
      </c>
      <c r="L55" s="291">
        <f>KMA!L55*FRO_TOT!L55</f>
        <v>215633036.22911629</v>
      </c>
      <c r="M55" s="291">
        <f>KMA!M55*FRO_TOT!M55</f>
        <v>226281440.83692339</v>
      </c>
      <c r="N55" s="291">
        <f>KMA!N55*FRO_TOT!N55</f>
        <v>845679375.7111218</v>
      </c>
      <c r="O55" s="291">
        <f>KMA!O55*FRO_TOT!O55</f>
        <v>125709760.28980906</v>
      </c>
      <c r="P55" s="291">
        <f>KMA!P55*FRO_TOT!P55</f>
        <v>23608043.414917883</v>
      </c>
      <c r="Q55" s="291">
        <f>KMA!Q55*FRO_TOT!Q55</f>
        <v>891332403.22806728</v>
      </c>
      <c r="R55" s="291">
        <f>KMA!R55*FRO_TOT!R55</f>
        <v>915488412.00000024</v>
      </c>
      <c r="S55" s="690">
        <f t="shared" si="16"/>
        <v>20522472696.964115</v>
      </c>
      <c r="U55" s="733">
        <f>(B55+C55+H55+I55+P55+Q55+R55)/(DEN!C51+DEN!F51+DEN!G51+DEN!L51)</f>
        <v>10706.161026495978</v>
      </c>
      <c r="V55" s="734">
        <f>SUM(D55:G55)/SUM(DEN!I51:J51)</f>
        <v>13211.222729922076</v>
      </c>
      <c r="W55" s="734">
        <f>SUM(J55:L55)/SUM(DEN!D51:E51)</f>
        <v>29504.395045231628</v>
      </c>
      <c r="X55" s="735">
        <f>SUM(M55:O55)/(DEN!H51+DEN!K51)</f>
        <v>71622.448082636896</v>
      </c>
      <c r="AB55" s="733">
        <f t="shared" si="17"/>
        <v>8437546917.3035336</v>
      </c>
      <c r="AC55" s="734">
        <f t="shared" si="18"/>
        <v>9341047876.0823231</v>
      </c>
      <c r="AD55" s="734">
        <f t="shared" si="19"/>
        <v>1546207326.7404087</v>
      </c>
      <c r="AE55" s="735">
        <f t="shared" si="20"/>
        <v>1197670576.8378541</v>
      </c>
      <c r="AG55" s="944">
        <f t="shared" si="21"/>
        <v>0.41113695420102558</v>
      </c>
      <c r="AH55" s="944">
        <f t="shared" si="11"/>
        <v>0.45516191026357861</v>
      </c>
      <c r="AI55" s="944">
        <f t="shared" si="12"/>
        <v>7.5342155381166065E-2</v>
      </c>
      <c r="AJ55" s="944">
        <f t="shared" si="13"/>
        <v>5.8358980154229918E-2</v>
      </c>
      <c r="AL55" s="945">
        <f t="shared" si="1"/>
        <v>1.0000000000000002</v>
      </c>
      <c r="AN55" s="946">
        <f t="shared" si="22"/>
        <v>0.394842145387927</v>
      </c>
      <c r="AO55" s="946">
        <f t="shared" si="23"/>
        <v>0.47705739137281439</v>
      </c>
      <c r="AP55" s="946">
        <f t="shared" si="24"/>
        <v>7.1636584710691953E-2</v>
      </c>
      <c r="AQ55" s="947">
        <f t="shared" si="25"/>
        <v>5.6463878528566831E-2</v>
      </c>
      <c r="AS55" s="950">
        <f t="shared" si="26"/>
        <v>9113761869.3612595</v>
      </c>
      <c r="AT55" s="950">
        <f t="shared" si="15"/>
        <v>11083805270.048281</v>
      </c>
      <c r="AU55" s="950">
        <f t="shared" si="15"/>
        <v>1652251218.2089396</v>
      </c>
      <c r="AV55" s="950">
        <f t="shared" si="15"/>
        <v>1304001093.4006548</v>
      </c>
      <c r="AX55" s="952">
        <f t="shared" si="27"/>
        <v>23153819451.019131</v>
      </c>
    </row>
    <row r="56" spans="1:50" ht="15.75" thickBot="1">
      <c r="A56" s="127" t="s">
        <v>24</v>
      </c>
      <c r="B56" s="291">
        <f>KMA!B56*FRO_TOT!B56</f>
        <v>2776546979.0784702</v>
      </c>
      <c r="C56" s="291">
        <f>KMA!C56*FRO_TOT!C56</f>
        <v>503514581.69523948</v>
      </c>
      <c r="D56" s="291">
        <f>KMA!D56*FRO_TOT!D56</f>
        <v>451229651.24063259</v>
      </c>
      <c r="E56" s="291">
        <f>KMA!E56*FRO_TOT!E56</f>
        <v>5901061186.037323</v>
      </c>
      <c r="F56" s="291">
        <f>KMA!F56*FRO_TOT!F56</f>
        <v>82666274.144625157</v>
      </c>
      <c r="G56" s="291">
        <f>KMA!G56*FRO_TOT!G56</f>
        <v>24477666.942257766</v>
      </c>
      <c r="H56" s="291">
        <f>KMA!H56*FRO_TOT!H56</f>
        <v>560043373.96757054</v>
      </c>
      <c r="I56" s="291">
        <f>KMA!I56*FRO_TOT!I56</f>
        <v>97097497.300024003</v>
      </c>
      <c r="J56" s="291">
        <f>KMA!J56*FRO_TOT!J56</f>
        <v>400891689.25787693</v>
      </c>
      <c r="K56" s="291">
        <f>KMA!K56*FRO_TOT!K56</f>
        <v>383058319.51305485</v>
      </c>
      <c r="L56" s="291">
        <f>KMA!L56*FRO_TOT!L56</f>
        <v>70842681.227424353</v>
      </c>
      <c r="M56" s="291">
        <f>KMA!M56*FRO_TOT!M56</f>
        <v>129684907.50886539</v>
      </c>
      <c r="N56" s="291">
        <f>KMA!N56*FRO_TOT!N56</f>
        <v>457080948.65104413</v>
      </c>
      <c r="O56" s="291">
        <f>KMA!O56*FRO_TOT!O56</f>
        <v>67977866.328774735</v>
      </c>
      <c r="P56" s="291">
        <f>KMA!P56*FRO_TOT!P56</f>
        <v>7626823.7001353158</v>
      </c>
      <c r="Q56" s="291">
        <f>KMA!Q56*FRO_TOT!Q56</f>
        <v>398168211.69672304</v>
      </c>
      <c r="R56" s="291">
        <f>KMA!R56*FRO_TOT!R56</f>
        <v>0</v>
      </c>
      <c r="S56" s="690">
        <f t="shared" si="16"/>
        <v>12311968658.290045</v>
      </c>
      <c r="U56" s="733">
        <f>(B56+C56+H56+I56+P56+Q56+R56)/(DEN!C52+DEN!F52+DEN!G52+DEN!L52)</f>
        <v>14650.313271437988</v>
      </c>
      <c r="V56" s="734">
        <f>SUM(D56:G56)/SUM(DEN!I52:J52)</f>
        <v>16941.491082291021</v>
      </c>
      <c r="W56" s="734">
        <f>SUM(J56:L56)/SUM(DEN!D52:E52)</f>
        <v>34713.803200063194</v>
      </c>
      <c r="X56" s="735">
        <f>SUM(M56:O56)/(DEN!H52+DEN!K52)</f>
        <v>85241.989648311966</v>
      </c>
      <c r="AB56" s="733">
        <f t="shared" si="17"/>
        <v>4342997467.4381628</v>
      </c>
      <c r="AC56" s="734">
        <f t="shared" si="18"/>
        <v>6459434778.3648386</v>
      </c>
      <c r="AD56" s="734">
        <f t="shared" si="19"/>
        <v>854792689.9983561</v>
      </c>
      <c r="AE56" s="735">
        <f t="shared" si="20"/>
        <v>654743722.48868418</v>
      </c>
      <c r="AG56" s="944">
        <f t="shared" si="21"/>
        <v>0.35274598140841457</v>
      </c>
      <c r="AH56" s="944">
        <f t="shared" si="11"/>
        <v>0.52464678538760678</v>
      </c>
      <c r="AI56" s="944">
        <f t="shared" si="12"/>
        <v>6.9427783137085614E-2</v>
      </c>
      <c r="AJ56" s="944">
        <f t="shared" si="13"/>
        <v>5.3179450066892765E-2</v>
      </c>
      <c r="AL56" s="945">
        <f t="shared" si="1"/>
        <v>0.99999999999999967</v>
      </c>
      <c r="AN56" s="946">
        <f t="shared" si="22"/>
        <v>0.33199919669767652</v>
      </c>
      <c r="AO56" s="946">
        <f t="shared" si="23"/>
        <v>0.55314264426015813</v>
      </c>
      <c r="AP56" s="946">
        <f t="shared" si="24"/>
        <v>6.5157957475086098E-2</v>
      </c>
      <c r="AQ56" s="947">
        <f t="shared" si="25"/>
        <v>4.970020156707905E-2</v>
      </c>
      <c r="AS56" s="950">
        <f t="shared" si="26"/>
        <v>4750728382.8731451</v>
      </c>
      <c r="AT56" s="950">
        <f t="shared" si="15"/>
        <v>8002792447.8231506</v>
      </c>
      <c r="AU56" s="950">
        <f t="shared" si="15"/>
        <v>931467048.99734437</v>
      </c>
      <c r="AV56" s="950">
        <f t="shared" si="15"/>
        <v>710422804.43499088</v>
      </c>
      <c r="AX56" s="952">
        <f t="shared" si="27"/>
        <v>14395410684.128632</v>
      </c>
    </row>
    <row r="57" spans="1:50" ht="15.75" thickBot="1">
      <c r="A57" s="127" t="s">
        <v>25</v>
      </c>
      <c r="B57" s="291">
        <f>KMA!B57*FRO_TOT!B57</f>
        <v>2878797324.1810012</v>
      </c>
      <c r="C57" s="291">
        <f>KMA!C57*FRO_TOT!C57</f>
        <v>396283931.44272703</v>
      </c>
      <c r="D57" s="291">
        <f>KMA!D57*FRO_TOT!D57</f>
        <v>243369771.18666825</v>
      </c>
      <c r="E57" s="291">
        <f>KMA!E57*FRO_TOT!E57</f>
        <v>3855680608.4050794</v>
      </c>
      <c r="F57" s="291">
        <f>KMA!F57*FRO_TOT!F57</f>
        <v>54014564.137288198</v>
      </c>
      <c r="G57" s="291">
        <f>KMA!G57*FRO_TOT!G57</f>
        <v>15991143.023970217</v>
      </c>
      <c r="H57" s="291">
        <f>KMA!H57*FRO_TOT!H57</f>
        <v>575780870.22120905</v>
      </c>
      <c r="I57" s="291">
        <f>KMA!I57*FRO_TOT!I57</f>
        <v>68827475.330533832</v>
      </c>
      <c r="J57" s="291">
        <f>KMA!J57*FRO_TOT!J57</f>
        <v>316518723.75250906</v>
      </c>
      <c r="K57" s="291">
        <f>KMA!K57*FRO_TOT!K57</f>
        <v>302465284.12066388</v>
      </c>
      <c r="L57" s="291">
        <f>KMA!L57*FRO_TOT!L57</f>
        <v>79096656.302331492</v>
      </c>
      <c r="M57" s="291">
        <f>KMA!M57*FRO_TOT!M57</f>
        <v>100160792.65326537</v>
      </c>
      <c r="N57" s="291">
        <f>KMA!N57*FRO_TOT!N57</f>
        <v>388078132.05428493</v>
      </c>
      <c r="O57" s="291">
        <f>KMA!O57*FRO_TOT!O57</f>
        <v>57701739.49387072</v>
      </c>
      <c r="P57" s="291">
        <f>KMA!P57*FRO_TOT!P57</f>
        <v>8949481.7877477277</v>
      </c>
      <c r="Q57" s="291">
        <f>KMA!Q57*FRO_TOT!Q57</f>
        <v>330248553.04718441</v>
      </c>
      <c r="R57" s="291">
        <f>KMA!R57*FRO_TOT!R57</f>
        <v>483852288</v>
      </c>
      <c r="S57" s="690">
        <f t="shared" si="16"/>
        <v>10155817339.140335</v>
      </c>
      <c r="U57" s="733">
        <f>(B57+C57+H57+I57+P57+Q57+R57)/(DEN!C53+DEN!F53+DEN!G53+DEN!L53)</f>
        <v>13259.136037334507</v>
      </c>
      <c r="V57" s="734">
        <f>SUM(D57:G57)/SUM(DEN!I53:J53)</f>
        <v>16019.981812062688</v>
      </c>
      <c r="W57" s="734">
        <f>SUM(J57:L57)/SUM(DEN!D53:E53)</f>
        <v>31957.547343687256</v>
      </c>
      <c r="X57" s="735">
        <f>SUM(M57:O57)/(DEN!H53+DEN!K53)</f>
        <v>79030.206166968885</v>
      </c>
      <c r="AB57" s="733">
        <f t="shared" si="17"/>
        <v>4742739924.0104036</v>
      </c>
      <c r="AC57" s="734">
        <f t="shared" si="18"/>
        <v>4169056086.753006</v>
      </c>
      <c r="AD57" s="734">
        <f t="shared" si="19"/>
        <v>698080664.17550445</v>
      </c>
      <c r="AE57" s="735">
        <f t="shared" si="20"/>
        <v>545940664.20142102</v>
      </c>
      <c r="AG57" s="944">
        <f t="shared" si="21"/>
        <v>0.46699736374067802</v>
      </c>
      <c r="AH57" s="944">
        <f t="shared" si="11"/>
        <v>0.41050916411085298</v>
      </c>
      <c r="AI57" s="944">
        <f t="shared" si="12"/>
        <v>6.8737024393409896E-2</v>
      </c>
      <c r="AJ57" s="944">
        <f t="shared" si="13"/>
        <v>5.3756447755059125E-2</v>
      </c>
      <c r="AL57" s="945">
        <f t="shared" si="1"/>
        <v>1</v>
      </c>
      <c r="AN57" s="946">
        <f t="shared" si="22"/>
        <v>0.4501289059450273</v>
      </c>
      <c r="AO57" s="946">
        <f t="shared" si="23"/>
        <v>0.43306890322185865</v>
      </c>
      <c r="AP57" s="946">
        <f t="shared" si="24"/>
        <v>6.4861149663335796E-2</v>
      </c>
      <c r="AQ57" s="947">
        <f t="shared" si="25"/>
        <v>5.1941041169778268E-2</v>
      </c>
      <c r="AS57" s="950">
        <f t="shared" si="26"/>
        <v>5073888671.2311926</v>
      </c>
      <c r="AT57" s="950">
        <f t="shared" si="15"/>
        <v>4912485513.590415</v>
      </c>
      <c r="AU57" s="950">
        <f t="shared" si="15"/>
        <v>729943202.56263006</v>
      </c>
      <c r="AV57" s="950">
        <f t="shared" si="15"/>
        <v>585609074.65864897</v>
      </c>
      <c r="AX57" s="952">
        <f t="shared" si="27"/>
        <v>11301926462.042887</v>
      </c>
    </row>
    <row r="58" spans="1:50" ht="15.75" thickBot="1">
      <c r="A58" s="127" t="s">
        <v>26</v>
      </c>
      <c r="B58" s="291">
        <f>KMA!B58*FRO_TOT!B58</f>
        <v>5923976556.6096659</v>
      </c>
      <c r="C58" s="291">
        <f>KMA!C58*FRO_TOT!C58</f>
        <v>837746867.20927763</v>
      </c>
      <c r="D58" s="291">
        <f>KMA!D58*FRO_TOT!D58</f>
        <v>316559333.86829007</v>
      </c>
      <c r="E58" s="291">
        <f>KMA!E58*FRO_TOT!E58</f>
        <v>7523505855.485713</v>
      </c>
      <c r="F58" s="291">
        <f>KMA!F58*FRO_TOT!F58</f>
        <v>105395460.05030712</v>
      </c>
      <c r="G58" s="291">
        <f>KMA!G58*FRO_TOT!G58</f>
        <v>31203695.258988552</v>
      </c>
      <c r="H58" s="291">
        <f>KMA!H58*FRO_TOT!H58</f>
        <v>2093661335.7528002</v>
      </c>
      <c r="I58" s="291">
        <f>KMA!I58*FRO_TOT!I58</f>
        <v>254921474.59419125</v>
      </c>
      <c r="J58" s="291">
        <f>KMA!J58*FRO_TOT!J58</f>
        <v>1003935116.823438</v>
      </c>
      <c r="K58" s="291">
        <f>KMA!K58*FRO_TOT!K58</f>
        <v>959302897.42655289</v>
      </c>
      <c r="L58" s="291">
        <f>KMA!L58*FRO_TOT!L58</f>
        <v>346054625.87006754</v>
      </c>
      <c r="M58" s="291">
        <f>KMA!M58*FRO_TOT!M58</f>
        <v>359740523.33453429</v>
      </c>
      <c r="N58" s="291">
        <f>KMA!N58*FRO_TOT!N58</f>
        <v>1170324702.8281431</v>
      </c>
      <c r="O58" s="291">
        <f>KMA!O58*FRO_TOT!O58</f>
        <v>173982439.08958185</v>
      </c>
      <c r="P58" s="291">
        <f>KMA!P58*FRO_TOT!P58</f>
        <v>19155236.517484598</v>
      </c>
      <c r="Q58" s="291">
        <f>KMA!Q58*FRO_TOT!Q58</f>
        <v>719539637.41523099</v>
      </c>
      <c r="R58" s="291">
        <f>KMA!R58*FRO_TOT!R58</f>
        <v>911591153.99999988</v>
      </c>
      <c r="S58" s="690">
        <f t="shared" si="16"/>
        <v>22750596912.134262</v>
      </c>
      <c r="U58" s="733">
        <f>(B58+C58+H58+I58+P58+Q58+R58)/(DEN!C54+DEN!F54+DEN!G54+DEN!L54)</f>
        <v>11199.570632614612</v>
      </c>
      <c r="V58" s="734">
        <f>SUM(D58:G58)/SUM(DEN!I54:J54)</f>
        <v>13838.861381174225</v>
      </c>
      <c r="W58" s="734">
        <f>SUM(J58:L58)/SUM(DEN!D54:E54)</f>
        <v>31958.104623859101</v>
      </c>
      <c r="X58" s="735">
        <f>SUM(M58:O58)/(DEN!H54+DEN!K54)</f>
        <v>74972.399368747385</v>
      </c>
      <c r="AB58" s="733">
        <f t="shared" si="17"/>
        <v>10760592262.09865</v>
      </c>
      <c r="AC58" s="734">
        <f t="shared" si="18"/>
        <v>7976664344.6632986</v>
      </c>
      <c r="AD58" s="734">
        <f t="shared" si="19"/>
        <v>2309292640.1200585</v>
      </c>
      <c r="AE58" s="735">
        <f t="shared" si="20"/>
        <v>1704047665.2522593</v>
      </c>
      <c r="AG58" s="944">
        <f t="shared" si="21"/>
        <v>0.47298065644859538</v>
      </c>
      <c r="AH58" s="944">
        <f t="shared" si="11"/>
        <v>0.35061340919845774</v>
      </c>
      <c r="AI58" s="944">
        <f t="shared" si="12"/>
        <v>0.10150470552657781</v>
      </c>
      <c r="AJ58" s="944">
        <f t="shared" si="13"/>
        <v>7.4901228826369307E-2</v>
      </c>
      <c r="AL58" s="945">
        <f t="shared" si="1"/>
        <v>1.0000000000000002</v>
      </c>
      <c r="AN58" s="946">
        <f t="shared" si="22"/>
        <v>0.45752759977383772</v>
      </c>
      <c r="AO58" s="946">
        <f t="shared" si="23"/>
        <v>0.37253061692059969</v>
      </c>
      <c r="AP58" s="946">
        <f t="shared" si="24"/>
        <v>9.6664020349695859E-2</v>
      </c>
      <c r="AQ58" s="947">
        <f t="shared" si="25"/>
        <v>7.3277762955866951E-2</v>
      </c>
      <c r="AS58" s="950">
        <f t="shared" si="26"/>
        <v>11700836404.414871</v>
      </c>
      <c r="AT58" s="950">
        <f t="shared" si="15"/>
        <v>9591333734.5088215</v>
      </c>
      <c r="AU58" s="950">
        <f t="shared" si="15"/>
        <v>2469846298.5878959</v>
      </c>
      <c r="AV58" s="950">
        <f t="shared" si="15"/>
        <v>1876137538.6932957</v>
      </c>
      <c r="AX58" s="952">
        <f t="shared" si="27"/>
        <v>25638153976.20488</v>
      </c>
    </row>
    <row r="59" spans="1:50" ht="15.75" thickBot="1">
      <c r="A59" s="127" t="s">
        <v>27</v>
      </c>
      <c r="B59" s="291">
        <f>KMA!B59*FRO_TOT!B59</f>
        <v>1881350407.5555694</v>
      </c>
      <c r="C59" s="291">
        <f>KMA!C59*FRO_TOT!C59</f>
        <v>267786577.8749314</v>
      </c>
      <c r="D59" s="291">
        <f>KMA!D59*FRO_TOT!D59</f>
        <v>310154806.57763845</v>
      </c>
      <c r="E59" s="291">
        <f>KMA!E59*FRO_TOT!E59</f>
        <v>3970943474.651763</v>
      </c>
      <c r="F59" s="291">
        <f>KMA!F59*FRO_TOT!F59</f>
        <v>55628519.580367424</v>
      </c>
      <c r="G59" s="291">
        <f>KMA!G59*FRO_TOT!G59</f>
        <v>16469899.001297917</v>
      </c>
      <c r="H59" s="291">
        <f>KMA!H59*FRO_TOT!H59</f>
        <v>126138491.28628974</v>
      </c>
      <c r="I59" s="291">
        <f>KMA!I59*FRO_TOT!I59</f>
        <v>17120844.273338709</v>
      </c>
      <c r="J59" s="291">
        <f>KMA!J59*FRO_TOT!J59</f>
        <v>345279355.56207353</v>
      </c>
      <c r="K59" s="291">
        <f>KMA!K59*FRO_TOT!K59</f>
        <v>329919100.25830519</v>
      </c>
      <c r="L59" s="291">
        <f>KMA!L59*FRO_TOT!L59</f>
        <v>78859234.615565926</v>
      </c>
      <c r="M59" s="291">
        <f>KMA!M59*FRO_TOT!M59</f>
        <v>85766267.692558572</v>
      </c>
      <c r="N59" s="291">
        <f>KMA!N59*FRO_TOT!N59</f>
        <v>391795796.85140979</v>
      </c>
      <c r="O59" s="291">
        <f>KMA!O59*FRO_TOT!O59</f>
        <v>58259476.54832229</v>
      </c>
      <c r="P59" s="291">
        <f>KMA!P59*FRO_TOT!P59</f>
        <v>11762009.639979081</v>
      </c>
      <c r="Q59" s="291">
        <f>KMA!Q59*FRO_TOT!Q59</f>
        <v>486885528.38631493</v>
      </c>
      <c r="R59" s="291">
        <f>KMA!R59*FRO_TOT!R59</f>
        <v>0</v>
      </c>
      <c r="S59" s="690">
        <f t="shared" si="16"/>
        <v>8434119790.3557272</v>
      </c>
      <c r="U59" s="733">
        <f>(B59+C59+H59+I59+P59+Q59+R59)/(DEN!C55+DEN!F55+DEN!G55+DEN!L55)</f>
        <v>12543.171736810657</v>
      </c>
      <c r="V59" s="734">
        <f>SUM(D59:G59)/SUM(DEN!I55:J55)</f>
        <v>15128.976954153128</v>
      </c>
      <c r="W59" s="734">
        <f>SUM(J59:L59)/SUM(DEN!D55:E55)</f>
        <v>42135.543721275404</v>
      </c>
      <c r="X59" s="735">
        <f>SUM(M59:O59)/(DEN!H55+DEN!K55)</f>
        <v>108050.3208494234</v>
      </c>
      <c r="AB59" s="733">
        <f t="shared" si="17"/>
        <v>2791043859.0164232</v>
      </c>
      <c r="AC59" s="734">
        <f t="shared" si="18"/>
        <v>4353196699.8110666</v>
      </c>
      <c r="AD59" s="734">
        <f t="shared" si="19"/>
        <v>754057690.43594468</v>
      </c>
      <c r="AE59" s="735">
        <f t="shared" si="20"/>
        <v>535821541.09229064</v>
      </c>
      <c r="AG59" s="944">
        <f t="shared" si="21"/>
        <v>0.3309229567984005</v>
      </c>
      <c r="AH59" s="944">
        <f t="shared" si="11"/>
        <v>0.51614119884672172</v>
      </c>
      <c r="AI59" s="944">
        <f t="shared" si="12"/>
        <v>8.9405617797626832E-2</v>
      </c>
      <c r="AJ59" s="944">
        <f t="shared" si="13"/>
        <v>6.3530226557250644E-2</v>
      </c>
      <c r="AL59" s="945">
        <f t="shared" si="1"/>
        <v>0.99999999999999956</v>
      </c>
      <c r="AN59" s="946">
        <f t="shared" si="22"/>
        <v>0.32124286573464106</v>
      </c>
      <c r="AO59" s="946">
        <f t="shared" si="23"/>
        <v>0.53511915104709085</v>
      </c>
      <c r="AP59" s="946">
        <f t="shared" si="24"/>
        <v>8.280028831675583E-2</v>
      </c>
      <c r="AQ59" s="947">
        <f t="shared" si="25"/>
        <v>6.0837694901512314E-2</v>
      </c>
      <c r="AS59" s="950">
        <f t="shared" si="26"/>
        <v>3038558581.4504299</v>
      </c>
      <c r="AT59" s="950">
        <f t="shared" ref="AT59:AT75" si="28">AVERAGE(AC59,AC97,AC135)</f>
        <v>5089058734.5105257</v>
      </c>
      <c r="AU59" s="950">
        <f t="shared" ref="AU59:AU75" si="29">AVERAGE(AD59,AD97,AD135)</f>
        <v>780007100.23054886</v>
      </c>
      <c r="AV59" s="950">
        <f t="shared" ref="AV59:AV75" si="30">AVERAGE(AE59,AE97,AE135)</f>
        <v>575000060.07957637</v>
      </c>
      <c r="AX59" s="952">
        <f t="shared" si="27"/>
        <v>9482624476.2710819</v>
      </c>
    </row>
    <row r="60" spans="1:50" ht="15.75" thickBot="1">
      <c r="A60" s="127" t="s">
        <v>28</v>
      </c>
      <c r="B60" s="291">
        <f>KMA!B60*FRO_TOT!B60</f>
        <v>2559604673.3642755</v>
      </c>
      <c r="C60" s="291">
        <f>KMA!C60*FRO_TOT!C60</f>
        <v>407503302.78710794</v>
      </c>
      <c r="D60" s="291">
        <f>KMA!D60*FRO_TOT!D60</f>
        <v>217556550.63739675</v>
      </c>
      <c r="E60" s="291">
        <f>KMA!E60*FRO_TOT!E60</f>
        <v>3493620010.2292299</v>
      </c>
      <c r="F60" s="291">
        <f>KMA!F60*FRO_TOT!F60</f>
        <v>48941096.427931353</v>
      </c>
      <c r="G60" s="291">
        <f>KMA!G60*FRO_TOT!G60</f>
        <v>14490365.294220269</v>
      </c>
      <c r="H60" s="291">
        <f>KMA!H60*FRO_TOT!H60</f>
        <v>523122098.29929644</v>
      </c>
      <c r="I60" s="291">
        <f>KMA!I60*FRO_TOT!I60</f>
        <v>66158080.718316771</v>
      </c>
      <c r="J60" s="291">
        <f>KMA!J60*FRO_TOT!J60</f>
        <v>332864188.51123619</v>
      </c>
      <c r="K60" s="291">
        <f>KMA!K60*FRO_TOT!K60</f>
        <v>318087992.47144681</v>
      </c>
      <c r="L60" s="291">
        <f>KMA!L60*FRO_TOT!L60</f>
        <v>82280800.968855664</v>
      </c>
      <c r="M60" s="291">
        <f>KMA!M60*FRO_TOT!M60</f>
        <v>122511164.93803032</v>
      </c>
      <c r="N60" s="291">
        <f>KMA!N60*FRO_TOT!N60</f>
        <v>394007827.04008496</v>
      </c>
      <c r="O60" s="291">
        <f>KMA!O60*FRO_TOT!O60</f>
        <v>58607365.233793363</v>
      </c>
      <c r="P60" s="291">
        <f>KMA!P60*FRO_TOT!P60</f>
        <v>9005578.2208774202</v>
      </c>
      <c r="Q60" s="291">
        <f>KMA!Q60*FRO_TOT!Q60</f>
        <v>351465853.21581966</v>
      </c>
      <c r="R60" s="291">
        <f>KMA!R60*FRO_TOT!R60</f>
        <v>906182658</v>
      </c>
      <c r="S60" s="690">
        <f t="shared" si="16"/>
        <v>9906009606.3579197</v>
      </c>
      <c r="U60" s="733">
        <f>(B60+C60+H60+I60+P60+Q60+R60)/(DEN!C56+DEN!F56+DEN!G56+DEN!L56)</f>
        <v>12523.121339507061</v>
      </c>
      <c r="V60" s="734">
        <f>SUM(D60:G60)/SUM(DEN!I56:J56)</f>
        <v>14348.41190334354</v>
      </c>
      <c r="W60" s="734">
        <f>SUM(J60:L60)/SUM(DEN!D56:E56)</f>
        <v>31270.598002027404</v>
      </c>
      <c r="X60" s="735">
        <f>SUM(M60:O60)/(DEN!H56+DEN!K56)</f>
        <v>74353.763052606155</v>
      </c>
      <c r="AB60" s="733">
        <f t="shared" si="17"/>
        <v>4823042244.6056938</v>
      </c>
      <c r="AC60" s="734">
        <f t="shared" si="18"/>
        <v>3774608022.5887785</v>
      </c>
      <c r="AD60" s="734">
        <f t="shared" si="19"/>
        <v>733232981.95153856</v>
      </c>
      <c r="AE60" s="735">
        <f t="shared" si="20"/>
        <v>575126357.21190858</v>
      </c>
      <c r="AG60" s="944">
        <f t="shared" si="21"/>
        <v>0.48688043281425319</v>
      </c>
      <c r="AH60" s="944">
        <f t="shared" si="11"/>
        <v>0.38104223320822772</v>
      </c>
      <c r="AI60" s="944">
        <f t="shared" si="12"/>
        <v>7.4019005743839753E-2</v>
      </c>
      <c r="AJ60" s="944">
        <f t="shared" si="13"/>
        <v>5.8058328233679318E-2</v>
      </c>
      <c r="AL60" s="945">
        <f t="shared" si="1"/>
        <v>1</v>
      </c>
      <c r="AN60" s="946">
        <f t="shared" si="22"/>
        <v>0.47149256144094509</v>
      </c>
      <c r="AO60" s="946">
        <f t="shared" si="23"/>
        <v>0.39997987662418111</v>
      </c>
      <c r="AP60" s="946">
        <f t="shared" si="24"/>
        <v>7.2004960261635872E-2</v>
      </c>
      <c r="AQ60" s="947">
        <f t="shared" si="25"/>
        <v>5.6522601673238027E-2</v>
      </c>
      <c r="AS60" s="950">
        <f t="shared" si="26"/>
        <v>5257753632.9602852</v>
      </c>
      <c r="AT60" s="950">
        <f t="shared" si="28"/>
        <v>4486723010.666625</v>
      </c>
      <c r="AU60" s="950">
        <f t="shared" si="29"/>
        <v>804185705.19289875</v>
      </c>
      <c r="AV60" s="950">
        <f t="shared" si="30"/>
        <v>631559535.41737509</v>
      </c>
      <c r="AX60" s="952">
        <f t="shared" si="27"/>
        <v>11180221884.237185</v>
      </c>
    </row>
    <row r="61" spans="1:50" ht="15.75" thickBot="1">
      <c r="A61" s="128" t="s">
        <v>29</v>
      </c>
      <c r="B61" s="291">
        <f>KMA!B61*FRO_TOT!B61</f>
        <v>1776937702.8019626</v>
      </c>
      <c r="C61" s="291">
        <f>KMA!C61*FRO_TOT!C61</f>
        <v>220453303.10064569</v>
      </c>
      <c r="D61" s="291">
        <f>KMA!D61*FRO_TOT!D61</f>
        <v>150939647.25570396</v>
      </c>
      <c r="E61" s="291">
        <f>KMA!E61*FRO_TOT!E61</f>
        <v>2002524589.5586414</v>
      </c>
      <c r="F61" s="291">
        <f>KMA!F61*FRO_TOT!F61</f>
        <v>28054198.492483951</v>
      </c>
      <c r="G61" s="291">
        <f>KMA!G61*FRO_TOT!G61</f>
        <v>8306136.5717933476</v>
      </c>
      <c r="H61" s="291">
        <f>KMA!H61*FRO_TOT!H61</f>
        <v>265490123.16565382</v>
      </c>
      <c r="I61" s="291">
        <f>KMA!I61*FRO_TOT!I61</f>
        <v>26905815.56052874</v>
      </c>
      <c r="J61" s="291">
        <f>KMA!J61*FRO_TOT!J61</f>
        <v>234647948.40263534</v>
      </c>
      <c r="K61" s="291">
        <f>KMA!K61*FRO_TOT!K61</f>
        <v>224210424.05283073</v>
      </c>
      <c r="L61" s="291">
        <f>KMA!L61*FRO_TOT!L61</f>
        <v>57662649.118124105</v>
      </c>
      <c r="M61" s="291">
        <f>KMA!M61*FRO_TOT!M61</f>
        <v>89260184.348887637</v>
      </c>
      <c r="N61" s="291">
        <f>KMA!N61*FRO_TOT!N61</f>
        <v>391008948.98032534</v>
      </c>
      <c r="O61" s="291">
        <f>KMA!O61*FRO_TOT!O61</f>
        <v>58113079.130560055</v>
      </c>
      <c r="P61" s="291">
        <f>KMA!P61*FRO_TOT!P61</f>
        <v>4273264.6822043126</v>
      </c>
      <c r="Q61" s="291">
        <f>KMA!Q61*FRO_TOT!Q61</f>
        <v>133500288.16442816</v>
      </c>
      <c r="R61" s="291">
        <f>KMA!R61*FRO_TOT!R61</f>
        <v>483106950</v>
      </c>
      <c r="S61" s="690">
        <f t="shared" si="16"/>
        <v>6155395253.3874092</v>
      </c>
      <c r="U61" s="733">
        <f>(B61+C61+H61+I61+P61+Q61+R61)/(DEN!C57+DEN!F57+DEN!G57+DEN!L57)</f>
        <v>12977.94454862012</v>
      </c>
      <c r="V61" s="734">
        <f>SUM(D61:G61)/SUM(DEN!I57:J57)</f>
        <v>15389.220862699043</v>
      </c>
      <c r="W61" s="734">
        <f>SUM(J61:L61)/SUM(DEN!D57:E57)</f>
        <v>31744.884861015929</v>
      </c>
      <c r="X61" s="735">
        <f>SUM(M61:O61)/(DEN!H57+DEN!K57)</f>
        <v>80511.77096751504</v>
      </c>
      <c r="AB61" s="733">
        <f t="shared" si="17"/>
        <v>2910667447.4754233</v>
      </c>
      <c r="AC61" s="734">
        <f t="shared" si="18"/>
        <v>2189824571.878623</v>
      </c>
      <c r="AD61" s="734">
        <f t="shared" si="19"/>
        <v>516521021.57359016</v>
      </c>
      <c r="AE61" s="735">
        <f t="shared" si="20"/>
        <v>538382212.45977306</v>
      </c>
      <c r="AG61" s="944">
        <f t="shared" si="21"/>
        <v>0.47286442667895906</v>
      </c>
      <c r="AH61" s="944">
        <f t="shared" si="11"/>
        <v>0.3557569387073119</v>
      </c>
      <c r="AI61" s="944">
        <f t="shared" si="12"/>
        <v>8.3913542560786925E-2</v>
      </c>
      <c r="AJ61" s="944">
        <f t="shared" si="13"/>
        <v>8.7465092052942173E-2</v>
      </c>
      <c r="AL61" s="945">
        <f t="shared" si="1"/>
        <v>1</v>
      </c>
      <c r="AN61" s="946">
        <f t="shared" si="22"/>
        <v>0.46107110863491618</v>
      </c>
      <c r="AO61" s="946">
        <f t="shared" si="23"/>
        <v>0.37826098111041428</v>
      </c>
      <c r="AP61" s="946">
        <f t="shared" si="24"/>
        <v>7.8861410226604645E-2</v>
      </c>
      <c r="AQ61" s="947">
        <f t="shared" si="25"/>
        <v>8.1806500028064888E-2</v>
      </c>
      <c r="AS61" s="950">
        <f t="shared" si="26"/>
        <v>3111771271.7158742</v>
      </c>
      <c r="AT61" s="950">
        <f t="shared" si="28"/>
        <v>2565148620.9355206</v>
      </c>
      <c r="AU61" s="950">
        <f t="shared" si="29"/>
        <v>530950322.02167934</v>
      </c>
      <c r="AV61" s="950">
        <f t="shared" si="30"/>
        <v>550511221.40751469</v>
      </c>
      <c r="AX61" s="952">
        <f t="shared" si="27"/>
        <v>6758381436.0805883</v>
      </c>
    </row>
    <row r="62" spans="1:50" ht="15.75" thickBot="1">
      <c r="A62" s="269" t="s">
        <v>64</v>
      </c>
      <c r="B62" s="291">
        <f>KMA!B62*FRO_TOT!B62</f>
        <v>101972280369.76971</v>
      </c>
      <c r="C62" s="291">
        <f>KMA!C62*FRO_TOT!C62</f>
        <v>13820532618.38315</v>
      </c>
      <c r="D62" s="291">
        <f>KMA!D62*FRO_TOT!D62</f>
        <v>5177871964.0613079</v>
      </c>
      <c r="E62" s="291">
        <f>KMA!E62*FRO_TOT!E62</f>
        <v>77698333835.350693</v>
      </c>
      <c r="F62" s="291">
        <f>KMA!F62*FRO_TOT!F62</f>
        <v>1088455026.1870222</v>
      </c>
      <c r="G62" s="291">
        <f>KMA!G62*FRO_TOT!G62</f>
        <v>322261273.95721382</v>
      </c>
      <c r="H62" s="291">
        <f>KMA!H62*FRO_TOT!H62</f>
        <v>67330569547.265579</v>
      </c>
      <c r="I62" s="291">
        <f>KMA!I62*FRO_TOT!I62</f>
        <v>7500578965.3969107</v>
      </c>
      <c r="J62" s="291">
        <f>KMA!J62*FRO_TOT!J62</f>
        <v>14749145064.185352</v>
      </c>
      <c r="K62" s="291">
        <f>KMA!K62*FRO_TOT!K62</f>
        <v>14093249111.707191</v>
      </c>
      <c r="L62" s="291">
        <f>KMA!L62*FRO_TOT!L62</f>
        <v>8247471988.4147234</v>
      </c>
      <c r="M62" s="291">
        <f>KMA!M62*FRO_TOT!M62</f>
        <v>4737177598.7989254</v>
      </c>
      <c r="N62" s="291">
        <f>KMA!N62*FRO_TOT!N62</f>
        <v>21745671361.899452</v>
      </c>
      <c r="O62" s="291">
        <f>KMA!O62*FRO_TOT!O62</f>
        <v>2604248765.0995207</v>
      </c>
      <c r="P62" s="291">
        <f>KMA!P62*FRO_TOT!P62</f>
        <v>261318821.75871912</v>
      </c>
      <c r="Q62" s="291">
        <f>KMA!Q62*FRO_TOT!Q62</f>
        <v>9370016772.9825077</v>
      </c>
      <c r="R62" s="291">
        <f>KMA!R62*FRO_TOT!R62</f>
        <v>18950871390</v>
      </c>
      <c r="S62" s="690">
        <f t="shared" si="16"/>
        <v>369670054475.21808</v>
      </c>
      <c r="U62" s="733">
        <f>(B62+C62+H62+I62+P62+Q62+R62)/(DEN!C58+DEN!F58+DEN!G58+DEN!L58)</f>
        <v>9363.1266224537612</v>
      </c>
      <c r="V62" s="734">
        <f>SUM(D62:G62)/SUM(DEN!I58:J58)</f>
        <v>13174.047273183081</v>
      </c>
      <c r="W62" s="734">
        <f>SUM(J62:L62)/SUM(DEN!D58:E58)</f>
        <v>32472.702488305116</v>
      </c>
      <c r="X62" s="735">
        <f>SUM(M62:O62)/(DEN!H58+DEN!K58)</f>
        <v>77692.80295149365</v>
      </c>
      <c r="AB62" s="733">
        <f t="shared" si="17"/>
        <v>219206168485.55661</v>
      </c>
      <c r="AC62" s="734">
        <f t="shared" si="18"/>
        <v>84286922099.556244</v>
      </c>
      <c r="AD62" s="734">
        <f t="shared" si="19"/>
        <v>37089866164.307266</v>
      </c>
      <c r="AE62" s="735">
        <f t="shared" si="20"/>
        <v>29087097725.797901</v>
      </c>
      <c r="AG62" s="944">
        <f t="shared" si="21"/>
        <v>0.59297788888185898</v>
      </c>
      <c r="AH62" s="944">
        <f t="shared" si="11"/>
        <v>0.22800581512941201</v>
      </c>
      <c r="AI62" s="944">
        <f t="shared" si="12"/>
        <v>0.10033235236475908</v>
      </c>
      <c r="AJ62" s="944">
        <f t="shared" si="13"/>
        <v>7.8683943623969799E-2</v>
      </c>
      <c r="AL62" s="945">
        <f t="shared" si="1"/>
        <v>0.99999999999999989</v>
      </c>
      <c r="AN62" s="946">
        <f t="shared" si="22"/>
        <v>0.5807374230567468</v>
      </c>
      <c r="AO62" s="946">
        <f t="shared" si="23"/>
        <v>0.24469823794336976</v>
      </c>
      <c r="AP62" s="946">
        <f t="shared" si="24"/>
        <v>9.8068599883436566E-2</v>
      </c>
      <c r="AQ62" s="947">
        <f t="shared" si="25"/>
        <v>7.6495739116446873E-2</v>
      </c>
      <c r="AS62" s="733">
        <f t="shared" si="26"/>
        <v>229680979710.75574</v>
      </c>
      <c r="AT62" s="733">
        <f t="shared" si="28"/>
        <v>97100074951.072205</v>
      </c>
      <c r="AU62" s="733">
        <f t="shared" si="29"/>
        <v>38780417867.680527</v>
      </c>
      <c r="AV62" s="733">
        <f t="shared" si="30"/>
        <v>30245154269.968609</v>
      </c>
      <c r="AX62" s="952">
        <f t="shared" si="27"/>
        <v>395806626799.47711</v>
      </c>
    </row>
    <row r="63" spans="1:50" ht="15.75" thickBot="1">
      <c r="A63" s="127" t="s">
        <v>31</v>
      </c>
      <c r="B63" s="291">
        <f>KMA!B63*FRO_TOT!B63</f>
        <v>4593065545.4572306</v>
      </c>
      <c r="C63" s="291">
        <f>KMA!C63*FRO_TOT!C63</f>
        <v>687095621.26640725</v>
      </c>
      <c r="D63" s="291">
        <f>KMA!D63*FRO_TOT!D63</f>
        <v>365989141.78914911</v>
      </c>
      <c r="E63" s="291">
        <f>KMA!E63*FRO_TOT!E63</f>
        <v>3926413007.257484</v>
      </c>
      <c r="F63" s="291">
        <f>KMA!F63*FRO_TOT!F63</f>
        <v>55002176.021224648</v>
      </c>
      <c r="G63" s="291">
        <f>KMA!G63*FRO_TOT!G63</f>
        <v>16284986.76541994</v>
      </c>
      <c r="H63" s="291">
        <f>KMA!H63*FRO_TOT!H63</f>
        <v>564297399.71193337</v>
      </c>
      <c r="I63" s="291">
        <f>KMA!I63*FRO_TOT!I63</f>
        <v>74000836.989037827</v>
      </c>
      <c r="J63" s="291">
        <f>KMA!J63*FRO_TOT!J63</f>
        <v>452802495.05266255</v>
      </c>
      <c r="K63" s="291">
        <f>KMA!K63*FRO_TOT!K63</f>
        <v>432673666.54598427</v>
      </c>
      <c r="L63" s="291">
        <f>KMA!L63*FRO_TOT!L63</f>
        <v>350275563.52861625</v>
      </c>
      <c r="M63" s="291">
        <f>KMA!M63*FRO_TOT!M63</f>
        <v>156518649.71085772</v>
      </c>
      <c r="N63" s="291">
        <f>KMA!N63*FRO_TOT!N63</f>
        <v>979571016.38525248</v>
      </c>
      <c r="O63" s="291">
        <f>KMA!O63*FRO_TOT!O63</f>
        <v>137491537.37535918</v>
      </c>
      <c r="P63" s="291">
        <f>KMA!P63*FRO_TOT!P63</f>
        <v>14420344.372034447</v>
      </c>
      <c r="Q63" s="291">
        <f>KMA!Q63*FRO_TOT!Q63</f>
        <v>577440099.61286199</v>
      </c>
      <c r="R63" s="291">
        <f>KMA!R63*FRO_TOT!R63</f>
        <v>469518642</v>
      </c>
      <c r="S63" s="690">
        <f t="shared" si="16"/>
        <v>13852860729.841513</v>
      </c>
      <c r="U63" s="733">
        <f>(B63+C63+H63+I63+P63+Q63+R63)/(DEN!C59+DEN!F59+DEN!G59+DEN!L59)</f>
        <v>9183.3213465974932</v>
      </c>
      <c r="V63" s="734">
        <f>SUM(D63:G63)/SUM(DEN!I59:J59)</f>
        <v>13196.348403059441</v>
      </c>
      <c r="W63" s="734">
        <f>SUM(J63:L63)/SUM(DEN!D59:E59)</f>
        <v>18816.73937732802</v>
      </c>
      <c r="X63" s="735">
        <f>SUM(M63:O63)/(DEN!H59+DEN!K59)</f>
        <v>75619.356577097104</v>
      </c>
      <c r="AB63" s="733">
        <f t="shared" si="17"/>
        <v>6979838489.4095039</v>
      </c>
      <c r="AC63" s="734">
        <f t="shared" si="18"/>
        <v>4363689311.8332777</v>
      </c>
      <c r="AD63" s="734">
        <f t="shared" si="19"/>
        <v>1235751725.1272631</v>
      </c>
      <c r="AE63" s="735">
        <f t="shared" si="20"/>
        <v>1273581203.4714694</v>
      </c>
      <c r="AG63" s="944">
        <f t="shared" si="21"/>
        <v>0.50385538594015433</v>
      </c>
      <c r="AH63" s="944">
        <f t="shared" si="11"/>
        <v>0.315002756248976</v>
      </c>
      <c r="AI63" s="944">
        <f t="shared" si="12"/>
        <v>8.9205525791884649E-2</v>
      </c>
      <c r="AJ63" s="944">
        <f t="shared" si="13"/>
        <v>9.1936332018985087E-2</v>
      </c>
      <c r="AL63" s="945">
        <f t="shared" si="1"/>
        <v>1</v>
      </c>
      <c r="AN63" s="946">
        <f t="shared" si="22"/>
        <v>0.496701888813115</v>
      </c>
      <c r="AO63" s="946">
        <f t="shared" si="23"/>
        <v>0.32442412890879435</v>
      </c>
      <c r="AP63" s="946">
        <f t="shared" si="24"/>
        <v>8.861464990234813E-2</v>
      </c>
      <c r="AQ63" s="947">
        <f t="shared" si="25"/>
        <v>9.0259332375742504E-2</v>
      </c>
      <c r="AS63" s="951">
        <f t="shared" si="26"/>
        <v>7636719609.145299</v>
      </c>
      <c r="AT63" s="951">
        <f t="shared" si="28"/>
        <v>5002920719.6802378</v>
      </c>
      <c r="AU63" s="951">
        <f t="shared" si="29"/>
        <v>1361700574.28424</v>
      </c>
      <c r="AV63" s="951">
        <f t="shared" si="30"/>
        <v>1385721251.5833297</v>
      </c>
      <c r="AX63" s="952">
        <f t="shared" si="27"/>
        <v>15387062154.693108</v>
      </c>
    </row>
    <row r="64" spans="1:50" ht="15.75" thickBot="1">
      <c r="A64" s="127" t="s">
        <v>32</v>
      </c>
      <c r="B64" s="291">
        <f>KMA!B64*FRO_TOT!B64</f>
        <v>26838271751.064007</v>
      </c>
      <c r="C64" s="291">
        <f>KMA!C64*FRO_TOT!C64</f>
        <v>3651128136.7645035</v>
      </c>
      <c r="D64" s="291">
        <f>KMA!D64*FRO_TOT!D64</f>
        <v>1037692684.1434207</v>
      </c>
      <c r="E64" s="291">
        <f>KMA!E64*FRO_TOT!E64</f>
        <v>23353256771.972416</v>
      </c>
      <c r="F64" s="291">
        <f>KMA!F64*FRO_TOT!F64</f>
        <v>327147568.37584013</v>
      </c>
      <c r="G64" s="291">
        <f>KMA!G64*FRO_TOT!G64</f>
        <v>96859848.670637161</v>
      </c>
      <c r="H64" s="291">
        <f>KMA!H64*FRO_TOT!H64</f>
        <v>5559266040.9211664</v>
      </c>
      <c r="I64" s="291">
        <f>KMA!I64*FRO_TOT!I64</f>
        <v>681588397.33775604</v>
      </c>
      <c r="J64" s="291">
        <f>KMA!J64*FRO_TOT!J64</f>
        <v>5523835245.8551073</v>
      </c>
      <c r="K64" s="291">
        <f>KMA!K64*FRO_TOT!K64</f>
        <v>5278133927.085247</v>
      </c>
      <c r="L64" s="291">
        <f>KMA!L64*FRO_TOT!L64</f>
        <v>2998638602.3679628</v>
      </c>
      <c r="M64" s="291">
        <f>KMA!M64*FRO_TOT!M64</f>
        <v>891524457.68432343</v>
      </c>
      <c r="N64" s="291">
        <f>KMA!N64*FRO_TOT!N64</f>
        <v>5636914141.1655083</v>
      </c>
      <c r="O64" s="291">
        <f>KMA!O64*FRO_TOT!O64</f>
        <v>622256701.72843182</v>
      </c>
      <c r="P64" s="291">
        <f>KMA!P64*FRO_TOT!P64</f>
        <v>70274650.825819194</v>
      </c>
      <c r="Q64" s="291">
        <f>KMA!Q64*FRO_TOT!Q64</f>
        <v>2678420935.9617443</v>
      </c>
      <c r="R64" s="291">
        <f>KMA!R64*FRO_TOT!R64</f>
        <v>609227771.99999988</v>
      </c>
      <c r="S64" s="690">
        <f t="shared" si="16"/>
        <v>85854437633.92392</v>
      </c>
      <c r="U64" s="733">
        <f>(B64+C64+H64+I64+P64+Q64+R64)/(DEN!C60+DEN!F60+DEN!G60+DEN!L60)</f>
        <v>9148.8527549420087</v>
      </c>
      <c r="V64" s="734">
        <f>SUM(D64:G64)/SUM(DEN!I60:J60)</f>
        <v>14189.656756188117</v>
      </c>
      <c r="W64" s="734">
        <f>SUM(J64:L64)/SUM(DEN!D60:E60)</f>
        <v>48122.126399780725</v>
      </c>
      <c r="X64" s="735">
        <f>SUM(M64:O64)/(DEN!H60+DEN!K60)</f>
        <v>86331.860006015631</v>
      </c>
      <c r="AB64" s="733">
        <f t="shared" si="17"/>
        <v>40088177684.875</v>
      </c>
      <c r="AC64" s="734">
        <f t="shared" si="18"/>
        <v>24814956873.162315</v>
      </c>
      <c r="AD64" s="734">
        <f t="shared" si="19"/>
        <v>13800607775.308315</v>
      </c>
      <c r="AE64" s="735">
        <f t="shared" si="20"/>
        <v>7150695300.5782633</v>
      </c>
      <c r="AG64" s="944">
        <f t="shared" si="21"/>
        <v>0.46693192326071259</v>
      </c>
      <c r="AH64" s="944">
        <f t="shared" si="11"/>
        <v>0.28903522703125956</v>
      </c>
      <c r="AI64" s="944">
        <f t="shared" si="12"/>
        <v>0.16074425685662216</v>
      </c>
      <c r="AJ64" s="944">
        <f t="shared" si="13"/>
        <v>8.3288592851405358E-2</v>
      </c>
      <c r="AL64" s="945">
        <f t="shared" si="1"/>
        <v>0.99999999999999967</v>
      </c>
      <c r="AN64" s="946">
        <f t="shared" si="22"/>
        <v>0.46407174248616206</v>
      </c>
      <c r="AO64" s="946">
        <f t="shared" si="23"/>
        <v>0.29642970440190447</v>
      </c>
      <c r="AP64" s="946">
        <f t="shared" si="24"/>
        <v>0.15785630223955796</v>
      </c>
      <c r="AQ64" s="947">
        <f t="shared" si="25"/>
        <v>8.1642250872375421E-2</v>
      </c>
      <c r="AS64" s="951">
        <f t="shared" si="26"/>
        <v>42462622958.740379</v>
      </c>
      <c r="AT64" s="951">
        <f t="shared" si="28"/>
        <v>27153101933.891956</v>
      </c>
      <c r="AU64" s="951">
        <f t="shared" si="29"/>
        <v>14430834612.108347</v>
      </c>
      <c r="AV64" s="951">
        <f t="shared" si="30"/>
        <v>7463419717.3776398</v>
      </c>
      <c r="AX64" s="952">
        <f t="shared" si="27"/>
        <v>91509979222.118332</v>
      </c>
    </row>
    <row r="65" spans="1:64" ht="15.75" thickBot="1">
      <c r="A65" s="127" t="s">
        <v>33</v>
      </c>
      <c r="B65" s="291">
        <f>KMA!B65*FRO_TOT!B65</f>
        <v>14446615048.004589</v>
      </c>
      <c r="C65" s="291">
        <f>KMA!C65*FRO_TOT!C65</f>
        <v>2231316652.9173942</v>
      </c>
      <c r="D65" s="291">
        <f>KMA!D65*FRO_TOT!D65</f>
        <v>716205625.9780097</v>
      </c>
      <c r="E65" s="291">
        <f>KMA!E65*FRO_TOT!E65</f>
        <v>8384262468.193821</v>
      </c>
      <c r="F65" s="291">
        <f>KMA!F65*FRO_TOT!F65</f>
        <v>117452959.90258861</v>
      </c>
      <c r="G65" s="291">
        <f>KMA!G65*FRO_TOT!G65</f>
        <v>34773618.24227865</v>
      </c>
      <c r="H65" s="291">
        <f>KMA!H65*FRO_TOT!H65</f>
        <v>5062750888.7671633</v>
      </c>
      <c r="I65" s="291">
        <f>KMA!I65*FRO_TOT!I65</f>
        <v>501591340.62840873</v>
      </c>
      <c r="J65" s="291">
        <f>KMA!J65*FRO_TOT!J65</f>
        <v>1271346494.5078051</v>
      </c>
      <c r="K65" s="291">
        <f>KMA!K65*FRO_TOT!K65</f>
        <v>1214823731.7342572</v>
      </c>
      <c r="L65" s="291">
        <f>KMA!L65*FRO_TOT!L65</f>
        <v>386722961.62427914</v>
      </c>
      <c r="M65" s="291">
        <f>KMA!M65*FRO_TOT!M65</f>
        <v>1243133991.1567919</v>
      </c>
      <c r="N65" s="291">
        <f>KMA!N65*FRO_TOT!N65</f>
        <v>3726145750.3813124</v>
      </c>
      <c r="O65" s="291">
        <f>KMA!O65*FRO_TOT!O65</f>
        <v>570827942.48035181</v>
      </c>
      <c r="P65" s="291">
        <f>KMA!P65*FRO_TOT!P65</f>
        <v>28295180.187138587</v>
      </c>
      <c r="Q65" s="291">
        <f>KMA!Q65*FRO_TOT!Q65</f>
        <v>873082046.42945158</v>
      </c>
      <c r="R65" s="291">
        <f>KMA!R65*FRO_TOT!R65</f>
        <v>13149637049.999998</v>
      </c>
      <c r="S65" s="690">
        <f t="shared" si="16"/>
        <v>53958983751.135643</v>
      </c>
      <c r="U65" s="733">
        <f>(B65+C65+H65+I65+P65+Q65+R65)/(DEN!C61+DEN!F61+DEN!G61+DEN!L61)</f>
        <v>10515.706273861129</v>
      </c>
      <c r="V65" s="734">
        <f>SUM(D65:G65)/SUM(DEN!I61:J61)</f>
        <v>14562.435251159066</v>
      </c>
      <c r="W65" s="734">
        <f>SUM(J65:L65)/SUM(DEN!D61:E61)</f>
        <v>24671.463063276897</v>
      </c>
      <c r="X65" s="735">
        <f>SUM(M65:O65)/(DEN!H61+DEN!K61)</f>
        <v>85807.999566607643</v>
      </c>
      <c r="AB65" s="733">
        <f t="shared" si="17"/>
        <v>36293288206.934143</v>
      </c>
      <c r="AC65" s="734">
        <f t="shared" si="18"/>
        <v>9252694672.3166981</v>
      </c>
      <c r="AD65" s="734">
        <f t="shared" si="19"/>
        <v>2872893187.8663416</v>
      </c>
      <c r="AE65" s="735">
        <f t="shared" si="20"/>
        <v>5540107684.0184555</v>
      </c>
      <c r="AG65" s="944">
        <f t="shared" si="21"/>
        <v>0.67260881662120442</v>
      </c>
      <c r="AH65" s="944">
        <f t="shared" si="11"/>
        <v>0.17147644431168446</v>
      </c>
      <c r="AI65" s="944">
        <f t="shared" si="12"/>
        <v>5.3242166329825986E-2</v>
      </c>
      <c r="AJ65" s="944">
        <f t="shared" si="13"/>
        <v>0.10267257273728503</v>
      </c>
      <c r="AL65" s="945">
        <f t="shared" si="1"/>
        <v>0.99999999999999989</v>
      </c>
      <c r="AN65" s="946">
        <f t="shared" si="22"/>
        <v>0.66041060052832534</v>
      </c>
      <c r="AO65" s="946">
        <f t="shared" si="23"/>
        <v>0.18603232425011951</v>
      </c>
      <c r="AP65" s="946">
        <f t="shared" si="24"/>
        <v>5.2901491092495527E-2</v>
      </c>
      <c r="AQ65" s="947">
        <f t="shared" si="25"/>
        <v>0.10065558412905962</v>
      </c>
      <c r="AS65" s="951">
        <f t="shared" si="26"/>
        <v>38353100168.289894</v>
      </c>
      <c r="AT65" s="951">
        <f t="shared" si="28"/>
        <v>10846745140.729784</v>
      </c>
      <c r="AU65" s="951">
        <f t="shared" si="29"/>
        <v>3073435007.1820092</v>
      </c>
      <c r="AV65" s="951">
        <f t="shared" si="30"/>
        <v>5844796660.6150465</v>
      </c>
      <c r="AX65" s="952">
        <f t="shared" si="27"/>
        <v>58118076976.816727</v>
      </c>
    </row>
    <row r="66" spans="1:64" ht="15.75" thickBot="1">
      <c r="A66" s="128" t="s">
        <v>34</v>
      </c>
      <c r="B66" s="291">
        <f>KMA!B66*FRO_TOT!B66</f>
        <v>56083889807.429634</v>
      </c>
      <c r="C66" s="291">
        <f>KMA!C66*FRO_TOT!C66</f>
        <v>7299168515.8664742</v>
      </c>
      <c r="D66" s="291">
        <f>KMA!D66*FRO_TOT!D66</f>
        <v>3032584815.6553144</v>
      </c>
      <c r="E66" s="291">
        <f>KMA!E66*FRO_TOT!E66</f>
        <v>41934605591.24823</v>
      </c>
      <c r="F66" s="291">
        <f>KMA!F66*FRO_TOT!F66</f>
        <v>587453982.73175597</v>
      </c>
      <c r="G66" s="291">
        <f>KMA!G66*FRO_TOT!G66</f>
        <v>173928746.23124939</v>
      </c>
      <c r="H66" s="291">
        <f>KMA!H66*FRO_TOT!H66</f>
        <v>56150605042.308685</v>
      </c>
      <c r="I66" s="291">
        <f>KMA!I66*FRO_TOT!I66</f>
        <v>6237406728.5280609</v>
      </c>
      <c r="J66" s="291">
        <f>KMA!J66*FRO_TOT!J66</f>
        <v>7557925201.8209362</v>
      </c>
      <c r="K66" s="291">
        <f>KMA!K66*FRO_TOT!K66</f>
        <v>7221852472.4847612</v>
      </c>
      <c r="L66" s="291">
        <f>KMA!L66*FRO_TOT!L66</f>
        <v>4485278804.3681936</v>
      </c>
      <c r="M66" s="291">
        <f>KMA!M66*FRO_TOT!M66</f>
        <v>2461468392.1016455</v>
      </c>
      <c r="N66" s="291">
        <f>KMA!N66*FRO_TOT!N66</f>
        <v>11386809968.46994</v>
      </c>
      <c r="O66" s="291">
        <f>KMA!O66*FRO_TOT!O66</f>
        <v>1277835908.1352382</v>
      </c>
      <c r="P66" s="291">
        <f>KMA!P66*FRO_TOT!P66</f>
        <v>146218189.86546013</v>
      </c>
      <c r="Q66" s="291">
        <f>KMA!Q66*FRO_TOT!Q66</f>
        <v>5159622251.7249022</v>
      </c>
      <c r="R66" s="291">
        <f>KMA!R66*FRO_TOT!R66</f>
        <v>4722487926</v>
      </c>
      <c r="S66" s="690">
        <f t="shared" si="16"/>
        <v>215919142344.97046</v>
      </c>
      <c r="U66" s="733">
        <f>(B66+C66+H66+I66+P66+Q66+R66)/(DEN!C62+DEN!F62+DEN!G62+DEN!L62)</f>
        <v>9164.1958856035526</v>
      </c>
      <c r="V66" s="734">
        <f>SUM(D66:G66)/SUM(DEN!I62:J62)</f>
        <v>12415.814090899885</v>
      </c>
      <c r="W66" s="734">
        <f>SUM(J66:L66)/SUM(DEN!D62:E62)</f>
        <v>28613.566457355133</v>
      </c>
      <c r="X66" s="735">
        <f>SUM(M66:O66)/(DEN!H62+DEN!K62)</f>
        <v>71977.017914208889</v>
      </c>
      <c r="AB66" s="733">
        <f t="shared" si="17"/>
        <v>135799398461.72322</v>
      </c>
      <c r="AC66" s="734">
        <f t="shared" si="18"/>
        <v>45728573135.866547</v>
      </c>
      <c r="AD66" s="734">
        <f t="shared" si="19"/>
        <v>19265056478.673893</v>
      </c>
      <c r="AE66" s="735">
        <f t="shared" si="20"/>
        <v>15126114268.706825</v>
      </c>
      <c r="AG66" s="944">
        <f t="shared" si="21"/>
        <v>0.62893635546568982</v>
      </c>
      <c r="AH66" s="944">
        <f t="shared" si="11"/>
        <v>0.21178563715674065</v>
      </c>
      <c r="AI66" s="944">
        <f t="shared" si="12"/>
        <v>8.9223476295095819E-2</v>
      </c>
      <c r="AJ66" s="944">
        <f t="shared" si="13"/>
        <v>7.0054531082473837E-2</v>
      </c>
      <c r="AL66" s="945">
        <f t="shared" si="1"/>
        <v>1.0000000000000002</v>
      </c>
      <c r="AN66" s="946">
        <f t="shared" si="22"/>
        <v>0.61308818947928623</v>
      </c>
      <c r="AO66" s="946">
        <f t="shared" si="23"/>
        <v>0.23263094637776302</v>
      </c>
      <c r="AP66" s="946">
        <f t="shared" si="24"/>
        <v>8.6589596293981927E-2</v>
      </c>
      <c r="AQ66" s="947">
        <f t="shared" si="25"/>
        <v>6.769126784896877E-2</v>
      </c>
      <c r="AS66" s="951">
        <f t="shared" si="26"/>
        <v>141243357780.67126</v>
      </c>
      <c r="AT66" s="951">
        <f t="shared" si="28"/>
        <v>53808830019.392578</v>
      </c>
      <c r="AU66" s="951">
        <f t="shared" si="29"/>
        <v>19946634627.732845</v>
      </c>
      <c r="AV66" s="951">
        <f t="shared" si="30"/>
        <v>15591670304.309198</v>
      </c>
      <c r="AX66" s="952">
        <f t="shared" si="27"/>
        <v>230590492732.1059</v>
      </c>
    </row>
    <row r="67" spans="1:64" ht="15.75" thickBot="1">
      <c r="A67" s="269" t="s">
        <v>69</v>
      </c>
      <c r="B67" s="291">
        <f>KMA!B67*FRO_TOT!B67</f>
        <v>48926757742.941345</v>
      </c>
      <c r="C67" s="291">
        <f>KMA!C67*FRO_TOT!C67</f>
        <v>5772376829.7302895</v>
      </c>
      <c r="D67" s="291">
        <f>KMA!D67*FRO_TOT!D67</f>
        <v>3104058261.8776236</v>
      </c>
      <c r="E67" s="291">
        <f>KMA!E67*FRO_TOT!E67</f>
        <v>31334961095.21743</v>
      </c>
      <c r="F67" s="291">
        <f>KMA!F67*FRO_TOT!F67</f>
        <v>438963142.81464279</v>
      </c>
      <c r="G67" s="291">
        <f>KMA!G67*FRO_TOT!G67</f>
        <v>129967686.56923598</v>
      </c>
      <c r="H67" s="291">
        <f>KMA!H67*FRO_TOT!H67</f>
        <v>12603152791.873055</v>
      </c>
      <c r="I67" s="291">
        <f>KMA!I67*FRO_TOT!I67</f>
        <v>1391962412.2138476</v>
      </c>
      <c r="J67" s="291">
        <f>KMA!J67*FRO_TOT!J67</f>
        <v>7131661442.2233877</v>
      </c>
      <c r="K67" s="291">
        <f>KMA!K67*FRO_TOT!K67</f>
        <v>6814642691.5346327</v>
      </c>
      <c r="L67" s="291">
        <f>KMA!L67*FRO_TOT!L67</f>
        <v>6114522427.2263355</v>
      </c>
      <c r="M67" s="291">
        <f>KMA!M67*FRO_TOT!M67</f>
        <v>1089526788.5208819</v>
      </c>
      <c r="N67" s="291">
        <f>KMA!N67*FRO_TOT!N67</f>
        <v>6739397386.4325628</v>
      </c>
      <c r="O67" s="291">
        <f>KMA!O67*FRO_TOT!O67</f>
        <v>796376197.65973842</v>
      </c>
      <c r="P67" s="291">
        <f>KMA!P67*FRO_TOT!P67</f>
        <v>147999605.6866076</v>
      </c>
      <c r="Q67" s="291">
        <f>KMA!Q67*FRO_TOT!Q67</f>
        <v>4903124572.7700176</v>
      </c>
      <c r="R67" s="291">
        <f>KMA!R67*FRO_TOT!R67</f>
        <v>3330677334</v>
      </c>
      <c r="S67" s="690">
        <f t="shared" si="16"/>
        <v>140770128409.29166</v>
      </c>
      <c r="U67" s="733">
        <f>(B67+C67+H67+I67+P67+Q67+R67)/(DEN!C63+DEN!F63+DEN!G63+DEN!L63)</f>
        <v>8627.9338956720057</v>
      </c>
      <c r="V67" s="734">
        <f>SUM(D67:G67)/SUM(DEN!I63:J63)</f>
        <v>12737.24561273484</v>
      </c>
      <c r="W67" s="734">
        <f>SUM(J67:L67)/SUM(DEN!D63:E63)</f>
        <v>31455.726338591976</v>
      </c>
      <c r="X67" s="735">
        <f>SUM(M67:O67)/(DEN!H63+DEN!K63)</f>
        <v>76074.266824953098</v>
      </c>
      <c r="AB67" s="733">
        <f t="shared" si="17"/>
        <v>77076051289.215164</v>
      </c>
      <c r="AC67" s="734">
        <f t="shared" si="18"/>
        <v>35007950186.478935</v>
      </c>
      <c r="AD67" s="734">
        <f t="shared" si="19"/>
        <v>20060826560.984356</v>
      </c>
      <c r="AE67" s="735">
        <f t="shared" si="20"/>
        <v>8625300372.6131821</v>
      </c>
      <c r="AG67" s="944">
        <f t="shared" si="21"/>
        <v>0.54753129914831911</v>
      </c>
      <c r="AH67" s="944">
        <f t="shared" si="11"/>
        <v>0.24868877070775056</v>
      </c>
      <c r="AI67" s="944">
        <f t="shared" si="12"/>
        <v>0.14250769525944557</v>
      </c>
      <c r="AJ67" s="944">
        <f t="shared" si="13"/>
        <v>6.127223488448464E-2</v>
      </c>
      <c r="AL67" s="945">
        <f t="shared" si="1"/>
        <v>0.99999999999999989</v>
      </c>
      <c r="AN67" s="946">
        <f t="shared" si="22"/>
        <v>0.54590148195375343</v>
      </c>
      <c r="AO67" s="946">
        <f t="shared" si="23"/>
        <v>0.25723058267654997</v>
      </c>
      <c r="AP67" s="946">
        <f t="shared" si="24"/>
        <v>0.13755179402545395</v>
      </c>
      <c r="AQ67" s="947">
        <f t="shared" si="25"/>
        <v>5.9316141344242734E-2</v>
      </c>
      <c r="AS67" s="733">
        <f t="shared" si="26"/>
        <v>82305273450.509827</v>
      </c>
      <c r="AT67" s="733">
        <f t="shared" si="28"/>
        <v>38832071345.637505</v>
      </c>
      <c r="AU67" s="733">
        <f t="shared" si="29"/>
        <v>20696768014.293377</v>
      </c>
      <c r="AV67" s="733">
        <f t="shared" si="30"/>
        <v>8926538445.767952</v>
      </c>
      <c r="AX67" s="952">
        <f t="shared" si="27"/>
        <v>150760651256.20865</v>
      </c>
    </row>
    <row r="68" spans="1:64" ht="15.75" thickBot="1">
      <c r="A68" s="127" t="s">
        <v>36</v>
      </c>
      <c r="B68" s="291">
        <f>KMA!B68*FRO_TOT!B68</f>
        <v>14382678270.333191</v>
      </c>
      <c r="C68" s="291">
        <f>KMA!C68*FRO_TOT!C68</f>
        <v>1813836341.1997409</v>
      </c>
      <c r="D68" s="291">
        <f>KMA!D68*FRO_TOT!D68</f>
        <v>1088748767.4672265</v>
      </c>
      <c r="E68" s="291">
        <f>KMA!E68*FRO_TOT!E68</f>
        <v>10084466812.073025</v>
      </c>
      <c r="F68" s="291">
        <f>KMA!F68*FRO_TOT!F68</f>
        <v>141271901.19740689</v>
      </c>
      <c r="G68" s="291">
        <f>KMA!G68*FRO_TOT!G68</f>
        <v>41827672.362342522</v>
      </c>
      <c r="H68" s="291">
        <f>KMA!H68*FRO_TOT!H68</f>
        <v>9020447583.2468548</v>
      </c>
      <c r="I68" s="291">
        <f>KMA!I68*FRO_TOT!I68</f>
        <v>1014031866.6250861</v>
      </c>
      <c r="J68" s="291">
        <f>KMA!J68*FRO_TOT!J68</f>
        <v>2872856018.5220671</v>
      </c>
      <c r="K68" s="291">
        <f>KMA!K68*FRO_TOT!K68</f>
        <v>2745164345.0234675</v>
      </c>
      <c r="L68" s="291">
        <f>KMA!L68*FRO_TOT!L68</f>
        <v>2672237678.3483863</v>
      </c>
      <c r="M68" s="291">
        <f>KMA!M68*FRO_TOT!M68</f>
        <v>404714890.94018203</v>
      </c>
      <c r="N68" s="291">
        <f>KMA!N68*FRO_TOT!N68</f>
        <v>2677192061.4892173</v>
      </c>
      <c r="O68" s="291">
        <f>KMA!O68*FRO_TOT!O68</f>
        <v>316345651.47732419</v>
      </c>
      <c r="P68" s="291">
        <f>KMA!P68*FRO_TOT!P68</f>
        <v>57014266.762126021</v>
      </c>
      <c r="Q68" s="291">
        <f>KMA!Q68*FRO_TOT!Q68</f>
        <v>2017251959.2314568</v>
      </c>
      <c r="R68" s="291">
        <f>KMA!R68*FRO_TOT!R68</f>
        <v>413793827.99999994</v>
      </c>
      <c r="S68" s="690">
        <f t="shared" si="16"/>
        <v>51763879914.299103</v>
      </c>
      <c r="U68" s="733">
        <f>(B68+C68+H68+I68+P68+Q68+R68)/(DEN!C64+DEN!F64+DEN!G64+DEN!L64)</f>
        <v>8316.3484802034145</v>
      </c>
      <c r="V68" s="734">
        <f>SUM(D68:G68)/SUM(DEN!I64:J64)</f>
        <v>11127.173273871171</v>
      </c>
      <c r="W68" s="734">
        <f>SUM(J68:L68)/SUM(DEN!D64:E64)</f>
        <v>30944.767891207408</v>
      </c>
      <c r="X68" s="735">
        <f>SUM(M68:O68)/(DEN!H64+DEN!K64)</f>
        <v>75247.505677613954</v>
      </c>
      <c r="AB68" s="733">
        <f t="shared" si="17"/>
        <v>28719054115.398457</v>
      </c>
      <c r="AC68" s="734">
        <f t="shared" si="18"/>
        <v>11356315153.1</v>
      </c>
      <c r="AD68" s="734">
        <f t="shared" si="19"/>
        <v>8290258041.8939209</v>
      </c>
      <c r="AE68" s="735">
        <f t="shared" si="20"/>
        <v>3398252603.9067235</v>
      </c>
      <c r="AG68" s="944">
        <f t="shared" si="21"/>
        <v>0.55480876168761051</v>
      </c>
      <c r="AH68" s="944">
        <f t="shared" si="11"/>
        <v>0.21938686149302664</v>
      </c>
      <c r="AI68" s="944">
        <f t="shared" si="12"/>
        <v>0.16015526764259888</v>
      </c>
      <c r="AJ68" s="944">
        <f t="shared" si="13"/>
        <v>6.5649109176764017E-2</v>
      </c>
      <c r="AL68" s="945">
        <f t="shared" si="1"/>
        <v>1</v>
      </c>
      <c r="AN68" s="946">
        <f t="shared" si="22"/>
        <v>0.54543466871039648</v>
      </c>
      <c r="AO68" s="946">
        <f t="shared" si="23"/>
        <v>0.23520842676433776</v>
      </c>
      <c r="AP68" s="946">
        <f t="shared" si="24"/>
        <v>0.15547931822639316</v>
      </c>
      <c r="AQ68" s="947">
        <f t="shared" si="25"/>
        <v>6.3877586298872815E-2</v>
      </c>
      <c r="AS68" s="951">
        <f t="shared" si="26"/>
        <v>30843445694.140011</v>
      </c>
      <c r="AT68" s="951">
        <f t="shared" si="28"/>
        <v>13351322659.239014</v>
      </c>
      <c r="AU68" s="951">
        <f t="shared" si="29"/>
        <v>8776750657.6176529</v>
      </c>
      <c r="AV68" s="951">
        <f t="shared" si="30"/>
        <v>3606163968.2291198</v>
      </c>
      <c r="AX68" s="952">
        <f t="shared" si="27"/>
        <v>56577682979.2258</v>
      </c>
    </row>
    <row r="69" spans="1:64" ht="15.75" thickBot="1">
      <c r="A69" s="127" t="s">
        <v>37</v>
      </c>
      <c r="B69" s="291">
        <f>KMA!B69*FRO_TOT!B69</f>
        <v>20946312053.30949</v>
      </c>
      <c r="C69" s="291">
        <f>KMA!C69*FRO_TOT!C69</f>
        <v>2312071974.3934622</v>
      </c>
      <c r="D69" s="291">
        <f>KMA!D69*FRO_TOT!D69</f>
        <v>839122497.66356874</v>
      </c>
      <c r="E69" s="291">
        <f>KMA!E69*FRO_TOT!E69</f>
        <v>11487112029.695335</v>
      </c>
      <c r="F69" s="291">
        <f>KMA!F69*FRO_TOT!F69</f>
        <v>160918686.9373363</v>
      </c>
      <c r="G69" s="291">
        <f>KMA!G69*FRO_TOT!G69</f>
        <v>47643948.685383782</v>
      </c>
      <c r="H69" s="291">
        <f>KMA!H69*FRO_TOT!H69</f>
        <v>1631780528.9503131</v>
      </c>
      <c r="I69" s="291">
        <f>KMA!I69*FRO_TOT!I69</f>
        <v>163802657.24488148</v>
      </c>
      <c r="J69" s="291">
        <f>KMA!J69*FRO_TOT!J69</f>
        <v>2563336998.147696</v>
      </c>
      <c r="K69" s="291">
        <f>KMA!K69*FRO_TOT!K69</f>
        <v>2449386775.8030896</v>
      </c>
      <c r="L69" s="291">
        <f>KMA!L69*FRO_TOT!L69</f>
        <v>1834995893.6637909</v>
      </c>
      <c r="M69" s="291">
        <f>KMA!M69*FRO_TOT!M69</f>
        <v>445732325.11288178</v>
      </c>
      <c r="N69" s="291">
        <f>KMA!N69*FRO_TOT!N69</f>
        <v>2758076802.7805977</v>
      </c>
      <c r="O69" s="291">
        <f>KMA!O69*FRO_TOT!O69</f>
        <v>325942921.97855335</v>
      </c>
      <c r="P69" s="291">
        <f>KMA!P69*FRO_TOT!P69</f>
        <v>55860240.103056028</v>
      </c>
      <c r="Q69" s="291">
        <f>KMA!Q69*FRO_TOT!Q69</f>
        <v>1727940752.1081321</v>
      </c>
      <c r="R69" s="291">
        <f>KMA!R69*FRO_TOT!R69</f>
        <v>1102338342</v>
      </c>
      <c r="S69" s="690">
        <f t="shared" si="16"/>
        <v>50852375428.577576</v>
      </c>
      <c r="U69" s="733">
        <f>(B69+C69+H69+I69+P69+Q69+R69)/(DEN!C65+DEN!F65+DEN!G65+DEN!L65)</f>
        <v>8495.4418656178659</v>
      </c>
      <c r="V69" s="734">
        <f>SUM(D69:G69)/SUM(DEN!I65:J65)</f>
        <v>13580.554155144358</v>
      </c>
      <c r="W69" s="734">
        <f>SUM(J69:L69)/SUM(DEN!D65:E65)</f>
        <v>31866.607415127841</v>
      </c>
      <c r="X69" s="735">
        <f>SUM(M69:O69)/(DEN!H65+DEN!K65)</f>
        <v>78376.233454836853</v>
      </c>
      <c r="AB69" s="733">
        <f t="shared" si="17"/>
        <v>27940106548.109337</v>
      </c>
      <c r="AC69" s="734">
        <f t="shared" si="18"/>
        <v>12534797162.981623</v>
      </c>
      <c r="AD69" s="734">
        <f t="shared" si="19"/>
        <v>6847719667.6145763</v>
      </c>
      <c r="AE69" s="735">
        <f t="shared" si="20"/>
        <v>3529752049.8720326</v>
      </c>
      <c r="AG69" s="944">
        <f t="shared" si="21"/>
        <v>0.54943562247846933</v>
      </c>
      <c r="AH69" s="944">
        <f t="shared" si="11"/>
        <v>0.24649383745282086</v>
      </c>
      <c r="AI69" s="944">
        <f t="shared" si="12"/>
        <v>0.13465879636699044</v>
      </c>
      <c r="AJ69" s="944">
        <f t="shared" si="13"/>
        <v>6.941174370171925E-2</v>
      </c>
      <c r="AL69" s="945">
        <f t="shared" ref="AL69:AL132" si="31">SUM(AG69:AJ69)</f>
        <v>0.99999999999999978</v>
      </c>
      <c r="AN69" s="946">
        <f t="shared" si="22"/>
        <v>0.55406641668068868</v>
      </c>
      <c r="AO69" s="946">
        <f t="shared" si="23"/>
        <v>0.25190150652018356</v>
      </c>
      <c r="AP69" s="946">
        <f t="shared" si="24"/>
        <v>0.12776087375195286</v>
      </c>
      <c r="AQ69" s="947">
        <f t="shared" si="25"/>
        <v>6.6271203047174945E-2</v>
      </c>
      <c r="AS69" s="951">
        <f t="shared" si="26"/>
        <v>29747843840.145405</v>
      </c>
      <c r="AT69" s="951">
        <f t="shared" si="28"/>
        <v>13529729727.183006</v>
      </c>
      <c r="AU69" s="951">
        <f t="shared" si="29"/>
        <v>6842670950.9894972</v>
      </c>
      <c r="AV69" s="951">
        <f t="shared" si="30"/>
        <v>3550570756.130146</v>
      </c>
      <c r="AX69" s="952">
        <f t="shared" si="27"/>
        <v>53670815274.448059</v>
      </c>
    </row>
    <row r="70" spans="1:64" ht="15.75" thickBot="1">
      <c r="A70" s="128" t="s">
        <v>38</v>
      </c>
      <c r="B70" s="291">
        <f>KMA!B70*FRO_TOT!B70</f>
        <v>13647493585.88163</v>
      </c>
      <c r="C70" s="291">
        <f>KMA!C70*FRO_TOT!C70</f>
        <v>1632220910.8791156</v>
      </c>
      <c r="D70" s="291">
        <f>KMA!D70*FRO_TOT!D70</f>
        <v>1162207691.7363162</v>
      </c>
      <c r="E70" s="291">
        <f>KMA!E70*FRO_TOT!E70</f>
        <v>9684087611.1798592</v>
      </c>
      <c r="F70" s="291">
        <f>KMA!F70*FRO_TOT!F70</f>
        <v>135661487.74856892</v>
      </c>
      <c r="G70" s="291">
        <f>KMA!G70*FRO_TOT!G70</f>
        <v>40167123.707019001</v>
      </c>
      <c r="H70" s="291">
        <f>KMA!H70*FRO_TOT!H70</f>
        <v>1955929798.7452171</v>
      </c>
      <c r="I70" s="291">
        <f>KMA!I70*FRO_TOT!I70</f>
        <v>209405083.55321029</v>
      </c>
      <c r="J70" s="291">
        <f>KMA!J70*FRO_TOT!J70</f>
        <v>1695877103.2878954</v>
      </c>
      <c r="K70" s="291">
        <f>KMA!K70*FRO_TOT!K70</f>
        <v>1620481653.8979583</v>
      </c>
      <c r="L70" s="291">
        <f>KMA!L70*FRO_TOT!L70</f>
        <v>1591540974.4175408</v>
      </c>
      <c r="M70" s="291">
        <f>KMA!M70*FRO_TOT!M70</f>
        <v>241611270.23251352</v>
      </c>
      <c r="N70" s="291">
        <f>KMA!N70*FRO_TOT!N70</f>
        <v>1315889585.6396832</v>
      </c>
      <c r="O70" s="291">
        <f>KMA!O70*FRO_TOT!O70</f>
        <v>155478535.540259</v>
      </c>
      <c r="P70" s="291">
        <f>KMA!P70*FRO_TOT!P70</f>
        <v>35275988.917814963</v>
      </c>
      <c r="Q70" s="291">
        <f>KMA!Q70*FRO_TOT!Q70</f>
        <v>1156182560.413738</v>
      </c>
      <c r="R70" s="291">
        <f>KMA!R70*FRO_TOT!R70</f>
        <v>1814545164</v>
      </c>
      <c r="S70" s="690">
        <f t="shared" si="16"/>
        <v>38094056129.778343</v>
      </c>
      <c r="U70" s="733">
        <f>(B70+C70+H70+I70+P70+Q70+R70)/(DEN!C66+DEN!F66+DEN!G66+DEN!L66)</f>
        <v>9333.4579673235021</v>
      </c>
      <c r="V70" s="734">
        <f>SUM(D70:G70)/SUM(DEN!I66:J66)</f>
        <v>13694.086728702798</v>
      </c>
      <c r="W70" s="734">
        <f>SUM(J70:L70)/SUM(DEN!D66:E66)</f>
        <v>31672.860241638882</v>
      </c>
      <c r="X70" s="735">
        <f>SUM(M70:O70)/(DEN!H66+DEN!K66)</f>
        <v>73889.461735429213</v>
      </c>
      <c r="AB70" s="733">
        <f t="shared" si="17"/>
        <v>20451053092.390728</v>
      </c>
      <c r="AC70" s="734">
        <f t="shared" si="18"/>
        <v>11022123914.371765</v>
      </c>
      <c r="AD70" s="734">
        <f t="shared" si="19"/>
        <v>4907899731.6033945</v>
      </c>
      <c r="AE70" s="735">
        <f t="shared" si="20"/>
        <v>1712979391.4124556</v>
      </c>
      <c r="AG70" s="944">
        <f t="shared" si="21"/>
        <v>0.53685680051287643</v>
      </c>
      <c r="AH70" s="944">
        <f t="shared" si="11"/>
        <v>0.28933972997839175</v>
      </c>
      <c r="AI70" s="944">
        <f t="shared" si="12"/>
        <v>0.12883636530810016</v>
      </c>
      <c r="AJ70" s="944">
        <f t="shared" si="13"/>
        <v>4.49671042006317E-2</v>
      </c>
      <c r="AL70" s="945">
        <f t="shared" si="31"/>
        <v>1</v>
      </c>
      <c r="AN70" s="946">
        <f t="shared" si="22"/>
        <v>0.53629278245438994</v>
      </c>
      <c r="AO70" s="946">
        <f t="shared" si="23"/>
        <v>0.29439842416459433</v>
      </c>
      <c r="AP70" s="946">
        <f t="shared" si="24"/>
        <v>0.12556300693331779</v>
      </c>
      <c r="AQ70" s="947">
        <f t="shared" si="25"/>
        <v>4.3745786447698019E-2</v>
      </c>
      <c r="AS70" s="951">
        <f t="shared" si="26"/>
        <v>21722674455.931152</v>
      </c>
      <c r="AT70" s="951">
        <f t="shared" si="28"/>
        <v>11932177733.654737</v>
      </c>
      <c r="AU70" s="951">
        <f t="shared" si="29"/>
        <v>5078339300.5549335</v>
      </c>
      <c r="AV70" s="951">
        <f t="shared" si="30"/>
        <v>1769144136.4627445</v>
      </c>
      <c r="AX70" s="952">
        <f>SUM(AS70:AV70)</f>
        <v>40502335626.603569</v>
      </c>
    </row>
    <row r="71" spans="1:64" ht="15.75" thickBot="1">
      <c r="A71" s="274" t="s">
        <v>73</v>
      </c>
      <c r="B71" s="291">
        <f>KMA!B71*FRO_TOT!B71</f>
        <v>20375354118.945065</v>
      </c>
      <c r="C71" s="291">
        <f>KMA!C71*FRO_TOT!C71</f>
        <v>2752403006.6470685</v>
      </c>
      <c r="D71" s="291">
        <f>KMA!D71*FRO_TOT!D71</f>
        <v>2128695539.9693599</v>
      </c>
      <c r="E71" s="291">
        <f>KMA!E71*FRO_TOT!E71</f>
        <v>17858382673.059074</v>
      </c>
      <c r="F71" s="291">
        <f>KMA!F71*FRO_TOT!F71</f>
        <v>250174707.75973266</v>
      </c>
      <c r="G71" s="291">
        <f>KMA!G71*FRO_TOT!G71</f>
        <v>74069434.566112518</v>
      </c>
      <c r="H71" s="291">
        <f>KMA!H71*FRO_TOT!H71</f>
        <v>10252754033.557178</v>
      </c>
      <c r="I71" s="291">
        <f>KMA!I71*FRO_TOT!I71</f>
        <v>1426782309.670481</v>
      </c>
      <c r="J71" s="291">
        <f>KMA!J71*FRO_TOT!J71</f>
        <v>4729603239.9325495</v>
      </c>
      <c r="K71" s="291">
        <f>KMA!K71*FRO_TOT!K71</f>
        <v>4519280588.9084244</v>
      </c>
      <c r="L71" s="291">
        <f>KMA!L71*FRO_TOT!L71</f>
        <v>3689815195.9105196</v>
      </c>
      <c r="M71" s="291">
        <f>KMA!M71*FRO_TOT!M71</f>
        <v>346561178.5870958</v>
      </c>
      <c r="N71" s="291">
        <f>KMA!N71*FRO_TOT!N71</f>
        <v>3173025095.9897113</v>
      </c>
      <c r="O71" s="291">
        <f>KMA!O71*FRO_TOT!O71</f>
        <v>330922094.86885905</v>
      </c>
      <c r="P71" s="291">
        <f>KMA!P71*FRO_TOT!P71</f>
        <v>79319435.393632263</v>
      </c>
      <c r="Q71" s="291">
        <f>KMA!Q71*FRO_TOT!Q71</f>
        <v>3344863911.4874201</v>
      </c>
      <c r="R71" s="291">
        <f>KMA!R71*FRO_TOT!R71</f>
        <v>210541494</v>
      </c>
      <c r="S71" s="690">
        <f t="shared" si="16"/>
        <v>75542548059.252289</v>
      </c>
      <c r="U71" s="733">
        <f>(B71+C71+H71+I71+P71+Q71+R71)/(DEN!C67+DEN!F67+DEN!G67+DEN!L67)</f>
        <v>11205.556751882777</v>
      </c>
      <c r="V71" s="734">
        <f>SUM(D71:G71)/SUM(DEN!I67:J67)</f>
        <v>12633.933590860295</v>
      </c>
      <c r="W71" s="734">
        <f>SUM(J71:L71)/SUM(DEN!D67:E67)</f>
        <v>55973.399253979922</v>
      </c>
      <c r="X71" s="735">
        <f>SUM(M71:O71)/(DEN!H67+DEN!K67)</f>
        <v>74831.086159935992</v>
      </c>
      <c r="AB71" s="733">
        <f t="shared" si="17"/>
        <v>38442018309.700844</v>
      </c>
      <c r="AC71" s="734">
        <f t="shared" si="18"/>
        <v>20311322355.354279</v>
      </c>
      <c r="AD71" s="734">
        <f t="shared" si="19"/>
        <v>12938699024.751492</v>
      </c>
      <c r="AE71" s="735">
        <f t="shared" si="20"/>
        <v>3850508369.4456663</v>
      </c>
      <c r="AG71" s="944">
        <f t="shared" si="21"/>
        <v>0.50887902642029759</v>
      </c>
      <c r="AH71" s="944">
        <f t="shared" si="11"/>
        <v>0.26887261387348177</v>
      </c>
      <c r="AI71" s="944">
        <f t="shared" si="12"/>
        <v>0.1712769738002872</v>
      </c>
      <c r="AJ71" s="944">
        <f t="shared" si="13"/>
        <v>5.0971385905933371E-2</v>
      </c>
      <c r="AL71" s="945">
        <f t="shared" si="31"/>
        <v>1</v>
      </c>
      <c r="AN71" s="946">
        <f t="shared" si="22"/>
        <v>0.50099060967477638</v>
      </c>
      <c r="AO71" s="946">
        <f t="shared" si="23"/>
        <v>0.2784143954198075</v>
      </c>
      <c r="AP71" s="946">
        <f t="shared" si="24"/>
        <v>0.17055458311998087</v>
      </c>
      <c r="AQ71" s="947">
        <f t="shared" si="25"/>
        <v>5.0040411785435245E-2</v>
      </c>
      <c r="AS71" s="733">
        <f t="shared" si="26"/>
        <v>41515904231.400688</v>
      </c>
      <c r="AT71" s="733">
        <f t="shared" si="28"/>
        <v>23131615681.565765</v>
      </c>
      <c r="AU71" s="733">
        <f t="shared" si="29"/>
        <v>14147699061.446764</v>
      </c>
      <c r="AV71" s="733">
        <f t="shared" si="30"/>
        <v>4146778692.546524</v>
      </c>
      <c r="AX71" s="952">
        <f t="shared" si="27"/>
        <v>82941997666.959747</v>
      </c>
    </row>
    <row r="72" spans="1:64" ht="15.75" thickBot="1">
      <c r="A72" s="127" t="s">
        <v>40</v>
      </c>
      <c r="B72" s="291">
        <f>KMA!B72*FRO_TOT!B72</f>
        <v>8156849974.5094986</v>
      </c>
      <c r="C72" s="291">
        <f>KMA!C72*FRO_TOT!C72</f>
        <v>856605645.86268914</v>
      </c>
      <c r="D72" s="291">
        <f>KMA!D72*FRO_TOT!D72</f>
        <v>69394108.914588213</v>
      </c>
      <c r="E72" s="291">
        <f>KMA!E72*FRO_TOT!E72</f>
        <v>1708131647.8558292</v>
      </c>
      <c r="F72" s="291">
        <f>KMA!F72*FRO_TOT!F72</f>
        <v>23928119.77030848</v>
      </c>
      <c r="G72" s="291">
        <f>KMA!G72*FRO_TOT!G72</f>
        <v>7085245.0866262801</v>
      </c>
      <c r="H72" s="291">
        <f>KMA!H72*FRO_TOT!H72</f>
        <v>910203764.22111368</v>
      </c>
      <c r="I72" s="291">
        <f>KMA!I72*FRO_TOT!I72</f>
        <v>89705657.352775455</v>
      </c>
      <c r="J72" s="291">
        <f>KMA!J72*FRO_TOT!J72</f>
        <v>444393603.93062943</v>
      </c>
      <c r="K72" s="291">
        <f>KMA!K72*FRO_TOT!K72</f>
        <v>424625750.51440489</v>
      </c>
      <c r="L72" s="291">
        <f>KMA!L72*FRO_TOT!L72</f>
        <v>163535442.69470283</v>
      </c>
      <c r="M72" s="291">
        <f>KMA!M72*FRO_TOT!M72</f>
        <v>104790092.9500117</v>
      </c>
      <c r="N72" s="291">
        <f>KMA!N72*FRO_TOT!N72</f>
        <v>685016152.92242146</v>
      </c>
      <c r="O72" s="291">
        <f>KMA!O72*FRO_TOT!O72</f>
        <v>71434259.517150342</v>
      </c>
      <c r="P72" s="291">
        <f>KMA!P72*FRO_TOT!P72</f>
        <v>12471297.702186197</v>
      </c>
      <c r="Q72" s="291">
        <f>KMA!Q72*FRO_TOT!Q72</f>
        <v>376179946.73211581</v>
      </c>
      <c r="R72" s="291">
        <f>KMA!R72*FRO_TOT!R72</f>
        <v>0</v>
      </c>
      <c r="S72" s="690">
        <f t="shared" si="16"/>
        <v>14104350710.537052</v>
      </c>
      <c r="U72" s="733">
        <f>(B72+C72+H72+I72+P72+Q72+R72)/(DEN!C68+DEN!F68+DEN!G68+DEN!L68)</f>
        <v>10284.190317908107</v>
      </c>
      <c r="V72" s="734">
        <f>SUM(D72:G72)/SUM(DEN!I68:J68)</f>
        <v>14065.805872180501</v>
      </c>
      <c r="W72" s="734">
        <f>SUM(J72:L72)/SUM(DEN!D68:E68)</f>
        <v>49352.585658146309</v>
      </c>
      <c r="X72" s="735">
        <f>SUM(M72:O72)/(DEN!H68+DEN!K68)</f>
        <v>65151.713850486689</v>
      </c>
      <c r="AB72" s="733">
        <f t="shared" si="17"/>
        <v>10402016286.380381</v>
      </c>
      <c r="AC72" s="734">
        <f t="shared" si="18"/>
        <v>1808539121.6273522</v>
      </c>
      <c r="AD72" s="734">
        <f t="shared" si="19"/>
        <v>1032554797.1397371</v>
      </c>
      <c r="AE72" s="735">
        <f t="shared" si="20"/>
        <v>861240505.38958359</v>
      </c>
      <c r="AG72" s="944">
        <f t="shared" si="21"/>
        <v>0.73750408649504595</v>
      </c>
      <c r="AH72" s="944">
        <f t="shared" si="11"/>
        <v>0.1282256205013558</v>
      </c>
      <c r="AI72" s="944">
        <f t="shared" si="12"/>
        <v>7.3208247464262077E-2</v>
      </c>
      <c r="AJ72" s="944">
        <f t="shared" si="13"/>
        <v>6.1062045539336286E-2</v>
      </c>
      <c r="AL72" s="945">
        <f t="shared" si="31"/>
        <v>1</v>
      </c>
      <c r="AN72" s="946">
        <f t="shared" si="22"/>
        <v>0.73915990471440096</v>
      </c>
      <c r="AO72" s="946">
        <f t="shared" si="23"/>
        <v>0.13297264388903043</v>
      </c>
      <c r="AP72" s="946">
        <f t="shared" si="24"/>
        <v>7.1432212278209714E-2</v>
      </c>
      <c r="AQ72" s="947">
        <f t="shared" si="25"/>
        <v>5.6435239118358953E-2</v>
      </c>
      <c r="AS72" s="951">
        <f t="shared" si="26"/>
        <v>11115682249.69042</v>
      </c>
      <c r="AT72" s="951">
        <f t="shared" si="28"/>
        <v>2002192125.5148842</v>
      </c>
      <c r="AU72" s="951">
        <f t="shared" si="29"/>
        <v>1073288038.1793909</v>
      </c>
      <c r="AV72" s="951">
        <f t="shared" si="30"/>
        <v>846045920.3791393</v>
      </c>
      <c r="AX72" s="952">
        <f t="shared" si="27"/>
        <v>15037208333.763836</v>
      </c>
    </row>
    <row r="73" spans="1:64" ht="15.75" thickBot="1">
      <c r="A73" s="127" t="s">
        <v>41</v>
      </c>
      <c r="B73" s="291">
        <f>KMA!B73*FRO_TOT!B73</f>
        <v>7350477138.9647579</v>
      </c>
      <c r="C73" s="291">
        <f>KMA!C73*FRO_TOT!C73</f>
        <v>1112689171.175498</v>
      </c>
      <c r="D73" s="291">
        <f>KMA!D73*FRO_TOT!D73</f>
        <v>957175350.1856004</v>
      </c>
      <c r="E73" s="291">
        <f>KMA!E73*FRO_TOT!E73</f>
        <v>7777888411.181777</v>
      </c>
      <c r="F73" s="291">
        <f>KMA!F73*FRO_TOT!F73</f>
        <v>108959496.59241328</v>
      </c>
      <c r="G73" s="291">
        <f>KMA!G73*FRO_TOT!G73</f>
        <v>32258311.95039418</v>
      </c>
      <c r="H73" s="291">
        <f>KMA!H73*FRO_TOT!H73</f>
        <v>5570654454.137682</v>
      </c>
      <c r="I73" s="291">
        <f>KMA!I73*FRO_TOT!I73</f>
        <v>762181719.36498153</v>
      </c>
      <c r="J73" s="291">
        <f>KMA!J73*FRO_TOT!J73</f>
        <v>1884195263.0006924</v>
      </c>
      <c r="K73" s="291">
        <f>KMA!K73*FRO_TOT!K73</f>
        <v>1800420691.0963271</v>
      </c>
      <c r="L73" s="291">
        <f>KMA!L73*FRO_TOT!L73</f>
        <v>1290898534.6589606</v>
      </c>
      <c r="M73" s="291">
        <f>KMA!M73*FRO_TOT!M73</f>
        <v>122100732.99068843</v>
      </c>
      <c r="N73" s="291">
        <f>KMA!N73*FRO_TOT!N73</f>
        <v>1234671008.6852036</v>
      </c>
      <c r="O73" s="291">
        <f>KMA!O73*FRO_TOT!O73</f>
        <v>128768596.65914412</v>
      </c>
      <c r="P73" s="291">
        <f>KMA!P73*FRO_TOT!P73</f>
        <v>27382915.023646358</v>
      </c>
      <c r="Q73" s="291">
        <f>KMA!Q73*FRO_TOT!Q73</f>
        <v>1181632555.3979287</v>
      </c>
      <c r="R73" s="291">
        <f>KMA!R73*FRO_TOT!R73</f>
        <v>0</v>
      </c>
      <c r="S73" s="690">
        <f t="shared" si="16"/>
        <v>31342354351.065708</v>
      </c>
      <c r="U73" s="733">
        <f>(B73+C73+H73+I73+P73+Q73+R73)/(DEN!C69+DEN!F69+DEN!G69+DEN!L69)</f>
        <v>11698.41152784847</v>
      </c>
      <c r="V73" s="734">
        <f>SUM(D73:G73)/SUM(DEN!I69:J69)</f>
        <v>12500.167682134854</v>
      </c>
      <c r="W73" s="734">
        <f>SUM(J73:L73)/SUM(DEN!D69:E69)</f>
        <v>50664.573990692727</v>
      </c>
      <c r="X73" s="735">
        <f>SUM(M73:O73)/(DEN!H69+DEN!K69)</f>
        <v>69750.227173210442</v>
      </c>
      <c r="AB73" s="733">
        <f t="shared" si="17"/>
        <v>16005017954.064495</v>
      </c>
      <c r="AC73" s="734">
        <f t="shared" si="18"/>
        <v>8876281569.9101849</v>
      </c>
      <c r="AD73" s="734">
        <f t="shared" si="19"/>
        <v>4975514488.7559795</v>
      </c>
      <c r="AE73" s="735">
        <f t="shared" si="20"/>
        <v>1485540338.335036</v>
      </c>
      <c r="AG73" s="944">
        <f t="shared" si="21"/>
        <v>0.51065142633486593</v>
      </c>
      <c r="AH73" s="944">
        <f t="shared" si="11"/>
        <v>0.28320404620811046</v>
      </c>
      <c r="AI73" s="944">
        <f t="shared" si="12"/>
        <v>0.15874731148225951</v>
      </c>
      <c r="AJ73" s="944">
        <f t="shared" si="13"/>
        <v>4.73972159747637E-2</v>
      </c>
      <c r="AL73" s="945">
        <f t="shared" si="31"/>
        <v>0.99999999999999956</v>
      </c>
      <c r="AN73" s="946">
        <f t="shared" si="22"/>
        <v>0.50016406397697832</v>
      </c>
      <c r="AO73" s="946">
        <f t="shared" si="23"/>
        <v>0.29248475629298393</v>
      </c>
      <c r="AP73" s="946">
        <f t="shared" si="24"/>
        <v>0.1604225827115853</v>
      </c>
      <c r="AQ73" s="947">
        <f t="shared" si="25"/>
        <v>4.6928597018452207E-2</v>
      </c>
      <c r="AS73" s="949">
        <f t="shared" si="26"/>
        <v>17119378753.649939</v>
      </c>
      <c r="AT73" s="949">
        <f t="shared" si="28"/>
        <v>10038099188.314308</v>
      </c>
      <c r="AU73" s="949">
        <f t="shared" si="29"/>
        <v>5502886774.5703497</v>
      </c>
      <c r="AV73" s="949">
        <f t="shared" si="30"/>
        <v>1608059757.7606895</v>
      </c>
      <c r="AX73" s="952">
        <f t="shared" si="27"/>
        <v>34268424474.295288</v>
      </c>
    </row>
    <row r="74" spans="1:64" ht="15.75" thickBot="1">
      <c r="A74" s="127" t="s">
        <v>42</v>
      </c>
      <c r="B74" s="291">
        <f>KMA!B74*FRO_TOT!B74</f>
        <v>1868496654.5965397</v>
      </c>
      <c r="C74" s="291">
        <f>KMA!C74*FRO_TOT!C74</f>
        <v>321627763.48288357</v>
      </c>
      <c r="D74" s="291">
        <f>KMA!D74*FRO_TOT!D74</f>
        <v>687907636.87033582</v>
      </c>
      <c r="E74" s="291">
        <f>KMA!E74*FRO_TOT!E74</f>
        <v>4973285097.849803</v>
      </c>
      <c r="F74" s="291">
        <f>KMA!F74*FRO_TOT!F74</f>
        <v>69668957.488571316</v>
      </c>
      <c r="G74" s="291">
        <f>KMA!G74*FRO_TOT!G74</f>
        <v>20628413.445824116</v>
      </c>
      <c r="H74" s="291">
        <f>KMA!H74*FRO_TOT!H74</f>
        <v>2672265533.027854</v>
      </c>
      <c r="I74" s="291">
        <f>KMA!I74*FRO_TOT!I74</f>
        <v>422520433.14176732</v>
      </c>
      <c r="J74" s="291">
        <f>KMA!J74*FRO_TOT!J74</f>
        <v>1369741252.7982903</v>
      </c>
      <c r="K74" s="291">
        <f>KMA!K74*FRO_TOT!K74</f>
        <v>1308846402.8961723</v>
      </c>
      <c r="L74" s="291">
        <f>KMA!L74*FRO_TOT!L74</f>
        <v>1536813372.9126296</v>
      </c>
      <c r="M74" s="291">
        <f>KMA!M74*FRO_TOT!M74</f>
        <v>56303140.294556685</v>
      </c>
      <c r="N74" s="291">
        <f>KMA!N74*FRO_TOT!N74</f>
        <v>636228286.49719954</v>
      </c>
      <c r="O74" s="291">
        <f>KMA!O74*FRO_TOT!O74</f>
        <v>66371268.483608358</v>
      </c>
      <c r="P74" s="291">
        <f>KMA!P74*FRO_TOT!P74</f>
        <v>22260051.504660621</v>
      </c>
      <c r="Q74" s="291">
        <f>KMA!Q74*FRO_TOT!Q74</f>
        <v>1086282039.3753219</v>
      </c>
      <c r="R74" s="291">
        <f>KMA!R74*FRO_TOT!R74</f>
        <v>23936100</v>
      </c>
      <c r="S74" s="690">
        <f t="shared" si="16"/>
        <v>17143182404.666019</v>
      </c>
      <c r="U74" s="733">
        <f>(B74+C74+H74+I74+P74+Q74+R74)/(DEN!C70+DEN!F70+DEN!G70+DEN!L70)</f>
        <v>12392.800319657777</v>
      </c>
      <c r="V74" s="734">
        <f>SUM(D74:G74)/SUM(DEN!I70:J70)</f>
        <v>12317.196145297836</v>
      </c>
      <c r="W74" s="734">
        <f>SUM(J74:L74)/SUM(DEN!D70:E70)</f>
        <v>64628.609100913643</v>
      </c>
      <c r="X74" s="735">
        <f>SUM(M74:O74)/(DEN!H70+DEN!K70)</f>
        <v>86346.876240228084</v>
      </c>
      <c r="AB74" s="733">
        <f t="shared" si="17"/>
        <v>6417388575.1290264</v>
      </c>
      <c r="AC74" s="734">
        <f t="shared" si="18"/>
        <v>5751490105.6545334</v>
      </c>
      <c r="AD74" s="734">
        <f t="shared" si="19"/>
        <v>4215401028.6070924</v>
      </c>
      <c r="AE74" s="735">
        <f t="shared" si="20"/>
        <v>758902695.27536464</v>
      </c>
      <c r="AG74" s="944">
        <f t="shared" si="21"/>
        <v>0.37434056429233037</v>
      </c>
      <c r="AH74" s="944">
        <f t="shared" si="11"/>
        <v>0.33549722390453579</v>
      </c>
      <c r="AI74" s="944">
        <f t="shared" si="12"/>
        <v>0.2458937278448223</v>
      </c>
      <c r="AJ74" s="944">
        <f t="shared" si="13"/>
        <v>4.4268483958311441E-2</v>
      </c>
      <c r="AL74" s="945">
        <f t="shared" si="31"/>
        <v>0.99999999999999989</v>
      </c>
      <c r="AN74" s="946">
        <f t="shared" si="22"/>
        <v>0.36493729542928932</v>
      </c>
      <c r="AO74" s="946">
        <f t="shared" si="23"/>
        <v>0.34707616027358229</v>
      </c>
      <c r="AP74" s="946">
        <f t="shared" si="24"/>
        <v>0.24271036605960083</v>
      </c>
      <c r="AQ74" s="947">
        <f t="shared" si="25"/>
        <v>4.5276178237527533E-2</v>
      </c>
      <c r="AS74" s="949">
        <f t="shared" si="26"/>
        <v>7087319693.254837</v>
      </c>
      <c r="AT74" s="949">
        <f t="shared" si="28"/>
        <v>6763835346.0548124</v>
      </c>
      <c r="AU74" s="949">
        <f t="shared" si="29"/>
        <v>4717205299.2654333</v>
      </c>
      <c r="AV74" s="949">
        <f t="shared" si="30"/>
        <v>881894166.32264757</v>
      </c>
      <c r="AX74" s="952">
        <f t="shared" si="27"/>
        <v>19450254504.897732</v>
      </c>
    </row>
    <row r="75" spans="1:64" ht="15.75" thickBot="1">
      <c r="A75" s="128" t="s">
        <v>43</v>
      </c>
      <c r="B75" s="291">
        <f>KMA!B75*FRO_TOT!B75</f>
        <v>3070975438.0247889</v>
      </c>
      <c r="C75" s="291">
        <f>KMA!C75*FRO_TOT!C75</f>
        <v>460266998.71775168</v>
      </c>
      <c r="D75" s="291">
        <f>KMA!D75*FRO_TOT!D75</f>
        <v>388705603.93095702</v>
      </c>
      <c r="E75" s="291">
        <f>KMA!E75*FRO_TOT!E75</f>
        <v>3230699108.9070659</v>
      </c>
      <c r="F75" s="291">
        <f>KMA!F75*FRO_TOT!F75</f>
        <v>45259294.433123916</v>
      </c>
      <c r="G75" s="291">
        <f>KMA!G75*FRO_TOT!G75</f>
        <v>13399133.220332738</v>
      </c>
      <c r="H75" s="291">
        <f>KMA!H75*FRO_TOT!H75</f>
        <v>1103000728.7941959</v>
      </c>
      <c r="I75" s="291">
        <f>KMA!I75*FRO_TOT!I75</f>
        <v>149194163.59108654</v>
      </c>
      <c r="J75" s="291">
        <f>KMA!J75*FRO_TOT!J75</f>
        <v>1030788418.4436435</v>
      </c>
      <c r="K75" s="291">
        <f>KMA!K75*FRO_TOT!K75</f>
        <v>984923717.18497574</v>
      </c>
      <c r="L75" s="291">
        <f>KMA!L75*FRO_TOT!L75</f>
        <v>773443457.77672029</v>
      </c>
      <c r="M75" s="291">
        <f>KMA!M75*FRO_TOT!M75</f>
        <v>53710476.216920219</v>
      </c>
      <c r="N75" s="291">
        <f>KMA!N75*FRO_TOT!N75</f>
        <v>554029962.95671153</v>
      </c>
      <c r="O75" s="291">
        <f>KMA!O75*FRO_TOT!O75</f>
        <v>57770742.183272846</v>
      </c>
      <c r="P75" s="291">
        <f>KMA!P75*FRO_TOT!P75</f>
        <v>17140589.912522569</v>
      </c>
      <c r="Q75" s="291">
        <f>KMA!Q75*FRO_TOT!Q75</f>
        <v>721270894.26452482</v>
      </c>
      <c r="R75" s="291">
        <f>KMA!R75*FRO_TOT!R75</f>
        <v>119488679.99999999</v>
      </c>
      <c r="S75" s="690">
        <f t="shared" si="16"/>
        <v>12774067408.558594</v>
      </c>
      <c r="U75" s="733">
        <f>(B75+C75+H75+I75+P75+Q75+R75)/(DEN!C71+DEN!F71+DEN!G71+DEN!L71)</f>
        <v>10580.23220974064</v>
      </c>
      <c r="V75" s="734">
        <f>SUM(D75:G75)/SUM(DEN!I71:J71)</f>
        <v>12176.517206704184</v>
      </c>
      <c r="W75" s="734">
        <f>SUM(J75:L75)/SUM(DEN!D71:E71)</f>
        <v>59589.702034041344</v>
      </c>
      <c r="X75" s="735">
        <f>SUM(M75:O75)/(DEN!H71+DEN!K71)</f>
        <v>81657.813663423876</v>
      </c>
      <c r="AB75" s="733">
        <f t="shared" si="17"/>
        <v>5641337493.3048697</v>
      </c>
      <c r="AC75" s="734">
        <f t="shared" si="18"/>
        <v>3678063140.4914794</v>
      </c>
      <c r="AD75" s="734">
        <f t="shared" si="19"/>
        <v>2789155593.4053392</v>
      </c>
      <c r="AE75" s="735">
        <f t="shared" si="20"/>
        <v>665511181.35690463</v>
      </c>
      <c r="AG75" s="944">
        <f t="shared" si="21"/>
        <v>0.44162421512862748</v>
      </c>
      <c r="AH75" s="944">
        <f t="shared" si="11"/>
        <v>0.28793202844907378</v>
      </c>
      <c r="AI75" s="944">
        <f t="shared" si="12"/>
        <v>0.21834514443978995</v>
      </c>
      <c r="AJ75" s="944">
        <f t="shared" si="13"/>
        <v>5.2098611982508702E-2</v>
      </c>
      <c r="AL75" s="945">
        <f t="shared" si="31"/>
        <v>0.99999999999999978</v>
      </c>
      <c r="AN75" s="946">
        <f t="shared" si="22"/>
        <v>0.43859758053613374</v>
      </c>
      <c r="AO75" s="946">
        <f t="shared" si="23"/>
        <v>0.30223015585000629</v>
      </c>
      <c r="AP75" s="946">
        <f t="shared" si="24"/>
        <v>0.20884695782568774</v>
      </c>
      <c r="AQ75" s="948">
        <f t="shared" si="25"/>
        <v>5.0325305788172091E-2</v>
      </c>
      <c r="AS75" s="949">
        <f t="shared" si="26"/>
        <v>6204147240.2976332</v>
      </c>
      <c r="AT75" s="949">
        <f t="shared" si="28"/>
        <v>4288332480.41048</v>
      </c>
      <c r="AU75" s="949">
        <f t="shared" si="29"/>
        <v>2946383691.9107747</v>
      </c>
      <c r="AV75" s="949">
        <f t="shared" si="30"/>
        <v>710392067.45768905</v>
      </c>
      <c r="AX75" s="952">
        <f t="shared" si="27"/>
        <v>14149255480.076576</v>
      </c>
    </row>
    <row r="76" spans="1:64" s="1" customFormat="1" ht="15.75" thickBot="1"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T76" s="665"/>
      <c r="U76" s="732"/>
      <c r="V76" s="665"/>
      <c r="W76" s="665"/>
      <c r="X76" s="665"/>
      <c r="Y76" s="665"/>
      <c r="Z76" s="665"/>
      <c r="AA76" s="665"/>
      <c r="AB76" s="732"/>
      <c r="AC76" s="665"/>
      <c r="AD76" s="665"/>
      <c r="AE76" s="665"/>
      <c r="AF76" s="665"/>
      <c r="AG76" s="732"/>
      <c r="AH76" s="665"/>
      <c r="AI76" s="665"/>
      <c r="AJ76" s="665"/>
      <c r="AK76" s="665"/>
      <c r="AL76" s="945">
        <f t="shared" si="31"/>
        <v>0</v>
      </c>
      <c r="AM76" s="665"/>
      <c r="AN76" s="273"/>
      <c r="AO76" s="273"/>
      <c r="AP76" s="273"/>
      <c r="AQ76" s="273"/>
      <c r="AR76" s="273"/>
      <c r="AS76" s="273"/>
      <c r="AT76" s="273"/>
      <c r="AU76" s="273"/>
      <c r="AV76" s="273"/>
      <c r="AW76" s="273"/>
      <c r="AX76" s="273"/>
      <c r="AY76" s="273"/>
      <c r="AZ76" s="273"/>
      <c r="BA76" s="273"/>
      <c r="BB76" s="273"/>
      <c r="BC76" s="273"/>
      <c r="BD76" s="273"/>
      <c r="BE76" s="273"/>
      <c r="BF76" s="273"/>
      <c r="BG76" s="273"/>
      <c r="BH76" s="273"/>
      <c r="BI76" s="273"/>
      <c r="BJ76" s="273"/>
      <c r="BK76" s="273"/>
      <c r="BL76" s="273"/>
    </row>
    <row r="77" spans="1:64" ht="15.75" customHeight="1" thickBot="1">
      <c r="A77" s="1051" t="s">
        <v>118</v>
      </c>
      <c r="B77" s="1054">
        <v>2011</v>
      </c>
      <c r="C77" s="1055"/>
      <c r="D77" s="1055"/>
      <c r="E77" s="1055"/>
      <c r="F77" s="1055"/>
      <c r="G77" s="1055"/>
      <c r="H77" s="1055"/>
      <c r="I77" s="1055"/>
      <c r="J77" s="1055"/>
      <c r="K77" s="1055"/>
      <c r="L77" s="1055"/>
      <c r="M77" s="1055"/>
      <c r="N77" s="1055"/>
      <c r="O77" s="1055"/>
      <c r="P77" s="1055"/>
      <c r="Q77" s="1055"/>
      <c r="R77" s="1078"/>
      <c r="S77" s="1057" t="s">
        <v>96</v>
      </c>
      <c r="U77" s="732"/>
      <c r="AB77" s="732"/>
      <c r="AG77" s="732"/>
      <c r="AL77" s="945">
        <f t="shared" si="31"/>
        <v>0</v>
      </c>
    </row>
    <row r="78" spans="1:64" ht="15.75" thickBot="1">
      <c r="A78" s="1052"/>
      <c r="B78" s="1060" t="s">
        <v>97</v>
      </c>
      <c r="C78" s="1061"/>
      <c r="D78" s="1061"/>
      <c r="E78" s="1061"/>
      <c r="F78" s="1061"/>
      <c r="G78" s="1061"/>
      <c r="H78" s="1061" t="s">
        <v>98</v>
      </c>
      <c r="I78" s="1061"/>
      <c r="J78" s="1061" t="s">
        <v>99</v>
      </c>
      <c r="K78" s="1061"/>
      <c r="L78" s="1061"/>
      <c r="M78" s="1061"/>
      <c r="N78" s="1061"/>
      <c r="O78" s="1061"/>
      <c r="P78" s="1061"/>
      <c r="Q78" s="1061"/>
      <c r="R78" s="289" t="s">
        <v>100</v>
      </c>
      <c r="S78" s="1058"/>
      <c r="U78" s="1068">
        <v>2011</v>
      </c>
      <c r="V78" s="1069"/>
      <c r="W78" s="1069"/>
      <c r="X78" s="1070"/>
      <c r="AB78" s="1068">
        <v>2011</v>
      </c>
      <c r="AC78" s="1069"/>
      <c r="AD78" s="1069"/>
      <c r="AE78" s="1070"/>
      <c r="AG78" s="1068">
        <v>2011</v>
      </c>
      <c r="AH78" s="1069"/>
      <c r="AI78" s="1069"/>
      <c r="AJ78" s="1070"/>
      <c r="AL78" s="945">
        <f t="shared" si="31"/>
        <v>2011</v>
      </c>
    </row>
    <row r="79" spans="1:64">
      <c r="A79" s="1052"/>
      <c r="B79" s="1062" t="s">
        <v>101</v>
      </c>
      <c r="C79" s="1064" t="s">
        <v>102</v>
      </c>
      <c r="D79" s="1064" t="s">
        <v>103</v>
      </c>
      <c r="E79" s="1064"/>
      <c r="F79" s="1064"/>
      <c r="G79" s="1064"/>
      <c r="H79" s="1062" t="s">
        <v>101</v>
      </c>
      <c r="I79" s="1064" t="s">
        <v>102</v>
      </c>
      <c r="J79" s="1064" t="s">
        <v>104</v>
      </c>
      <c r="K79" s="1064"/>
      <c r="L79" s="1064"/>
      <c r="M79" s="1064" t="s">
        <v>105</v>
      </c>
      <c r="N79" s="1064"/>
      <c r="O79" s="1064"/>
      <c r="P79" s="1062" t="s">
        <v>101</v>
      </c>
      <c r="Q79" s="1064" t="s">
        <v>102</v>
      </c>
      <c r="R79" s="1062" t="s">
        <v>101</v>
      </c>
      <c r="S79" s="1058"/>
      <c r="U79" s="1075" t="s">
        <v>101</v>
      </c>
      <c r="V79" s="1077" t="s">
        <v>103</v>
      </c>
      <c r="W79" s="1071" t="s">
        <v>104</v>
      </c>
      <c r="X79" s="1073" t="s">
        <v>105</v>
      </c>
      <c r="AB79" s="1075" t="s">
        <v>101</v>
      </c>
      <c r="AC79" s="1077" t="s">
        <v>103</v>
      </c>
      <c r="AD79" s="1071" t="s">
        <v>104</v>
      </c>
      <c r="AE79" s="1073" t="s">
        <v>105</v>
      </c>
      <c r="AG79" s="1075" t="s">
        <v>101</v>
      </c>
      <c r="AH79" s="1077" t="s">
        <v>103</v>
      </c>
      <c r="AI79" s="1071" t="s">
        <v>104</v>
      </c>
      <c r="AJ79" s="1073" t="s">
        <v>105</v>
      </c>
      <c r="AL79" s="945">
        <f t="shared" si="31"/>
        <v>0</v>
      </c>
    </row>
    <row r="80" spans="1:64" ht="15.75" thickBot="1">
      <c r="A80" s="1053"/>
      <c r="B80" s="1063"/>
      <c r="C80" s="1065"/>
      <c r="D80" s="290" t="s">
        <v>106</v>
      </c>
      <c r="E80" s="290" t="s">
        <v>107</v>
      </c>
      <c r="F80" s="290" t="s">
        <v>108</v>
      </c>
      <c r="G80" s="290" t="s">
        <v>109</v>
      </c>
      <c r="H80" s="1063"/>
      <c r="I80" s="1065"/>
      <c r="J80" s="290" t="s">
        <v>110</v>
      </c>
      <c r="K80" s="290" t="s">
        <v>111</v>
      </c>
      <c r="L80" s="290" t="s">
        <v>112</v>
      </c>
      <c r="M80" s="290" t="s">
        <v>113</v>
      </c>
      <c r="N80" s="290" t="s">
        <v>114</v>
      </c>
      <c r="O80" s="290" t="s">
        <v>115</v>
      </c>
      <c r="P80" s="1063"/>
      <c r="Q80" s="1065"/>
      <c r="R80" s="1063"/>
      <c r="S80" s="1059"/>
      <c r="U80" s="1076"/>
      <c r="V80" s="1074"/>
      <c r="W80" s="1072"/>
      <c r="X80" s="1074"/>
      <c r="AB80" s="1076"/>
      <c r="AC80" s="1074"/>
      <c r="AD80" s="1072"/>
      <c r="AE80" s="1074"/>
      <c r="AG80" s="1076"/>
      <c r="AH80" s="1074"/>
      <c r="AI80" s="1072"/>
      <c r="AJ80" s="1074"/>
      <c r="AL80" s="945">
        <f t="shared" si="31"/>
        <v>0</v>
      </c>
    </row>
    <row r="81" spans="1:38" ht="15.75" thickBot="1">
      <c r="A81" s="164" t="s">
        <v>11</v>
      </c>
      <c r="B81" s="291">
        <f>KMA!B81*FRO_TOT!B81</f>
        <v>258856316944.39804</v>
      </c>
      <c r="C81" s="291">
        <f>KMA!C81*FRO_TOT!C81</f>
        <v>36145087256.743668</v>
      </c>
      <c r="D81" s="291">
        <f>KMA!D81*FRO_TOT!D81</f>
        <v>17381417113.897041</v>
      </c>
      <c r="E81" s="291">
        <f>KMA!E81*FRO_TOT!E81</f>
        <v>217587480320.81964</v>
      </c>
      <c r="F81" s="291">
        <f>KMA!F81*FRO_TOT!F81</f>
        <v>3048138286.2387614</v>
      </c>
      <c r="G81" s="291">
        <f>KMA!G81*FRO_TOT!G81</f>
        <v>902469816.30153525</v>
      </c>
      <c r="H81" s="291">
        <f>KMA!H81*FRO_TOT!H81</f>
        <v>75773291393.603256</v>
      </c>
      <c r="I81" s="291">
        <f>KMA!I81*FRO_TOT!I81</f>
        <v>9114443650.0991592</v>
      </c>
      <c r="J81" s="291">
        <f>KMA!J81*FRO_TOT!J81</f>
        <v>37831108211.058075</v>
      </c>
      <c r="K81" s="291">
        <f>KMA!K81*FRO_TOT!K81</f>
        <v>36148885854.743034</v>
      </c>
      <c r="L81" s="291">
        <f>KMA!L81*FRO_TOT!L81</f>
        <v>24201452592.606262</v>
      </c>
      <c r="M81" s="291">
        <f>KMA!M81*FRO_TOT!M81</f>
        <v>9162638544.0905724</v>
      </c>
      <c r="N81" s="291">
        <f>KMA!N81*FRO_TOT!N81</f>
        <v>43401257585.790916</v>
      </c>
      <c r="O81" s="291">
        <f>KMA!O81*FRO_TOT!O81</f>
        <v>5484857332.3886251</v>
      </c>
      <c r="P81" s="291">
        <f>KMA!P81*FRO_TOT!P81</f>
        <v>710878739.21003771</v>
      </c>
      <c r="Q81" s="291">
        <f>KMA!Q81*FRO_TOT!Q81</f>
        <v>27628575969.406487</v>
      </c>
      <c r="R81" s="291">
        <f>KMA!R81*FRO_TOT!R81</f>
        <v>27210962958</v>
      </c>
      <c r="S81" s="690">
        <f>SUM(B81:R81)</f>
        <v>830589262569.39526</v>
      </c>
      <c r="U81" s="733">
        <f>(B81+C81+H81+I81+P81+Q81+R81)/(DEN!C75+DEN!F75+DEN!G75+DEN!L75)</f>
        <v>9627.6653383389257</v>
      </c>
      <c r="V81" s="734">
        <f>SUM(D81:G81)/SUM(DEN!I75:J75)</f>
        <v>13805.395726157805</v>
      </c>
      <c r="W81" s="734">
        <f>SUM(J81:L81)/SUM(DEN!D75:E75)</f>
        <v>37175.254874080951</v>
      </c>
      <c r="X81" s="735">
        <f>SUM(M81:O81)/(DEN!H75+DEN!K75)</f>
        <v>77220.935720032663</v>
      </c>
      <c r="AB81" s="733">
        <f>($B81+$C81+$H81+$I81+$P81+$Q81+$R81)</f>
        <v>435439556911.46069</v>
      </c>
      <c r="AC81" s="734">
        <f>SUM($D81:$G81)</f>
        <v>238919505537.25699</v>
      </c>
      <c r="AD81" s="734">
        <f>SUM($J81:$L81)</f>
        <v>98181446658.407379</v>
      </c>
      <c r="AE81" s="735">
        <f>SUM($M81:$O81)</f>
        <v>58048753462.270111</v>
      </c>
      <c r="AG81" s="944">
        <f>AB81/$S81</f>
        <v>0.5242537756441078</v>
      </c>
      <c r="AH81" s="944">
        <f t="shared" ref="AH81:AH113" si="32">AC81/$S81</f>
        <v>0.28765060698975192</v>
      </c>
      <c r="AI81" s="944">
        <f t="shared" ref="AI81:AI113" si="33">AD81/$S81</f>
        <v>0.11820697796488114</v>
      </c>
      <c r="AJ81" s="944">
        <f t="shared" ref="AJ81:AJ113" si="34">AE81/$S81</f>
        <v>6.9888639401259015E-2</v>
      </c>
      <c r="AL81" s="945">
        <f t="shared" si="31"/>
        <v>0.99999999999999978</v>
      </c>
    </row>
    <row r="82" spans="1:38" ht="15.75" thickBot="1">
      <c r="A82" s="269" t="s">
        <v>46</v>
      </c>
      <c r="B82" s="291">
        <f>KMA!B82*FRO_TOT!B82</f>
        <v>14276052751.008465</v>
      </c>
      <c r="C82" s="291">
        <f>KMA!C82*FRO_TOT!C82</f>
        <v>2425442969.6120238</v>
      </c>
      <c r="D82" s="291">
        <f>KMA!D82*FRO_TOT!D82</f>
        <v>1895881302.0037625</v>
      </c>
      <c r="E82" s="291">
        <f>KMA!E82*FRO_TOT!E82</f>
        <v>16170111985.474874</v>
      </c>
      <c r="F82" s="291">
        <f>KMA!F82*FRO_TOT!F82</f>
        <v>226529058.19958445</v>
      </c>
      <c r="G82" s="291">
        <f>KMA!G82*FRO_TOT!G82</f>
        <v>67066926.400777757</v>
      </c>
      <c r="H82" s="291">
        <f>KMA!H82*FRO_TOT!H82</f>
        <v>1032386377.2924242</v>
      </c>
      <c r="I82" s="291">
        <f>KMA!I82*FRO_TOT!I82</f>
        <v>165397443.9896917</v>
      </c>
      <c r="J82" s="291">
        <f>KMA!J82*FRO_TOT!J82</f>
        <v>4928675761.037076</v>
      </c>
      <c r="K82" s="291">
        <f>KMA!K82*FRO_TOT!K82</f>
        <v>4709425574.0652113</v>
      </c>
      <c r="L82" s="291">
        <f>KMA!L82*FRO_TOT!L82</f>
        <v>2111578593.0256164</v>
      </c>
      <c r="M82" s="291">
        <f>KMA!M82*FRO_TOT!M82</f>
        <v>543376080.19742572</v>
      </c>
      <c r="N82" s="291">
        <f>KMA!N82*FRO_TOT!N82</f>
        <v>2887160979.1909714</v>
      </c>
      <c r="O82" s="291">
        <f>KMA!O82*FRO_TOT!O82</f>
        <v>505880864.01923269</v>
      </c>
      <c r="P82" s="291">
        <f>KMA!P82*FRO_TOT!P82</f>
        <v>58555661.873267695</v>
      </c>
      <c r="Q82" s="291">
        <f>KMA!Q82*FRO_TOT!Q82</f>
        <v>2819334435.4974613</v>
      </c>
      <c r="R82" s="291">
        <f>KMA!R82*FRO_TOT!R82</f>
        <v>17906604</v>
      </c>
      <c r="S82" s="690">
        <f t="shared" ref="S82:S113" si="35">SUM(B82:R82)</f>
        <v>54840763366.887878</v>
      </c>
      <c r="U82" s="733">
        <f>(B82+C82+H82+I82+P82+Q82+R82)/(DEN!C76+DEN!F76+DEN!G76+DEN!L76)</f>
        <v>14720.33327028991</v>
      </c>
      <c r="V82" s="734">
        <f>SUM(D82:G82)/SUM(DEN!I76:J76)</f>
        <v>13391.873716823369</v>
      </c>
      <c r="W82" s="734">
        <f>SUM(J82:L82)/SUM(DEN!D76:E76)</f>
        <v>91971.131456767718</v>
      </c>
      <c r="X82" s="735">
        <f>SUM(M82:O82)/(DEN!H76+DEN!K76)</f>
        <v>104577.93160138227</v>
      </c>
      <c r="AB82" s="733">
        <f t="shared" ref="AB82:AB113" si="36">($B82+$C82+$H82+$I82+$P82+$Q82+$R82)</f>
        <v>20795076243.273338</v>
      </c>
      <c r="AC82" s="734">
        <f t="shared" ref="AC82:AC113" si="37">SUM($D82:$G82)</f>
        <v>18359589272.078999</v>
      </c>
      <c r="AD82" s="734">
        <f t="shared" ref="AD82:AD113" si="38">SUM($J82:$L82)</f>
        <v>11749679928.127903</v>
      </c>
      <c r="AE82" s="735">
        <f t="shared" ref="AE82:AE113" si="39">SUM($M82:$O82)</f>
        <v>3936417923.40763</v>
      </c>
      <c r="AG82" s="944">
        <f t="shared" ref="AG82:AG113" si="40">AB82/$S82</f>
        <v>0.37919013096431708</v>
      </c>
      <c r="AH82" s="944">
        <f t="shared" si="32"/>
        <v>0.33477997286894579</v>
      </c>
      <c r="AI82" s="944">
        <f t="shared" si="33"/>
        <v>0.21425084566241109</v>
      </c>
      <c r="AJ82" s="944">
        <f t="shared" si="34"/>
        <v>7.1779050504325884E-2</v>
      </c>
      <c r="AL82" s="945">
        <f t="shared" si="31"/>
        <v>0.99999999999999978</v>
      </c>
    </row>
    <row r="83" spans="1:38" ht="15.75" thickBot="1">
      <c r="A83" s="127" t="s">
        <v>13</v>
      </c>
      <c r="B83" s="291">
        <f>KMA!B83*FRO_TOT!B83</f>
        <v>669915163.80814981</v>
      </c>
      <c r="C83" s="291">
        <f>KMA!C83*FRO_TOT!C83</f>
        <v>103328884.79985018</v>
      </c>
      <c r="D83" s="291">
        <f>KMA!D83*FRO_TOT!D83</f>
        <v>84226422.470460087</v>
      </c>
      <c r="E83" s="291">
        <f>KMA!E83*FRO_TOT!E83</f>
        <v>943235771.85999668</v>
      </c>
      <c r="F83" s="291">
        <f>KMA!F83*FRO_TOT!F83</f>
        <v>13215590.05034763</v>
      </c>
      <c r="G83" s="291">
        <f>KMA!G83*FRO_TOT!G83</f>
        <v>3912700.8066535336</v>
      </c>
      <c r="H83" s="291">
        <f>KMA!H83*FRO_TOT!H83</f>
        <v>58300299.888776004</v>
      </c>
      <c r="I83" s="291">
        <f>KMA!I83*FRO_TOT!I83</f>
        <v>8481985.1163096037</v>
      </c>
      <c r="J83" s="291">
        <f>KMA!J83*FRO_TOT!J83</f>
        <v>223051959.76538017</v>
      </c>
      <c r="K83" s="291">
        <f>KMA!K83*FRO_TOT!K83</f>
        <v>213116062.91800261</v>
      </c>
      <c r="L83" s="291">
        <f>KMA!L83*FRO_TOT!L83</f>
        <v>61968705.781186275</v>
      </c>
      <c r="M83" s="291">
        <f>KMA!M83*FRO_TOT!M83</f>
        <v>9764778.0995053072</v>
      </c>
      <c r="N83" s="291">
        <f>KMA!N83*FRO_TOT!N83</f>
        <v>64663120.844611973</v>
      </c>
      <c r="O83" s="291">
        <f>KMA!O83*FRO_TOT!O83</f>
        <v>11336556.418988956</v>
      </c>
      <c r="P83" s="291">
        <f>KMA!P83*FRO_TOT!P83</f>
        <v>3859733.2023050543</v>
      </c>
      <c r="Q83" s="291">
        <f>KMA!Q83*FRO_TOT!Q83</f>
        <v>172761119.61542192</v>
      </c>
      <c r="R83" s="291">
        <f>KMA!R83*FRO_TOT!R83</f>
        <v>0</v>
      </c>
      <c r="S83" s="690">
        <f t="shared" si="35"/>
        <v>2645138855.4459457</v>
      </c>
      <c r="U83" s="733">
        <f>(B83+C83+H83+I83+P83+Q83+R83)/(DEN!C77+DEN!F77+DEN!G77+DEN!L77)</f>
        <v>14128.537688213972</v>
      </c>
      <c r="V83" s="734">
        <f>SUM(D83:G83)/SUM(DEN!I77:J77)</f>
        <v>13121.512456976698</v>
      </c>
      <c r="W83" s="734">
        <f>SUM(J83:L83)/SUM(DEN!D77:E77)</f>
        <v>84890.376357288522</v>
      </c>
      <c r="X83" s="735">
        <f>SUM(M83:O83)/(DEN!H77+DEN!K77)</f>
        <v>101858.02299656323</v>
      </c>
      <c r="AB83" s="733">
        <f t="shared" si="36"/>
        <v>1016647186.4308127</v>
      </c>
      <c r="AC83" s="734">
        <f t="shared" si="37"/>
        <v>1044590485.1874579</v>
      </c>
      <c r="AD83" s="734">
        <f t="shared" si="38"/>
        <v>498136728.46456903</v>
      </c>
      <c r="AE83" s="735">
        <f t="shared" si="39"/>
        <v>85764455.363106236</v>
      </c>
      <c r="AG83" s="944">
        <f t="shared" si="40"/>
        <v>0.38434548883423947</v>
      </c>
      <c r="AH83" s="944">
        <f t="shared" si="32"/>
        <v>0.39490950845049294</v>
      </c>
      <c r="AI83" s="944">
        <f t="shared" si="33"/>
        <v>0.18832157995750579</v>
      </c>
      <c r="AJ83" s="944">
        <f t="shared" si="34"/>
        <v>3.2423422757761861E-2</v>
      </c>
      <c r="AL83" s="945">
        <f t="shared" si="31"/>
        <v>1</v>
      </c>
    </row>
    <row r="84" spans="1:38" ht="15.75" thickBot="1">
      <c r="A84" s="127" t="s">
        <v>14</v>
      </c>
      <c r="B84" s="291">
        <f>KMA!B84*FRO_TOT!B84</f>
        <v>791065484.52779949</v>
      </c>
      <c r="C84" s="291">
        <f>KMA!C84*FRO_TOT!C84</f>
        <v>141362142.10655451</v>
      </c>
      <c r="D84" s="291">
        <f>KMA!D84*FRO_TOT!D84</f>
        <v>52133713.034885563</v>
      </c>
      <c r="E84" s="291">
        <f>KMA!E84*FRO_TOT!E84</f>
        <v>602568101.80688822</v>
      </c>
      <c r="F84" s="291">
        <f>KMA!F84*FRO_TOT!F84</f>
        <v>8443500.632864736</v>
      </c>
      <c r="G84" s="291">
        <f>KMA!G84*FRO_TOT!G84</f>
        <v>2497684.7421825011</v>
      </c>
      <c r="H84" s="291">
        <f>KMA!H84*FRO_TOT!H84</f>
        <v>32708463.042961482</v>
      </c>
      <c r="I84" s="291">
        <f>KMA!I84*FRO_TOT!I84</f>
        <v>5627086.4667335032</v>
      </c>
      <c r="J84" s="291">
        <f>KMA!J84*FRO_TOT!J84</f>
        <v>241620711.01734221</v>
      </c>
      <c r="K84" s="291">
        <f>KMA!K84*FRO_TOT!K84</f>
        <v>230822020.02215371</v>
      </c>
      <c r="L84" s="291">
        <f>KMA!L84*FRO_TOT!L84</f>
        <v>55557139.443670876</v>
      </c>
      <c r="M84" s="291">
        <f>KMA!M84*FRO_TOT!M84</f>
        <v>29026145.389430925</v>
      </c>
      <c r="N84" s="291">
        <f>KMA!N84*FRO_TOT!N84</f>
        <v>122573736.73377568</v>
      </c>
      <c r="O84" s="291">
        <f>KMA!O84*FRO_TOT!O84</f>
        <v>21419421.54012518</v>
      </c>
      <c r="P84" s="291">
        <f>KMA!P84*FRO_TOT!P84</f>
        <v>3949082.5412827944</v>
      </c>
      <c r="Q84" s="291">
        <f>KMA!Q84*FRO_TOT!Q84</f>
        <v>204812576.93407512</v>
      </c>
      <c r="R84" s="291">
        <f>KMA!R84*FRO_TOT!R84</f>
        <v>0</v>
      </c>
      <c r="S84" s="690">
        <f t="shared" si="35"/>
        <v>2546187009.9827261</v>
      </c>
      <c r="U84" s="733">
        <f>(B84+C84+H84+I84+P84+Q84+R84)/(DEN!C78+DEN!F78+DEN!G78+DEN!L78)</f>
        <v>16762.709769198289</v>
      </c>
      <c r="V84" s="734">
        <f>SUM(D84:G84)/SUM(DEN!I78:J78)</f>
        <v>14276.831679324403</v>
      </c>
      <c r="W84" s="734">
        <f>SUM(J84:L84)/SUM(DEN!D78:E78)</f>
        <v>155385.48277903674</v>
      </c>
      <c r="X84" s="735">
        <f>SUM(M84:O84)/(DEN!H78+DEN!K78)</f>
        <v>176011.49914886247</v>
      </c>
      <c r="AB84" s="733">
        <f t="shared" si="36"/>
        <v>1179524835.6194067</v>
      </c>
      <c r="AC84" s="734">
        <f t="shared" si="37"/>
        <v>665643000.21682096</v>
      </c>
      <c r="AD84" s="734">
        <f t="shared" si="38"/>
        <v>527999870.48316681</v>
      </c>
      <c r="AE84" s="735">
        <f t="shared" si="39"/>
        <v>173019303.66333181</v>
      </c>
      <c r="AG84" s="944">
        <f t="shared" si="40"/>
        <v>0.46325145442769688</v>
      </c>
      <c r="AH84" s="944">
        <f t="shared" si="32"/>
        <v>0.26142738047404335</v>
      </c>
      <c r="AI84" s="944">
        <f t="shared" si="33"/>
        <v>0.2073688493473026</v>
      </c>
      <c r="AJ84" s="944">
        <f t="shared" si="34"/>
        <v>6.7952315750957198E-2</v>
      </c>
      <c r="AL84" s="945">
        <f t="shared" si="31"/>
        <v>1</v>
      </c>
    </row>
    <row r="85" spans="1:38" ht="15.75" thickBot="1">
      <c r="A85" s="127" t="s">
        <v>15</v>
      </c>
      <c r="B85" s="291">
        <f>KMA!B85*FRO_TOT!B85</f>
        <v>3946594333.6023006</v>
      </c>
      <c r="C85" s="291">
        <f>KMA!C85*FRO_TOT!C85</f>
        <v>776595965.27600968</v>
      </c>
      <c r="D85" s="291">
        <f>KMA!D85*FRO_TOT!D85</f>
        <v>219414293.20871657</v>
      </c>
      <c r="E85" s="291">
        <f>KMA!E85*FRO_TOT!E85</f>
        <v>2093252254.5573092</v>
      </c>
      <c r="F85" s="291">
        <f>KMA!F85*FRO_TOT!F85</f>
        <v>29325018.44131295</v>
      </c>
      <c r="G85" s="291">
        <f>KMA!G85*FRO_TOT!G85</f>
        <v>8682846.9599185716</v>
      </c>
      <c r="H85" s="291">
        <f>KMA!H85*FRO_TOT!H85</f>
        <v>266130689.27260682</v>
      </c>
      <c r="I85" s="291">
        <f>KMA!I85*FRO_TOT!I85</f>
        <v>48558020.28119462</v>
      </c>
      <c r="J85" s="291">
        <f>KMA!J85*FRO_TOT!J85</f>
        <v>700094390.5115788</v>
      </c>
      <c r="K85" s="291">
        <f>KMA!K85*FRO_TOT!K85</f>
        <v>669008758.64047825</v>
      </c>
      <c r="L85" s="291">
        <f>KMA!L85*FRO_TOT!L85</f>
        <v>303798622.94562602</v>
      </c>
      <c r="M85" s="291">
        <f>KMA!M85*FRO_TOT!M85</f>
        <v>126578135.50568016</v>
      </c>
      <c r="N85" s="291">
        <f>KMA!N85*FRO_TOT!N85</f>
        <v>667924947.19568145</v>
      </c>
      <c r="O85" s="291">
        <f>KMA!O85*FRO_TOT!O85</f>
        <v>117019510.24926926</v>
      </c>
      <c r="P85" s="291">
        <f>KMA!P85*FRO_TOT!P85</f>
        <v>7976183.5578937223</v>
      </c>
      <c r="Q85" s="291">
        <f>KMA!Q85*FRO_TOT!Q85</f>
        <v>452152087.9265067</v>
      </c>
      <c r="R85" s="291">
        <f>KMA!R85*FRO_TOT!R85</f>
        <v>17906604</v>
      </c>
      <c r="S85" s="690">
        <f t="shared" si="35"/>
        <v>10451012662.132082</v>
      </c>
      <c r="U85" s="733">
        <f>(B85+C85+H85+I85+P85+Q85+R85)/(DEN!C79+DEN!F79+DEN!G79+DEN!L79)</f>
        <v>15592.777581545373</v>
      </c>
      <c r="V85" s="734">
        <f>SUM(D85:G85)/SUM(DEN!I79:J79)</f>
        <v>14363.947749584524</v>
      </c>
      <c r="W85" s="734">
        <f>SUM(J85:L85)/SUM(DEN!D79:E79)</f>
        <v>87048.692480886835</v>
      </c>
      <c r="X85" s="735">
        <f>SUM(M85:O85)/(DEN!H79+DEN!K79)</f>
        <v>98799.327222049746</v>
      </c>
      <c r="AB85" s="733">
        <f t="shared" si="36"/>
        <v>5515913883.9165125</v>
      </c>
      <c r="AC85" s="734">
        <f t="shared" si="37"/>
        <v>2350674413.1672568</v>
      </c>
      <c r="AD85" s="734">
        <f t="shared" si="38"/>
        <v>1672901772.0976832</v>
      </c>
      <c r="AE85" s="735">
        <f t="shared" si="39"/>
        <v>911522592.9506309</v>
      </c>
      <c r="AG85" s="944">
        <f t="shared" si="40"/>
        <v>0.52778750368399485</v>
      </c>
      <c r="AH85" s="944">
        <f t="shared" si="32"/>
        <v>0.22492312363993464</v>
      </c>
      <c r="AI85" s="944">
        <f t="shared" si="33"/>
        <v>0.16007078224670326</v>
      </c>
      <c r="AJ85" s="944">
        <f t="shared" si="34"/>
        <v>8.7218590429367415E-2</v>
      </c>
      <c r="AL85" s="945">
        <f t="shared" si="31"/>
        <v>1</v>
      </c>
    </row>
    <row r="86" spans="1:38" ht="15.75" thickBot="1">
      <c r="A86" s="127" t="s">
        <v>16</v>
      </c>
      <c r="B86" s="291">
        <f>KMA!B86*FRO_TOT!B86</f>
        <v>5082602358.4176331</v>
      </c>
      <c r="C86" s="291">
        <f>KMA!C86*FRO_TOT!C86</f>
        <v>735938125.62331975</v>
      </c>
      <c r="D86" s="291">
        <f>KMA!D86*FRO_TOT!D86</f>
        <v>611850282.63211811</v>
      </c>
      <c r="E86" s="291">
        <f>KMA!E86*FRO_TOT!E86</f>
        <v>6078553730.5284796</v>
      </c>
      <c r="F86" s="291">
        <f>KMA!F86*FRO_TOT!F86</f>
        <v>85153656.419491693</v>
      </c>
      <c r="G86" s="291">
        <f>KMA!G86*FRO_TOT!G86</f>
        <v>25211358.706031408</v>
      </c>
      <c r="H86" s="291">
        <f>KMA!H86*FRO_TOT!H86</f>
        <v>229663087.8172546</v>
      </c>
      <c r="I86" s="291">
        <f>KMA!I86*FRO_TOT!I86</f>
        <v>31558677.631496377</v>
      </c>
      <c r="J86" s="291">
        <f>KMA!J86*FRO_TOT!J86</f>
        <v>1967161386.5525231</v>
      </c>
      <c r="K86" s="291">
        <f>KMA!K86*FRO_TOT!K86</f>
        <v>1879645703.8528745</v>
      </c>
      <c r="L86" s="291">
        <f>KMA!L86*FRO_TOT!L86</f>
        <v>672966161.24625313</v>
      </c>
      <c r="M86" s="291">
        <f>KMA!M86*FRO_TOT!M86</f>
        <v>276873209.68966854</v>
      </c>
      <c r="N86" s="291">
        <f>KMA!N86*FRO_TOT!N86</f>
        <v>1290240341.275569</v>
      </c>
      <c r="O86" s="291">
        <f>KMA!O86*FRO_TOT!O86</f>
        <v>226102435.83557987</v>
      </c>
      <c r="P86" s="291">
        <f>KMA!P86*FRO_TOT!P86</f>
        <v>23385314.132294584</v>
      </c>
      <c r="Q86" s="291">
        <f>KMA!Q86*FRO_TOT!Q86</f>
        <v>986613910.66859365</v>
      </c>
      <c r="R86" s="291">
        <f>KMA!R86*FRO_TOT!R86</f>
        <v>0</v>
      </c>
      <c r="S86" s="690">
        <f t="shared" si="35"/>
        <v>20203519741.029179</v>
      </c>
      <c r="U86" s="733">
        <f>(B86+C86+H86+I86+P86+Q86+R86)/(DEN!C80+DEN!F80+DEN!G80+DEN!L80)</f>
        <v>15212.317616178796</v>
      </c>
      <c r="V86" s="734">
        <f>SUM(D86:G86)/SUM(DEN!I80:J80)</f>
        <v>14069.227310839158</v>
      </c>
      <c r="W86" s="734">
        <f>SUM(J86:L86)/SUM(DEN!D80:E80)</f>
        <v>98454.990560299091</v>
      </c>
      <c r="X86" s="735">
        <f>SUM(M86:O86)/(DEN!H80+DEN!K80)</f>
        <v>111220.98783109951</v>
      </c>
      <c r="AB86" s="733">
        <f t="shared" si="36"/>
        <v>7089761474.2905922</v>
      </c>
      <c r="AC86" s="734">
        <f t="shared" si="37"/>
        <v>6800769028.2861214</v>
      </c>
      <c r="AD86" s="734">
        <f t="shared" si="38"/>
        <v>4519773251.6516504</v>
      </c>
      <c r="AE86" s="735">
        <f t="shared" si="39"/>
        <v>1793215986.8008175</v>
      </c>
      <c r="AG86" s="944">
        <f t="shared" si="40"/>
        <v>0.35091714538693719</v>
      </c>
      <c r="AH86" s="944">
        <f t="shared" si="32"/>
        <v>0.33661308106008692</v>
      </c>
      <c r="AI86" s="944">
        <f t="shared" si="33"/>
        <v>0.22371217043300251</v>
      </c>
      <c r="AJ86" s="944">
        <f t="shared" si="34"/>
        <v>8.8757603119973494E-2</v>
      </c>
      <c r="AL86" s="945">
        <f t="shared" si="31"/>
        <v>1</v>
      </c>
    </row>
    <row r="87" spans="1:38" ht="15.75" thickBot="1">
      <c r="A87" s="127" t="s">
        <v>17</v>
      </c>
      <c r="B87" s="291">
        <f>KMA!B87*FRO_TOT!B87</f>
        <v>1819659979.8333504</v>
      </c>
      <c r="C87" s="291">
        <f>KMA!C87*FRO_TOT!C87</f>
        <v>312949388.69919902</v>
      </c>
      <c r="D87" s="291">
        <f>KMA!D87*FRO_TOT!D87</f>
        <v>420737216.77369863</v>
      </c>
      <c r="E87" s="291">
        <f>KMA!E87*FRO_TOT!E87</f>
        <v>3332479327.2475901</v>
      </c>
      <c r="F87" s="291">
        <f>KMA!F87*FRO_TOT!F87</f>
        <v>46685845.430733234</v>
      </c>
      <c r="G87" s="291">
        <f>KMA!G87*FRO_TOT!G87</f>
        <v>13822463.447407462</v>
      </c>
      <c r="H87" s="291">
        <f>KMA!H87*FRO_TOT!H87</f>
        <v>176739189.90088081</v>
      </c>
      <c r="I87" s="291">
        <f>KMA!I87*FRO_TOT!I87</f>
        <v>29299083.123031616</v>
      </c>
      <c r="J87" s="291">
        <f>KMA!J87*FRO_TOT!J87</f>
        <v>910493526.07642257</v>
      </c>
      <c r="K87" s="291">
        <f>KMA!K87*FRO_TOT!K87</f>
        <v>870044821.35523891</v>
      </c>
      <c r="L87" s="291">
        <f>KMA!L87*FRO_TOT!L87</f>
        <v>542031765.81267214</v>
      </c>
      <c r="M87" s="291">
        <f>KMA!M87*FRO_TOT!M87</f>
        <v>36318567.32528659</v>
      </c>
      <c r="N87" s="291">
        <f>KMA!N87*FRO_TOT!N87</f>
        <v>380498167.33356142</v>
      </c>
      <c r="O87" s="291">
        <f>KMA!O87*FRO_TOT!O87</f>
        <v>66698264.989034615</v>
      </c>
      <c r="P87" s="291">
        <f>KMA!P87*FRO_TOT!P87</f>
        <v>9721781.7330177538</v>
      </c>
      <c r="Q87" s="291">
        <f>KMA!Q87*FRO_TOT!Q87</f>
        <v>487994791.23870838</v>
      </c>
      <c r="R87" s="291">
        <f>KMA!R87*FRO_TOT!R87</f>
        <v>0</v>
      </c>
      <c r="S87" s="690">
        <f t="shared" si="35"/>
        <v>9456174180.3198338</v>
      </c>
      <c r="U87" s="733">
        <f>(B87+C87+H87+I87+P87+Q87+R87)/(DEN!C81+DEN!F81+DEN!G81+DEN!L81)</f>
        <v>12785.687884133034</v>
      </c>
      <c r="V87" s="734">
        <f>SUM(D87:G87)/SUM(DEN!I81:J81)</f>
        <v>11615.452812700039</v>
      </c>
      <c r="W87" s="734">
        <f>SUM(J87:L87)/SUM(DEN!D81:E81)</f>
        <v>84316.057258561457</v>
      </c>
      <c r="X87" s="735">
        <f>SUM(M87:O87)/(DEN!H81+DEN!K81)</f>
        <v>101450.90215020617</v>
      </c>
      <c r="AB87" s="733">
        <f t="shared" si="36"/>
        <v>2836364214.5281882</v>
      </c>
      <c r="AC87" s="734">
        <f t="shared" si="37"/>
        <v>3813724852.8994293</v>
      </c>
      <c r="AD87" s="734">
        <f t="shared" si="38"/>
        <v>2322570113.2443337</v>
      </c>
      <c r="AE87" s="735">
        <f t="shared" si="39"/>
        <v>483514999.64788258</v>
      </c>
      <c r="AG87" s="944">
        <f t="shared" si="40"/>
        <v>0.29994838932125661</v>
      </c>
      <c r="AH87" s="944">
        <f t="shared" si="32"/>
        <v>0.40330526703246899</v>
      </c>
      <c r="AI87" s="944">
        <f t="shared" si="33"/>
        <v>0.24561414256497738</v>
      </c>
      <c r="AJ87" s="944">
        <f t="shared" si="34"/>
        <v>5.1132201081296999E-2</v>
      </c>
      <c r="AL87" s="945">
        <f t="shared" si="31"/>
        <v>1</v>
      </c>
    </row>
    <row r="88" spans="1:38" ht="15.75" thickBot="1">
      <c r="A88" s="127" t="s">
        <v>18</v>
      </c>
      <c r="B88" s="291">
        <f>KMA!B88*FRO_TOT!B88</f>
        <v>549921835.15362608</v>
      </c>
      <c r="C88" s="291">
        <f>KMA!C88*FRO_TOT!C88</f>
        <v>115492027.01320274</v>
      </c>
      <c r="D88" s="291">
        <f>KMA!D88*FRO_TOT!D88</f>
        <v>76344180.033396646</v>
      </c>
      <c r="E88" s="291">
        <f>KMA!E88*FRO_TOT!E88</f>
        <v>690026746.71312141</v>
      </c>
      <c r="F88" s="291">
        <f>KMA!F88*FRO_TOT!F88</f>
        <v>9666766.113792412</v>
      </c>
      <c r="G88" s="291">
        <f>KMA!G88*FRO_TOT!G88</f>
        <v>2860556.7929418171</v>
      </c>
      <c r="H88" s="291">
        <f>KMA!H88*FRO_TOT!H88</f>
        <v>16059830.935466113</v>
      </c>
      <c r="I88" s="291">
        <f>KMA!I88*FRO_TOT!I88</f>
        <v>3239235.3359490428</v>
      </c>
      <c r="J88" s="291">
        <f>KMA!J88*FRO_TOT!J88</f>
        <v>120748111.81710796</v>
      </c>
      <c r="K88" s="291">
        <f>KMA!K88*FRO_TOT!K88</f>
        <v>115332676.96207784</v>
      </c>
      <c r="L88" s="291">
        <f>KMA!L88*FRO_TOT!L88</f>
        <v>41875230.153891802</v>
      </c>
      <c r="M88" s="291">
        <f>KMA!M88*FRO_TOT!M88</f>
        <v>18886949.492796008</v>
      </c>
      <c r="N88" s="291">
        <f>KMA!N88*FRO_TOT!N88</f>
        <v>61332329.450936124</v>
      </c>
      <c r="O88" s="291">
        <f>KMA!O88*FRO_TOT!O88</f>
        <v>10743874.946120491</v>
      </c>
      <c r="P88" s="291">
        <f>KMA!P88*FRO_TOT!P88</f>
        <v>2118079.0930411075</v>
      </c>
      <c r="Q88" s="291">
        <f>KMA!Q88*FRO_TOT!Q88</f>
        <v>128391672.19621795</v>
      </c>
      <c r="R88" s="291">
        <f>KMA!R88*FRO_TOT!R88</f>
        <v>0</v>
      </c>
      <c r="S88" s="690">
        <f t="shared" si="35"/>
        <v>1963040102.2036853</v>
      </c>
      <c r="U88" s="733">
        <f>(B88+C88+H88+I88+P88+Q88+R88)/(DEN!C82+DEN!F82+DEN!G82+DEN!L82)</f>
        <v>13422.617596567105</v>
      </c>
      <c r="V88" s="734">
        <f>SUM(D88:G88)/SUM(DEN!I82:J82)</f>
        <v>12100.894086305905</v>
      </c>
      <c r="W88" s="734">
        <f>SUM(J88:L88)/SUM(DEN!D82:E82)</f>
        <v>76953.493613808852</v>
      </c>
      <c r="X88" s="735">
        <f>SUM(M88:O88)/(DEN!H82+DEN!K82)</f>
        <v>81654.536705433231</v>
      </c>
      <c r="AB88" s="733">
        <f t="shared" si="36"/>
        <v>815222679.72750306</v>
      </c>
      <c r="AC88" s="734">
        <f t="shared" si="37"/>
        <v>778898249.65325224</v>
      </c>
      <c r="AD88" s="734">
        <f t="shared" si="38"/>
        <v>277956018.93307757</v>
      </c>
      <c r="AE88" s="735">
        <f t="shared" si="39"/>
        <v>90963153.889852613</v>
      </c>
      <c r="AG88" s="944">
        <f t="shared" si="40"/>
        <v>0.41528580023013478</v>
      </c>
      <c r="AH88" s="944">
        <f t="shared" si="32"/>
        <v>0.39678162905529563</v>
      </c>
      <c r="AI88" s="944">
        <f t="shared" si="33"/>
        <v>0.14159467176500748</v>
      </c>
      <c r="AJ88" s="944">
        <f t="shared" si="34"/>
        <v>4.6337898949562195E-2</v>
      </c>
      <c r="AL88" s="945">
        <f t="shared" si="31"/>
        <v>1</v>
      </c>
    </row>
    <row r="89" spans="1:38" ht="15.75" thickBot="1">
      <c r="A89" s="128" t="s">
        <v>19</v>
      </c>
      <c r="B89" s="291">
        <f>KMA!B89*FRO_TOT!B89</f>
        <v>1499450998.5690012</v>
      </c>
      <c r="C89" s="291">
        <f>KMA!C89*FRO_TOT!C89</f>
        <v>253335003.16785797</v>
      </c>
      <c r="D89" s="291">
        <f>KMA!D89*FRO_TOT!D89</f>
        <v>396175185.68639219</v>
      </c>
      <c r="E89" s="291">
        <f>KMA!E89*FRO_TOT!E89</f>
        <v>2192472100.2111297</v>
      </c>
      <c r="F89" s="291">
        <f>KMA!F89*FRO_TOT!F89</f>
        <v>30711000.105259176</v>
      </c>
      <c r="G89" s="291">
        <f>KMA!G89*FRO_TOT!G89</f>
        <v>9094196.116707772</v>
      </c>
      <c r="H89" s="291">
        <f>KMA!H89*FRO_TOT!H89</f>
        <v>251521510.83028618</v>
      </c>
      <c r="I89" s="291">
        <f>KMA!I89*FRO_TOT!I89</f>
        <v>39825404.750884607</v>
      </c>
      <c r="J89" s="291">
        <f>KMA!J89*FRO_TOT!J89</f>
        <v>770343137.27186549</v>
      </c>
      <c r="K89" s="291">
        <f>KMA!K89*FRO_TOT!K89</f>
        <v>736056508.04655635</v>
      </c>
      <c r="L89" s="291">
        <f>KMA!L89*FRO_TOT!L89</f>
        <v>382631106.5571568</v>
      </c>
      <c r="M89" s="291">
        <f>KMA!M89*FRO_TOT!M89</f>
        <v>59052408.914786629</v>
      </c>
      <c r="N89" s="291">
        <f>KMA!N89*FRO_TOT!N89</f>
        <v>325578722.42956698</v>
      </c>
      <c r="O89" s="291">
        <f>KMA!O89*FRO_TOT!O89</f>
        <v>57031845.031519912</v>
      </c>
      <c r="P89" s="291">
        <f>KMA!P89*FRO_TOT!P89</f>
        <v>8113874.5833321642</v>
      </c>
      <c r="Q89" s="291">
        <f>KMA!Q89*FRO_TOT!Q89</f>
        <v>398391430.3382659</v>
      </c>
      <c r="R89" s="291">
        <f>KMA!R89*FRO_TOT!R89</f>
        <v>0</v>
      </c>
      <c r="S89" s="690">
        <f t="shared" si="35"/>
        <v>7409784432.610569</v>
      </c>
      <c r="U89" s="733">
        <f>(B89+C89+H89+I89+P89+Q89+R89)/(DEN!C83+DEN!F83+DEN!G83+DEN!L83)</f>
        <v>14589.04274511917</v>
      </c>
      <c r="V89" s="734">
        <f>SUM(D89:G89)/SUM(DEN!I83:J83)</f>
        <v>12822.470008583374</v>
      </c>
      <c r="W89" s="734">
        <f>SUM(J89:L89)/SUM(DEN!D83:E83)</f>
        <v>85072.314878431818</v>
      </c>
      <c r="X89" s="735">
        <f>SUM(M89:O89)/(DEN!H83+DEN!K83)</f>
        <v>96285.802567227714</v>
      </c>
      <c r="AB89" s="733">
        <f t="shared" si="36"/>
        <v>2450638222.2396278</v>
      </c>
      <c r="AC89" s="734">
        <f t="shared" si="37"/>
        <v>2628452482.1194887</v>
      </c>
      <c r="AD89" s="734">
        <f t="shared" si="38"/>
        <v>1889030751.8755786</v>
      </c>
      <c r="AE89" s="735">
        <f t="shared" si="39"/>
        <v>441662976.37587351</v>
      </c>
      <c r="AG89" s="944">
        <f t="shared" si="40"/>
        <v>0.33073002926432427</v>
      </c>
      <c r="AH89" s="944">
        <f t="shared" si="32"/>
        <v>0.35472725367712876</v>
      </c>
      <c r="AI89" s="944">
        <f t="shared" si="33"/>
        <v>0.2549373425172704</v>
      </c>
      <c r="AJ89" s="944">
        <f t="shared" si="34"/>
        <v>5.9605374541276575E-2</v>
      </c>
      <c r="AL89" s="945">
        <f t="shared" si="31"/>
        <v>1</v>
      </c>
    </row>
    <row r="90" spans="1:38" ht="15.75" thickBot="1">
      <c r="A90" s="269" t="s">
        <v>54</v>
      </c>
      <c r="B90" s="291">
        <f>KMA!B90*FRO_TOT!B90</f>
        <v>39115478693.000381</v>
      </c>
      <c r="C90" s="291">
        <f>KMA!C90*FRO_TOT!C90</f>
        <v>6054415409.1044922</v>
      </c>
      <c r="D90" s="291">
        <f>KMA!D90*FRO_TOT!D90</f>
        <v>3316501450.7764335</v>
      </c>
      <c r="E90" s="291">
        <f>KMA!E90*FRO_TOT!E90</f>
        <v>56027294127.306236</v>
      </c>
      <c r="F90" s="291">
        <f>KMA!F90*FRO_TOT!F90</f>
        <v>784877343.79976976</v>
      </c>
      <c r="G90" s="291">
        <f>KMA!G90*FRO_TOT!G90</f>
        <v>232380258.93306947</v>
      </c>
      <c r="H90" s="291">
        <f>KMA!H90*FRO_TOT!H90</f>
        <v>5457281740.7022591</v>
      </c>
      <c r="I90" s="291">
        <f>KMA!I90*FRO_TOT!I90</f>
        <v>719365886.97108948</v>
      </c>
      <c r="J90" s="291">
        <f>KMA!J90*FRO_TOT!J90</f>
        <v>5428114246.078887</v>
      </c>
      <c r="K90" s="291">
        <f>KMA!K90*FRO_TOT!K90</f>
        <v>5186777521.1669016</v>
      </c>
      <c r="L90" s="291">
        <f>KMA!L90*FRO_TOT!L90</f>
        <v>1916549574.3641531</v>
      </c>
      <c r="M90" s="291">
        <f>KMA!M90*FRO_TOT!M90</f>
        <v>2167490766.4196653</v>
      </c>
      <c r="N90" s="291">
        <f>KMA!N90*FRO_TOT!N90</f>
        <v>7798595898.8599548</v>
      </c>
      <c r="O90" s="291">
        <f>KMA!O90*FRO_TOT!O90</f>
        <v>1159475550.1434031</v>
      </c>
      <c r="P90" s="291">
        <f>KMA!P90*FRO_TOT!P90</f>
        <v>134269602.88497484</v>
      </c>
      <c r="Q90" s="291">
        <f>KMA!Q90*FRO_TOT!Q90</f>
        <v>5545600687.4166479</v>
      </c>
      <c r="R90" s="291">
        <f>KMA!R90*FRO_TOT!R90</f>
        <v>4909634556</v>
      </c>
      <c r="S90" s="690">
        <f t="shared" si="35"/>
        <v>145954103313.92831</v>
      </c>
      <c r="U90" s="733">
        <f>(B90+C90+H90+I90+P90+Q90+R90)/(DEN!C84+DEN!F84+DEN!G84+DEN!L84)</f>
        <v>11795.403265345114</v>
      </c>
      <c r="V90" s="734">
        <f>SUM(D90:G90)/SUM(DEN!I84:J84)</f>
        <v>14583.744332967339</v>
      </c>
      <c r="W90" s="734">
        <f>SUM(J90:L90)/SUM(DEN!D84:E84)</f>
        <v>33880.206398404705</v>
      </c>
      <c r="X90" s="735">
        <f>SUM(M90:O90)/(DEN!H84+DEN!K84)</f>
        <v>81121.440610607766</v>
      </c>
      <c r="AB90" s="733">
        <f t="shared" si="36"/>
        <v>61936046576.079842</v>
      </c>
      <c r="AC90" s="734">
        <f t="shared" si="37"/>
        <v>60361053180.815506</v>
      </c>
      <c r="AD90" s="734">
        <f t="shared" si="38"/>
        <v>12531441341.609941</v>
      </c>
      <c r="AE90" s="735">
        <f t="shared" si="39"/>
        <v>11125562215.423023</v>
      </c>
      <c r="AG90" s="944">
        <f t="shared" si="40"/>
        <v>0.42435289703958134</v>
      </c>
      <c r="AH90" s="944">
        <f t="shared" si="32"/>
        <v>0.41356187877079909</v>
      </c>
      <c r="AI90" s="944">
        <f t="shared" si="33"/>
        <v>8.5858780651452041E-2</v>
      </c>
      <c r="AJ90" s="944">
        <f t="shared" si="34"/>
        <v>7.6226443538167502E-2</v>
      </c>
      <c r="AL90" s="945">
        <f t="shared" si="31"/>
        <v>1</v>
      </c>
    </row>
    <row r="91" spans="1:38" ht="15.75" thickBot="1">
      <c r="A91" s="127" t="s">
        <v>21</v>
      </c>
      <c r="B91" s="291">
        <f>KMA!B91*FRO_TOT!B91</f>
        <v>2028652363.3083024</v>
      </c>
      <c r="C91" s="291">
        <f>KMA!C91*FRO_TOT!C91</f>
        <v>314847504.48498112</v>
      </c>
      <c r="D91" s="291">
        <f>KMA!D91*FRO_TOT!D91</f>
        <v>158047128.17007032</v>
      </c>
      <c r="E91" s="291">
        <f>KMA!E91*FRO_TOT!E91</f>
        <v>2317958680.2305112</v>
      </c>
      <c r="F91" s="291">
        <f>KMA!F91*FRO_TOT!F91</f>
        <v>32470393.327092163</v>
      </c>
      <c r="G91" s="291">
        <f>KMA!G91*FRO_TOT!G91</f>
        <v>9614252.952407131</v>
      </c>
      <c r="H91" s="291">
        <f>KMA!H91*FRO_TOT!H91</f>
        <v>367389714.17512697</v>
      </c>
      <c r="I91" s="291">
        <f>KMA!I91*FRO_TOT!I91</f>
        <v>47098989.008941106</v>
      </c>
      <c r="J91" s="291">
        <f>KMA!J91*FRO_TOT!J91</f>
        <v>212132649.96973059</v>
      </c>
      <c r="K91" s="291">
        <f>KMA!K91*FRO_TOT!K91</f>
        <v>202688776.64888564</v>
      </c>
      <c r="L91" s="291">
        <f>KMA!L91*FRO_TOT!L91</f>
        <v>69094611.003753245</v>
      </c>
      <c r="M91" s="291">
        <f>KMA!M91*FRO_TOT!M91</f>
        <v>145435642.37489271</v>
      </c>
      <c r="N91" s="291">
        <f>KMA!N91*FRO_TOT!N91</f>
        <v>373569202.63117689</v>
      </c>
      <c r="O91" s="291">
        <f>KMA!O91*FRO_TOT!O91</f>
        <v>55564498.142529488</v>
      </c>
      <c r="P91" s="291">
        <f>KMA!P91*FRO_TOT!P91</f>
        <v>5246957.2249714732</v>
      </c>
      <c r="Q91" s="291">
        <f>KMA!Q91*FRO_TOT!Q91</f>
        <v>211280869.31806588</v>
      </c>
      <c r="R91" s="291">
        <f>KMA!R91*FRO_TOT!R91</f>
        <v>501459984.00000006</v>
      </c>
      <c r="S91" s="690">
        <f t="shared" si="35"/>
        <v>7052552216.9714375</v>
      </c>
      <c r="U91" s="733">
        <f>(B91+C91+H91+I91+P91+Q91+R91)/(DEN!C85+DEN!F85+DEN!G85+DEN!L85)</f>
        <v>13039.68721614437</v>
      </c>
      <c r="V91" s="734">
        <f>SUM(D91:G91)/SUM(DEN!I85:J85)</f>
        <v>15872.3854032253</v>
      </c>
      <c r="W91" s="734">
        <f>SUM(J91:L91)/SUM(DEN!D85:E85)</f>
        <v>27264.411382183192</v>
      </c>
      <c r="X91" s="735">
        <f>SUM(M91:O91)/(DEN!H85+DEN!K85)</f>
        <v>60781.69291744411</v>
      </c>
      <c r="AB91" s="733">
        <f t="shared" si="36"/>
        <v>3475976381.5203886</v>
      </c>
      <c r="AC91" s="734">
        <f t="shared" si="37"/>
        <v>2518090454.6800809</v>
      </c>
      <c r="AD91" s="734">
        <f t="shared" si="38"/>
        <v>483916037.62236947</v>
      </c>
      <c r="AE91" s="735">
        <f t="shared" si="39"/>
        <v>574569343.14859915</v>
      </c>
      <c r="AG91" s="944">
        <f t="shared" si="40"/>
        <v>0.49286786890506284</v>
      </c>
      <c r="AH91" s="944">
        <f t="shared" si="32"/>
        <v>0.35704669419114476</v>
      </c>
      <c r="AI91" s="944">
        <f t="shared" si="33"/>
        <v>6.8615732678711946E-2</v>
      </c>
      <c r="AJ91" s="944">
        <f t="shared" si="34"/>
        <v>8.1469704225080555E-2</v>
      </c>
      <c r="AL91" s="945">
        <f t="shared" si="31"/>
        <v>1</v>
      </c>
    </row>
    <row r="92" spans="1:38" ht="15.75" thickBot="1">
      <c r="A92" s="127" t="s">
        <v>22</v>
      </c>
      <c r="B92" s="291">
        <f>KMA!B92*FRO_TOT!B92</f>
        <v>10589988891.407846</v>
      </c>
      <c r="C92" s="291">
        <f>KMA!C92*FRO_TOT!C92</f>
        <v>1823968172.4132323</v>
      </c>
      <c r="D92" s="291">
        <f>KMA!D92*FRO_TOT!D92</f>
        <v>698679241.56024587</v>
      </c>
      <c r="E92" s="291">
        <f>KMA!E92*FRO_TOT!E92</f>
        <v>11836560999.483019</v>
      </c>
      <c r="F92" s="291">
        <f>KMA!F92*FRO_TOT!F92</f>
        <v>165817679.78499627</v>
      </c>
      <c r="G92" s="291">
        <f>KMA!G92*FRO_TOT!G92</f>
        <v>49092753.554153256</v>
      </c>
      <c r="H92" s="291">
        <f>KMA!H92*FRO_TOT!H92</f>
        <v>1722339919.5741539</v>
      </c>
      <c r="I92" s="291">
        <f>KMA!I92*FRO_TOT!I92</f>
        <v>255155828.64087328</v>
      </c>
      <c r="J92" s="291">
        <f>KMA!J92*FRO_TOT!J92</f>
        <v>1732682391.9767604</v>
      </c>
      <c r="K92" s="291">
        <f>KMA!K92*FRO_TOT!K92</f>
        <v>1655644531.2519405</v>
      </c>
      <c r="L92" s="291">
        <f>KMA!L92*FRO_TOT!L92</f>
        <v>839604817.981776</v>
      </c>
      <c r="M92" s="291">
        <f>KMA!M92*FRO_TOT!M92</f>
        <v>821437034.5777179</v>
      </c>
      <c r="N92" s="291">
        <f>KMA!N92*FRO_TOT!N92</f>
        <v>3210124760.9944735</v>
      </c>
      <c r="O92" s="291">
        <f>KMA!O92*FRO_TOT!O92</f>
        <v>477254067.34546721</v>
      </c>
      <c r="P92" s="291">
        <f>KMA!P92*FRO_TOT!P92</f>
        <v>37568424.260342389</v>
      </c>
      <c r="Q92" s="291">
        <f>KMA!Q92*FRO_TOT!Q92</f>
        <v>1730765355.6248085</v>
      </c>
      <c r="R92" s="291">
        <f>KMA!R92*FRO_TOT!R92</f>
        <v>966864156</v>
      </c>
      <c r="S92" s="690">
        <f t="shared" si="35"/>
        <v>38613549026.431808</v>
      </c>
      <c r="U92" s="733">
        <f>(B92+C92+H92+I92+P92+Q92+R92)/(DEN!C86+DEN!F86+DEN!G86+DEN!L86)</f>
        <v>12225.078766832405</v>
      </c>
      <c r="V92" s="734">
        <f>SUM(D92:G92)/SUM(DEN!I86:J86)</f>
        <v>14976.16254686005</v>
      </c>
      <c r="W92" s="734">
        <f>SUM(J92:L92)/SUM(DEN!D86:E86)</f>
        <v>41122.140381761987</v>
      </c>
      <c r="X92" s="735">
        <f>SUM(M92:O92)/(DEN!H86+DEN!K86)</f>
        <v>98207.746790914127</v>
      </c>
      <c r="AB92" s="733">
        <f t="shared" si="36"/>
        <v>17126650747.921257</v>
      </c>
      <c r="AC92" s="734">
        <f t="shared" si="37"/>
        <v>12750150674.382414</v>
      </c>
      <c r="AD92" s="734">
        <f t="shared" si="38"/>
        <v>4227931741.2104769</v>
      </c>
      <c r="AE92" s="735">
        <f t="shared" si="39"/>
        <v>4508815862.9176588</v>
      </c>
      <c r="AG92" s="944">
        <f t="shared" si="40"/>
        <v>0.44353992781646917</v>
      </c>
      <c r="AH92" s="944">
        <f t="shared" si="32"/>
        <v>0.33019888085538734</v>
      </c>
      <c r="AI92" s="944">
        <f t="shared" si="33"/>
        <v>0.10949347697401154</v>
      </c>
      <c r="AJ92" s="944">
        <f t="shared" si="34"/>
        <v>0.11676771435413194</v>
      </c>
      <c r="AL92" s="945">
        <f t="shared" si="31"/>
        <v>1</v>
      </c>
    </row>
    <row r="93" spans="1:38" ht="15.75" thickBot="1">
      <c r="A93" s="127" t="s">
        <v>23</v>
      </c>
      <c r="B93" s="291">
        <f>KMA!B93*FRO_TOT!B93</f>
        <v>5409944650.3384981</v>
      </c>
      <c r="C93" s="291">
        <f>KMA!C93*FRO_TOT!C93</f>
        <v>783587223.75589883</v>
      </c>
      <c r="D93" s="291">
        <f>KMA!D93*FRO_TOT!D93</f>
        <v>503707084.53198993</v>
      </c>
      <c r="E93" s="291">
        <f>KMA!E93*FRO_TOT!E93</f>
        <v>10211771954.643703</v>
      </c>
      <c r="F93" s="291">
        <f>KMA!F93*FRO_TOT!F93</f>
        <v>143054309.22482011</v>
      </c>
      <c r="G93" s="291">
        <f>KMA!G93*FRO_TOT!G93</f>
        <v>42354457.405590527</v>
      </c>
      <c r="H93" s="291">
        <f>KMA!H93*FRO_TOT!H93</f>
        <v>786301839.77147436</v>
      </c>
      <c r="I93" s="291">
        <f>KMA!I93*FRO_TOT!I93</f>
        <v>98305979.496007338</v>
      </c>
      <c r="J93" s="291">
        <f>KMA!J93*FRO_TOT!J93</f>
        <v>705773043.06895018</v>
      </c>
      <c r="K93" s="291">
        <f>KMA!K93*FRO_TOT!K93</f>
        <v>674384664.04992962</v>
      </c>
      <c r="L93" s="291">
        <f>KMA!L93*FRO_TOT!L93</f>
        <v>233934793.30138227</v>
      </c>
      <c r="M93" s="291">
        <f>KMA!M93*FRO_TOT!M93</f>
        <v>244498891.63874078</v>
      </c>
      <c r="N93" s="291">
        <f>KMA!N93*FRO_TOT!N93</f>
        <v>898995667.88976932</v>
      </c>
      <c r="O93" s="291">
        <f>KMA!O93*FRO_TOT!O93</f>
        <v>133635196.92905934</v>
      </c>
      <c r="P93" s="291">
        <f>KMA!P93*FRO_TOT!P93</f>
        <v>24836780.778679661</v>
      </c>
      <c r="Q93" s="291">
        <f>KMA!Q93*FRO_TOT!Q93</f>
        <v>954003637.84827793</v>
      </c>
      <c r="R93" s="291">
        <f>KMA!R93*FRO_TOT!R93</f>
        <v>856393776</v>
      </c>
      <c r="S93" s="690">
        <f t="shared" si="35"/>
        <v>22705483950.672771</v>
      </c>
      <c r="U93" s="733">
        <f>(B93+C93+H93+I93+P93+Q93+R93)/(DEN!C87+DEN!F87+DEN!G87+DEN!L87)</f>
        <v>10262.633041907548</v>
      </c>
      <c r="V93" s="734">
        <f>SUM(D93:G93)/SUM(DEN!I87:J87)</f>
        <v>12889.537156452168</v>
      </c>
      <c r="W93" s="734">
        <f>SUM(J93:L93)/SUM(DEN!D87:E87)</f>
        <v>28323.375103886119</v>
      </c>
      <c r="X93" s="735">
        <f>SUM(M93:O93)/(DEN!H87+DEN!K87)</f>
        <v>68361.511425841411</v>
      </c>
      <c r="AB93" s="733">
        <f t="shared" si="36"/>
        <v>8913373887.9888363</v>
      </c>
      <c r="AC93" s="734">
        <f t="shared" si="37"/>
        <v>10900887805.806103</v>
      </c>
      <c r="AD93" s="734">
        <f t="shared" si="38"/>
        <v>1614092500.4202621</v>
      </c>
      <c r="AE93" s="735">
        <f t="shared" si="39"/>
        <v>1277129756.4575694</v>
      </c>
      <c r="AG93" s="944">
        <f t="shared" si="40"/>
        <v>0.39256480537270072</v>
      </c>
      <c r="AH93" s="944">
        <f t="shared" si="32"/>
        <v>0.48009933765288038</v>
      </c>
      <c r="AI93" s="944">
        <f t="shared" si="33"/>
        <v>7.1088222736271425E-2</v>
      </c>
      <c r="AJ93" s="944">
        <f t="shared" si="34"/>
        <v>5.6247634238147458E-2</v>
      </c>
      <c r="AL93" s="945">
        <f t="shared" si="31"/>
        <v>1</v>
      </c>
    </row>
    <row r="94" spans="1:38" ht="15.75" thickBot="1">
      <c r="A94" s="127" t="s">
        <v>24</v>
      </c>
      <c r="B94" s="291">
        <f>KMA!B94*FRO_TOT!B94</f>
        <v>3303094276.4543958</v>
      </c>
      <c r="C94" s="291">
        <f>KMA!C94*FRO_TOT!C94</f>
        <v>621455171.95152056</v>
      </c>
      <c r="D94" s="291">
        <f>KMA!D94*FRO_TOT!D94</f>
        <v>559801822.64994955</v>
      </c>
      <c r="E94" s="291">
        <f>KMA!E94*FRO_TOT!E94</f>
        <v>7154678344.3196211</v>
      </c>
      <c r="F94" s="291">
        <f>KMA!F94*FRO_TOT!F94</f>
        <v>100227837.46550323</v>
      </c>
      <c r="G94" s="291">
        <f>KMA!G94*FRO_TOT!G94</f>
        <v>29677684.753654107</v>
      </c>
      <c r="H94" s="291">
        <f>KMA!H94*FRO_TOT!H94</f>
        <v>231904412.00411686</v>
      </c>
      <c r="I94" s="291">
        <f>KMA!I94*FRO_TOT!I94</f>
        <v>41521835.701732211</v>
      </c>
      <c r="J94" s="291">
        <f>KMA!J94*FRO_TOT!J94</f>
        <v>426844541.74501938</v>
      </c>
      <c r="K94" s="291">
        <f>KMA!K94*FRO_TOT!K94</f>
        <v>407856678.58779269</v>
      </c>
      <c r="L94" s="291">
        <f>KMA!L94*FRO_TOT!L94</f>
        <v>88306070.161078587</v>
      </c>
      <c r="M94" s="291">
        <f>KMA!M94*FRO_TOT!M94</f>
        <v>133938576.68716399</v>
      </c>
      <c r="N94" s="291">
        <f>KMA!N94*FRO_TOT!N94</f>
        <v>492626199.10655284</v>
      </c>
      <c r="O94" s="291">
        <f>KMA!O94*FRO_TOT!O94</f>
        <v>73264217.228365779</v>
      </c>
      <c r="P94" s="291">
        <f>KMA!P94*FRO_TOT!P94</f>
        <v>8230162.8272303361</v>
      </c>
      <c r="Q94" s="291">
        <f>KMA!Q94*FRO_TOT!Q94</f>
        <v>446434992.62126803</v>
      </c>
      <c r="R94" s="291">
        <f>KMA!R94*FRO_TOT!R94</f>
        <v>0</v>
      </c>
      <c r="S94" s="690">
        <f t="shared" si="35"/>
        <v>14119862824.264967</v>
      </c>
      <c r="U94" s="733">
        <f>(B94+C94+H94+I94+P94+Q94+R94)/(DEN!C88+DEN!F88+DEN!G88+DEN!L88)</f>
        <v>13629.159958169819</v>
      </c>
      <c r="V94" s="734">
        <f>SUM(D94:G94)/SUM(DEN!I88:J88)</f>
        <v>16407.862353899454</v>
      </c>
      <c r="W94" s="734">
        <f>SUM(J94:L94)/SUM(DEN!D88:E88)</f>
        <v>32986.930077334284</v>
      </c>
      <c r="X94" s="735">
        <f>SUM(M94:O94)/(DEN!H88+DEN!K88)</f>
        <v>81299.836549963118</v>
      </c>
      <c r="AB94" s="733">
        <f t="shared" si="36"/>
        <v>4652640851.5602636</v>
      </c>
      <c r="AC94" s="734">
        <f t="shared" si="37"/>
        <v>7844385689.1887283</v>
      </c>
      <c r="AD94" s="734">
        <f t="shared" si="38"/>
        <v>923007290.49389064</v>
      </c>
      <c r="AE94" s="735">
        <f t="shared" si="39"/>
        <v>699828993.02208257</v>
      </c>
      <c r="AG94" s="944">
        <f t="shared" si="40"/>
        <v>0.32951034365324755</v>
      </c>
      <c r="AH94" s="944">
        <f t="shared" si="32"/>
        <v>0.55555679165013994</v>
      </c>
      <c r="AI94" s="944">
        <f t="shared" si="33"/>
        <v>6.5369423342251154E-2</v>
      </c>
      <c r="AJ94" s="944">
        <f t="shared" si="34"/>
        <v>4.9563441354361269E-2</v>
      </c>
      <c r="AL94" s="945">
        <f t="shared" si="31"/>
        <v>0.99999999999999989</v>
      </c>
    </row>
    <row r="95" spans="1:38" ht="15.75" thickBot="1">
      <c r="A95" s="127" t="s">
        <v>25</v>
      </c>
      <c r="B95" s="291">
        <f>KMA!B95*FRO_TOT!B95</f>
        <v>3295204886.3913751</v>
      </c>
      <c r="C95" s="291">
        <f>KMA!C95*FRO_TOT!C95</f>
        <v>453607791.82494593</v>
      </c>
      <c r="D95" s="291">
        <f>KMA!D95*FRO_TOT!D95</f>
        <v>278607083.07938349</v>
      </c>
      <c r="E95" s="291">
        <f>KMA!E95*FRO_TOT!E95</f>
        <v>4486546735.3861713</v>
      </c>
      <c r="F95" s="291">
        <f>KMA!F95*FRO_TOT!F95</f>
        <v>62852422.440068781</v>
      </c>
      <c r="G95" s="291">
        <f>KMA!G95*FRO_TOT!G95</f>
        <v>18607612.459623471</v>
      </c>
      <c r="H95" s="291">
        <f>KMA!H95*FRO_TOT!H95</f>
        <v>403637525.4892692</v>
      </c>
      <c r="I95" s="291">
        <f>KMA!I95*FRO_TOT!I95</f>
        <v>48253237.514315799</v>
      </c>
      <c r="J95" s="291">
        <f>KMA!J95*FRO_TOT!J95</f>
        <v>326670945.60753155</v>
      </c>
      <c r="K95" s="291">
        <f>KMA!K95*FRO_TOT!K95</f>
        <v>312166747.05919272</v>
      </c>
      <c r="L95" s="291">
        <f>KMA!L95*FRO_TOT!L95</f>
        <v>86354100.11028409</v>
      </c>
      <c r="M95" s="291">
        <f>KMA!M95*FRO_TOT!M95</f>
        <v>109928597.65511625</v>
      </c>
      <c r="N95" s="291">
        <f>KMA!N95*FRO_TOT!N95</f>
        <v>409191713.68667018</v>
      </c>
      <c r="O95" s="291">
        <f>KMA!O95*FRO_TOT!O95</f>
        <v>60841031.008920707</v>
      </c>
      <c r="P95" s="291">
        <f>KMA!P95*FRO_TOT!P95</f>
        <v>9520486.1484703757</v>
      </c>
      <c r="Q95" s="291">
        <f>KMA!Q95*FRO_TOT!Q95</f>
        <v>355494846.63286513</v>
      </c>
      <c r="R95" s="291">
        <f>KMA!R95*FRO_TOT!R95</f>
        <v>464542776</v>
      </c>
      <c r="S95" s="690">
        <f t="shared" si="35"/>
        <v>11182028538.494205</v>
      </c>
      <c r="U95" s="733">
        <f>(B95+C95+H95+I95+P95+Q95+R95)/(DEN!C89+DEN!F89+DEN!G89+DEN!L89)</f>
        <v>12677.134335357641</v>
      </c>
      <c r="V95" s="734">
        <f>SUM(D95:G95)/SUM(DEN!I89:J89)</f>
        <v>15619.12295638172</v>
      </c>
      <c r="W95" s="734">
        <f>SUM(J95:L95)/SUM(DEN!D89:E89)</f>
        <v>30781.942899826321</v>
      </c>
      <c r="X95" s="735">
        <f>SUM(M95:O95)/(DEN!H89+DEN!K89)</f>
        <v>75309.874347579171</v>
      </c>
      <c r="AB95" s="733">
        <f t="shared" si="36"/>
        <v>5030261550.0012417</v>
      </c>
      <c r="AC95" s="734">
        <f t="shared" si="37"/>
        <v>4846613853.3652477</v>
      </c>
      <c r="AD95" s="734">
        <f t="shared" si="38"/>
        <v>725191792.7770083</v>
      </c>
      <c r="AE95" s="735">
        <f t="shared" si="39"/>
        <v>579961342.35070717</v>
      </c>
      <c r="AG95" s="944">
        <f t="shared" si="40"/>
        <v>0.44985232622904991</v>
      </c>
      <c r="AH95" s="944">
        <f t="shared" si="32"/>
        <v>0.43342885744574416</v>
      </c>
      <c r="AI95" s="944">
        <f t="shared" si="33"/>
        <v>6.4853330527688324E-2</v>
      </c>
      <c r="AJ95" s="944">
        <f t="shared" si="34"/>
        <v>5.1865485797517555E-2</v>
      </c>
      <c r="AL95" s="945">
        <f t="shared" si="31"/>
        <v>1</v>
      </c>
    </row>
    <row r="96" spans="1:38" ht="15.75" thickBot="1">
      <c r="A96" s="127" t="s">
        <v>26</v>
      </c>
      <c r="B96" s="291">
        <f>KMA!B96*FRO_TOT!B96</f>
        <v>7378587753.8398399</v>
      </c>
      <c r="C96" s="291">
        <f>KMA!C96*FRO_TOT!C96</f>
        <v>1054329042.3989601</v>
      </c>
      <c r="D96" s="291">
        <f>KMA!D96*FRO_TOT!D96</f>
        <v>385599798.64523757</v>
      </c>
      <c r="E96" s="291">
        <f>KMA!E96*FRO_TOT!E96</f>
        <v>8972734150.7868099</v>
      </c>
      <c r="F96" s="291">
        <f>KMA!F96*FRO_TOT!F96</f>
        <v>125697442.37545021</v>
      </c>
      <c r="G96" s="291">
        <f>KMA!G96*FRO_TOT!G96</f>
        <v>37214360.89225927</v>
      </c>
      <c r="H96" s="291">
        <f>KMA!H96*FRO_TOT!H96</f>
        <v>1281075008.3706436</v>
      </c>
      <c r="I96" s="291">
        <f>KMA!I96*FRO_TOT!I96</f>
        <v>158133782.28453392</v>
      </c>
      <c r="J96" s="291">
        <f>KMA!J96*FRO_TOT!J96</f>
        <v>1040694616.1613251</v>
      </c>
      <c r="K96" s="291">
        <f>KMA!K96*FRO_TOT!K96</f>
        <v>994428169.5998801</v>
      </c>
      <c r="L96" s="291">
        <f>KMA!L96*FRO_TOT!L96</f>
        <v>381870070.59345758</v>
      </c>
      <c r="M96" s="291">
        <f>KMA!M96*FRO_TOT!M96</f>
        <v>396646027.98965794</v>
      </c>
      <c r="N96" s="291">
        <f>KMA!N96*FRO_TOT!N96</f>
        <v>1255963954.1954722</v>
      </c>
      <c r="O96" s="291">
        <f>KMA!O96*FRO_TOT!O96</f>
        <v>186713714.26363215</v>
      </c>
      <c r="P96" s="291">
        <f>KMA!P96*FRO_TOT!P96</f>
        <v>20067205.855231419</v>
      </c>
      <c r="Q96" s="291">
        <f>KMA!Q96*FRO_TOT!Q96</f>
        <v>773619372.55366564</v>
      </c>
      <c r="R96" s="291">
        <f>KMA!R96*FRO_TOT!R96</f>
        <v>871737996</v>
      </c>
      <c r="S96" s="690">
        <f t="shared" si="35"/>
        <v>25315112466.806053</v>
      </c>
      <c r="U96" s="733">
        <f>(B96+C96+H96+I96+P96+Q96+R96)/(DEN!C90+DEN!F90+DEN!G90+DEN!L90)</f>
        <v>10904.397239961738</v>
      </c>
      <c r="V96" s="734">
        <f>SUM(D96:G96)/SUM(DEN!I90:J90)</f>
        <v>13955.859745397158</v>
      </c>
      <c r="W96" s="734">
        <f>SUM(J96:L96)/SUM(DEN!D90:E90)</f>
        <v>30635.564438236426</v>
      </c>
      <c r="X96" s="735">
        <f>SUM(M96:O96)/(DEN!H90+DEN!K90)</f>
        <v>71192.278078989097</v>
      </c>
      <c r="AB96" s="733">
        <f t="shared" si="36"/>
        <v>11537550161.302876</v>
      </c>
      <c r="AC96" s="734">
        <f t="shared" si="37"/>
        <v>9521245752.6997566</v>
      </c>
      <c r="AD96" s="734">
        <f t="shared" si="38"/>
        <v>2416992856.3546629</v>
      </c>
      <c r="AE96" s="735">
        <f t="shared" si="39"/>
        <v>1839323696.4487622</v>
      </c>
      <c r="AG96" s="944">
        <f t="shared" si="40"/>
        <v>0.45575741274826503</v>
      </c>
      <c r="AH96" s="944">
        <f t="shared" si="32"/>
        <v>0.37610916266654176</v>
      </c>
      <c r="AI96" s="944">
        <f t="shared" si="33"/>
        <v>9.5476283564763842E-2</v>
      </c>
      <c r="AJ96" s="944">
        <f t="shared" si="34"/>
        <v>7.2657141020429569E-2</v>
      </c>
      <c r="AL96" s="945">
        <f t="shared" si="31"/>
        <v>1.0000000000000002</v>
      </c>
    </row>
    <row r="97" spans="1:38" ht="15.75" thickBot="1">
      <c r="A97" s="127" t="s">
        <v>27</v>
      </c>
      <c r="B97" s="291">
        <f>KMA!B97*FRO_TOT!B97</f>
        <v>1998243247.3620405</v>
      </c>
      <c r="C97" s="291">
        <f>KMA!C97*FRO_TOT!C97</f>
        <v>280730009.59390545</v>
      </c>
      <c r="D97" s="291">
        <f>KMA!D97*FRO_TOT!D97</f>
        <v>340557250.52998435</v>
      </c>
      <c r="E97" s="291">
        <f>KMA!E97*FRO_TOT!E97</f>
        <v>4427911888.6257677</v>
      </c>
      <c r="F97" s="291">
        <f>KMA!F97*FRO_TOT!F97</f>
        <v>62030140.889417067</v>
      </c>
      <c r="G97" s="291">
        <f>KMA!G97*FRO_TOT!G97</f>
        <v>18365222.788447816</v>
      </c>
      <c r="H97" s="291">
        <f>KMA!H97*FRO_TOT!H97</f>
        <v>95215736.593074709</v>
      </c>
      <c r="I97" s="291">
        <f>KMA!I97*FRO_TOT!I97</f>
        <v>12668325.334137268</v>
      </c>
      <c r="J97" s="291">
        <f>KMA!J97*FRO_TOT!J97</f>
        <v>336623403.65828079</v>
      </c>
      <c r="K97" s="291">
        <f>KMA!K97*FRO_TOT!K97</f>
        <v>321648220.98917049</v>
      </c>
      <c r="L97" s="291">
        <f>KMA!L97*FRO_TOT!L97</f>
        <v>82465440.057703808</v>
      </c>
      <c r="M97" s="291">
        <f>KMA!M97*FRO_TOT!M97</f>
        <v>85149581.565550059</v>
      </c>
      <c r="N97" s="291">
        <f>KMA!N97*FRO_TOT!N97</f>
        <v>399106863.89193171</v>
      </c>
      <c r="O97" s="291">
        <f>KMA!O97*FRO_TOT!O97</f>
        <v>59346621.796468072</v>
      </c>
      <c r="P97" s="291">
        <f>KMA!P97*FRO_TOT!P97</f>
        <v>12040337.69230189</v>
      </c>
      <c r="Q97" s="291">
        <f>KMA!Q97*FRO_TOT!Q97</f>
        <v>492086097.01636821</v>
      </c>
      <c r="R97" s="291">
        <f>KMA!R97*FRO_TOT!R97</f>
        <v>0</v>
      </c>
      <c r="S97" s="690">
        <f t="shared" si="35"/>
        <v>9024188388.3845482</v>
      </c>
      <c r="U97" s="733">
        <f>(B97+C97+H97+I97+P97+Q97+R97)/(DEN!C91+DEN!F91+DEN!G91+DEN!L91)</f>
        <v>11625.877690703381</v>
      </c>
      <c r="V97" s="734">
        <f>SUM(D97:G97)/SUM(DEN!I91:J91)</f>
        <v>14143.393642539337</v>
      </c>
      <c r="W97" s="734">
        <f>SUM(J97:L97)/SUM(DEN!D91:E91)</f>
        <v>38598.148335425729</v>
      </c>
      <c r="X97" s="735">
        <f>SUM(M97:O97)/(DEN!H91+DEN!K91)</f>
        <v>99179.541553357005</v>
      </c>
      <c r="AB97" s="733">
        <f t="shared" si="36"/>
        <v>2890983753.5918283</v>
      </c>
      <c r="AC97" s="734">
        <f t="shared" si="37"/>
        <v>4848864502.8336163</v>
      </c>
      <c r="AD97" s="734">
        <f t="shared" si="38"/>
        <v>740737064.70515513</v>
      </c>
      <c r="AE97" s="735">
        <f t="shared" si="39"/>
        <v>543603067.25394976</v>
      </c>
      <c r="AG97" s="944">
        <f t="shared" si="40"/>
        <v>0.32035941950335917</v>
      </c>
      <c r="AH97" s="944">
        <f t="shared" si="32"/>
        <v>0.53731862569212485</v>
      </c>
      <c r="AI97" s="944">
        <f t="shared" si="33"/>
        <v>8.2083510762983647E-2</v>
      </c>
      <c r="AJ97" s="944">
        <f t="shared" si="34"/>
        <v>6.0238444041532481E-2</v>
      </c>
      <c r="AL97" s="945">
        <f t="shared" si="31"/>
        <v>1</v>
      </c>
    </row>
    <row r="98" spans="1:38" ht="15.75" thickBot="1">
      <c r="A98" s="127" t="s">
        <v>28</v>
      </c>
      <c r="B98" s="291">
        <f>KMA!B98*FRO_TOT!B98</f>
        <v>3091106218.6946864</v>
      </c>
      <c r="C98" s="291">
        <f>KMA!C98*FRO_TOT!C98</f>
        <v>492621852.52255255</v>
      </c>
      <c r="D98" s="291">
        <f>KMA!D98*FRO_TOT!D98</f>
        <v>254302394.15401772</v>
      </c>
      <c r="E98" s="291">
        <f>KMA!E98*FRO_TOT!E98</f>
        <v>4141527633.8518996</v>
      </c>
      <c r="F98" s="291">
        <f>KMA!F98*FRO_TOT!F98</f>
        <v>58017443.996145695</v>
      </c>
      <c r="G98" s="291">
        <f>KMA!G98*FRO_TOT!G98</f>
        <v>17177669.040968228</v>
      </c>
      <c r="H98" s="291">
        <f>KMA!H98*FRO_TOT!H98</f>
        <v>381755725.42116582</v>
      </c>
      <c r="I98" s="291">
        <f>KMA!I98*FRO_TOT!I98</f>
        <v>48578309.097353935</v>
      </c>
      <c r="J98" s="291">
        <f>KMA!J98*FRO_TOT!J98</f>
        <v>349844470.03494912</v>
      </c>
      <c r="K98" s="291">
        <f>KMA!K98*FRO_TOT!K98</f>
        <v>334314501.20353746</v>
      </c>
      <c r="L98" s="291">
        <f>KMA!L98*FRO_TOT!L98</f>
        <v>92159128.539969385</v>
      </c>
      <c r="M98" s="291">
        <f>KMA!M98*FRO_TOT!M98</f>
        <v>128756572.27037486</v>
      </c>
      <c r="N98" s="291">
        <f>KMA!N98*FRO_TOT!N98</f>
        <v>413593495.76758683</v>
      </c>
      <c r="O98" s="291">
        <f>KMA!O98*FRO_TOT!O98</f>
        <v>61520668.883327208</v>
      </c>
      <c r="P98" s="291">
        <f>KMA!P98*FRO_TOT!P98</f>
        <v>9719043.8050201181</v>
      </c>
      <c r="Q98" s="291">
        <f>KMA!Q98*FRO_TOT!Q98</f>
        <v>387528245.0658291</v>
      </c>
      <c r="R98" s="291">
        <f>KMA!R98*FRO_TOT!R98</f>
        <v>809059086</v>
      </c>
      <c r="S98" s="690">
        <f t="shared" si="35"/>
        <v>11071582458.34938</v>
      </c>
      <c r="U98" s="733">
        <f>(B98+C98+H98+I98+P98+Q98+R98)/(DEN!C92+DEN!F92+DEN!G92+DEN!L92)</f>
        <v>12369.456897396694</v>
      </c>
      <c r="V98" s="734">
        <f>SUM(D98:G98)/SUM(DEN!I92:J92)</f>
        <v>14877.431223606203</v>
      </c>
      <c r="W98" s="734">
        <f>SUM(J98:L98)/SUM(DEN!D92:E92)</f>
        <v>30996.929518005829</v>
      </c>
      <c r="X98" s="735">
        <f>SUM(M98:O98)/(DEN!H92+DEN!K92)</f>
        <v>73481.472003077259</v>
      </c>
      <c r="AB98" s="733">
        <f t="shared" si="36"/>
        <v>5220368480.6066084</v>
      </c>
      <c r="AC98" s="734">
        <f t="shared" si="37"/>
        <v>4471025141.0430307</v>
      </c>
      <c r="AD98" s="734">
        <f t="shared" si="38"/>
        <v>776318099.77845597</v>
      </c>
      <c r="AE98" s="735">
        <f t="shared" si="39"/>
        <v>603870736.92128897</v>
      </c>
      <c r="AG98" s="944">
        <f t="shared" si="40"/>
        <v>0.47151059934253453</v>
      </c>
      <c r="AH98" s="944">
        <f t="shared" si="32"/>
        <v>0.40382891586299929</v>
      </c>
      <c r="AI98" s="944">
        <f t="shared" si="33"/>
        <v>7.0118079569828198E-2</v>
      </c>
      <c r="AJ98" s="944">
        <f t="shared" si="34"/>
        <v>5.4542405224638296E-2</v>
      </c>
      <c r="AL98" s="945">
        <f t="shared" si="31"/>
        <v>1.0000000000000004</v>
      </c>
    </row>
    <row r="99" spans="1:38" ht="15.75" thickBot="1">
      <c r="A99" s="128" t="s">
        <v>29</v>
      </c>
      <c r="B99" s="291">
        <f>KMA!B99*FRO_TOT!B99</f>
        <v>2030883340.689754</v>
      </c>
      <c r="C99" s="291">
        <f>KMA!C99*FRO_TOT!C99</f>
        <v>257015309.98279175</v>
      </c>
      <c r="D99" s="291">
        <f>KMA!D99*FRO_TOT!D99</f>
        <v>173592363.72048017</v>
      </c>
      <c r="E99" s="291">
        <f>KMA!E99*FRO_TOT!E99</f>
        <v>2339782990.4856853</v>
      </c>
      <c r="F99" s="291">
        <f>KMA!F99*FRO_TOT!F99</f>
        <v>32778991.472404528</v>
      </c>
      <c r="G99" s="291">
        <f>KMA!G99*FRO_TOT!G99</f>
        <v>9705027.9275804292</v>
      </c>
      <c r="H99" s="291">
        <f>KMA!H99*FRO_TOT!H99</f>
        <v>178226523.50715306</v>
      </c>
      <c r="I99" s="291">
        <f>KMA!I99*FRO_TOT!I99</f>
        <v>18552734.56033431</v>
      </c>
      <c r="J99" s="291">
        <f>KMA!J99*FRO_TOT!J99</f>
        <v>236468829.491041</v>
      </c>
      <c r="K99" s="291">
        <f>KMA!K99*FRO_TOT!K99</f>
        <v>225950309.37362924</v>
      </c>
      <c r="L99" s="291">
        <f>KMA!L99*FRO_TOT!L99</f>
        <v>63082295.027593285</v>
      </c>
      <c r="M99" s="291">
        <f>KMA!M99*FRO_TOT!M99</f>
        <v>89571408.256923974</v>
      </c>
      <c r="N99" s="291">
        <f>KMA!N99*FRO_TOT!N99</f>
        <v>398835550.82195592</v>
      </c>
      <c r="O99" s="291">
        <f>KMA!O99*FRO_TOT!O99</f>
        <v>59276295.300758123</v>
      </c>
      <c r="P99" s="291">
        <f>KMA!P99*FRO_TOT!P99</f>
        <v>4390082.595226353</v>
      </c>
      <c r="Q99" s="291">
        <f>KMA!Q99*FRO_TOT!Q99</f>
        <v>142617510.45336089</v>
      </c>
      <c r="R99" s="291">
        <f>KMA!R99*FRO_TOT!R99</f>
        <v>439576782</v>
      </c>
      <c r="S99" s="690">
        <f t="shared" si="35"/>
        <v>6700306345.6666737</v>
      </c>
      <c r="U99" s="733">
        <f>(B99+C99+H99+I99+P99+Q99+R99)/(DEN!C93+DEN!F93+DEN!G93+DEN!L93)</f>
        <v>12390.017362247443</v>
      </c>
      <c r="V99" s="734">
        <f>SUM(D99:G99)/SUM(DEN!I93:J93)</f>
        <v>15104.21282750436</v>
      </c>
      <c r="W99" s="734">
        <f>SUM(J99:L99)/SUM(DEN!D93:E93)</f>
        <v>29768.392561732482</v>
      </c>
      <c r="X99" s="735">
        <f>SUM(M99:O99)/(DEN!H93+DEN!K93)</f>
        <v>75469.650596615393</v>
      </c>
      <c r="AB99" s="733">
        <f t="shared" si="36"/>
        <v>3071262283.7886205</v>
      </c>
      <c r="AC99" s="734">
        <f t="shared" si="37"/>
        <v>2555859373.6061502</v>
      </c>
      <c r="AD99" s="734">
        <f t="shared" si="38"/>
        <v>525501433.89226353</v>
      </c>
      <c r="AE99" s="735">
        <f t="shared" si="39"/>
        <v>547683254.37963796</v>
      </c>
      <c r="AG99" s="944">
        <f t="shared" si="40"/>
        <v>0.45837639733814783</v>
      </c>
      <c r="AH99" s="944">
        <f t="shared" si="32"/>
        <v>0.38145410698409565</v>
      </c>
      <c r="AI99" s="944">
        <f t="shared" si="33"/>
        <v>7.8429463785954209E-2</v>
      </c>
      <c r="AJ99" s="944">
        <f t="shared" si="34"/>
        <v>8.1740031891802109E-2</v>
      </c>
      <c r="AL99" s="945">
        <f t="shared" si="31"/>
        <v>0.99999999999999978</v>
      </c>
    </row>
    <row r="100" spans="1:38" ht="15.75" thickBot="1">
      <c r="A100" s="269" t="s">
        <v>64</v>
      </c>
      <c r="B100" s="291">
        <f>KMA!B100*FRO_TOT!B100</f>
        <v>124446807342.44502</v>
      </c>
      <c r="C100" s="291">
        <f>KMA!C100*FRO_TOT!C100</f>
        <v>17417097645.735092</v>
      </c>
      <c r="D100" s="291">
        <f>KMA!D100*FRO_TOT!D100</f>
        <v>6163249864.7991829</v>
      </c>
      <c r="E100" s="291">
        <f>KMA!E100*FRO_TOT!E100</f>
        <v>91416257006.116882</v>
      </c>
      <c r="F100" s="291">
        <f>KMA!F100*FRO_TOT!F100</f>
        <v>1280625626.0682335</v>
      </c>
      <c r="G100" s="291">
        <f>KMA!G100*FRO_TOT!G100</f>
        <v>379157639.47883493</v>
      </c>
      <c r="H100" s="291">
        <f>KMA!H100*FRO_TOT!H100</f>
        <v>53441150008.182625</v>
      </c>
      <c r="I100" s="291">
        <f>KMA!I100*FRO_TOT!I100</f>
        <v>6129370793.6296959</v>
      </c>
      <c r="J100" s="291">
        <f>KMA!J100*FRO_TOT!J100</f>
        <v>15279753851.29187</v>
      </c>
      <c r="K100" s="291">
        <f>KMA!K100*FRO_TOT!K100</f>
        <v>14600260916.648584</v>
      </c>
      <c r="L100" s="291">
        <f>KMA!L100*FRO_TOT!L100</f>
        <v>9208045327.5609818</v>
      </c>
      <c r="M100" s="291">
        <f>KMA!M100*FRO_TOT!M100</f>
        <v>5046104103.1201448</v>
      </c>
      <c r="N100" s="291">
        <f>KMA!N100*FRO_TOT!N100</f>
        <v>22588299540.98597</v>
      </c>
      <c r="O100" s="291">
        <f>KMA!O100*FRO_TOT!O100</f>
        <v>2704478287.6223931</v>
      </c>
      <c r="P100" s="291">
        <f>KMA!P100*FRO_TOT!P100</f>
        <v>274216874.11304468</v>
      </c>
      <c r="Q100" s="291">
        <f>KMA!Q100*FRO_TOT!Q100</f>
        <v>10246933418.240744</v>
      </c>
      <c r="R100" s="291">
        <f>KMA!R100*FRO_TOT!R100</f>
        <v>18630154698</v>
      </c>
      <c r="S100" s="690">
        <f t="shared" si="35"/>
        <v>399251962944.03918</v>
      </c>
      <c r="U100" s="733">
        <f>(B100+C100+H100+I100+P100+Q100+R100)/(DEN!C94+DEN!F94+DEN!G94+DEN!L94)</f>
        <v>9165.6777621430283</v>
      </c>
      <c r="V100" s="734">
        <f>SUM(D100:G100)/SUM(DEN!I94:J94)</f>
        <v>14097.845792338714</v>
      </c>
      <c r="W100" s="734">
        <f>SUM(J100:L100)/SUM(DEN!D94:E94)</f>
        <v>32051.977863031007</v>
      </c>
      <c r="X100" s="735">
        <f>SUM(M100:O100)/(DEN!H94+DEN!K94)</f>
        <v>75707.902289109305</v>
      </c>
      <c r="AB100" s="733">
        <f t="shared" si="36"/>
        <v>230585730780.34622</v>
      </c>
      <c r="AC100" s="734">
        <f t="shared" si="37"/>
        <v>99239290136.463135</v>
      </c>
      <c r="AD100" s="734">
        <f t="shared" si="38"/>
        <v>39088060095.501434</v>
      </c>
      <c r="AE100" s="735">
        <f t="shared" si="39"/>
        <v>30338881931.728508</v>
      </c>
      <c r="AG100" s="944">
        <f t="shared" si="40"/>
        <v>0.57754438846094314</v>
      </c>
      <c r="AH100" s="944">
        <f t="shared" si="32"/>
        <v>0.2485630612926327</v>
      </c>
      <c r="AI100" s="944">
        <f t="shared" si="33"/>
        <v>9.7903238364241127E-2</v>
      </c>
      <c r="AJ100" s="944">
        <f t="shared" si="34"/>
        <v>7.5989311882183358E-2</v>
      </c>
      <c r="AL100" s="945">
        <f t="shared" si="31"/>
        <v>1.0000000000000002</v>
      </c>
    </row>
    <row r="101" spans="1:38" ht="15.75" thickBot="1">
      <c r="A101" s="127" t="s">
        <v>31</v>
      </c>
      <c r="B101" s="291">
        <f>KMA!B101*FRO_TOT!B101</f>
        <v>5124478816.4676676</v>
      </c>
      <c r="C101" s="291">
        <f>KMA!C101*FRO_TOT!C101</f>
        <v>784003060.92271829</v>
      </c>
      <c r="D101" s="291">
        <f>KMA!D101*FRO_TOT!D101</f>
        <v>423841494.26200658</v>
      </c>
      <c r="E101" s="291">
        <f>KMA!E101*FRO_TOT!E101</f>
        <v>4423682107.9727688</v>
      </c>
      <c r="F101" s="291">
        <f>KMA!F101*FRO_TOT!F101</f>
        <v>61968046.029525757</v>
      </c>
      <c r="G101" s="291">
        <f>KMA!G101*FRO_TOT!G101</f>
        <v>18347434.273879319</v>
      </c>
      <c r="H101" s="291">
        <f>KMA!H101*FRO_TOT!H101</f>
        <v>382705938.69200343</v>
      </c>
      <c r="I101" s="291">
        <f>KMA!I101*FRO_TOT!I101</f>
        <v>51095174.473884672</v>
      </c>
      <c r="J101" s="291">
        <f>KMA!J101*FRO_TOT!J101</f>
        <v>499763663.30206269</v>
      </c>
      <c r="K101" s="291">
        <f>KMA!K101*FRO_TOT!K101</f>
        <v>477547228.58187312</v>
      </c>
      <c r="L101" s="291">
        <f>KMA!L101*FRO_TOT!L101</f>
        <v>406287847.22036946</v>
      </c>
      <c r="M101" s="291">
        <f>KMA!M101*FRO_TOT!M101</f>
        <v>179573336.52540997</v>
      </c>
      <c r="N101" s="291">
        <f>KMA!N101*FRO_TOT!N101</f>
        <v>1080831091.3776782</v>
      </c>
      <c r="O101" s="291">
        <f>KMA!O101*FRO_TOT!O101</f>
        <v>151704292.9107652</v>
      </c>
      <c r="P101" s="291">
        <f>KMA!P101*FRO_TOT!P101</f>
        <v>16029332.309427395</v>
      </c>
      <c r="Q101" s="291">
        <f>KMA!Q101*FRO_TOT!Q101</f>
        <v>661118196.65437865</v>
      </c>
      <c r="R101" s="291">
        <f>KMA!R101*FRO_TOT!R101</f>
        <v>523921968</v>
      </c>
      <c r="S101" s="690">
        <f t="shared" si="35"/>
        <v>15266899029.976418</v>
      </c>
      <c r="U101" s="733">
        <f>(B101+C101+H101+I101+P101+Q101+R101)/(DEN!C95+DEN!F95+DEN!G95+DEN!L95)</f>
        <v>9261.6019226104636</v>
      </c>
      <c r="V101" s="734">
        <f>SUM(D101:G101)/SUM(DEN!I95:J95)</f>
        <v>13307.909613815456</v>
      </c>
      <c r="W101" s="734">
        <f>SUM(J101:L101)/SUM(DEN!D95:E95)</f>
        <v>19709.945284827278</v>
      </c>
      <c r="X101" s="735">
        <f>SUM(M101:O101)/(DEN!H95+DEN!K95)</f>
        <v>78311.264463944841</v>
      </c>
      <c r="AB101" s="733">
        <f t="shared" si="36"/>
        <v>7543352487.5200796</v>
      </c>
      <c r="AC101" s="734">
        <f t="shared" si="37"/>
        <v>4927839082.5381804</v>
      </c>
      <c r="AD101" s="734">
        <f t="shared" si="38"/>
        <v>1383598739.1043053</v>
      </c>
      <c r="AE101" s="735">
        <f t="shared" si="39"/>
        <v>1412108720.8138533</v>
      </c>
      <c r="AG101" s="944">
        <f t="shared" si="40"/>
        <v>0.49409853780448637</v>
      </c>
      <c r="AH101" s="944">
        <f t="shared" si="32"/>
        <v>0.32277930658101645</v>
      </c>
      <c r="AI101" s="944">
        <f t="shared" si="33"/>
        <v>9.0627358993311063E-2</v>
      </c>
      <c r="AJ101" s="944">
        <f t="shared" si="34"/>
        <v>9.2494796621186176E-2</v>
      </c>
      <c r="AL101" s="945">
        <f t="shared" si="31"/>
        <v>1</v>
      </c>
    </row>
    <row r="102" spans="1:38" ht="15.75" thickBot="1">
      <c r="A102" s="127" t="s">
        <v>32</v>
      </c>
      <c r="B102" s="291">
        <f>KMA!B102*FRO_TOT!B102</f>
        <v>29964089215.111862</v>
      </c>
      <c r="C102" s="291">
        <f>KMA!C102*FRO_TOT!C102</f>
        <v>4186312175.6775289</v>
      </c>
      <c r="D102" s="291">
        <f>KMA!D102*FRO_TOT!D102</f>
        <v>1159269159.7186446</v>
      </c>
      <c r="E102" s="291">
        <f>KMA!E102*FRO_TOT!E102</f>
        <v>25555094246.017746</v>
      </c>
      <c r="F102" s="291">
        <f>KMA!F102*FRO_TOT!F102</f>
        <v>357992335.87984139</v>
      </c>
      <c r="G102" s="291">
        <f>KMA!G102*FRO_TOT!G102</f>
        <v>105992178.54718463</v>
      </c>
      <c r="H102" s="291">
        <f>KMA!H102*FRO_TOT!H102</f>
        <v>3937533922.1866989</v>
      </c>
      <c r="I102" s="291">
        <f>KMA!I102*FRO_TOT!I102</f>
        <v>491309451.44178271</v>
      </c>
      <c r="J102" s="291">
        <f>KMA!J102*FRO_TOT!J102</f>
        <v>5787520421.1277809</v>
      </c>
      <c r="K102" s="291">
        <f>KMA!K102*FRO_TOT!K102</f>
        <v>5530090331.9618139</v>
      </c>
      <c r="L102" s="291">
        <f>KMA!L102*FRO_TOT!L102</f>
        <v>3308857734.3478308</v>
      </c>
      <c r="M102" s="291">
        <f>KMA!M102*FRO_TOT!M102</f>
        <v>970266964.93585944</v>
      </c>
      <c r="N102" s="291">
        <f>KMA!N102*FRO_TOT!N102</f>
        <v>5918644074.4912586</v>
      </c>
      <c r="O102" s="291">
        <f>KMA!O102*FRO_TOT!O102</f>
        <v>653356756.59873807</v>
      </c>
      <c r="P102" s="291">
        <f>KMA!P102*FRO_TOT!P102</f>
        <v>75210284.049728736</v>
      </c>
      <c r="Q102" s="291">
        <f>KMA!Q102*FRO_TOT!Q102</f>
        <v>2953581397.9783154</v>
      </c>
      <c r="R102" s="291">
        <f>KMA!R102*FRO_TOT!R102</f>
        <v>559511340</v>
      </c>
      <c r="S102" s="690">
        <f t="shared" si="35"/>
        <v>91514631990.072601</v>
      </c>
      <c r="U102" s="733">
        <f>(B102+C102+H102+I102+P102+Q102+R102)/(DEN!C96+DEN!F96+DEN!G96+DEN!L96)</f>
        <v>8772.8814581942606</v>
      </c>
      <c r="V102" s="734">
        <f>SUM(D102:G102)/SUM(DEN!I96:J96)</f>
        <v>13984.026944897843</v>
      </c>
      <c r="W102" s="734">
        <f>SUM(J102:L102)/SUM(DEN!D96:E96)</f>
        <v>47347.720698951911</v>
      </c>
      <c r="X102" s="735">
        <f>SUM(M102:O102)/(DEN!H96+DEN!K96)</f>
        <v>83946.617501345143</v>
      </c>
      <c r="AB102" s="733">
        <f t="shared" si="36"/>
        <v>42167547786.445915</v>
      </c>
      <c r="AC102" s="734">
        <f t="shared" si="37"/>
        <v>27178347920.163414</v>
      </c>
      <c r="AD102" s="734">
        <f t="shared" si="38"/>
        <v>14626468487.437428</v>
      </c>
      <c r="AE102" s="735">
        <f t="shared" si="39"/>
        <v>7542267796.025856</v>
      </c>
      <c r="AG102" s="944">
        <f t="shared" si="40"/>
        <v>0.46077383331465727</v>
      </c>
      <c r="AH102" s="944">
        <f t="shared" si="32"/>
        <v>0.29698363342718448</v>
      </c>
      <c r="AI102" s="944">
        <f t="shared" si="33"/>
        <v>0.15982655635903217</v>
      </c>
      <c r="AJ102" s="944">
        <f t="shared" si="34"/>
        <v>8.2415976899126164E-2</v>
      </c>
      <c r="AL102" s="945">
        <f t="shared" si="31"/>
        <v>1</v>
      </c>
    </row>
    <row r="103" spans="1:38" ht="15.75" thickBot="1">
      <c r="A103" s="127" t="s">
        <v>33</v>
      </c>
      <c r="B103" s="291">
        <f>KMA!B103*FRO_TOT!B103</f>
        <v>17648851740.964947</v>
      </c>
      <c r="C103" s="291">
        <f>KMA!C103*FRO_TOT!C103</f>
        <v>2788805692.2399225</v>
      </c>
      <c r="D103" s="291">
        <f>KMA!D103*FRO_TOT!D103</f>
        <v>839648932.27134728</v>
      </c>
      <c r="E103" s="291">
        <f>KMA!E103*FRO_TOT!E103</f>
        <v>10046231676.186079</v>
      </c>
      <c r="F103" s="291">
        <f>KMA!F103*FRO_TOT!F103</f>
        <v>140735055.79190099</v>
      </c>
      <c r="G103" s="291">
        <f>KMA!G103*FRO_TOT!G103</f>
        <v>41666613.659393124</v>
      </c>
      <c r="H103" s="291">
        <f>KMA!H103*FRO_TOT!H103</f>
        <v>3759632261.3009806</v>
      </c>
      <c r="I103" s="291">
        <f>KMA!I103*FRO_TOT!I103</f>
        <v>385478075.22323745</v>
      </c>
      <c r="J103" s="291">
        <f>KMA!J103*FRO_TOT!J103</f>
        <v>1373118769.4731939</v>
      </c>
      <c r="K103" s="291">
        <f>KMA!K103*FRO_TOT!K103</f>
        <v>1312071315.6105976</v>
      </c>
      <c r="L103" s="291">
        <f>KMA!L103*FRO_TOT!L103</f>
        <v>449756050.03837615</v>
      </c>
      <c r="M103" s="291">
        <f>KMA!M103*FRO_TOT!M103</f>
        <v>1354052866.9309876</v>
      </c>
      <c r="N103" s="291">
        <f>KMA!N103*FRO_TOT!N103</f>
        <v>3974042997.2620454</v>
      </c>
      <c r="O103" s="291">
        <f>KMA!O103*FRO_TOT!O103</f>
        <v>608804630.68933856</v>
      </c>
      <c r="P103" s="291">
        <f>KMA!P103*FRO_TOT!P103</f>
        <v>30502719.491814375</v>
      </c>
      <c r="Q103" s="291">
        <f>KMA!Q103*FRO_TOT!Q103</f>
        <v>989727373.09449446</v>
      </c>
      <c r="R103" s="291">
        <f>KMA!R103*FRO_TOT!R103</f>
        <v>13191426486</v>
      </c>
      <c r="S103" s="690">
        <f t="shared" si="35"/>
        <v>58934553256.228645</v>
      </c>
      <c r="U103" s="733">
        <f>(B103+C103+H103+I103+P103+Q103+R103)/(DEN!C97+DEN!F97+DEN!G97+DEN!L97)</f>
        <v>10475.246068198088</v>
      </c>
      <c r="V103" s="734">
        <f>SUM(D103:G103)/SUM(DEN!I97:J97)</f>
        <v>15602.117083246365</v>
      </c>
      <c r="W103" s="734">
        <f>SUM(J103:L103)/SUM(DEN!D97:E97)</f>
        <v>25020.121272833094</v>
      </c>
      <c r="X103" s="735">
        <f>SUM(M103:O103)/(DEN!H97+DEN!K97)</f>
        <v>86290.904127590766</v>
      </c>
      <c r="AB103" s="733">
        <f t="shared" si="36"/>
        <v>38794424348.315392</v>
      </c>
      <c r="AC103" s="734">
        <f t="shared" si="37"/>
        <v>11068282277.90872</v>
      </c>
      <c r="AD103" s="734">
        <f t="shared" si="38"/>
        <v>3134946135.1221681</v>
      </c>
      <c r="AE103" s="735">
        <f t="shared" si="39"/>
        <v>5936900494.8823719</v>
      </c>
      <c r="AG103" s="944">
        <f t="shared" si="40"/>
        <v>0.65826280517728886</v>
      </c>
      <c r="AH103" s="944">
        <f t="shared" si="32"/>
        <v>0.18780633204747235</v>
      </c>
      <c r="AI103" s="944">
        <f t="shared" si="33"/>
        <v>5.3193686248751593E-2</v>
      </c>
      <c r="AJ103" s="944">
        <f t="shared" si="34"/>
        <v>0.1007371765264873</v>
      </c>
      <c r="AL103" s="945">
        <f t="shared" si="31"/>
        <v>1</v>
      </c>
    </row>
    <row r="104" spans="1:38" ht="15.75" thickBot="1">
      <c r="A104" s="128" t="s">
        <v>34</v>
      </c>
      <c r="B104" s="291">
        <f>KMA!B104*FRO_TOT!B104</f>
        <v>71793095261.409958</v>
      </c>
      <c r="C104" s="291">
        <f>KMA!C104*FRO_TOT!C104</f>
        <v>9706732444.6178246</v>
      </c>
      <c r="D104" s="291">
        <f>KMA!D104*FRO_TOT!D104</f>
        <v>3743661187.1339483</v>
      </c>
      <c r="E104" s="291">
        <f>KMA!E104*FRO_TOT!E104</f>
        <v>51017836178.977089</v>
      </c>
      <c r="F104" s="291">
        <f>KMA!F104*FRO_TOT!F104</f>
        <v>714699247.3431356</v>
      </c>
      <c r="G104" s="291">
        <f>KMA!G104*FRO_TOT!G104</f>
        <v>211602521.51966479</v>
      </c>
      <c r="H104" s="291">
        <f>KMA!H104*FRO_TOT!H104</f>
        <v>45366168529.169182</v>
      </c>
      <c r="I104" s="291">
        <f>KMA!I104*FRO_TOT!I104</f>
        <v>5196873306.5776091</v>
      </c>
      <c r="J104" s="291">
        <f>KMA!J104*FRO_TOT!J104</f>
        <v>7654571743.2369814</v>
      </c>
      <c r="K104" s="291">
        <f>KMA!K104*FRO_TOT!K104</f>
        <v>7314201502.8660669</v>
      </c>
      <c r="L104" s="291">
        <f>KMA!L104*FRO_TOT!L104</f>
        <v>4981580275.2633257</v>
      </c>
      <c r="M104" s="291">
        <f>KMA!M104*FRO_TOT!M104</f>
        <v>2576052216.2814021</v>
      </c>
      <c r="N104" s="291">
        <f>KMA!N104*FRO_TOT!N104</f>
        <v>11630252210.039726</v>
      </c>
      <c r="O104" s="291">
        <f>KMA!O104*FRO_TOT!O104</f>
        <v>1305155169.5171511</v>
      </c>
      <c r="P104" s="291">
        <f>KMA!P104*FRO_TOT!P104</f>
        <v>150271373.39007375</v>
      </c>
      <c r="Q104" s="291">
        <f>KMA!Q104*FRO_TOT!Q104</f>
        <v>5552490028.3305378</v>
      </c>
      <c r="R104" s="291">
        <f>KMA!R104*FRO_TOT!R104</f>
        <v>4355294904</v>
      </c>
      <c r="S104" s="690">
        <f t="shared" si="35"/>
        <v>233270538099.67368</v>
      </c>
      <c r="U104" s="733">
        <f>(B104+C104+H104+I104+P104+Q104+R104)/(DEN!C98+DEN!F98+DEN!G98+DEN!L98)</f>
        <v>8976.2315741180519</v>
      </c>
      <c r="V104" s="734">
        <f>SUM(D104:G104)/SUM(DEN!I98:J98)</f>
        <v>13866.166197132396</v>
      </c>
      <c r="W104" s="734">
        <f>SUM(J104:L104)/SUM(DEN!D98:E98)</f>
        <v>27898.300291376676</v>
      </c>
      <c r="X104" s="735">
        <f>SUM(M104:O104)/(DEN!H98+DEN!K98)</f>
        <v>69229.970926319103</v>
      </c>
      <c r="AB104" s="733">
        <f t="shared" si="36"/>
        <v>142120925847.49518</v>
      </c>
      <c r="AC104" s="734">
        <f t="shared" si="37"/>
        <v>55687799134.973839</v>
      </c>
      <c r="AD104" s="734">
        <f t="shared" si="38"/>
        <v>19950353521.366375</v>
      </c>
      <c r="AE104" s="735">
        <f t="shared" si="39"/>
        <v>15511459595.83828</v>
      </c>
      <c r="AG104" s="944">
        <f t="shared" si="40"/>
        <v>0.60925364602523713</v>
      </c>
      <c r="AH104" s="944">
        <f t="shared" si="32"/>
        <v>0.23872624287932631</v>
      </c>
      <c r="AI104" s="944">
        <f t="shared" si="33"/>
        <v>8.5524531661352932E-2</v>
      </c>
      <c r="AJ104" s="944">
        <f t="shared" si="34"/>
        <v>6.6495579434083615E-2</v>
      </c>
      <c r="AL104" s="945">
        <f t="shared" si="31"/>
        <v>1</v>
      </c>
    </row>
    <row r="105" spans="1:38" ht="15.75" thickBot="1">
      <c r="A105" s="269" t="s">
        <v>69</v>
      </c>
      <c r="B105" s="291">
        <f>KMA!B105*FRO_TOT!B105</f>
        <v>56809008430.367836</v>
      </c>
      <c r="C105" s="291">
        <f>KMA!C105*FRO_TOT!C105</f>
        <v>6942155982.4919024</v>
      </c>
      <c r="D105" s="291">
        <f>KMA!D105*FRO_TOT!D105</f>
        <v>3507531766.8869877</v>
      </c>
      <c r="E105" s="291">
        <f>KMA!E105*FRO_TOT!E105</f>
        <v>34618350064.900925</v>
      </c>
      <c r="F105" s="291">
        <f>KMA!F105*FRO_TOT!F105</f>
        <v>484959284.73222268</v>
      </c>
      <c r="G105" s="291">
        <f>KMA!G105*FRO_TOT!G105</f>
        <v>143586172.2126658</v>
      </c>
      <c r="H105" s="291">
        <f>KMA!H105*FRO_TOT!H105</f>
        <v>7502367927.2110434</v>
      </c>
      <c r="I105" s="291">
        <f>KMA!I105*FRO_TOT!I105</f>
        <v>846482963.87613142</v>
      </c>
      <c r="J105" s="291">
        <f>KMA!J105*FRO_TOT!J105</f>
        <v>7291448640.7467442</v>
      </c>
      <c r="K105" s="291">
        <f>KMA!K105*FRO_TOT!K105</f>
        <v>6967326983.2542791</v>
      </c>
      <c r="L105" s="291">
        <f>KMA!L105*FRO_TOT!L105</f>
        <v>6490578236.0941477</v>
      </c>
      <c r="M105" s="291">
        <f>KMA!M105*FRO_TOT!M105</f>
        <v>1144622148.3202255</v>
      </c>
      <c r="N105" s="291">
        <f>KMA!N105*FRO_TOT!N105</f>
        <v>6971022982.1488972</v>
      </c>
      <c r="O105" s="291">
        <f>KMA!O105*FRO_TOT!O105</f>
        <v>823746785.26742685</v>
      </c>
      <c r="P105" s="291">
        <f>KMA!P105*FRO_TOT!P105</f>
        <v>154557631.77457696</v>
      </c>
      <c r="Q105" s="291">
        <f>KMA!Q105*FRO_TOT!Q105</f>
        <v>5308000623.0586443</v>
      </c>
      <c r="R105" s="291">
        <f>KMA!R105*FRO_TOT!R105</f>
        <v>3436573842</v>
      </c>
      <c r="S105" s="690">
        <f t="shared" si="35"/>
        <v>149442320465.34464</v>
      </c>
      <c r="U105" s="733">
        <f>(B105+C105+H105+I105+P105+Q105+R105)/(DEN!C99+DEN!F99+DEN!G99+DEN!L99)</f>
        <v>8402.6243228845215</v>
      </c>
      <c r="V105" s="734">
        <f>SUM(D105:G105)/SUM(DEN!I99:J99)</f>
        <v>13102.476808301322</v>
      </c>
      <c r="W105" s="734">
        <f>SUM(J105:L105)/SUM(DEN!D99:E99)</f>
        <v>30707.256550609603</v>
      </c>
      <c r="X105" s="735">
        <f>SUM(M105:O105)/(DEN!H99+DEN!K99)</f>
        <v>73754.316370913322</v>
      </c>
      <c r="AB105" s="733">
        <f t="shared" si="36"/>
        <v>80999147400.780136</v>
      </c>
      <c r="AC105" s="734">
        <f t="shared" si="37"/>
        <v>38754427288.732803</v>
      </c>
      <c r="AD105" s="734">
        <f t="shared" si="38"/>
        <v>20749353860.095169</v>
      </c>
      <c r="AE105" s="735">
        <f t="shared" si="39"/>
        <v>8939391915.7365494</v>
      </c>
      <c r="AG105" s="944">
        <f t="shared" si="40"/>
        <v>0.54200943312817251</v>
      </c>
      <c r="AH105" s="944">
        <f t="shared" si="32"/>
        <v>0.259326990962509</v>
      </c>
      <c r="AI105" s="944">
        <f t="shared" si="33"/>
        <v>0.13884523336819374</v>
      </c>
      <c r="AJ105" s="944">
        <f t="shared" si="34"/>
        <v>5.9818342541124926E-2</v>
      </c>
      <c r="AL105" s="945">
        <f t="shared" si="31"/>
        <v>1.0000000000000002</v>
      </c>
    </row>
    <row r="106" spans="1:38" ht="15.75" thickBot="1">
      <c r="A106" s="127" t="s">
        <v>36</v>
      </c>
      <c r="B106" s="291">
        <f>KMA!B106*FRO_TOT!B106</f>
        <v>18594354982.018581</v>
      </c>
      <c r="C106" s="291">
        <f>KMA!C106*FRO_TOT!C106</f>
        <v>2404841248.2544537</v>
      </c>
      <c r="D106" s="291">
        <f>KMA!D106*FRO_TOT!D106</f>
        <v>1296446479.9050782</v>
      </c>
      <c r="E106" s="291">
        <f>KMA!E106*FRO_TOT!E106</f>
        <v>11925314768.322227</v>
      </c>
      <c r="F106" s="291">
        <f>KMA!F106*FRO_TOT!F106</f>
        <v>167060085.68360546</v>
      </c>
      <c r="G106" s="291">
        <f>KMA!G106*FRO_TOT!G106</f>
        <v>49463017.553889781</v>
      </c>
      <c r="H106" s="291">
        <f>KMA!H106*FRO_TOT!H106</f>
        <v>5672822437.1892529</v>
      </c>
      <c r="I106" s="291">
        <f>KMA!I106*FRO_TOT!I106</f>
        <v>648289747.79056132</v>
      </c>
      <c r="J106" s="291">
        <f>KMA!J106*FRO_TOT!J106</f>
        <v>3006221222.5966558</v>
      </c>
      <c r="K106" s="291">
        <f>KMA!K106*FRO_TOT!K106</f>
        <v>2872601780.3602676</v>
      </c>
      <c r="L106" s="291">
        <f>KMA!L106*FRO_TOT!L106</f>
        <v>2920362603.0679679</v>
      </c>
      <c r="M106" s="291">
        <f>KMA!M106*FRO_TOT!M106</f>
        <v>439011701.70802689</v>
      </c>
      <c r="N106" s="291">
        <f>KMA!N106*FRO_TOT!N106</f>
        <v>2845700309.1457663</v>
      </c>
      <c r="O106" s="291">
        <f>KMA!O106*FRO_TOT!O106</f>
        <v>336257129.6827991</v>
      </c>
      <c r="P106" s="291">
        <f>KMA!P106*FRO_TOT!P106</f>
        <v>61085065.995353431</v>
      </c>
      <c r="Q106" s="291">
        <f>KMA!Q106*FRO_TOT!Q106</f>
        <v>2227268145.1322765</v>
      </c>
      <c r="R106" s="291">
        <f>KMA!R106*FRO_TOT!R106</f>
        <v>447121656</v>
      </c>
      <c r="S106" s="690">
        <f t="shared" si="35"/>
        <v>55914222380.406761</v>
      </c>
      <c r="U106" s="733">
        <f>(B106+C106+H106+I106+P106+Q106+R106)/(DEN!C100+DEN!F100+DEN!G100+DEN!L100)</f>
        <v>8051.9078766745288</v>
      </c>
      <c r="V106" s="734">
        <f>SUM(D106:G106)/SUM(DEN!I100:J100)</f>
        <v>12185.615285709184</v>
      </c>
      <c r="W106" s="734">
        <f>SUM(J106:L106)/SUM(DEN!D100:E100)</f>
        <v>30944.911573852263</v>
      </c>
      <c r="X106" s="735">
        <f>SUM(M106:O106)/(DEN!H100+DEN!K100)</f>
        <v>74613.005162509638</v>
      </c>
      <c r="AB106" s="733">
        <f t="shared" si="36"/>
        <v>30055783282.380478</v>
      </c>
      <c r="AC106" s="734">
        <f t="shared" si="37"/>
        <v>13438284351.464802</v>
      </c>
      <c r="AD106" s="734">
        <f t="shared" si="38"/>
        <v>8799185606.0248909</v>
      </c>
      <c r="AE106" s="735">
        <f t="shared" si="39"/>
        <v>3620969140.5365925</v>
      </c>
      <c r="AG106" s="944">
        <f t="shared" si="40"/>
        <v>0.5375337794720455</v>
      </c>
      <c r="AH106" s="944">
        <f t="shared" si="32"/>
        <v>0.24033749875011751</v>
      </c>
      <c r="AI106" s="944">
        <f t="shared" si="33"/>
        <v>0.15736936384736822</v>
      </c>
      <c r="AJ106" s="944">
        <f t="shared" si="34"/>
        <v>6.475935793046883E-2</v>
      </c>
      <c r="AL106" s="945">
        <f t="shared" si="31"/>
        <v>1</v>
      </c>
    </row>
    <row r="107" spans="1:38" ht="15.75" thickBot="1">
      <c r="A107" s="127" t="s">
        <v>37</v>
      </c>
      <c r="B107" s="291">
        <f>KMA!B107*FRO_TOT!B107</f>
        <v>22785789853.687172</v>
      </c>
      <c r="C107" s="291">
        <f>KMA!C107*FRO_TOT!C107</f>
        <v>2611234236.0297384</v>
      </c>
      <c r="D107" s="291">
        <f>KMA!D107*FRO_TOT!D107</f>
        <v>913307876.36937904</v>
      </c>
      <c r="E107" s="291">
        <f>KMA!E107*FRO_TOT!E107</f>
        <v>12320983637.503983</v>
      </c>
      <c r="F107" s="291">
        <f>KMA!F107*FRO_TOT!F107</f>
        <v>172600084.65122727</v>
      </c>
      <c r="G107" s="291">
        <f>KMA!G107*FRO_TOT!G107</f>
        <v>51102514.771440074</v>
      </c>
      <c r="H107" s="291">
        <f>KMA!H107*FRO_TOT!H107</f>
        <v>969051403.39029598</v>
      </c>
      <c r="I107" s="291">
        <f>KMA!I107*FRO_TOT!I107</f>
        <v>99800706.822070599</v>
      </c>
      <c r="J107" s="291">
        <f>KMA!J107*FRO_TOT!J107</f>
        <v>2533027440.4550271</v>
      </c>
      <c r="K107" s="291">
        <f>KMA!K107*FRO_TOT!K107</f>
        <v>2420424594.9246049</v>
      </c>
      <c r="L107" s="291">
        <f>KMA!L107*FRO_TOT!L107</f>
        <v>1872069167.6279538</v>
      </c>
      <c r="M107" s="291">
        <f>KMA!M107*FRO_TOT!M107</f>
        <v>448726143.18741876</v>
      </c>
      <c r="N107" s="291">
        <f>KMA!N107*FRO_TOT!N107</f>
        <v>2752865446.8483849</v>
      </c>
      <c r="O107" s="291">
        <f>KMA!O107*FRO_TOT!O107</f>
        <v>325327056.39485997</v>
      </c>
      <c r="P107" s="291">
        <f>KMA!P107*FRO_TOT!P107</f>
        <v>55991844.307231292</v>
      </c>
      <c r="Q107" s="291">
        <f>KMA!Q107*FRO_TOT!Q107</f>
        <v>1799340508.4700844</v>
      </c>
      <c r="R107" s="291">
        <f>KMA!R107*FRO_TOT!R107</f>
        <v>1132760304</v>
      </c>
      <c r="S107" s="690">
        <f t="shared" si="35"/>
        <v>53264402819.440865</v>
      </c>
      <c r="U107" s="733">
        <f>(B107+C107+H107+I107+P107+Q107+R107)/(DEN!C101+DEN!F101+DEN!G101+DEN!L101)</f>
        <v>8353.0889237953816</v>
      </c>
      <c r="V107" s="734">
        <f>SUM(D107:G107)/SUM(DEN!I101:J101)</f>
        <v>13646.133353845498</v>
      </c>
      <c r="W107" s="734">
        <f>SUM(J107:L107)/SUM(DEN!D101:E101)</f>
        <v>30026.840419013282</v>
      </c>
      <c r="X107" s="735">
        <f>SUM(M107:O107)/(DEN!H101+DEN!K101)</f>
        <v>73511.164417663589</v>
      </c>
      <c r="AB107" s="733">
        <f t="shared" si="36"/>
        <v>29453968856.706596</v>
      </c>
      <c r="AC107" s="734">
        <f t="shared" si="37"/>
        <v>13457994113.29603</v>
      </c>
      <c r="AD107" s="734">
        <f t="shared" si="38"/>
        <v>6825521203.0075855</v>
      </c>
      <c r="AE107" s="735">
        <f t="shared" si="39"/>
        <v>3526918646.4306636</v>
      </c>
      <c r="AG107" s="944">
        <f t="shared" si="40"/>
        <v>0.55297660909766655</v>
      </c>
      <c r="AH107" s="944">
        <f t="shared" si="32"/>
        <v>0.25266394441550039</v>
      </c>
      <c r="AI107" s="944">
        <f t="shared" si="33"/>
        <v>0.12814414208576</v>
      </c>
      <c r="AJ107" s="944">
        <f t="shared" si="34"/>
        <v>6.6215304401073302E-2</v>
      </c>
      <c r="AL107" s="945">
        <f t="shared" si="31"/>
        <v>1.0000000000000002</v>
      </c>
    </row>
    <row r="108" spans="1:38" ht="15.75" thickBot="1">
      <c r="A108" s="128" t="s">
        <v>38</v>
      </c>
      <c r="B108" s="291">
        <f>KMA!B108*FRO_TOT!B108</f>
        <v>15437714997.70999</v>
      </c>
      <c r="C108" s="291">
        <f>KMA!C108*FRO_TOT!C108</f>
        <v>1917393842.5054984</v>
      </c>
      <c r="D108" s="291">
        <f>KMA!D108*FRO_TOT!D108</f>
        <v>1301895475.4506385</v>
      </c>
      <c r="E108" s="291">
        <f>KMA!E108*FRO_TOT!E108</f>
        <v>10371791470.063454</v>
      </c>
      <c r="F108" s="291">
        <f>KMA!F108*FRO_TOT!F108</f>
        <v>145295325.48036262</v>
      </c>
      <c r="G108" s="291">
        <f>KMA!G108*FRO_TOT!G108</f>
        <v>43019543.788564101</v>
      </c>
      <c r="H108" s="291">
        <f>KMA!H108*FRO_TOT!H108</f>
        <v>863609932.71197021</v>
      </c>
      <c r="I108" s="291">
        <f>KMA!I108*FRO_TOT!I108</f>
        <v>95452412.815838858</v>
      </c>
      <c r="J108" s="291">
        <f>KMA!J108*FRO_TOT!J108</f>
        <v>1752975582.6349308</v>
      </c>
      <c r="K108" s="291">
        <f>KMA!K108*FRO_TOT!K108</f>
        <v>1675041644.1637356</v>
      </c>
      <c r="L108" s="291">
        <f>KMA!L108*FRO_TOT!L108</f>
        <v>1701725589.1686068</v>
      </c>
      <c r="M108" s="291">
        <f>KMA!M108*FRO_TOT!M108</f>
        <v>256623591.73336139</v>
      </c>
      <c r="N108" s="291">
        <f>KMA!N108*FRO_TOT!N108</f>
        <v>1368768409.8420765</v>
      </c>
      <c r="O108" s="291">
        <f>KMA!O108*FRO_TOT!O108</f>
        <v>161726417.00219959</v>
      </c>
      <c r="P108" s="291">
        <f>KMA!P108*FRO_TOT!P108</f>
        <v>37492161.684772961</v>
      </c>
      <c r="Q108" s="291">
        <f>KMA!Q108*FRO_TOT!Q108</f>
        <v>1282184727.6156876</v>
      </c>
      <c r="R108" s="291">
        <f>KMA!R108*FRO_TOT!R108</f>
        <v>1856691882</v>
      </c>
      <c r="S108" s="690">
        <f t="shared" si="35"/>
        <v>40269403006.371681</v>
      </c>
      <c r="U108" s="733">
        <f>(B108+C108+H108+I108+P108+Q108+R108)/(DEN!C102+DEN!F102+DEN!G102+DEN!L102)</f>
        <v>9026.3239285421059</v>
      </c>
      <c r="V108" s="734">
        <f>SUM(D108:G108)/SUM(DEN!I102:J102)</f>
        <v>13653.599884416364</v>
      </c>
      <c r="W108" s="734">
        <f>SUM(J108:L108)/SUM(DEN!D102:E102)</f>
        <v>31269.195652371967</v>
      </c>
      <c r="X108" s="735">
        <f>SUM(M108:O108)/(DEN!H102+DEN!K102)</f>
        <v>72361.761289939575</v>
      </c>
      <c r="AB108" s="733">
        <f t="shared" si="36"/>
        <v>21490539957.043758</v>
      </c>
      <c r="AC108" s="734">
        <f t="shared" si="37"/>
        <v>11862001814.783018</v>
      </c>
      <c r="AD108" s="734">
        <f t="shared" si="38"/>
        <v>5129742815.9672737</v>
      </c>
      <c r="AE108" s="735">
        <f t="shared" si="39"/>
        <v>1787118418.5776377</v>
      </c>
      <c r="AG108" s="944">
        <f t="shared" si="40"/>
        <v>0.5336691967756112</v>
      </c>
      <c r="AH108" s="944">
        <f t="shared" si="32"/>
        <v>0.29456612040923819</v>
      </c>
      <c r="AI108" s="944">
        <f t="shared" si="33"/>
        <v>0.127385618683138</v>
      </c>
      <c r="AJ108" s="944">
        <f t="shared" si="34"/>
        <v>4.4379064132012792E-2</v>
      </c>
      <c r="AL108" s="945">
        <f t="shared" si="31"/>
        <v>1.0000000000000002</v>
      </c>
    </row>
    <row r="109" spans="1:38" ht="15.75" thickBot="1">
      <c r="A109" s="274" t="s">
        <v>73</v>
      </c>
      <c r="B109" s="291">
        <f>KMA!B109*FRO_TOT!B109</f>
        <v>23890930853.030834</v>
      </c>
      <c r="C109" s="291">
        <f>KMA!C109*FRO_TOT!C109</f>
        <v>3316787870.87256</v>
      </c>
      <c r="D109" s="291">
        <f>KMA!D109*FRO_TOT!D109</f>
        <v>2461524607.2369022</v>
      </c>
      <c r="E109" s="291">
        <f>KMA!E109*FRO_TOT!E109</f>
        <v>20197674549.031506</v>
      </c>
      <c r="F109" s="291">
        <f>KMA!F109*FRO_TOT!F109</f>
        <v>282945391.21645403</v>
      </c>
      <c r="G109" s="291">
        <f>KMA!G109*FRO_TOT!G109</f>
        <v>83771900.489296779</v>
      </c>
      <c r="H109" s="291">
        <f>KMA!H109*FRO_TOT!H109</f>
        <v>8422709408.5978079</v>
      </c>
      <c r="I109" s="291">
        <f>KMA!I109*FRO_TOT!I109</f>
        <v>1175881784.5985379</v>
      </c>
      <c r="J109" s="291">
        <f>KMA!J109*FRO_TOT!J109</f>
        <v>4963856665.3521156</v>
      </c>
      <c r="K109" s="291">
        <f>KMA!K109*FRO_TOT!K109</f>
        <v>4743117109.3990259</v>
      </c>
      <c r="L109" s="291">
        <f>KMA!L109*FRO_TOT!L109</f>
        <v>4087492323.0808859</v>
      </c>
      <c r="M109" s="291">
        <f>KMA!M109*FRO_TOT!M109</f>
        <v>370111523.10407054</v>
      </c>
      <c r="N109" s="291">
        <f>KMA!N109*FRO_TOT!N109</f>
        <v>3336069495.1967802</v>
      </c>
      <c r="O109" s="291">
        <f>KMA!O109*FRO_TOT!O109</f>
        <v>347927621.05265743</v>
      </c>
      <c r="P109" s="291">
        <f>KMA!P109*FRO_TOT!P109</f>
        <v>86173717.99694775</v>
      </c>
      <c r="Q109" s="291">
        <f>KMA!Q109*FRO_TOT!Q109</f>
        <v>3680223806.7964129</v>
      </c>
      <c r="R109" s="291">
        <f>KMA!R109*FRO_TOT!R109</f>
        <v>216693258.00000003</v>
      </c>
      <c r="S109" s="690">
        <f t="shared" si="35"/>
        <v>81663891885.052795</v>
      </c>
      <c r="U109" s="733">
        <f>(B109+C109+H109+I109+P109+Q109+R109)/(DEN!C103+DEN!F103+DEN!G103+DEN!L103)</f>
        <v>10827.672289642524</v>
      </c>
      <c r="V109" s="734">
        <f>SUM(D109:G109)/SUM(DEN!I103:J103)</f>
        <v>12797.529437578141</v>
      </c>
      <c r="W109" s="734">
        <f>SUM(J109:L109)/SUM(DEN!D103:E103)</f>
        <v>55582.952952445536</v>
      </c>
      <c r="X109" s="735">
        <f>SUM(M109:O109)/(DEN!H103+DEN!K103)</f>
        <v>73719.108254600651</v>
      </c>
      <c r="AB109" s="733">
        <f t="shared" si="36"/>
        <v>40789400699.893097</v>
      </c>
      <c r="AC109" s="734">
        <f t="shared" si="37"/>
        <v>23025916447.974159</v>
      </c>
      <c r="AD109" s="734">
        <f t="shared" si="38"/>
        <v>13794466097.832027</v>
      </c>
      <c r="AE109" s="735">
        <f t="shared" si="39"/>
        <v>4054108639.3535085</v>
      </c>
      <c r="AG109" s="944">
        <f t="shared" si="40"/>
        <v>0.49947902014401679</v>
      </c>
      <c r="AH109" s="944">
        <f t="shared" si="32"/>
        <v>0.28195957743949585</v>
      </c>
      <c r="AI109" s="944">
        <f t="shared" si="33"/>
        <v>0.1689175690677176</v>
      </c>
      <c r="AJ109" s="944">
        <f t="shared" si="34"/>
        <v>4.9643833348769713E-2</v>
      </c>
      <c r="AL109" s="945">
        <f t="shared" si="31"/>
        <v>1</v>
      </c>
    </row>
    <row r="110" spans="1:38" ht="15.75" thickBot="1">
      <c r="A110" s="127" t="s">
        <v>40</v>
      </c>
      <c r="B110" s="291">
        <f>KMA!B110*FRO_TOT!B110</f>
        <v>9026166209.6640186</v>
      </c>
      <c r="C110" s="291">
        <f>KMA!C110*FRO_TOT!C110</f>
        <v>1005407597.5304923</v>
      </c>
      <c r="D110" s="291">
        <f>KMA!D110*FRO_TOT!D110</f>
        <v>78828638.099679917</v>
      </c>
      <c r="E110" s="291">
        <f>KMA!E110*FRO_TOT!E110</f>
        <v>1905330131.7957046</v>
      </c>
      <c r="F110" s="291">
        <f>KMA!F110*FRO_TOT!F110</f>
        <v>26690546.746097919</v>
      </c>
      <c r="G110" s="291">
        <f>KMA!G110*FRO_TOT!G110</f>
        <v>7903214.5863302518</v>
      </c>
      <c r="H110" s="291">
        <f>KMA!H110*FRO_TOT!H110</f>
        <v>593571873.47073615</v>
      </c>
      <c r="I110" s="291">
        <f>KMA!I110*FRO_TOT!I110</f>
        <v>61342776.255697057</v>
      </c>
      <c r="J110" s="291">
        <f>KMA!J110*FRO_TOT!J110</f>
        <v>452862727.0182426</v>
      </c>
      <c r="K110" s="291">
        <f>KMA!K110*FRO_TOT!K110</f>
        <v>432718143.64398289</v>
      </c>
      <c r="L110" s="291">
        <f>KMA!L110*FRO_TOT!L110</f>
        <v>180766069.73601171</v>
      </c>
      <c r="M110" s="291">
        <f>KMA!M110*FRO_TOT!M110</f>
        <v>102889885.51921389</v>
      </c>
      <c r="N110" s="291">
        <f>KMA!N110*FRO_TOT!N110</f>
        <v>668107678.27125943</v>
      </c>
      <c r="O110" s="291">
        <f>KMA!O110*FRO_TOT!O110</f>
        <v>69671024.648720816</v>
      </c>
      <c r="P110" s="291">
        <f>KMA!P110*FRO_TOT!P110</f>
        <v>12864506.000287656</v>
      </c>
      <c r="Q110" s="291">
        <f>KMA!Q110*FRO_TOT!Q110</f>
        <v>411751801.06757599</v>
      </c>
      <c r="R110" s="291">
        <f>KMA!R110*FRO_TOT!R110</f>
        <v>59719638</v>
      </c>
      <c r="S110" s="690">
        <f t="shared" si="35"/>
        <v>15096592462.054052</v>
      </c>
      <c r="U110" s="733">
        <f>(B110+C110+H110+I110+P110+Q110+R110)/(DEN!C104+DEN!F104+DEN!G104+DEN!L104)</f>
        <v>10208.163919854745</v>
      </c>
      <c r="V110" s="734">
        <f>SUM(D110:G110)/SUM(DEN!I104:J104)</f>
        <v>14108.567034236601</v>
      </c>
      <c r="W110" s="734">
        <f>SUM(J110:L110)/SUM(DEN!D104:E104)</f>
        <v>47628.162954943822</v>
      </c>
      <c r="X110" s="735">
        <f>SUM(M110:O110)/(DEN!H104+DEN!K104)</f>
        <v>62480.014005142635</v>
      </c>
      <c r="AB110" s="733">
        <f t="shared" si="36"/>
        <v>11170824401.988808</v>
      </c>
      <c r="AC110" s="734">
        <f t="shared" si="37"/>
        <v>2018752531.2278125</v>
      </c>
      <c r="AD110" s="734">
        <f t="shared" si="38"/>
        <v>1066346940.3982372</v>
      </c>
      <c r="AE110" s="735">
        <f t="shared" si="39"/>
        <v>840668588.4391942</v>
      </c>
      <c r="AG110" s="944">
        <f t="shared" si="40"/>
        <v>0.73995667764544648</v>
      </c>
      <c r="AH110" s="944">
        <f t="shared" si="32"/>
        <v>0.1337223970443685</v>
      </c>
      <c r="AI110" s="944">
        <f t="shared" si="33"/>
        <v>7.0634942493052466E-2</v>
      </c>
      <c r="AJ110" s="944">
        <f t="shared" si="34"/>
        <v>5.5685982817132516E-2</v>
      </c>
      <c r="AL110" s="945">
        <f t="shared" si="31"/>
        <v>1</v>
      </c>
    </row>
    <row r="111" spans="1:38" ht="15.75" thickBot="1">
      <c r="A111" s="127" t="s">
        <v>41</v>
      </c>
      <c r="B111" s="291">
        <f>KMA!B111*FRO_TOT!B111</f>
        <v>8615495121.8456116</v>
      </c>
      <c r="C111" s="291">
        <f>KMA!C111*FRO_TOT!C111</f>
        <v>1318083979.0400753</v>
      </c>
      <c r="D111" s="291">
        <f>KMA!D111*FRO_TOT!D111</f>
        <v>1100865366.2134221</v>
      </c>
      <c r="E111" s="291">
        <f>KMA!E111*FRO_TOT!E111</f>
        <v>8699952641.0610409</v>
      </c>
      <c r="F111" s="291">
        <f>KMA!F111*FRO_TOT!F111</f>
        <v>121876582.69628176</v>
      </c>
      <c r="G111" s="291">
        <f>KMA!G111*FRO_TOT!G111</f>
        <v>36082516.412235498</v>
      </c>
      <c r="H111" s="291">
        <f>KMA!H111*FRO_TOT!H111</f>
        <v>4827147078.3999119</v>
      </c>
      <c r="I111" s="291">
        <f>KMA!I111*FRO_TOT!I111</f>
        <v>660022308.37952685</v>
      </c>
      <c r="J111" s="291">
        <f>KMA!J111*FRO_TOT!J111</f>
        <v>1994341977.9453967</v>
      </c>
      <c r="K111" s="291">
        <f>KMA!K111*FRO_TOT!K111</f>
        <v>1905670093.0754578</v>
      </c>
      <c r="L111" s="291">
        <f>KMA!L111*FRO_TOT!L111</f>
        <v>1452414825.9446406</v>
      </c>
      <c r="M111" s="291">
        <f>KMA!M111*FRO_TOT!M111</f>
        <v>134239891.44721541</v>
      </c>
      <c r="N111" s="291">
        <f>KMA!N111*FRO_TOT!N111</f>
        <v>1288341311.3324862</v>
      </c>
      <c r="O111" s="291">
        <f>KMA!O111*FRO_TOT!O111</f>
        <v>134366079.31286073</v>
      </c>
      <c r="P111" s="291">
        <f>KMA!P111*FRO_TOT!P111</f>
        <v>29896449.038875867</v>
      </c>
      <c r="Q111" s="291">
        <f>KMA!Q111*FRO_TOT!Q111</f>
        <v>1306084759.2110317</v>
      </c>
      <c r="R111" s="291">
        <f>KMA!R111*FRO_TOT!R111</f>
        <v>16512114</v>
      </c>
      <c r="S111" s="690">
        <f t="shared" si="35"/>
        <v>33641393095.356075</v>
      </c>
      <c r="U111" s="733">
        <f>(B111+C111+H111+I111+P111+Q111+R111)/(DEN!C105+DEN!F105+DEN!G105+DEN!L105)</f>
        <v>11108.55591511646</v>
      </c>
      <c r="V111" s="734">
        <f>SUM(D111:G111)/SUM(DEN!I105:J105)</f>
        <v>12553.449605303073</v>
      </c>
      <c r="W111" s="734">
        <f>SUM(J111:L111)/SUM(DEN!D105:E105)</f>
        <v>50507.458474946405</v>
      </c>
      <c r="X111" s="735">
        <f>SUM(M111:O111)/(DEN!H105+DEN!K105)</f>
        <v>68530.625559776498</v>
      </c>
      <c r="AB111" s="733">
        <f t="shared" si="36"/>
        <v>16773241809.915031</v>
      </c>
      <c r="AC111" s="734">
        <f t="shared" si="37"/>
        <v>9958777106.3829803</v>
      </c>
      <c r="AD111" s="734">
        <f t="shared" si="38"/>
        <v>5352426896.9654951</v>
      </c>
      <c r="AE111" s="735">
        <f t="shared" si="39"/>
        <v>1556947282.0925622</v>
      </c>
      <c r="AG111" s="944">
        <f t="shared" si="40"/>
        <v>0.49858939439194755</v>
      </c>
      <c r="AH111" s="944">
        <f t="shared" si="32"/>
        <v>0.29602748846205507</v>
      </c>
      <c r="AI111" s="944">
        <f t="shared" si="33"/>
        <v>0.15910241534273309</v>
      </c>
      <c r="AJ111" s="944">
        <f t="shared" si="34"/>
        <v>4.6280701803264095E-2</v>
      </c>
      <c r="AL111" s="945">
        <f t="shared" si="31"/>
        <v>0.99999999999999967</v>
      </c>
    </row>
    <row r="112" spans="1:38" ht="15.75" thickBot="1">
      <c r="A112" s="127" t="s">
        <v>42</v>
      </c>
      <c r="B112" s="291">
        <f>KMA!B112*FRO_TOT!B112</f>
        <v>2467536336.6944847</v>
      </c>
      <c r="C112" s="291">
        <f>KMA!C112*FRO_TOT!C112</f>
        <v>420089738.56020284</v>
      </c>
      <c r="D112" s="291">
        <f>KMA!D112*FRO_TOT!D112</f>
        <v>807495328.83687353</v>
      </c>
      <c r="E112" s="291">
        <f>KMA!E112*FRO_TOT!E112</f>
        <v>5736237648.8448725</v>
      </c>
      <c r="F112" s="291">
        <f>KMA!F112*FRO_TOT!F112</f>
        <v>80356884.642406449</v>
      </c>
      <c r="G112" s="291">
        <f>KMA!G112*FRO_TOT!G112</f>
        <v>23793022.019798093</v>
      </c>
      <c r="H112" s="291">
        <f>KMA!H112*FRO_TOT!H112</f>
        <v>2278707500.0389948</v>
      </c>
      <c r="I112" s="291">
        <f>KMA!I112*FRO_TOT!I112</f>
        <v>354534898.9608869</v>
      </c>
      <c r="J112" s="291">
        <f>KMA!J112*FRO_TOT!J112</f>
        <v>1454213252.069417</v>
      </c>
      <c r="K112" s="291">
        <f>KMA!K112*FRO_TOT!K112</f>
        <v>1389563014.2748494</v>
      </c>
      <c r="L112" s="291">
        <f>KMA!L112*FRO_TOT!L112</f>
        <v>1694631197.2227831</v>
      </c>
      <c r="M112" s="291">
        <f>KMA!M112*FRO_TOT!M112</f>
        <v>61692046.441855729</v>
      </c>
      <c r="N112" s="291">
        <f>KMA!N112*FRO_TOT!N112</f>
        <v>723272304.75574517</v>
      </c>
      <c r="O112" s="291">
        <f>KMA!O112*FRO_TOT!O112</f>
        <v>75451691.388941512</v>
      </c>
      <c r="P112" s="291">
        <f>KMA!P112*FRO_TOT!P112</f>
        <v>24885381.555054173</v>
      </c>
      <c r="Q112" s="291">
        <f>KMA!Q112*FRO_TOT!Q112</f>
        <v>1207857515.2272182</v>
      </c>
      <c r="R112" s="291">
        <f>KMA!R112*FRO_TOT!R112</f>
        <v>28514388</v>
      </c>
      <c r="S112" s="690">
        <f t="shared" si="35"/>
        <v>18828832149.534386</v>
      </c>
      <c r="U112" s="733">
        <f>(B112+C112+H112+I112+P112+Q112+R112)/(DEN!C106+DEN!F106+DEN!G106+DEN!L106)</f>
        <v>11757.764989549341</v>
      </c>
      <c r="V112" s="734">
        <f>SUM(D112:G112)/SUM(DEN!I106:J106)</f>
        <v>12615.464243872815</v>
      </c>
      <c r="W112" s="734">
        <f>SUM(J112:L112)/SUM(DEN!D106:E106)</f>
        <v>65042.52842764058</v>
      </c>
      <c r="X112" s="735">
        <f>SUM(M112:O112)/(DEN!H106+DEN!K106)</f>
        <v>87042.594090697254</v>
      </c>
      <c r="AB112" s="733">
        <f t="shared" si="36"/>
        <v>6782125759.0368404</v>
      </c>
      <c r="AC112" s="734">
        <f t="shared" si="37"/>
        <v>6647882884.3439503</v>
      </c>
      <c r="AD112" s="734">
        <f t="shared" si="38"/>
        <v>4538407463.567049</v>
      </c>
      <c r="AE112" s="735">
        <f t="shared" si="39"/>
        <v>860416042.58654237</v>
      </c>
      <c r="AG112" s="944">
        <f t="shared" si="40"/>
        <v>0.36019896004036311</v>
      </c>
      <c r="AH112" s="944">
        <f t="shared" si="32"/>
        <v>0.35306931579972389</v>
      </c>
      <c r="AI112" s="944">
        <f t="shared" si="33"/>
        <v>0.24103499502911435</v>
      </c>
      <c r="AJ112" s="944">
        <f t="shared" si="34"/>
        <v>4.5696729130798454E-2</v>
      </c>
      <c r="AL112" s="945">
        <f t="shared" si="31"/>
        <v>0.99999999999999989</v>
      </c>
    </row>
    <row r="113" spans="1:64" ht="15.75" thickBot="1">
      <c r="A113" s="128" t="s">
        <v>43</v>
      </c>
      <c r="B113" s="291">
        <f>KMA!B113*FRO_TOT!B113</f>
        <v>3824007590.7825298</v>
      </c>
      <c r="C113" s="291">
        <f>KMA!C113*FRO_TOT!C113</f>
        <v>572166951.15927029</v>
      </c>
      <c r="D113" s="291">
        <f>KMA!D113*FRO_TOT!D113</f>
        <v>458776409.65474164</v>
      </c>
      <c r="E113" s="291">
        <f>KMA!E113*FRO_TOT!E113</f>
        <v>3757834753.7430959</v>
      </c>
      <c r="F113" s="291">
        <f>KMA!F113*FRO_TOT!F113</f>
        <v>52644007.942980781</v>
      </c>
      <c r="G113" s="291">
        <f>KMA!G113*FRO_TOT!G113</f>
        <v>15585397.088382468</v>
      </c>
      <c r="H113" s="291">
        <f>KMA!H113*FRO_TOT!H113</f>
        <v>726285337.41351998</v>
      </c>
      <c r="I113" s="291">
        <f>KMA!I113*FRO_TOT!I113</f>
        <v>97148769.884344026</v>
      </c>
      <c r="J113" s="291">
        <f>KMA!J113*FRO_TOT!J113</f>
        <v>1058907264.0469166</v>
      </c>
      <c r="K113" s="291">
        <f>KMA!K113*FRO_TOT!K113</f>
        <v>1011791421.011472</v>
      </c>
      <c r="L113" s="291">
        <f>KMA!L113*FRO_TOT!L113</f>
        <v>848928999.90999699</v>
      </c>
      <c r="M113" s="291">
        <f>KMA!M113*FRO_TOT!M113</f>
        <v>58837105.595745035</v>
      </c>
      <c r="N113" s="291">
        <f>KMA!N113*FRO_TOT!N113</f>
        <v>585784494.62096524</v>
      </c>
      <c r="O113" s="291">
        <f>KMA!O113*FRO_TOT!O113</f>
        <v>61081904.005886227</v>
      </c>
      <c r="P113" s="291">
        <f>KMA!P113*FRO_TOT!P113</f>
        <v>18322580.100843221</v>
      </c>
      <c r="Q113" s="291">
        <f>KMA!Q113*FRO_TOT!Q113</f>
        <v>773511769.61255956</v>
      </c>
      <c r="R113" s="291">
        <f>KMA!R113*FRO_TOT!R113</f>
        <v>111947117.99999999</v>
      </c>
      <c r="S113" s="690">
        <f t="shared" si="35"/>
        <v>14033561874.573254</v>
      </c>
      <c r="U113" s="733">
        <f>(B113+C113+H113+I113+P113+Q113+R113)/(DEN!C107+DEN!F107+DEN!G107+DEN!L107)</f>
        <v>10448.027008132096</v>
      </c>
      <c r="V113" s="734">
        <f>SUM(D113:G113)/SUM(DEN!I107:J107)</f>
        <v>12756.791922370323</v>
      </c>
      <c r="W113" s="734">
        <f>SUM(J113:L113)/SUM(DEN!D107:E107)</f>
        <v>58345.876997769497</v>
      </c>
      <c r="X113" s="735">
        <f>SUM(M113:O113)/(DEN!H107+DEN!K107)</f>
        <v>78981.925486580469</v>
      </c>
      <c r="AB113" s="733">
        <f t="shared" si="36"/>
        <v>6123390116.9530668</v>
      </c>
      <c r="AC113" s="734">
        <f t="shared" si="37"/>
        <v>4284840568.4292006</v>
      </c>
      <c r="AD113" s="734">
        <f t="shared" si="38"/>
        <v>2919627684.9683857</v>
      </c>
      <c r="AE113" s="735">
        <f t="shared" si="39"/>
        <v>705703504.22259653</v>
      </c>
      <c r="AG113" s="944">
        <f t="shared" si="40"/>
        <v>0.43633898305231744</v>
      </c>
      <c r="AH113" s="944">
        <f t="shared" si="32"/>
        <v>0.30532808468195805</v>
      </c>
      <c r="AI113" s="944">
        <f t="shared" si="33"/>
        <v>0.20804609058362589</v>
      </c>
      <c r="AJ113" s="944">
        <f t="shared" si="34"/>
        <v>5.0286841682098349E-2</v>
      </c>
      <c r="AL113" s="945">
        <f t="shared" si="31"/>
        <v>0.99999999999999978</v>
      </c>
    </row>
    <row r="114" spans="1:64" s="1" customFormat="1" ht="15.75" thickBot="1"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T114" s="665"/>
      <c r="U114" s="732"/>
      <c r="V114" s="665"/>
      <c r="W114" s="665"/>
      <c r="X114" s="665"/>
      <c r="Y114" s="665"/>
      <c r="Z114" s="665"/>
      <c r="AA114" s="665"/>
      <c r="AB114" s="732"/>
      <c r="AC114" s="665"/>
      <c r="AD114" s="665"/>
      <c r="AE114" s="665"/>
      <c r="AF114" s="665"/>
      <c r="AG114" s="732"/>
      <c r="AH114" s="665"/>
      <c r="AI114" s="665"/>
      <c r="AJ114" s="665"/>
      <c r="AK114" s="665"/>
      <c r="AL114" s="945">
        <f t="shared" si="31"/>
        <v>0</v>
      </c>
      <c r="AM114" s="665"/>
      <c r="AN114" s="273"/>
      <c r="AO114" s="273"/>
      <c r="AP114" s="273"/>
      <c r="AQ114" s="273"/>
      <c r="AR114" s="273"/>
      <c r="AS114" s="273"/>
      <c r="AT114" s="273"/>
      <c r="AU114" s="273"/>
      <c r="AV114" s="273"/>
      <c r="AW114" s="273"/>
      <c r="AX114" s="273"/>
      <c r="AY114" s="273"/>
      <c r="AZ114" s="273"/>
      <c r="BA114" s="273"/>
      <c r="BB114" s="273"/>
      <c r="BC114" s="273"/>
      <c r="BD114" s="273"/>
      <c r="BE114" s="273"/>
      <c r="BF114" s="273"/>
      <c r="BG114" s="273"/>
      <c r="BH114" s="273"/>
      <c r="BI114" s="273"/>
      <c r="BJ114" s="273"/>
      <c r="BK114" s="273"/>
      <c r="BL114" s="273"/>
    </row>
    <row r="115" spans="1:64" ht="15.75" customHeight="1" thickBot="1">
      <c r="A115" s="1051" t="s">
        <v>119</v>
      </c>
      <c r="B115" s="1054">
        <v>2012</v>
      </c>
      <c r="C115" s="1055"/>
      <c r="D115" s="1055"/>
      <c r="E115" s="1055"/>
      <c r="F115" s="1055"/>
      <c r="G115" s="1055"/>
      <c r="H115" s="1055"/>
      <c r="I115" s="1055"/>
      <c r="J115" s="1055"/>
      <c r="K115" s="1055"/>
      <c r="L115" s="1055"/>
      <c r="M115" s="1055"/>
      <c r="N115" s="1055"/>
      <c r="O115" s="1055"/>
      <c r="P115" s="1055"/>
      <c r="Q115" s="1055"/>
      <c r="R115" s="1078"/>
      <c r="S115" s="1057" t="s">
        <v>96</v>
      </c>
      <c r="U115" s="732"/>
      <c r="AB115" s="732"/>
      <c r="AG115" s="732"/>
      <c r="AL115" s="945">
        <f t="shared" si="31"/>
        <v>0</v>
      </c>
    </row>
    <row r="116" spans="1:64" ht="15.75" thickBot="1">
      <c r="A116" s="1052"/>
      <c r="B116" s="1060" t="s">
        <v>97</v>
      </c>
      <c r="C116" s="1061"/>
      <c r="D116" s="1061"/>
      <c r="E116" s="1061"/>
      <c r="F116" s="1061"/>
      <c r="G116" s="1061"/>
      <c r="H116" s="1061" t="s">
        <v>98</v>
      </c>
      <c r="I116" s="1061"/>
      <c r="J116" s="1061" t="s">
        <v>99</v>
      </c>
      <c r="K116" s="1061"/>
      <c r="L116" s="1061"/>
      <c r="M116" s="1061"/>
      <c r="N116" s="1061"/>
      <c r="O116" s="1061"/>
      <c r="P116" s="1061"/>
      <c r="Q116" s="1061"/>
      <c r="R116" s="289" t="s">
        <v>100</v>
      </c>
      <c r="S116" s="1058"/>
      <c r="U116" s="1068">
        <v>2012</v>
      </c>
      <c r="V116" s="1069"/>
      <c r="W116" s="1069"/>
      <c r="X116" s="1070"/>
      <c r="AB116" s="1068">
        <v>2012</v>
      </c>
      <c r="AC116" s="1069"/>
      <c r="AD116" s="1069"/>
      <c r="AE116" s="1070"/>
      <c r="AG116" s="1068">
        <v>2012</v>
      </c>
      <c r="AH116" s="1069"/>
      <c r="AI116" s="1069"/>
      <c r="AJ116" s="1070"/>
      <c r="AL116" s="945">
        <f t="shared" si="31"/>
        <v>2012</v>
      </c>
    </row>
    <row r="117" spans="1:64">
      <c r="A117" s="1052"/>
      <c r="B117" s="1062" t="s">
        <v>101</v>
      </c>
      <c r="C117" s="1064" t="s">
        <v>102</v>
      </c>
      <c r="D117" s="1064" t="s">
        <v>103</v>
      </c>
      <c r="E117" s="1064"/>
      <c r="F117" s="1064"/>
      <c r="G117" s="1064"/>
      <c r="H117" s="1062" t="s">
        <v>101</v>
      </c>
      <c r="I117" s="1064" t="s">
        <v>102</v>
      </c>
      <c r="J117" s="1064" t="s">
        <v>104</v>
      </c>
      <c r="K117" s="1064"/>
      <c r="L117" s="1064"/>
      <c r="M117" s="1064" t="s">
        <v>105</v>
      </c>
      <c r="N117" s="1064"/>
      <c r="O117" s="1064"/>
      <c r="P117" s="1062" t="s">
        <v>101</v>
      </c>
      <c r="Q117" s="1064" t="s">
        <v>102</v>
      </c>
      <c r="R117" s="1062" t="s">
        <v>101</v>
      </c>
      <c r="S117" s="1058"/>
      <c r="U117" s="1075" t="s">
        <v>101</v>
      </c>
      <c r="V117" s="1077" t="s">
        <v>103</v>
      </c>
      <c r="W117" s="1071" t="s">
        <v>104</v>
      </c>
      <c r="X117" s="1073" t="s">
        <v>105</v>
      </c>
      <c r="AB117" s="1075" t="s">
        <v>101</v>
      </c>
      <c r="AC117" s="1077" t="s">
        <v>103</v>
      </c>
      <c r="AD117" s="1071" t="s">
        <v>104</v>
      </c>
      <c r="AE117" s="1073" t="s">
        <v>105</v>
      </c>
      <c r="AG117" s="1075" t="s">
        <v>101</v>
      </c>
      <c r="AH117" s="1077" t="s">
        <v>103</v>
      </c>
      <c r="AI117" s="1071" t="s">
        <v>104</v>
      </c>
      <c r="AJ117" s="1073" t="s">
        <v>105</v>
      </c>
      <c r="AL117" s="945">
        <f t="shared" si="31"/>
        <v>0</v>
      </c>
    </row>
    <row r="118" spans="1:64" ht="15.75" thickBot="1">
      <c r="A118" s="1053"/>
      <c r="B118" s="1063"/>
      <c r="C118" s="1065"/>
      <c r="D118" s="290" t="s">
        <v>106</v>
      </c>
      <c r="E118" s="290" t="s">
        <v>107</v>
      </c>
      <c r="F118" s="290" t="s">
        <v>108</v>
      </c>
      <c r="G118" s="290" t="s">
        <v>109</v>
      </c>
      <c r="H118" s="1063"/>
      <c r="I118" s="1065"/>
      <c r="J118" s="290" t="s">
        <v>110</v>
      </c>
      <c r="K118" s="290" t="s">
        <v>111</v>
      </c>
      <c r="L118" s="290" t="s">
        <v>112</v>
      </c>
      <c r="M118" s="290" t="s">
        <v>113</v>
      </c>
      <c r="N118" s="290" t="s">
        <v>114</v>
      </c>
      <c r="O118" s="290" t="s">
        <v>115</v>
      </c>
      <c r="P118" s="1063"/>
      <c r="Q118" s="1065"/>
      <c r="R118" s="1063"/>
      <c r="S118" s="1059"/>
      <c r="U118" s="1076"/>
      <c r="V118" s="1074"/>
      <c r="W118" s="1072"/>
      <c r="X118" s="1074"/>
      <c r="AB118" s="1076"/>
      <c r="AC118" s="1074"/>
      <c r="AD118" s="1072"/>
      <c r="AE118" s="1074"/>
      <c r="AG118" s="1076"/>
      <c r="AH118" s="1074"/>
      <c r="AI118" s="1072"/>
      <c r="AJ118" s="1074"/>
      <c r="AL118" s="945">
        <f t="shared" si="31"/>
        <v>0</v>
      </c>
    </row>
    <row r="119" spans="1:64" ht="15.75" thickBot="1">
      <c r="A119" s="164" t="s">
        <v>11</v>
      </c>
      <c r="B119" s="291">
        <f>KMA!B119*FRO_TOT!B119</f>
        <v>287829886068.17609</v>
      </c>
      <c r="C119" s="291">
        <f>KMA!C119*FRO_TOT!C119</f>
        <v>41524813394.525368</v>
      </c>
      <c r="D119" s="291">
        <f>KMA!D119*FRO_TOT!D119</f>
        <v>19675501419.091949</v>
      </c>
      <c r="E119" s="291">
        <f>KMA!E119*FRO_TOT!E119</f>
        <v>244435383219.66367</v>
      </c>
      <c r="F119" s="291">
        <f>KMA!F119*FRO_TOT!F119</f>
        <v>3424245455.3986983</v>
      </c>
      <c r="G119" s="291">
        <f>KMA!G119*FRO_TOT!G119</f>
        <v>1013824680.3579515</v>
      </c>
      <c r="H119" s="291">
        <f>KMA!H119*FRO_TOT!H119</f>
        <v>69864053810.074844</v>
      </c>
      <c r="I119" s="291">
        <f>KMA!I119*FRO_TOT!I119</f>
        <v>8661142737.3820477</v>
      </c>
      <c r="J119" s="291">
        <f>KMA!J119*FRO_TOT!J119</f>
        <v>39496528805.293846</v>
      </c>
      <c r="K119" s="291">
        <f>KMA!K119*FRO_TOT!K119</f>
        <v>37740249063.254135</v>
      </c>
      <c r="L119" s="291">
        <f>KMA!L119*FRO_TOT!L119</f>
        <v>26061169959.53738</v>
      </c>
      <c r="M119" s="291">
        <f>KMA!M119*FRO_TOT!M119</f>
        <v>9850326110.9892406</v>
      </c>
      <c r="N119" s="291">
        <f>KMA!N119*FRO_TOT!N119</f>
        <v>45839066732.512291</v>
      </c>
      <c r="O119" s="291">
        <f>KMA!O119*FRO_TOT!O119</f>
        <v>5810449784.4873648</v>
      </c>
      <c r="P119" s="291">
        <f>KMA!P119*FRO_TOT!P119</f>
        <v>754071890.37810194</v>
      </c>
      <c r="Q119" s="291">
        <f>KMA!Q119*FRO_TOT!Q119</f>
        <v>30291883385.1329</v>
      </c>
      <c r="R119" s="291">
        <f>KMA!R119*FRO_TOT!R119</f>
        <v>26869432140</v>
      </c>
      <c r="S119" s="690">
        <f>SUM(B119:R119)</f>
        <v>899142028656.25586</v>
      </c>
      <c r="U119" s="733">
        <f>(B119+C119+H119+I119+P119+Q119+R119)/(DEN!C111+DEN!F111+DEN!G111+DEN!L111)</f>
        <v>9579.4861889509921</v>
      </c>
      <c r="V119" s="734">
        <f>SUM(D119:G119)/SUM(DEN!I111:J111)</f>
        <v>14017.935760204529</v>
      </c>
      <c r="W119" s="734">
        <f>SUM(J119:L119)/SUM(DEN!D111:E111)</f>
        <v>36837.630843261628</v>
      </c>
      <c r="X119" s="735">
        <f>SUM(M119:O119)/(DEN!H111+DEN!K111)</f>
        <v>75960.80490002656</v>
      </c>
      <c r="AB119" s="733">
        <f>($B119+$C119+$H119+$I119+$P119+$Q119+$R119)</f>
        <v>465795283425.66931</v>
      </c>
      <c r="AC119" s="734">
        <f>SUM($D119:$G119)</f>
        <v>268548954774.51227</v>
      </c>
      <c r="AD119" s="734">
        <f>SUM($J119:$L119)</f>
        <v>103297947828.08536</v>
      </c>
      <c r="AE119" s="735">
        <f>SUM($M119:$O119)</f>
        <v>61499842627.988899</v>
      </c>
      <c r="AG119" s="944">
        <f>AB119/$S119</f>
        <v>0.51804416719546309</v>
      </c>
      <c r="AH119" s="944">
        <f t="shared" ref="AH119:AH151" si="41">AC119/$S119</f>
        <v>0.29867245242206242</v>
      </c>
      <c r="AI119" s="944">
        <f t="shared" ref="AI119:AI151" si="42">AD119/$S119</f>
        <v>0.11488501764561204</v>
      </c>
      <c r="AJ119" s="944">
        <f t="shared" ref="AJ119:AJ151" si="43">AE119/$S119</f>
        <v>6.8398362736862381E-2</v>
      </c>
      <c r="AL119" s="945">
        <f t="shared" si="31"/>
        <v>0.99999999999999989</v>
      </c>
    </row>
    <row r="120" spans="1:64" ht="15.75" thickBot="1">
      <c r="A120" s="269" t="s">
        <v>46</v>
      </c>
      <c r="B120" s="291">
        <f>KMA!B120*FRO_TOT!B120</f>
        <v>16154585018.093328</v>
      </c>
      <c r="C120" s="291">
        <f>KMA!C120*FRO_TOT!C120</f>
        <v>2807976723.1304531</v>
      </c>
      <c r="D120" s="291">
        <f>KMA!D120*FRO_TOT!D120</f>
        <v>2192360850.1457262</v>
      </c>
      <c r="E120" s="291">
        <f>KMA!E120*FRO_TOT!E120</f>
        <v>18992556158.285496</v>
      </c>
      <c r="F120" s="291">
        <f>KMA!F120*FRO_TOT!F120</f>
        <v>266069040.77942896</v>
      </c>
      <c r="G120" s="291">
        <f>KMA!G120*FRO_TOT!G120</f>
        <v>78773249.732188597</v>
      </c>
      <c r="H120" s="291">
        <f>KMA!H120*FRO_TOT!H120</f>
        <v>885357075.6524241</v>
      </c>
      <c r="I120" s="291">
        <f>KMA!I120*FRO_TOT!I120</f>
        <v>143993964.20197558</v>
      </c>
      <c r="J120" s="291">
        <f>KMA!J120*FRO_TOT!J120</f>
        <v>5175382833.150526</v>
      </c>
      <c r="K120" s="291">
        <f>KMA!K120*FRO_TOT!K120</f>
        <v>4945157599.2497501</v>
      </c>
      <c r="L120" s="291">
        <f>KMA!L120*FRO_TOT!L120</f>
        <v>2271735905.1489429</v>
      </c>
      <c r="M120" s="291">
        <f>KMA!M120*FRO_TOT!M120</f>
        <v>584817877.13511097</v>
      </c>
      <c r="N120" s="291">
        <f>KMA!N120*FRO_TOT!N120</f>
        <v>3208794620.0842781</v>
      </c>
      <c r="O120" s="291">
        <f>KMA!O120*FRO_TOT!O120</f>
        <v>562235082.1635983</v>
      </c>
      <c r="P120" s="291">
        <f>KMA!P120*FRO_TOT!P120</f>
        <v>62855690.887510963</v>
      </c>
      <c r="Q120" s="291">
        <f>KMA!Q120*FRO_TOT!Q120</f>
        <v>3087433436.4186778</v>
      </c>
      <c r="R120" s="291">
        <f>KMA!R120*FRO_TOT!R120</f>
        <v>36607122</v>
      </c>
      <c r="S120" s="690">
        <f t="shared" ref="S120:S151" si="44">SUM(B120:R120)</f>
        <v>61456692246.259399</v>
      </c>
      <c r="U120" s="733">
        <f>(B120+C120+H120+I120+P120+Q120+R120)/(DEN!C112+DEN!F112+DEN!G112+DEN!L112)</f>
        <v>14965.270157268906</v>
      </c>
      <c r="V120" s="734">
        <f>SUM(D120:G120)/SUM(DEN!I112:J112)</f>
        <v>13705.78469451154</v>
      </c>
      <c r="W120" s="734">
        <f>SUM(J120:L120)/SUM(DEN!D112:E112)</f>
        <v>90333.248320133687</v>
      </c>
      <c r="X120" s="735">
        <f>SUM(M120:O120)/(DEN!H112+DEN!K112)</f>
        <v>103031.14174096996</v>
      </c>
      <c r="AB120" s="733">
        <f t="shared" ref="AB120:AB151" si="45">($B120+$C120+$H120+$I120+$P120+$Q120+$R120)</f>
        <v>23178809030.384373</v>
      </c>
      <c r="AC120" s="734">
        <f t="shared" ref="AC120:AC151" si="46">SUM($D120:$G120)</f>
        <v>21529759298.942841</v>
      </c>
      <c r="AD120" s="734">
        <f t="shared" ref="AD120:AD151" si="47">SUM($J120:$L120)</f>
        <v>12392276337.549219</v>
      </c>
      <c r="AE120" s="735">
        <f t="shared" ref="AE120:AE151" si="48">SUM($M120:$O120)</f>
        <v>4355847579.382987</v>
      </c>
      <c r="AG120" s="944">
        <f t="shared" ref="AG120:AG151" si="49">AB120/$S120</f>
        <v>0.3771567942105632</v>
      </c>
      <c r="AH120" s="944">
        <f t="shared" si="41"/>
        <v>0.35032408208161031</v>
      </c>
      <c r="AI120" s="944">
        <f t="shared" si="42"/>
        <v>0.20164242305610716</v>
      </c>
      <c r="AJ120" s="944">
        <f t="shared" si="43"/>
        <v>7.0876700651719637E-2</v>
      </c>
      <c r="AL120" s="945">
        <f t="shared" si="31"/>
        <v>1.0000000000000002</v>
      </c>
    </row>
    <row r="121" spans="1:64" ht="15.75" thickBot="1">
      <c r="A121" s="127" t="s">
        <v>13</v>
      </c>
      <c r="B121" s="291">
        <f>KMA!B121*FRO_TOT!B121</f>
        <v>742368985.65809691</v>
      </c>
      <c r="C121" s="291">
        <f>KMA!C121*FRO_TOT!C121</f>
        <v>115272175.1825725</v>
      </c>
      <c r="D121" s="291">
        <f>KMA!D121*FRO_TOT!D121</f>
        <v>92420363.056241304</v>
      </c>
      <c r="E121" s="291">
        <f>KMA!E121*FRO_TOT!E121</f>
        <v>1054502794.8298929</v>
      </c>
      <c r="F121" s="291">
        <f>KMA!F121*FRO_TOT!F121</f>
        <v>14774542.123160891</v>
      </c>
      <c r="G121" s="291">
        <f>KMA!G121*FRO_TOT!G121</f>
        <v>4374255.1534206849</v>
      </c>
      <c r="H121" s="291">
        <f>KMA!H121*FRO_TOT!H121</f>
        <v>39927758.938674502</v>
      </c>
      <c r="I121" s="291">
        <f>KMA!I121*FRO_TOT!I121</f>
        <v>5828655.2514683837</v>
      </c>
      <c r="J121" s="291">
        <f>KMA!J121*FRO_TOT!J121</f>
        <v>300541424.29764771</v>
      </c>
      <c r="K121" s="291">
        <f>KMA!K121*FRO_TOT!K121</f>
        <v>287153742.82053196</v>
      </c>
      <c r="L121" s="291">
        <f>KMA!L121*FRO_TOT!L121</f>
        <v>84820756.874333695</v>
      </c>
      <c r="M121" s="291">
        <f>KMA!M121*FRO_TOT!M121</f>
        <v>14659885.724464728</v>
      </c>
      <c r="N121" s="291">
        <f>KMA!N121*FRO_TOT!N121</f>
        <v>91004468.466513455</v>
      </c>
      <c r="O121" s="291">
        <f>KMA!O121*FRO_TOT!O121</f>
        <v>15954647.373576239</v>
      </c>
      <c r="P121" s="291">
        <f>KMA!P121*FRO_TOT!P121</f>
        <v>5286222.7973498954</v>
      </c>
      <c r="Q121" s="291">
        <f>KMA!Q121*FRO_TOT!Q121</f>
        <v>238270603.5980255</v>
      </c>
      <c r="R121" s="291">
        <f>KMA!R121*FRO_TOT!R121</f>
        <v>0</v>
      </c>
      <c r="S121" s="690">
        <f t="shared" si="44"/>
        <v>3107161282.1459713</v>
      </c>
      <c r="U121" s="733">
        <f>(B121+C121+H121+I121+P121+Q121+R121)/(DEN!C113+DEN!F113+DEN!G113+DEN!L113)</f>
        <v>14510.144872239709</v>
      </c>
      <c r="V121" s="734">
        <f>SUM(D121:G121)/SUM(DEN!I113:J113)</f>
        <v>12932.932080373497</v>
      </c>
      <c r="W121" s="734">
        <f>SUM(J121:L121)/SUM(DEN!D113:E113)</f>
        <v>106108.53960121701</v>
      </c>
      <c r="X121" s="735">
        <f>SUM(M121:O121)/(DEN!H113+DEN!K113)</f>
        <v>126160.79000472451</v>
      </c>
      <c r="Z121" s="665">
        <f>V121*(DEN!I113+DEN!J113)</f>
        <v>1166071955.1627157</v>
      </c>
      <c r="AB121" s="733">
        <f t="shared" si="45"/>
        <v>1146954401.4261878</v>
      </c>
      <c r="AC121" s="734">
        <f t="shared" si="46"/>
        <v>1166071955.1627157</v>
      </c>
      <c r="AD121" s="734">
        <f t="shared" si="47"/>
        <v>672515923.99251342</v>
      </c>
      <c r="AE121" s="735">
        <f t="shared" si="48"/>
        <v>121619001.56455442</v>
      </c>
      <c r="AG121" s="944">
        <f t="shared" si="49"/>
        <v>0.36913256097026281</v>
      </c>
      <c r="AH121" s="944">
        <f t="shared" si="41"/>
        <v>0.37528530040042346</v>
      </c>
      <c r="AI121" s="944">
        <f t="shared" si="42"/>
        <v>0.21644062310406947</v>
      </c>
      <c r="AJ121" s="944">
        <f t="shared" si="43"/>
        <v>3.9141515525244266E-2</v>
      </c>
      <c r="AL121" s="945">
        <f t="shared" si="31"/>
        <v>0.99999999999999989</v>
      </c>
    </row>
    <row r="122" spans="1:64" ht="15.75" thickBot="1">
      <c r="A122" s="127" t="s">
        <v>14</v>
      </c>
      <c r="B122" s="291">
        <f>KMA!B122*FRO_TOT!B122</f>
        <v>905943358.70784712</v>
      </c>
      <c r="C122" s="291">
        <f>KMA!C122*FRO_TOT!C122</f>
        <v>168847800.05410582</v>
      </c>
      <c r="D122" s="291">
        <f>KMA!D122*FRO_TOT!D122</f>
        <v>62409849.49923683</v>
      </c>
      <c r="E122" s="291">
        <f>KMA!E122*FRO_TOT!E122</f>
        <v>741477703.27139306</v>
      </c>
      <c r="F122" s="291">
        <f>KMA!F122*FRO_TOT!F122</f>
        <v>10389974.90582986</v>
      </c>
      <c r="G122" s="291">
        <f>KMA!G122*FRO_TOT!G122</f>
        <v>3073474.2522481009</v>
      </c>
      <c r="H122" s="291">
        <f>KMA!H122*FRO_TOT!H122</f>
        <v>22341055.777014859</v>
      </c>
      <c r="I122" s="291">
        <f>KMA!I122*FRO_TOT!I122</f>
        <v>3989681.5959134316</v>
      </c>
      <c r="J122" s="291">
        <f>KMA!J122*FRO_TOT!J122</f>
        <v>295369435.98378003</v>
      </c>
      <c r="K122" s="291">
        <f>KMA!K122*FRO_TOT!K122</f>
        <v>282168567.33646035</v>
      </c>
      <c r="L122" s="291">
        <f>KMA!L122*FRO_TOT!L122</f>
        <v>63676687.091768287</v>
      </c>
      <c r="M122" s="291">
        <f>KMA!M122*FRO_TOT!M122</f>
        <v>38291609.262109123</v>
      </c>
      <c r="N122" s="291">
        <f>KMA!N122*FRO_TOT!N122</f>
        <v>163584683.97589582</v>
      </c>
      <c r="O122" s="291">
        <f>KMA!O122*FRO_TOT!O122</f>
        <v>28585971.162796117</v>
      </c>
      <c r="P122" s="291">
        <f>KMA!P122*FRO_TOT!P122</f>
        <v>4837636.9220129605</v>
      </c>
      <c r="Q122" s="291">
        <f>KMA!Q122*FRO_TOT!Q122</f>
        <v>261713505.70520291</v>
      </c>
      <c r="R122" s="291">
        <f>KMA!R122*FRO_TOT!R122</f>
        <v>0</v>
      </c>
      <c r="S122" s="690">
        <f t="shared" si="44"/>
        <v>3056700995.5036144</v>
      </c>
      <c r="U122" s="733">
        <f>(B122+C122+H122+I122+P122+Q122+R122)/(DEN!C114+DEN!F114+DEN!G114+DEN!L114)</f>
        <v>18168.055350922528</v>
      </c>
      <c r="V122" s="734">
        <f>SUM(D122:G122)/SUM(DEN!I114:J114)</f>
        <v>15255.062653814141</v>
      </c>
      <c r="W122" s="734">
        <f>SUM(J122:L122)/SUM(DEN!D114:E114)</f>
        <v>179260.46698686291</v>
      </c>
      <c r="X122" s="735">
        <f>SUM(M122:O122)/(DEN!H114+DEN!K114)</f>
        <v>203948.90654938147</v>
      </c>
      <c r="Z122" s="665">
        <f>V122*(DEN!I114+DEN!J114)</f>
        <v>817351001.92870784</v>
      </c>
      <c r="AB122" s="733">
        <f t="shared" si="45"/>
        <v>1367673038.7620971</v>
      </c>
      <c r="AC122" s="734">
        <f t="shared" si="46"/>
        <v>817351001.92870784</v>
      </c>
      <c r="AD122" s="734">
        <f t="shared" si="47"/>
        <v>641214690.41200864</v>
      </c>
      <c r="AE122" s="735">
        <f t="shared" si="48"/>
        <v>230462264.40080106</v>
      </c>
      <c r="AG122" s="944">
        <f t="shared" si="49"/>
        <v>0.44743435513448471</v>
      </c>
      <c r="AH122" s="944">
        <f t="shared" si="41"/>
        <v>0.2673964522964547</v>
      </c>
      <c r="AI122" s="944">
        <f t="shared" si="42"/>
        <v>0.20977344246468035</v>
      </c>
      <c r="AJ122" s="944">
        <f t="shared" si="43"/>
        <v>7.5395750104380321E-2</v>
      </c>
      <c r="AL122" s="945">
        <f t="shared" si="31"/>
        <v>1</v>
      </c>
    </row>
    <row r="123" spans="1:64" ht="15.75" thickBot="1">
      <c r="A123" s="127" t="s">
        <v>15</v>
      </c>
      <c r="B123" s="291">
        <f>KMA!B123*FRO_TOT!B123</f>
        <v>4240262703.5762739</v>
      </c>
      <c r="C123" s="291">
        <f>KMA!C123*FRO_TOT!C123</f>
        <v>861892772.19582367</v>
      </c>
      <c r="D123" s="291">
        <f>KMA!D123*FRO_TOT!D123</f>
        <v>249121519.91389185</v>
      </c>
      <c r="E123" s="291">
        <f>KMA!E123*FRO_TOT!E123</f>
        <v>2424328874.9255714</v>
      </c>
      <c r="F123" s="291">
        <f>KMA!F123*FRO_TOT!F123</f>
        <v>33963173.244036496</v>
      </c>
      <c r="G123" s="291">
        <f>KMA!G123*FRO_TOT!G123</f>
        <v>10056158.571266931</v>
      </c>
      <c r="H123" s="291">
        <f>KMA!H123*FRO_TOT!H123</f>
        <v>268350274.48634133</v>
      </c>
      <c r="I123" s="291">
        <f>KMA!I123*FRO_TOT!I123</f>
        <v>50186204.687707722</v>
      </c>
      <c r="J123" s="291">
        <f>KMA!J123*FRO_TOT!J123</f>
        <v>654725378.34344065</v>
      </c>
      <c r="K123" s="291">
        <f>KMA!K123*FRO_TOT!K123</f>
        <v>625654223.99098408</v>
      </c>
      <c r="L123" s="291">
        <f>KMA!L123*FRO_TOT!L123</f>
        <v>294010901.1488167</v>
      </c>
      <c r="M123" s="291">
        <f>KMA!M123*FRO_TOT!M123</f>
        <v>125518552.84214821</v>
      </c>
      <c r="N123" s="291">
        <f>KMA!N123*FRO_TOT!N123</f>
        <v>692880395.68666244</v>
      </c>
      <c r="O123" s="291">
        <f>KMA!O123*FRO_TOT!O123</f>
        <v>121391669.6853352</v>
      </c>
      <c r="P123" s="291">
        <f>KMA!P123*FRO_TOT!P123</f>
        <v>7489085.2814808413</v>
      </c>
      <c r="Q123" s="291">
        <f>KMA!Q123*FRO_TOT!Q123</f>
        <v>437761125.42853642</v>
      </c>
      <c r="R123" s="291">
        <f>KMA!R123*FRO_TOT!R123</f>
        <v>36607122</v>
      </c>
      <c r="S123" s="690">
        <f t="shared" si="44"/>
        <v>11134200136.00832</v>
      </c>
      <c r="U123" s="733">
        <f>(B123+C123+H123+I123+P123+Q123+R123)/(DEN!C115+DEN!F115+DEN!G115+DEN!L115)</f>
        <v>15505.359615360394</v>
      </c>
      <c r="V123" s="734">
        <f>SUM(D123:G123)/SUM(DEN!I115:J115)</f>
        <v>14455.625796755983</v>
      </c>
      <c r="W123" s="734">
        <f>SUM(J123:L123)/SUM(DEN!D115:E115)</f>
        <v>76661.172687502636</v>
      </c>
      <c r="X123" s="735">
        <f>SUM(M123:O123)/(DEN!H115+DEN!K115)</f>
        <v>87381.74041972532</v>
      </c>
      <c r="Z123" s="665">
        <f>V123*(DEN!I115+DEN!J115)</f>
        <v>2717469726.654767</v>
      </c>
      <c r="AB123" s="733">
        <f t="shared" si="45"/>
        <v>5902549287.6561642</v>
      </c>
      <c r="AC123" s="734">
        <f t="shared" si="46"/>
        <v>2717469726.654767</v>
      </c>
      <c r="AD123" s="734">
        <f t="shared" si="47"/>
        <v>1574390503.4832416</v>
      </c>
      <c r="AE123" s="735">
        <f t="shared" si="48"/>
        <v>939790618.21414578</v>
      </c>
      <c r="AG123" s="944">
        <f t="shared" si="49"/>
        <v>0.53012782378207413</v>
      </c>
      <c r="AH123" s="944">
        <f t="shared" si="41"/>
        <v>0.24406510512294391</v>
      </c>
      <c r="AI123" s="944">
        <f t="shared" si="42"/>
        <v>0.14140131165701053</v>
      </c>
      <c r="AJ123" s="944">
        <f t="shared" si="43"/>
        <v>8.4405759437971323E-2</v>
      </c>
      <c r="AL123" s="945">
        <f t="shared" si="31"/>
        <v>0.99999999999999989</v>
      </c>
    </row>
    <row r="124" spans="1:64" ht="15.75" thickBot="1">
      <c r="A124" s="127" t="s">
        <v>16</v>
      </c>
      <c r="B124" s="291">
        <f>KMA!B124*FRO_TOT!B124</f>
        <v>5857852145.2739258</v>
      </c>
      <c r="C124" s="291">
        <f>KMA!C124*FRO_TOT!C124</f>
        <v>880851502.98093307</v>
      </c>
      <c r="D124" s="291">
        <f>KMA!D124*FRO_TOT!D124</f>
        <v>748484580.40724373</v>
      </c>
      <c r="E124" s="291">
        <f>KMA!E124*FRO_TOT!E124</f>
        <v>7562641509.0354052</v>
      </c>
      <c r="F124" s="291">
        <f>KMA!F124*FRO_TOT!F124</f>
        <v>105944046.10588147</v>
      </c>
      <c r="G124" s="291">
        <f>KMA!G124*FRO_TOT!G124</f>
        <v>31366748.786283679</v>
      </c>
      <c r="H124" s="291">
        <f>KMA!H124*FRO_TOT!H124</f>
        <v>214279525.25738111</v>
      </c>
      <c r="I124" s="291">
        <f>KMA!I124*FRO_TOT!I124</f>
        <v>30378161.42399618</v>
      </c>
      <c r="J124" s="291">
        <f>KMA!J124*FRO_TOT!J124</f>
        <v>2137354447.380729</v>
      </c>
      <c r="K124" s="291">
        <f>KMA!K124*FRO_TOT!K124</f>
        <v>2042267163.2807362</v>
      </c>
      <c r="L124" s="291">
        <f>KMA!L124*FRO_TOT!L124</f>
        <v>759192274.78268623</v>
      </c>
      <c r="M124" s="291">
        <f>KMA!M124*FRO_TOT!M124</f>
        <v>300801346.82056105</v>
      </c>
      <c r="N124" s="291">
        <f>KMA!N124*FRO_TOT!N124</f>
        <v>1450599170.1288152</v>
      </c>
      <c r="O124" s="291">
        <f>KMA!O124*FRO_TOT!O124</f>
        <v>254203806.29467949</v>
      </c>
      <c r="P124" s="291">
        <f>KMA!P124*FRO_TOT!P124</f>
        <v>25608986.291736543</v>
      </c>
      <c r="Q124" s="291">
        <f>KMA!Q124*FRO_TOT!Q124</f>
        <v>1122527750.2141247</v>
      </c>
      <c r="R124" s="291">
        <f>KMA!R124*FRO_TOT!R124</f>
        <v>0</v>
      </c>
      <c r="S124" s="690">
        <f t="shared" si="44"/>
        <v>23524353164.465118</v>
      </c>
      <c r="U124" s="733">
        <f>(B124+C124+H124+I124+P124+Q124+R124)/(DEN!C116+DEN!F116+DEN!G116+DEN!L116)</f>
        <v>15822.528591941722</v>
      </c>
      <c r="V124" s="734">
        <f>SUM(D124:G124)/SUM(DEN!I116:J116)</f>
        <v>14718.992728578272</v>
      </c>
      <c r="W124" s="734">
        <f>SUM(J124:L124)/SUM(DEN!D116:E116)</f>
        <v>98829.6457175705</v>
      </c>
      <c r="X124" s="735">
        <f>SUM(M124:O124)/(DEN!H116+DEN!K116)</f>
        <v>112007.38988294736</v>
      </c>
      <c r="Z124" s="665">
        <f>V124*(DEN!I116+DEN!J116)</f>
        <v>8448436884.3348141</v>
      </c>
      <c r="AB124" s="733">
        <f t="shared" si="45"/>
        <v>8131498071.4420977</v>
      </c>
      <c r="AC124" s="734">
        <f t="shared" si="46"/>
        <v>8448436884.3348141</v>
      </c>
      <c r="AD124" s="734">
        <f t="shared" si="47"/>
        <v>4938813885.4441509</v>
      </c>
      <c r="AE124" s="735">
        <f t="shared" si="48"/>
        <v>2005604323.2440555</v>
      </c>
      <c r="AG124" s="944">
        <f t="shared" si="49"/>
        <v>0.3456629822972217</v>
      </c>
      <c r="AH124" s="944">
        <f t="shared" si="41"/>
        <v>0.35913577836846378</v>
      </c>
      <c r="AI124" s="944">
        <f t="shared" si="42"/>
        <v>0.20994472625519464</v>
      </c>
      <c r="AJ124" s="944">
        <f t="shared" si="43"/>
        <v>8.5256513079119883E-2</v>
      </c>
      <c r="AL124" s="945">
        <f t="shared" si="31"/>
        <v>1</v>
      </c>
    </row>
    <row r="125" spans="1:64" ht="15.75" thickBot="1">
      <c r="A125" s="127" t="s">
        <v>17</v>
      </c>
      <c r="B125" s="291">
        <f>KMA!B125*FRO_TOT!B125</f>
        <v>2072703011.585077</v>
      </c>
      <c r="C125" s="291">
        <f>KMA!C125*FRO_TOT!C125</f>
        <v>356958109.54469764</v>
      </c>
      <c r="D125" s="291">
        <f>KMA!D125*FRO_TOT!D125</f>
        <v>463469881.3467927</v>
      </c>
      <c r="E125" s="291">
        <f>KMA!E125*FRO_TOT!E125</f>
        <v>3658864965.3782258</v>
      </c>
      <c r="F125" s="291">
        <f>KMA!F125*FRO_TOT!F125</f>
        <v>51258293.736110516</v>
      </c>
      <c r="G125" s="291">
        <f>KMA!G125*FRO_TOT!G125</f>
        <v>15176246.354905833</v>
      </c>
      <c r="H125" s="291">
        <f>KMA!H125*FRO_TOT!H125</f>
        <v>134476307.24838507</v>
      </c>
      <c r="I125" s="291">
        <f>KMA!I125*FRO_TOT!I125</f>
        <v>22249999.544030726</v>
      </c>
      <c r="J125" s="291">
        <f>KMA!J125*FRO_TOT!J125</f>
        <v>879285442.39615679</v>
      </c>
      <c r="K125" s="291">
        <f>KMA!K125*FRO_TOT!K125</f>
        <v>840223157.81475902</v>
      </c>
      <c r="L125" s="291">
        <f>KMA!L125*FRO_TOT!L125</f>
        <v>524524390.3968057</v>
      </c>
      <c r="M125" s="291">
        <f>KMA!M125*FRO_TOT!M125</f>
        <v>36931656.009916</v>
      </c>
      <c r="N125" s="291">
        <f>KMA!N125*FRO_TOT!N125</f>
        <v>383711778.50339705</v>
      </c>
      <c r="O125" s="291">
        <f>KMA!O125*FRO_TOT!O125</f>
        <v>67261585.15133521</v>
      </c>
      <c r="P125" s="291">
        <f>KMA!P125*FRO_TOT!P125</f>
        <v>9832114.1514024083</v>
      </c>
      <c r="Q125" s="291">
        <f>KMA!Q125*FRO_TOT!Q125</f>
        <v>494182542.01139981</v>
      </c>
      <c r="R125" s="291">
        <f>KMA!R125*FRO_TOT!R125</f>
        <v>0</v>
      </c>
      <c r="S125" s="690">
        <f t="shared" si="44"/>
        <v>10011109481.173399</v>
      </c>
      <c r="U125" s="733">
        <f>(B125+C125+H125+I125+P125+Q125+R125)/(DEN!C117+DEN!F117+DEN!G117+DEN!L117)</f>
        <v>12455.02099379342</v>
      </c>
      <c r="V125" s="734">
        <f>SUM(D125:G125)/SUM(DEN!I117:J117)</f>
        <v>11438.693221377893</v>
      </c>
      <c r="W125" s="734">
        <f>SUM(J125:L125)/SUM(DEN!D117:E117)</f>
        <v>76278.35720479014</v>
      </c>
      <c r="X125" s="735">
        <f>SUM(M125:O125)/(DEN!H117+DEN!K117)</f>
        <v>91694.234103485869</v>
      </c>
      <c r="Z125" s="665">
        <f>V125*(DEN!I117+DEN!J117)</f>
        <v>4188769386.8160348</v>
      </c>
      <c r="AB125" s="733">
        <f t="shared" si="45"/>
        <v>3090402084.0849924</v>
      </c>
      <c r="AC125" s="734">
        <f t="shared" si="46"/>
        <v>4188769386.8160348</v>
      </c>
      <c r="AD125" s="734">
        <f t="shared" si="47"/>
        <v>2244032990.6077213</v>
      </c>
      <c r="AE125" s="735">
        <f t="shared" si="48"/>
        <v>487905019.66464829</v>
      </c>
      <c r="AG125" s="944">
        <f t="shared" si="49"/>
        <v>0.30869726176671153</v>
      </c>
      <c r="AH125" s="944">
        <f t="shared" si="41"/>
        <v>0.41841210454179056</v>
      </c>
      <c r="AI125" s="944">
        <f t="shared" si="42"/>
        <v>0.2241542752906443</v>
      </c>
      <c r="AJ125" s="944">
        <f t="shared" si="43"/>
        <v>4.87363584008534E-2</v>
      </c>
      <c r="AL125" s="945">
        <f t="shared" si="31"/>
        <v>0.99999999999999989</v>
      </c>
    </row>
    <row r="126" spans="1:64" ht="15.75" thickBot="1">
      <c r="A126" s="127" t="s">
        <v>18</v>
      </c>
      <c r="B126" s="291">
        <f>KMA!B126*FRO_TOT!B126</f>
        <v>614921676.37411368</v>
      </c>
      <c r="C126" s="291">
        <f>KMA!C126*FRO_TOT!C126</f>
        <v>132586653.8919746</v>
      </c>
      <c r="D126" s="291">
        <f>KMA!D126*FRO_TOT!D126</f>
        <v>86403097.346150264</v>
      </c>
      <c r="E126" s="291">
        <f>KMA!E126*FRO_TOT!E126</f>
        <v>781382029.96213663</v>
      </c>
      <c r="F126" s="291">
        <f>KMA!F126*FRO_TOT!F126</f>
        <v>10946586.295595653</v>
      </c>
      <c r="G126" s="291">
        <f>KMA!G126*FRO_TOT!G126</f>
        <v>3239276.8604086223</v>
      </c>
      <c r="H126" s="291">
        <f>KMA!H126*FRO_TOT!H126</f>
        <v>12701337.811881052</v>
      </c>
      <c r="I126" s="291">
        <f>KMA!I126*FRO_TOT!I126</f>
        <v>2619774.8213607534</v>
      </c>
      <c r="J126" s="291">
        <f>KMA!J126*FRO_TOT!J126</f>
        <v>116590551.760011</v>
      </c>
      <c r="K126" s="291">
        <f>KMA!K126*FRO_TOT!K126</f>
        <v>111361579.41198206</v>
      </c>
      <c r="L126" s="291">
        <f>KMA!L126*FRO_TOT!L126</f>
        <v>42130246.440873042</v>
      </c>
      <c r="M126" s="291">
        <f>KMA!M126*FRO_TOT!M126</f>
        <v>18560773.662031669</v>
      </c>
      <c r="N126" s="291">
        <f>KMA!N126*FRO_TOT!N126</f>
        <v>59431560.670339577</v>
      </c>
      <c r="O126" s="291">
        <f>KMA!O126*FRO_TOT!O126</f>
        <v>10410908.26667037</v>
      </c>
      <c r="P126" s="291">
        <f>KMA!P126*FRO_TOT!P126</f>
        <v>2065705.8153315799</v>
      </c>
      <c r="Q126" s="291">
        <f>KMA!Q126*FRO_TOT!Q126</f>
        <v>128534469.17490688</v>
      </c>
      <c r="R126" s="291">
        <f>KMA!R126*FRO_TOT!R126</f>
        <v>0</v>
      </c>
      <c r="S126" s="690">
        <f t="shared" si="44"/>
        <v>2133886228.5657678</v>
      </c>
      <c r="U126" s="733">
        <f>(B126+C126+H126+I126+P126+Q126+R126)/(DEN!C118+DEN!F118+DEN!G118+DEN!L118)</f>
        <v>13394.345265352889</v>
      </c>
      <c r="V126" s="734">
        <f>SUM(D126:G126)/SUM(DEN!I118:J118)</f>
        <v>12332.498887861335</v>
      </c>
      <c r="W126" s="734">
        <f>SUM(J126:L126)/SUM(DEN!D118:E118)</f>
        <v>69021.818965720959</v>
      </c>
      <c r="X126" s="735">
        <f>SUM(M126:O126)/(DEN!H118+DEN!K118)</f>
        <v>72879.837262194254</v>
      </c>
      <c r="Z126" s="665">
        <f>V126*(DEN!I118+DEN!J118)</f>
        <v>881970990.46429121</v>
      </c>
      <c r="AB126" s="733">
        <f t="shared" si="45"/>
        <v>893429617.88956845</v>
      </c>
      <c r="AC126" s="734">
        <f t="shared" si="46"/>
        <v>881970990.46429121</v>
      </c>
      <c r="AD126" s="734">
        <f t="shared" si="47"/>
        <v>270082377.6128661</v>
      </c>
      <c r="AE126" s="735">
        <f t="shared" si="48"/>
        <v>88403242.599041626</v>
      </c>
      <c r="AG126" s="944">
        <f t="shared" si="49"/>
        <v>0.41868662252441746</v>
      </c>
      <c r="AH126" s="944">
        <f t="shared" si="41"/>
        <v>0.41331678261829519</v>
      </c>
      <c r="AI126" s="944">
        <f t="shared" si="42"/>
        <v>0.12656831184218967</v>
      </c>
      <c r="AJ126" s="944">
        <f t="shared" si="43"/>
        <v>4.1428283015097482E-2</v>
      </c>
      <c r="AL126" s="945">
        <f t="shared" si="31"/>
        <v>0.99999999999999978</v>
      </c>
    </row>
    <row r="127" spans="1:64" ht="15.75" thickBot="1">
      <c r="A127" s="128" t="s">
        <v>19</v>
      </c>
      <c r="B127" s="291">
        <f>KMA!B127*FRO_TOT!B127</f>
        <v>1805296246.4160669</v>
      </c>
      <c r="C127" s="291">
        <f>KMA!C127*FRO_TOT!C127</f>
        <v>303322998.96648502</v>
      </c>
      <c r="D127" s="291">
        <f>KMA!D127*FRO_TOT!D127</f>
        <v>452122034.63499516</v>
      </c>
      <c r="E127" s="291">
        <f>KMA!E127*FRO_TOT!E127</f>
        <v>2535145468.3235698</v>
      </c>
      <c r="F127" s="291">
        <f>KMA!F127*FRO_TOT!F127</f>
        <v>35510989.050686233</v>
      </c>
      <c r="G127" s="291">
        <f>KMA!G127*FRO_TOT!G127</f>
        <v>10515577.402830977</v>
      </c>
      <c r="H127" s="291">
        <f>KMA!H127*FRO_TOT!H127</f>
        <v>191950491.26649249</v>
      </c>
      <c r="I127" s="291">
        <f>KMA!I127*FRO_TOT!I127</f>
        <v>29996774.626793187</v>
      </c>
      <c r="J127" s="291">
        <f>KMA!J127*FRO_TOT!J127</f>
        <v>833164286.04830694</v>
      </c>
      <c r="K127" s="291">
        <f>KMA!K127*FRO_TOT!K127</f>
        <v>796081597.07846141</v>
      </c>
      <c r="L127" s="291">
        <f>KMA!L127*FRO_TOT!L127</f>
        <v>432013921.92519796</v>
      </c>
      <c r="M127" s="291">
        <f>KMA!M127*FRO_TOT!M127</f>
        <v>63289720.677870616</v>
      </c>
      <c r="N127" s="291">
        <f>KMA!N127*FRO_TOT!N127</f>
        <v>371183545.6426301</v>
      </c>
      <c r="O127" s="291">
        <f>KMA!O127*FRO_TOT!O127</f>
        <v>65020472.761146627</v>
      </c>
      <c r="P127" s="291">
        <f>KMA!P127*FRO_TOT!P127</f>
        <v>9232618.5897926781</v>
      </c>
      <c r="Q127" s="291">
        <f>KMA!Q127*FRO_TOT!Q127</f>
        <v>450715750.06565964</v>
      </c>
      <c r="R127" s="291">
        <f>KMA!R127*FRO_TOT!R127</f>
        <v>0</v>
      </c>
      <c r="S127" s="690">
        <f t="shared" si="44"/>
        <v>8384562493.476985</v>
      </c>
      <c r="U127" s="733">
        <f>(B127+C127+H127+I127+P127+Q127+R127)/(DEN!C119+DEN!F119+DEN!G119+DEN!L119)</f>
        <v>15076.366779392358</v>
      </c>
      <c r="V127" s="734">
        <f>SUM(D127:G127)/SUM(DEN!I119:J119)</f>
        <v>13337.147232632533</v>
      </c>
      <c r="W127" s="734">
        <f>SUM(J127:L127)/SUM(DEN!D119:E119)</f>
        <v>87986.50296888061</v>
      </c>
      <c r="X127" s="735">
        <f>SUM(M127:O127)/(DEN!H119+DEN!K119)</f>
        <v>100139.08161219874</v>
      </c>
      <c r="Z127" s="665">
        <f>V127*(DEN!I119+DEN!J119)</f>
        <v>3033294069.4120822</v>
      </c>
      <c r="AB127" s="733">
        <f t="shared" si="45"/>
        <v>2790514879.9312901</v>
      </c>
      <c r="AC127" s="734">
        <f t="shared" si="46"/>
        <v>3033294069.4120822</v>
      </c>
      <c r="AD127" s="734">
        <f t="shared" si="47"/>
        <v>2061259805.0519662</v>
      </c>
      <c r="AE127" s="735">
        <f t="shared" si="48"/>
        <v>499493739.08164734</v>
      </c>
      <c r="AG127" s="944">
        <f t="shared" si="49"/>
        <v>0.33281580071736033</v>
      </c>
      <c r="AH127" s="944">
        <f t="shared" si="41"/>
        <v>0.36177129954865528</v>
      </c>
      <c r="AI127" s="944">
        <f t="shared" si="42"/>
        <v>0.24583987615997654</v>
      </c>
      <c r="AJ127" s="944">
        <f t="shared" si="43"/>
        <v>5.9573023574007955E-2</v>
      </c>
      <c r="AL127" s="945">
        <f t="shared" si="31"/>
        <v>1</v>
      </c>
    </row>
    <row r="128" spans="1:64" ht="15.75" thickBot="1">
      <c r="A128" s="269" t="s">
        <v>54</v>
      </c>
      <c r="B128" s="291">
        <f>KMA!B128*FRO_TOT!B128</f>
        <v>45469043084.208603</v>
      </c>
      <c r="C128" s="291">
        <f>KMA!C128*FRO_TOT!C128</f>
        <v>7132666724.7984953</v>
      </c>
      <c r="D128" s="291">
        <f>KMA!D128*FRO_TOT!D128</f>
        <v>3930723007.5945973</v>
      </c>
      <c r="E128" s="291">
        <f>KMA!E128*FRO_TOT!E128</f>
        <v>66540968432.904465</v>
      </c>
      <c r="F128" s="291">
        <f>KMA!F128*FRO_TOT!F128</f>
        <v>932161628.50001681</v>
      </c>
      <c r="G128" s="291">
        <f>KMA!G128*FRO_TOT!G128</f>
        <v>275987163.07530946</v>
      </c>
      <c r="H128" s="291">
        <f>KMA!H128*FRO_TOT!H128</f>
        <v>4537711348.7327662</v>
      </c>
      <c r="I128" s="291">
        <f>KMA!I128*FRO_TOT!I128</f>
        <v>606917873.99081457</v>
      </c>
      <c r="J128" s="291">
        <f>KMA!J128*FRO_TOT!J128</f>
        <v>5882395050.7901077</v>
      </c>
      <c r="K128" s="291">
        <f>KMA!K128*FRO_TOT!K128</f>
        <v>5620859868.1946478</v>
      </c>
      <c r="L128" s="291">
        <f>KMA!L128*FRO_TOT!L128</f>
        <v>2173383782.3520703</v>
      </c>
      <c r="M128" s="291">
        <f>KMA!M128*FRO_TOT!M128</f>
        <v>2418361423.4444041</v>
      </c>
      <c r="N128" s="291">
        <f>KMA!N128*FRO_TOT!N128</f>
        <v>8574610370.9723186</v>
      </c>
      <c r="O128" s="291">
        <f>KMA!O128*FRO_TOT!O128</f>
        <v>1274854342.7688403</v>
      </c>
      <c r="P128" s="291">
        <f>KMA!P128*FRO_TOT!P128</f>
        <v>146580931.23567921</v>
      </c>
      <c r="Q128" s="291">
        <f>KMA!Q128*FRO_TOT!Q128</f>
        <v>6208688665.7585583</v>
      </c>
      <c r="R128" s="291">
        <f>KMA!R128*FRO_TOT!R128</f>
        <v>4722659184</v>
      </c>
      <c r="S128" s="690">
        <f t="shared" si="44"/>
        <v>166448572883.32169</v>
      </c>
      <c r="U128" s="733">
        <f>(B128+C128+H128+I128+P128+Q128+R128)/(DEN!C120+DEN!F120+DEN!G120+DEN!L120)</f>
        <v>11966.104019840892</v>
      </c>
      <c r="V128" s="734">
        <f>SUM(D128:G128)/SUM(DEN!I120:J120)</f>
        <v>14941.234466401926</v>
      </c>
      <c r="W128" s="734">
        <f>SUM(J128:L128)/SUM(DEN!D120:E120)</f>
        <v>33992.232310838997</v>
      </c>
      <c r="X128" s="735">
        <f>SUM(M128:O128)/(DEN!H120+DEN!K120)</f>
        <v>80928.741966287329</v>
      </c>
      <c r="AB128" s="733">
        <f t="shared" si="45"/>
        <v>68824267812.724915</v>
      </c>
      <c r="AC128" s="734">
        <f t="shared" si="46"/>
        <v>71679840232.074387</v>
      </c>
      <c r="AD128" s="734">
        <f t="shared" si="47"/>
        <v>13676638701.336826</v>
      </c>
      <c r="AE128" s="735">
        <f t="shared" si="48"/>
        <v>12267826137.185564</v>
      </c>
      <c r="AG128" s="944">
        <f t="shared" si="49"/>
        <v>0.4134866801229341</v>
      </c>
      <c r="AH128" s="944">
        <f t="shared" si="41"/>
        <v>0.43064256418900648</v>
      </c>
      <c r="AI128" s="944">
        <f t="shared" si="42"/>
        <v>8.216735334176746E-2</v>
      </c>
      <c r="AJ128" s="944">
        <f t="shared" si="43"/>
        <v>7.3703402346291982E-2</v>
      </c>
      <c r="AL128" s="945">
        <f t="shared" si="31"/>
        <v>1</v>
      </c>
    </row>
    <row r="129" spans="1:38" ht="15.75" thickBot="1">
      <c r="A129" s="127" t="s">
        <v>21</v>
      </c>
      <c r="B129" s="291">
        <f>KMA!B129*FRO_TOT!B129</f>
        <v>2422405164.4768615</v>
      </c>
      <c r="C129" s="291">
        <f>KMA!C129*FRO_TOT!C129</f>
        <v>376939463.89472818</v>
      </c>
      <c r="D129" s="291">
        <f>KMA!D129*FRO_TOT!D129</f>
        <v>188089222.09980267</v>
      </c>
      <c r="E129" s="291">
        <f>KMA!E129*FRO_TOT!E129</f>
        <v>2820704370.6218958</v>
      </c>
      <c r="F129" s="291">
        <f>KMA!F129*FRO_TOT!F129</f>
        <v>39512947.816840604</v>
      </c>
      <c r="G129" s="291">
        <f>KMA!G129*FRO_TOT!G129</f>
        <v>11699503.340768088</v>
      </c>
      <c r="H129" s="291">
        <f>KMA!H129*FRO_TOT!H129</f>
        <v>279044444.0802592</v>
      </c>
      <c r="I129" s="291">
        <f>KMA!I129*FRO_TOT!I129</f>
        <v>36190503.010149866</v>
      </c>
      <c r="J129" s="291">
        <f>KMA!J129*FRO_TOT!J129</f>
        <v>207761686.06128934</v>
      </c>
      <c r="K129" s="291">
        <f>KMA!K129*FRO_TOT!K129</f>
        <v>198512402.44385487</v>
      </c>
      <c r="L129" s="291">
        <f>KMA!L129*FRO_TOT!L129</f>
        <v>68760559.900983363</v>
      </c>
      <c r="M129" s="291">
        <f>KMA!M129*FRO_TOT!M129</f>
        <v>140768815.48228577</v>
      </c>
      <c r="N129" s="291">
        <f>KMA!N129*FRO_TOT!N129</f>
        <v>375484389.06590259</v>
      </c>
      <c r="O129" s="291">
        <f>KMA!O129*FRO_TOT!O129</f>
        <v>55849362.024095178</v>
      </c>
      <c r="P129" s="291">
        <f>KMA!P129*FRO_TOT!P129</f>
        <v>5172008.5312461052</v>
      </c>
      <c r="Q129" s="291">
        <f>KMA!Q129*FRO_TOT!Q129</f>
        <v>212297413.96012214</v>
      </c>
      <c r="R129" s="291">
        <f>KMA!R129*FRO_TOT!R129</f>
        <v>498581442.00000012</v>
      </c>
      <c r="S129" s="690">
        <f t="shared" si="44"/>
        <v>7937773698.8110867</v>
      </c>
      <c r="U129" s="733">
        <f>(B129+C129+H129+I129+P129+Q129+R129)/(DEN!C121+DEN!F121+DEN!G121+DEN!L121)</f>
        <v>13082.128723194135</v>
      </c>
      <c r="V129" s="734">
        <f>SUM(D129:G129)/SUM(DEN!I121:J121)</f>
        <v>16309.68102313362</v>
      </c>
      <c r="W129" s="734">
        <f>SUM(J129:L129)/SUM(DEN!D121:E121)</f>
        <v>24569.910437888051</v>
      </c>
      <c r="X129" s="735">
        <f>SUM(M129:O129)/(DEN!H121+DEN!K121)</f>
        <v>55216.925641567752</v>
      </c>
      <c r="Z129" s="665">
        <f>V129*(DEN!I121+DEN!J121)</f>
        <v>3060006043.8793068</v>
      </c>
      <c r="AB129" s="733">
        <f t="shared" si="45"/>
        <v>3830630439.9533672</v>
      </c>
      <c r="AC129" s="734">
        <f t="shared" si="46"/>
        <v>3060006043.8793068</v>
      </c>
      <c r="AD129" s="734">
        <f t="shared" si="47"/>
        <v>475034648.40612757</v>
      </c>
      <c r="AE129" s="735">
        <f t="shared" si="48"/>
        <v>572102566.57228351</v>
      </c>
      <c r="AG129" s="944">
        <f t="shared" si="49"/>
        <v>0.48258247026204792</v>
      </c>
      <c r="AH129" s="944">
        <f t="shared" si="41"/>
        <v>0.38549927977130816</v>
      </c>
      <c r="AI129" s="944">
        <f t="shared" si="42"/>
        <v>5.9844821285000592E-2</v>
      </c>
      <c r="AJ129" s="944">
        <f t="shared" si="43"/>
        <v>7.207342868164314E-2</v>
      </c>
      <c r="AL129" s="945">
        <f t="shared" si="31"/>
        <v>0.99999999999999978</v>
      </c>
    </row>
    <row r="130" spans="1:38" ht="15.75" thickBot="1">
      <c r="A130" s="127" t="s">
        <v>22</v>
      </c>
      <c r="B130" s="291">
        <f>KMA!B130*FRO_TOT!B130</f>
        <v>12292664256.257479</v>
      </c>
      <c r="C130" s="291">
        <f>KMA!C130*FRO_TOT!C130</f>
        <v>2127916326.920007</v>
      </c>
      <c r="D130" s="291">
        <f>KMA!D130*FRO_TOT!D130</f>
        <v>806272530.09910154</v>
      </c>
      <c r="E130" s="291">
        <f>KMA!E130*FRO_TOT!E130</f>
        <v>13665711381.72987</v>
      </c>
      <c r="F130" s="291">
        <f>KMA!F130*FRO_TOT!F130</f>
        <v>191442138.81285578</v>
      </c>
      <c r="G130" s="291">
        <f>KMA!G130*FRO_TOT!G130</f>
        <v>56679250.082414486</v>
      </c>
      <c r="H130" s="291">
        <f>KMA!H130*FRO_TOT!H130</f>
        <v>1366948569.9570713</v>
      </c>
      <c r="I130" s="291">
        <f>KMA!I130*FRO_TOT!I130</f>
        <v>206453469.79315299</v>
      </c>
      <c r="J130" s="291">
        <f>KMA!J130*FRO_TOT!J130</f>
        <v>1851890012.6437891</v>
      </c>
      <c r="K130" s="291">
        <f>KMA!K130*FRO_TOT!K130</f>
        <v>1769551988.3570797</v>
      </c>
      <c r="L130" s="291">
        <f>KMA!L130*FRO_TOT!L130</f>
        <v>940375637.40877247</v>
      </c>
      <c r="M130" s="291">
        <f>KMA!M130*FRO_TOT!M130</f>
        <v>919795597.97946501</v>
      </c>
      <c r="N130" s="291">
        <f>KMA!N130*FRO_TOT!N130</f>
        <v>3436187802.3019104</v>
      </c>
      <c r="O130" s="291">
        <f>KMA!O130*FRO_TOT!O130</f>
        <v>510863199.06875813</v>
      </c>
      <c r="P130" s="291">
        <f>KMA!P130*FRO_TOT!P130</f>
        <v>40568307.97031191</v>
      </c>
      <c r="Q130" s="291">
        <f>KMA!Q130*FRO_TOT!Q130</f>
        <v>1917046573.6587913</v>
      </c>
      <c r="R130" s="291">
        <f>KMA!R130*FRO_TOT!R130</f>
        <v>984441629.99999988</v>
      </c>
      <c r="S130" s="690">
        <f t="shared" si="44"/>
        <v>43084808673.040817</v>
      </c>
      <c r="U130" s="733">
        <f>(B130+C130+H130+I130+P130+Q130+R130)/(DEN!C122+DEN!F122+DEN!G122+DEN!L122)</f>
        <v>12338.665656185392</v>
      </c>
      <c r="V130" s="734">
        <f>SUM(D130:G130)/SUM(DEN!I122:J122)</f>
        <v>15147.351497050036</v>
      </c>
      <c r="W130" s="734">
        <f>SUM(J130:L130)/SUM(DEN!D122:E122)</f>
        <v>40872.839695454182</v>
      </c>
      <c r="X130" s="735">
        <f>SUM(M130:O130)/(DEN!H122+DEN!K122)</f>
        <v>96388.469447637923</v>
      </c>
      <c r="Z130" s="665">
        <f>V130*(DEN!I122+DEN!J122)</f>
        <v>14720105300.724243</v>
      </c>
      <c r="AB130" s="733">
        <f t="shared" si="45"/>
        <v>18936039134.556816</v>
      </c>
      <c r="AC130" s="734">
        <f t="shared" si="46"/>
        <v>14720105300.724243</v>
      </c>
      <c r="AD130" s="734">
        <f t="shared" si="47"/>
        <v>4561817638.4096413</v>
      </c>
      <c r="AE130" s="735">
        <f t="shared" si="48"/>
        <v>4866846599.3501339</v>
      </c>
      <c r="AG130" s="944">
        <f t="shared" si="49"/>
        <v>0.43950616743496285</v>
      </c>
      <c r="AH130" s="944">
        <f t="shared" si="41"/>
        <v>0.34165418749868931</v>
      </c>
      <c r="AI130" s="944">
        <f t="shared" si="42"/>
        <v>0.10587995581059824</v>
      </c>
      <c r="AJ130" s="944">
        <f t="shared" si="43"/>
        <v>0.11295968925575002</v>
      </c>
      <c r="AL130" s="945">
        <f t="shared" si="31"/>
        <v>1.0000000000000004</v>
      </c>
    </row>
    <row r="131" spans="1:38" ht="15.75" thickBot="1">
      <c r="A131" s="127" t="s">
        <v>23</v>
      </c>
      <c r="B131" s="291">
        <f>KMA!B131*FRO_TOT!B131</f>
        <v>6415501846.4903889</v>
      </c>
      <c r="C131" s="291">
        <f>KMA!C131*FRO_TOT!C131</f>
        <v>923140125.6396476</v>
      </c>
      <c r="D131" s="291">
        <f>KMA!D131*FRO_TOT!D131</f>
        <v>603081770.66632545</v>
      </c>
      <c r="E131" s="291">
        <f>KMA!E131*FRO_TOT!E131</f>
        <v>12185160016.209749</v>
      </c>
      <c r="F131" s="291">
        <f>KMA!F131*FRO_TOT!F131</f>
        <v>170699037.99801442</v>
      </c>
      <c r="G131" s="291">
        <f>KMA!G131*FRO_TOT!G131</f>
        <v>50539303.382325426</v>
      </c>
      <c r="H131" s="291">
        <f>KMA!H131*FRO_TOT!H131</f>
        <v>661265844.7376492</v>
      </c>
      <c r="I131" s="291">
        <f>KMA!I131*FRO_TOT!I131</f>
        <v>83383330.546375379</v>
      </c>
      <c r="J131" s="291">
        <f>KMA!J131*FRO_TOT!J131</f>
        <v>779564470.03162479</v>
      </c>
      <c r="K131" s="291">
        <f>KMA!K131*FRO_TOT!K131</f>
        <v>744894308.99980974</v>
      </c>
      <c r="L131" s="291">
        <f>KMA!L131*FRO_TOT!L131</f>
        <v>271995048.43471348</v>
      </c>
      <c r="M131" s="291">
        <f>KMA!M131*FRO_TOT!M131</f>
        <v>274141042.01898956</v>
      </c>
      <c r="N131" s="291">
        <f>KMA!N131*FRO_TOT!N131</f>
        <v>1012547319.28333</v>
      </c>
      <c r="O131" s="291">
        <f>KMA!O131*FRO_TOT!O131</f>
        <v>150514585.60422149</v>
      </c>
      <c r="P131" s="291">
        <f>KMA!P131*FRO_TOT!P131</f>
        <v>27855056.135962646</v>
      </c>
      <c r="Q131" s="291">
        <f>KMA!Q131*FRO_TOT!Q131</f>
        <v>1086618773.2413874</v>
      </c>
      <c r="R131" s="291">
        <f>KMA!R131*FRO_TOT!R131</f>
        <v>792599826</v>
      </c>
      <c r="S131" s="690">
        <f t="shared" si="44"/>
        <v>26233501705.420509</v>
      </c>
      <c r="U131" s="733">
        <f>(B131+C131+H131+I131+P131+Q131+R131)/(DEN!C123+DEN!F123+DEN!G123+DEN!L123)</f>
        <v>10529.140944944205</v>
      </c>
      <c r="V131" s="734">
        <f>SUM(D131:G131)/SUM(DEN!I123:J123)</f>
        <v>13255.42121345078</v>
      </c>
      <c r="W131" s="734">
        <f>SUM(J131:L131)/SUM(DEN!D123:E123)</f>
        <v>29243.917100214032</v>
      </c>
      <c r="X131" s="735">
        <f>SUM(M131:O131)/(DEN!H123+DEN!K123)</f>
        <v>70454.57850416888</v>
      </c>
      <c r="Z131" s="665">
        <f>V131*(DEN!I123+DEN!J123)</f>
        <v>13009480128.256414</v>
      </c>
      <c r="AB131" s="733">
        <f t="shared" si="45"/>
        <v>9990364802.7914104</v>
      </c>
      <c r="AC131" s="734">
        <f t="shared" si="46"/>
        <v>13009480128.256414</v>
      </c>
      <c r="AD131" s="734">
        <f t="shared" si="47"/>
        <v>1796453827.4661479</v>
      </c>
      <c r="AE131" s="735">
        <f t="shared" si="48"/>
        <v>1437202946.9065411</v>
      </c>
      <c r="AG131" s="944">
        <f t="shared" si="49"/>
        <v>0.38082467659005459</v>
      </c>
      <c r="AH131" s="944">
        <f t="shared" si="41"/>
        <v>0.49591092620198413</v>
      </c>
      <c r="AI131" s="944">
        <f t="shared" si="42"/>
        <v>6.8479376014638368E-2</v>
      </c>
      <c r="AJ131" s="944">
        <f t="shared" si="43"/>
        <v>5.4785021193323132E-2</v>
      </c>
      <c r="AL131" s="945">
        <f t="shared" si="31"/>
        <v>1.0000000000000002</v>
      </c>
    </row>
    <row r="132" spans="1:38" ht="15.75" thickBot="1">
      <c r="A132" s="127" t="s">
        <v>24</v>
      </c>
      <c r="B132" s="291">
        <f>KMA!B132*FRO_TOT!B132</f>
        <v>3812243279.6430941</v>
      </c>
      <c r="C132" s="291">
        <f>KMA!C132*FRO_TOT!C132</f>
        <v>747649221.65630329</v>
      </c>
      <c r="D132" s="291">
        <f>KMA!D132*FRO_TOT!D132</f>
        <v>676334044.06217802</v>
      </c>
      <c r="E132" s="291">
        <f>KMA!E132*FRO_TOT!E132</f>
        <v>8867223106.520031</v>
      </c>
      <c r="F132" s="291">
        <f>KMA!F132*FRO_TOT!F132</f>
        <v>124218386.00141287</v>
      </c>
      <c r="G132" s="291">
        <f>KMA!G132*FRO_TOT!G132</f>
        <v>36781339.332263745</v>
      </c>
      <c r="H132" s="291">
        <f>KMA!H132*FRO_TOT!H132</f>
        <v>159826152.08493745</v>
      </c>
      <c r="I132" s="291">
        <f>KMA!I132*FRO_TOT!I132</f>
        <v>29688001.156029053</v>
      </c>
      <c r="J132" s="291">
        <f>KMA!J132*FRO_TOT!J132</f>
        <v>462679303.61201781</v>
      </c>
      <c r="K132" s="291">
        <f>KMA!K132*FRO_TOT!K132</f>
        <v>442097357.62589824</v>
      </c>
      <c r="L132" s="291">
        <f>KMA!L132*FRO_TOT!L132</f>
        <v>111824505.26187022</v>
      </c>
      <c r="M132" s="291">
        <f>KMA!M132*FRO_TOT!M132</f>
        <v>140278237.49540433</v>
      </c>
      <c r="N132" s="291">
        <f>KMA!N132*FRO_TOT!N132</f>
        <v>554022307.96305203</v>
      </c>
      <c r="O132" s="291">
        <f>KMA!O132*FRO_TOT!O132</f>
        <v>82395152.335749343</v>
      </c>
      <c r="P132" s="291">
        <f>KMA!P132*FRO_TOT!P132</f>
        <v>8812772.4381464366</v>
      </c>
      <c r="Q132" s="291">
        <f>KMA!Q132*FRO_TOT!Q132</f>
        <v>498327402.64249831</v>
      </c>
      <c r="R132" s="291">
        <f>KMA!R132*FRO_TOT!R132</f>
        <v>0</v>
      </c>
      <c r="S132" s="690">
        <f t="shared" si="44"/>
        <v>16754400569.830889</v>
      </c>
      <c r="U132" s="733">
        <f>(B132+C132+H132+I132+P132+Q132+R132)/(DEN!C124+DEN!F124+DEN!G124+DEN!L124)</f>
        <v>13853.433558984314</v>
      </c>
      <c r="V132" s="734">
        <f>SUM(D132:G132)/SUM(DEN!I124:J124)</f>
        <v>16929.810694818396</v>
      </c>
      <c r="W132" s="734">
        <f>SUM(J132:L132)/SUM(DEN!D124:E124)</f>
        <v>32280.226288374757</v>
      </c>
      <c r="X132" s="735">
        <f>SUM(M132:O132)/(DEN!H124+DEN!K124)</f>
        <v>80253.740214321733</v>
      </c>
      <c r="Z132" s="665">
        <f>V132*(DEN!I124+DEN!J124)</f>
        <v>9704556875.9158859</v>
      </c>
      <c r="AB132" s="733">
        <f t="shared" si="45"/>
        <v>5256546829.6210079</v>
      </c>
      <c r="AC132" s="734">
        <f t="shared" si="46"/>
        <v>9704556875.9158859</v>
      </c>
      <c r="AD132" s="734">
        <f t="shared" si="47"/>
        <v>1016601166.4997863</v>
      </c>
      <c r="AE132" s="735">
        <f t="shared" si="48"/>
        <v>776695697.79420578</v>
      </c>
      <c r="AG132" s="944">
        <f t="shared" si="49"/>
        <v>0.31374126503136751</v>
      </c>
      <c r="AH132" s="944">
        <f t="shared" si="41"/>
        <v>0.57922435574272768</v>
      </c>
      <c r="AI132" s="944">
        <f t="shared" si="42"/>
        <v>6.0676665945921533E-2</v>
      </c>
      <c r="AJ132" s="944">
        <f t="shared" si="43"/>
        <v>4.6357713279983101E-2</v>
      </c>
      <c r="AL132" s="945">
        <f t="shared" si="31"/>
        <v>0.99999999999999989</v>
      </c>
    </row>
    <row r="133" spans="1:38" ht="15.75" thickBot="1">
      <c r="A133" s="127" t="s">
        <v>25</v>
      </c>
      <c r="B133" s="291">
        <f>KMA!B133*FRO_TOT!B133</f>
        <v>3730418039.3280044</v>
      </c>
      <c r="C133" s="291">
        <f>KMA!C133*FRO_TOT!C133</f>
        <v>525405010.39801484</v>
      </c>
      <c r="D133" s="291">
        <f>KMA!D133*FRO_TOT!D133</f>
        <v>328525604.0717929</v>
      </c>
      <c r="E133" s="291">
        <f>KMA!E133*FRO_TOT!E133</f>
        <v>5297084425.2454338</v>
      </c>
      <c r="F133" s="291">
        <f>KMA!F133*FRO_TOT!F133</f>
        <v>74207315.25436303</v>
      </c>
      <c r="G133" s="291">
        <f>KMA!G133*FRO_TOT!G133</f>
        <v>21969256.081401415</v>
      </c>
      <c r="H133" s="291">
        <f>KMA!H133*FRO_TOT!H133</f>
        <v>317817953.69377398</v>
      </c>
      <c r="I133" s="291">
        <f>KMA!I133*FRO_TOT!I133</f>
        <v>38702488.546957746</v>
      </c>
      <c r="J133" s="291">
        <f>KMA!J133*FRO_TOT!J133</f>
        <v>343031918.8166334</v>
      </c>
      <c r="K133" s="291">
        <f>KMA!K133*FRO_TOT!K133</f>
        <v>327801292.62892336</v>
      </c>
      <c r="L133" s="291">
        <f>KMA!L133*FRO_TOT!L133</f>
        <v>95723939.289820537</v>
      </c>
      <c r="M133" s="291">
        <f>KMA!M133*FRO_TOT!M133</f>
        <v>119995877.38672185</v>
      </c>
      <c r="N133" s="291">
        <f>KMA!N133*FRO_TOT!N133</f>
        <v>444794654.37664056</v>
      </c>
      <c r="O133" s="291">
        <f>KMA!O133*FRO_TOT!O133</f>
        <v>66134685.660456292</v>
      </c>
      <c r="P133" s="291">
        <f>KMA!P133*FRO_TOT!P133</f>
        <v>10088154.714064509</v>
      </c>
      <c r="Q133" s="291">
        <f>KMA!Q133*FRO_TOT!Q133</f>
        <v>386196157.00111377</v>
      </c>
      <c r="R133" s="291">
        <f>KMA!R133*FRO_TOT!R133</f>
        <v>440036736</v>
      </c>
      <c r="S133" s="690">
        <f t="shared" si="44"/>
        <v>12567933508.494114</v>
      </c>
      <c r="U133" s="733">
        <f>(B133+C133+H133+I133+P133+Q133+R133)/(DEN!C125+DEN!F125+DEN!G125+DEN!L125)</f>
        <v>12562.718407814149</v>
      </c>
      <c r="V133" s="734">
        <f>SUM(D133:G133)/SUM(DEN!I125:J125)</f>
        <v>15798.141262664223</v>
      </c>
      <c r="W133" s="734">
        <f>SUM(J133:L133)/SUM(DEN!D125:E125)</f>
        <v>30041.0373764697</v>
      </c>
      <c r="X133" s="735">
        <f>SUM(M133:O133)/(DEN!H125+DEN!K125)</f>
        <v>73252.66659976996</v>
      </c>
      <c r="Z133" s="665">
        <f>V133*(DEN!I125+DEN!J125)</f>
        <v>5721786600.6529913</v>
      </c>
      <c r="AB133" s="733">
        <f t="shared" si="45"/>
        <v>5448664539.6819296</v>
      </c>
      <c r="AC133" s="734">
        <f t="shared" si="46"/>
        <v>5721786600.6529913</v>
      </c>
      <c r="AD133" s="734">
        <f t="shared" si="47"/>
        <v>766557150.73537731</v>
      </c>
      <c r="AE133" s="735">
        <f t="shared" si="48"/>
        <v>630925217.42381871</v>
      </c>
      <c r="AG133" s="944">
        <f t="shared" si="49"/>
        <v>0.43353702786535403</v>
      </c>
      <c r="AH133" s="944">
        <f t="shared" si="41"/>
        <v>0.45526868810897886</v>
      </c>
      <c r="AI133" s="944">
        <f t="shared" si="42"/>
        <v>6.0993094068909182E-2</v>
      </c>
      <c r="AJ133" s="944">
        <f t="shared" si="43"/>
        <v>5.0201189956758131E-2</v>
      </c>
      <c r="AL133" s="945">
        <f t="shared" ref="AL133:AL150" si="50">SUM(AG133:AJ133)</f>
        <v>1.0000000000000002</v>
      </c>
    </row>
    <row r="134" spans="1:38" ht="15.75" thickBot="1">
      <c r="A134" s="127" t="s">
        <v>26</v>
      </c>
      <c r="B134" s="291">
        <f>KMA!B134*FRO_TOT!B134</f>
        <v>8518432369.3092918</v>
      </c>
      <c r="C134" s="291">
        <f>KMA!C134*FRO_TOT!C134</f>
        <v>1245268527.2266486</v>
      </c>
      <c r="D134" s="291">
        <f>KMA!D134*FRO_TOT!D134</f>
        <v>464306517.71157438</v>
      </c>
      <c r="E134" s="291">
        <f>KMA!E134*FRO_TOT!E134</f>
        <v>10618982970.185858</v>
      </c>
      <c r="F134" s="291">
        <f>KMA!F134*FRO_TOT!F134</f>
        <v>148759450.30242303</v>
      </c>
      <c r="G134" s="291">
        <f>KMA!G134*FRO_TOT!G134</f>
        <v>44042167.963552013</v>
      </c>
      <c r="H134" s="291">
        <f>KMA!H134*FRO_TOT!H134</f>
        <v>1155662244.2919426</v>
      </c>
      <c r="I134" s="291">
        <f>KMA!I134*FRO_TOT!I134</f>
        <v>146329944.72071987</v>
      </c>
      <c r="J134" s="291">
        <f>KMA!J134*FRO_TOT!J134</f>
        <v>1150879404.7408059</v>
      </c>
      <c r="K134" s="291">
        <f>KMA!K134*FRO_TOT!K134</f>
        <v>1099714442.7517517</v>
      </c>
      <c r="L134" s="291">
        <f>KMA!L134*FRO_TOT!L134</f>
        <v>432659551.79640818</v>
      </c>
      <c r="M134" s="291">
        <f>KMA!M134*FRO_TOT!M134</f>
        <v>463490386.47467667</v>
      </c>
      <c r="N134" s="291">
        <f>KMA!N134*FRO_TOT!N134</f>
        <v>1411687090.2682705</v>
      </c>
      <c r="O134" s="291">
        <f>KMA!O134*FRO_TOT!O134</f>
        <v>209863777.63591895</v>
      </c>
      <c r="P134" s="291">
        <f>KMA!P134*FRO_TOT!P134</f>
        <v>22149710.403633188</v>
      </c>
      <c r="Q134" s="291">
        <f>KMA!Q134*FRO_TOT!Q134</f>
        <v>882471451.89084828</v>
      </c>
      <c r="R134" s="291">
        <f>KMA!R134*FRO_TOT!R134</f>
        <v>834052542.00000024</v>
      </c>
      <c r="S134" s="690">
        <f t="shared" si="44"/>
        <v>28848752549.67432</v>
      </c>
      <c r="U134" s="733">
        <f>(B134+C134+H134+I134+P134+Q134+R134)/(DEN!C126+DEN!F126+DEN!G126+DEN!L126)</f>
        <v>11087.625398839213</v>
      </c>
      <c r="V134" s="734">
        <f>SUM(D134:G134)/SUM(DEN!I126:J126)</f>
        <v>14309.524216178424</v>
      </c>
      <c r="W134" s="734">
        <f>SUM(J134:L134)/SUM(DEN!D126:E126)</f>
        <v>31192.641409046126</v>
      </c>
      <c r="X134" s="735">
        <f>SUM(M134:O134)/(DEN!H126+DEN!K126)</f>
        <v>71759.404404558984</v>
      </c>
      <c r="Z134" s="665">
        <f>V134*(DEN!I126+DEN!J126)</f>
        <v>11276091106.163408</v>
      </c>
      <c r="AB134" s="733">
        <f t="shared" si="45"/>
        <v>12804366789.843084</v>
      </c>
      <c r="AC134" s="734">
        <f t="shared" si="46"/>
        <v>11276091106.163408</v>
      </c>
      <c r="AD134" s="734">
        <f t="shared" si="47"/>
        <v>2683253399.2889657</v>
      </c>
      <c r="AE134" s="735">
        <f t="shared" si="48"/>
        <v>2085041254.378866</v>
      </c>
      <c r="AG134" s="944">
        <f t="shared" si="49"/>
        <v>0.4438447301246527</v>
      </c>
      <c r="AH134" s="944">
        <f t="shared" si="41"/>
        <v>0.39086927889679951</v>
      </c>
      <c r="AI134" s="944">
        <f t="shared" si="42"/>
        <v>9.3011071957745967E-2</v>
      </c>
      <c r="AJ134" s="944">
        <f t="shared" si="43"/>
        <v>7.2274919020801978E-2</v>
      </c>
      <c r="AL134" s="945">
        <f t="shared" si="50"/>
        <v>1.0000000000000002</v>
      </c>
    </row>
    <row r="135" spans="1:38" ht="15.75" thickBot="1">
      <c r="A135" s="127" t="s">
        <v>27</v>
      </c>
      <c r="B135" s="291">
        <f>KMA!B135*FRO_TOT!B135</f>
        <v>2372203491.3759637</v>
      </c>
      <c r="C135" s="291">
        <f>KMA!C135*FRO_TOT!C135</f>
        <v>339211873.05538267</v>
      </c>
      <c r="D135" s="291">
        <f>KMA!D135*FRO_TOT!D135</f>
        <v>419507764.45880663</v>
      </c>
      <c r="E135" s="291">
        <f>KMA!E135*FRO_TOT!E135</f>
        <v>5544930724.9229984</v>
      </c>
      <c r="F135" s="291">
        <f>KMA!F135*FRO_TOT!F135</f>
        <v>77678337.496408284</v>
      </c>
      <c r="G135" s="291">
        <f>KMA!G135*FRO_TOT!G135</f>
        <v>22998174.008680448</v>
      </c>
      <c r="H135" s="291">
        <f>KMA!H135*FRO_TOT!H135</f>
        <v>112281186.90143943</v>
      </c>
      <c r="I135" s="291">
        <f>KMA!I135*FRO_TOT!I135</f>
        <v>15056257.864233466</v>
      </c>
      <c r="J135" s="291">
        <f>KMA!J135*FRO_TOT!J135</f>
        <v>382757499.5493685</v>
      </c>
      <c r="K135" s="291">
        <f>KMA!K135*FRO_TOT!K135</f>
        <v>365729974.39386189</v>
      </c>
      <c r="L135" s="291">
        <f>KMA!L135*FRO_TOT!L135</f>
        <v>96739071.607316509</v>
      </c>
      <c r="M135" s="291">
        <f>KMA!M135*FRO_TOT!M135</f>
        <v>101797959.07795736</v>
      </c>
      <c r="N135" s="291">
        <f>KMA!N135*FRO_TOT!N135</f>
        <v>473385816.62034881</v>
      </c>
      <c r="O135" s="291">
        <f>KMA!O135*FRO_TOT!O135</f>
        <v>70391796.194182113</v>
      </c>
      <c r="P135" s="291">
        <f>KMA!P135*FRO_TOT!P135</f>
        <v>13973751.593587119</v>
      </c>
      <c r="Q135" s="291">
        <f>KMA!Q135*FRO_TOT!Q135</f>
        <v>580921570.95243168</v>
      </c>
      <c r="R135" s="291">
        <f>KMA!R135*FRO_TOT!R135</f>
        <v>0</v>
      </c>
      <c r="S135" s="690">
        <f t="shared" si="44"/>
        <v>10989565250.072968</v>
      </c>
      <c r="U135" s="733">
        <f>(B135+C135+H135+I135+P135+Q135+R135)/(DEN!C127+DEN!F127+DEN!G127+DEN!L127)</f>
        <v>12392.933541743048</v>
      </c>
      <c r="V135" s="734">
        <f>SUM(D135:G135)/SUM(DEN!I127:J127)</f>
        <v>15113.216153234625</v>
      </c>
      <c r="W135" s="734">
        <f>SUM(J135:L135)/SUM(DEN!D127:E127)</f>
        <v>40408.593275830513</v>
      </c>
      <c r="X135" s="735">
        <f>SUM(M135:O135)/(DEN!H127+DEN!K127)</f>
        <v>103540.58891619701</v>
      </c>
      <c r="Z135" s="665">
        <f>V135*(DEN!I127+DEN!J127)</f>
        <v>6065115000.8868942</v>
      </c>
      <c r="AB135" s="733">
        <f t="shared" si="45"/>
        <v>3433648131.7430377</v>
      </c>
      <c r="AC135" s="734">
        <f t="shared" si="46"/>
        <v>6065115000.8868942</v>
      </c>
      <c r="AD135" s="734">
        <f t="shared" si="47"/>
        <v>845226545.55054688</v>
      </c>
      <c r="AE135" s="735">
        <f t="shared" si="48"/>
        <v>645575571.89248836</v>
      </c>
      <c r="AG135" s="944">
        <f t="shared" si="49"/>
        <v>0.31244622090216345</v>
      </c>
      <c r="AH135" s="944">
        <f t="shared" si="41"/>
        <v>0.55189762860242575</v>
      </c>
      <c r="AI135" s="944">
        <f t="shared" si="42"/>
        <v>7.6911736389656982E-2</v>
      </c>
      <c r="AJ135" s="944">
        <f t="shared" si="43"/>
        <v>5.874441410575381E-2</v>
      </c>
      <c r="AL135" s="945">
        <f t="shared" si="50"/>
        <v>1</v>
      </c>
    </row>
    <row r="136" spans="1:38" ht="15.75" thickBot="1">
      <c r="A136" s="127" t="s">
        <v>28</v>
      </c>
      <c r="B136" s="291">
        <f>KMA!B136*FRO_TOT!B136</f>
        <v>3568693905.8513207</v>
      </c>
      <c r="C136" s="291">
        <f>KMA!C136*FRO_TOT!C136</f>
        <v>575919291.97381079</v>
      </c>
      <c r="D136" s="291">
        <f>KMA!D136*FRO_TOT!D136</f>
        <v>294440933.58014065</v>
      </c>
      <c r="E136" s="291">
        <f>KMA!E136*FRO_TOT!E136</f>
        <v>4832356869.7117548</v>
      </c>
      <c r="F136" s="291">
        <f>KMA!F136*FRO_TOT!F136</f>
        <v>67695067.821420521</v>
      </c>
      <c r="G136" s="291">
        <f>KMA!G136*FRO_TOT!G136</f>
        <v>20042997.254748274</v>
      </c>
      <c r="H136" s="291">
        <f>KMA!H136*FRO_TOT!H136</f>
        <v>325182664.78698796</v>
      </c>
      <c r="I136" s="291">
        <f>KMA!I136*FRO_TOT!I136</f>
        <v>41852569.171011165</v>
      </c>
      <c r="J136" s="291">
        <f>KMA!J136*FRO_TOT!J136</f>
        <v>404005135.75188875</v>
      </c>
      <c r="K136" s="291">
        <f>KMA!K136*FRO_TOT!K136</f>
        <v>386070917.2537936</v>
      </c>
      <c r="L136" s="291">
        <f>KMA!L136*FRO_TOT!L136</f>
        <v>112929980.8430196</v>
      </c>
      <c r="M136" s="291">
        <f>KMA!M136*FRO_TOT!M136</f>
        <v>150215422.50192168</v>
      </c>
      <c r="N136" s="291">
        <f>KMA!N136*FRO_TOT!N136</f>
        <v>492246104.50113869</v>
      </c>
      <c r="O136" s="291">
        <f>KMA!O136*FRO_TOT!O136</f>
        <v>73219985.115867332</v>
      </c>
      <c r="P136" s="291">
        <f>KMA!P136*FRO_TOT!P136</f>
        <v>11445103.575162485</v>
      </c>
      <c r="Q136" s="291">
        <f>KMA!Q136*FRO_TOT!Q136</f>
        <v>465259868.31025988</v>
      </c>
      <c r="R136" s="291">
        <f>KMA!R136*FRO_TOT!R136</f>
        <v>741496769.99999988</v>
      </c>
      <c r="S136" s="690">
        <f t="shared" si="44"/>
        <v>12563073588.004248</v>
      </c>
      <c r="U136" s="733">
        <f>(B136+C136+H136+I136+P136+Q136+R136)/(DEN!C128+DEN!F128+DEN!G128+DEN!L128)</f>
        <v>12468.1220595103</v>
      </c>
      <c r="V136" s="734">
        <f>SUM(D136:G136)/SUM(DEN!I128:J128)</f>
        <v>15421.279025395073</v>
      </c>
      <c r="W136" s="734">
        <f>SUM(J136:L136)/SUM(DEN!D128:E128)</f>
        <v>33726.97519416979</v>
      </c>
      <c r="X136" s="735">
        <f>SUM(M136:O136)/(DEN!H128+DEN!K128)</f>
        <v>80089.694731303462</v>
      </c>
      <c r="Z136" s="665">
        <f>V136*(DEN!I128+DEN!J128)</f>
        <v>5214535868.3680649</v>
      </c>
      <c r="AB136" s="733">
        <f t="shared" si="45"/>
        <v>5729850173.6685534</v>
      </c>
      <c r="AC136" s="734">
        <f t="shared" si="46"/>
        <v>5214535868.3680649</v>
      </c>
      <c r="AD136" s="734">
        <f t="shared" si="47"/>
        <v>903006033.84870195</v>
      </c>
      <c r="AE136" s="735">
        <f t="shared" si="48"/>
        <v>715681512.11892772</v>
      </c>
      <c r="AG136" s="944">
        <f t="shared" si="49"/>
        <v>0.45608665216604766</v>
      </c>
      <c r="AH136" s="944">
        <f t="shared" si="41"/>
        <v>0.41506848080131631</v>
      </c>
      <c r="AI136" s="944">
        <f t="shared" si="42"/>
        <v>7.1877795471239639E-2</v>
      </c>
      <c r="AJ136" s="944">
        <f t="shared" si="43"/>
        <v>5.6967071561396458E-2</v>
      </c>
      <c r="AL136" s="945">
        <f t="shared" si="50"/>
        <v>1</v>
      </c>
    </row>
    <row r="137" spans="1:38" ht="15.75" thickBot="1">
      <c r="A137" s="128" t="s">
        <v>29</v>
      </c>
      <c r="B137" s="291">
        <f>KMA!B137*FRO_TOT!B137</f>
        <v>2295582410.4471035</v>
      </c>
      <c r="C137" s="291">
        <f>KMA!C137*FRO_TOT!C137</f>
        <v>298185589.51356071</v>
      </c>
      <c r="D137" s="291">
        <f>KMA!D137*FRO_TOT!D137</f>
        <v>202947372.62995499</v>
      </c>
      <c r="E137" s="291">
        <f>KMA!E137*FRO_TOT!E137</f>
        <v>2697829388.1495156</v>
      </c>
      <c r="F137" s="291">
        <f>KMA!F137*FRO_TOT!F137</f>
        <v>37795012.130504817</v>
      </c>
      <c r="G137" s="291">
        <f>KMA!G137*FRO_TOT!G137</f>
        <v>11190144.411812905</v>
      </c>
      <c r="H137" s="291">
        <f>KMA!H137*FRO_TOT!H137</f>
        <v>152106454.00818962</v>
      </c>
      <c r="I137" s="291">
        <f>KMA!I137*FRO_TOT!I137</f>
        <v>16409827.631535459</v>
      </c>
      <c r="J137" s="291">
        <f>KMA!J137*FRO_TOT!J137</f>
        <v>247006874.81950316</v>
      </c>
      <c r="K137" s="291">
        <f>KMA!K137*FRO_TOT!K137</f>
        <v>236019605.21817759</v>
      </c>
      <c r="L137" s="291">
        <f>KMA!L137*FRO_TOT!L137</f>
        <v>67802030.5615035</v>
      </c>
      <c r="M137" s="291">
        <f>KMA!M137*FRO_TOT!M137</f>
        <v>93175379.693842977</v>
      </c>
      <c r="N137" s="291">
        <f>KMA!N137*FRO_TOT!N137</f>
        <v>411181609.22191876</v>
      </c>
      <c r="O137" s="291">
        <f>KMA!O137*FRO_TOT!O137</f>
        <v>61111208.46737124</v>
      </c>
      <c r="P137" s="291">
        <f>KMA!P137*FRO_TOT!P137</f>
        <v>4574584.9877461912</v>
      </c>
      <c r="Q137" s="291">
        <f>KMA!Q137*FRO_TOT!Q137</f>
        <v>155074979.29544395</v>
      </c>
      <c r="R137" s="291">
        <f>KMA!R137*FRO_TOT!R137</f>
        <v>431450238.00000006</v>
      </c>
      <c r="S137" s="690">
        <f t="shared" si="44"/>
        <v>7419442709.1876841</v>
      </c>
      <c r="U137" s="733">
        <f>(B137+C137+H137+I137+P137+Q137+R137)/(DEN!C129+DEN!F129+DEN!G129+DEN!L129)</f>
        <v>12390.067222672666</v>
      </c>
      <c r="V137" s="734">
        <f>SUM(D137:G137)/SUM(DEN!I129:J129)</f>
        <v>15226.620952085379</v>
      </c>
      <c r="W137" s="734">
        <f>SUM(J137:L137)/SUM(DEN!D129:E129)</f>
        <v>28615.95462617197</v>
      </c>
      <c r="X137" s="735">
        <f>SUM(M137:O137)/(DEN!H129+DEN!K129)</f>
        <v>72329.009642252873</v>
      </c>
      <c r="Z137" s="665">
        <f>V137*(DEN!I129+DEN!J129)</f>
        <v>2949761917.3217878</v>
      </c>
      <c r="AB137" s="733">
        <f t="shared" si="45"/>
        <v>3353384083.8835797</v>
      </c>
      <c r="AC137" s="734">
        <f t="shared" si="46"/>
        <v>2949761917.3217878</v>
      </c>
      <c r="AD137" s="734">
        <f t="shared" si="47"/>
        <v>550828510.59918427</v>
      </c>
      <c r="AE137" s="735">
        <f t="shared" si="48"/>
        <v>565468197.38313293</v>
      </c>
      <c r="AG137" s="944">
        <f t="shared" si="49"/>
        <v>0.45197250188764165</v>
      </c>
      <c r="AH137" s="944">
        <f t="shared" si="41"/>
        <v>0.39757189763983525</v>
      </c>
      <c r="AI137" s="944">
        <f t="shared" si="42"/>
        <v>7.42412243330728E-2</v>
      </c>
      <c r="AJ137" s="944">
        <f t="shared" si="43"/>
        <v>7.6214376139450382E-2</v>
      </c>
      <c r="AL137" s="945">
        <f t="shared" si="50"/>
        <v>1.0000000000000002</v>
      </c>
    </row>
    <row r="138" spans="1:38" ht="15.75" thickBot="1">
      <c r="A138" s="269" t="s">
        <v>64</v>
      </c>
      <c r="B138" s="291">
        <f>KMA!B138*FRO_TOT!B138</f>
        <v>135185542808.0166</v>
      </c>
      <c r="C138" s="291">
        <f>KMA!C138*FRO_TOT!C138</f>
        <v>19621219696.506107</v>
      </c>
      <c r="D138" s="291">
        <f>KMA!D138*FRO_TOT!D138</f>
        <v>6818014755.5765009</v>
      </c>
      <c r="E138" s="291">
        <f>KMA!E138*FRO_TOT!E138</f>
        <v>99155694985.201874</v>
      </c>
      <c r="F138" s="291">
        <f>KMA!F138*FRO_TOT!F138</f>
        <v>1389045218.3162453</v>
      </c>
      <c r="G138" s="291">
        <f>KMA!G138*FRO_TOT!G138</f>
        <v>411257658.10263687</v>
      </c>
      <c r="H138" s="291">
        <f>KMA!H138*FRO_TOT!H138</f>
        <v>48733861313.663086</v>
      </c>
      <c r="I138" s="291">
        <f>KMA!I138*FRO_TOT!I138</f>
        <v>5815807473.4149685</v>
      </c>
      <c r="J138" s="291">
        <f>KMA!J138*FRO_TOT!J138</f>
        <v>15549419020.012569</v>
      </c>
      <c r="K138" s="291">
        <f>KMA!K138*FRO_TOT!K138</f>
        <v>14857933696.187857</v>
      </c>
      <c r="L138" s="291">
        <f>KMA!L138*FRO_TOT!L138</f>
        <v>9755974627.0324554</v>
      </c>
      <c r="M138" s="291">
        <f>KMA!M138*FRO_TOT!M138</f>
        <v>5288613942.2643595</v>
      </c>
      <c r="N138" s="291">
        <f>KMA!N138*FRO_TOT!N138</f>
        <v>23237112580.506386</v>
      </c>
      <c r="O138" s="291">
        <f>KMA!O138*FRO_TOT!O138</f>
        <v>2783756629.6086669</v>
      </c>
      <c r="P138" s="291">
        <f>KMA!P138*FRO_TOT!P138</f>
        <v>282719757.92132652</v>
      </c>
      <c r="Q138" s="291">
        <f>KMA!Q138*FRO_TOT!Q138</f>
        <v>11010210418.842268</v>
      </c>
      <c r="R138" s="291">
        <f>KMA!R138*FRO_TOT!R138</f>
        <v>18601678398</v>
      </c>
      <c r="S138" s="690">
        <f t="shared" si="44"/>
        <v>418497862979.17395</v>
      </c>
      <c r="U138" s="733">
        <f>(B138+C138+H138+I138+P138+Q138+R138)/(DEN!C130+DEN!F130+DEN!G130+DEN!L130)</f>
        <v>8903.1308543687956</v>
      </c>
      <c r="V138" s="734">
        <f>SUM(D138:G138)/SUM(DEN!I130:J130)</f>
        <v>14064.885374498997</v>
      </c>
      <c r="W138" s="734">
        <f>SUM(J138:L138)/SUM(DEN!D130:E130)</f>
        <v>31185.782560262447</v>
      </c>
      <c r="X138" s="735">
        <f>SUM(M138:O138)/(DEN!H130+DEN!K130)</f>
        <v>73085.035766692206</v>
      </c>
      <c r="AB138" s="733">
        <f t="shared" si="45"/>
        <v>239251039866.36435</v>
      </c>
      <c r="AC138" s="734">
        <f t="shared" si="46"/>
        <v>107774012617.19725</v>
      </c>
      <c r="AD138" s="734">
        <f t="shared" si="47"/>
        <v>40163327343.23288</v>
      </c>
      <c r="AE138" s="735">
        <f t="shared" si="48"/>
        <v>31309483152.37941</v>
      </c>
      <c r="AG138" s="944">
        <f t="shared" si="49"/>
        <v>0.57168999182743829</v>
      </c>
      <c r="AH138" s="944">
        <f t="shared" si="41"/>
        <v>0.25752583740806462</v>
      </c>
      <c r="AI138" s="944">
        <f t="shared" si="42"/>
        <v>9.5970208921309502E-2</v>
      </c>
      <c r="AJ138" s="944">
        <f t="shared" si="43"/>
        <v>7.4813961843187449E-2</v>
      </c>
      <c r="AL138" s="945">
        <f t="shared" si="50"/>
        <v>0.99999999999999989</v>
      </c>
    </row>
    <row r="139" spans="1:38" ht="15.75" thickBot="1">
      <c r="A139" s="127" t="s">
        <v>31</v>
      </c>
      <c r="B139" s="291">
        <f>KMA!B139*FRO_TOT!B139</f>
        <v>5850290134.1092701</v>
      </c>
      <c r="C139" s="291">
        <f>KMA!C139*FRO_TOT!C139</f>
        <v>911309011.96834195</v>
      </c>
      <c r="D139" s="291">
        <f>KMA!D139*FRO_TOT!D139</f>
        <v>500153160.52858734</v>
      </c>
      <c r="E139" s="291">
        <f>KMA!E139*FRO_TOT!E139</f>
        <v>5124049396.5765648</v>
      </c>
      <c r="F139" s="291">
        <f>KMA!F139*FRO_TOT!F139</f>
        <v>71778966.280678943</v>
      </c>
      <c r="G139" s="291">
        <f>KMA!G139*FRO_TOT!G139</f>
        <v>21252241.2834232</v>
      </c>
      <c r="H139" s="291">
        <f>KMA!H139*FRO_TOT!H139</f>
        <v>332034708.88328803</v>
      </c>
      <c r="I139" s="291">
        <f>KMA!I139*FRO_TOT!I139</f>
        <v>45381872.9325139</v>
      </c>
      <c r="J139" s="291">
        <f>KMA!J139*FRO_TOT!J139</f>
        <v>527415279.05450749</v>
      </c>
      <c r="K139" s="291">
        <f>KMA!K139*FRO_TOT!K139</f>
        <v>503969622.68140101</v>
      </c>
      <c r="L139" s="291">
        <f>KMA!L139*FRO_TOT!L139</f>
        <v>434366356.88524371</v>
      </c>
      <c r="M139" s="291">
        <f>KMA!M139*FRO_TOT!M139</f>
        <v>196710531.718849</v>
      </c>
      <c r="N139" s="291">
        <f>KMA!N139*FRO_TOT!N139</f>
        <v>1117861462.636282</v>
      </c>
      <c r="O139" s="291">
        <f>KMA!O139*FRO_TOT!O139</f>
        <v>156901836.10953555</v>
      </c>
      <c r="P139" s="291">
        <f>KMA!P139*FRO_TOT!P139</f>
        <v>16968696.944171239</v>
      </c>
      <c r="Q139" s="291">
        <f>KMA!Q139*FRO_TOT!Q139</f>
        <v>721892593.66872919</v>
      </c>
      <c r="R139" s="291">
        <f>KMA!R139*FRO_TOT!R139</f>
        <v>509090832</v>
      </c>
      <c r="S139" s="690">
        <f t="shared" si="44"/>
        <v>17041426704.261389</v>
      </c>
      <c r="U139" s="733">
        <f>(B139+C139+H139+I139+P139+Q139+R139)/(DEN!C131+DEN!F131+DEN!G131+DEN!L131)</f>
        <v>9607.7804767895832</v>
      </c>
      <c r="V139" s="734">
        <f>SUM(D139:G139)/SUM(DEN!I131:J131)</f>
        <v>13890.367919759508</v>
      </c>
      <c r="W139" s="734">
        <f>SUM(J139:L139)/SUM(DEN!D131:E131)</f>
        <v>19599.011307060748</v>
      </c>
      <c r="X139" s="735">
        <f>SUM(M139:O139)/(DEN!H131+DEN!K131)</f>
        <v>76984.086557741262</v>
      </c>
      <c r="Z139" s="665">
        <f>V139*(DEN!I131+DEN!J131)</f>
        <v>5717233764.6692543</v>
      </c>
      <c r="AB139" s="733">
        <f t="shared" si="45"/>
        <v>8386967850.5063143</v>
      </c>
      <c r="AC139" s="734">
        <f t="shared" si="46"/>
        <v>5717233764.6692543</v>
      </c>
      <c r="AD139" s="734">
        <f t="shared" si="47"/>
        <v>1465751258.6211522</v>
      </c>
      <c r="AE139" s="735">
        <f t="shared" si="48"/>
        <v>1471473830.4646664</v>
      </c>
      <c r="AG139" s="944">
        <f t="shared" si="49"/>
        <v>0.49215174269470435</v>
      </c>
      <c r="AH139" s="944">
        <f t="shared" si="41"/>
        <v>0.33549032389639066</v>
      </c>
      <c r="AI139" s="944">
        <f t="shared" si="42"/>
        <v>8.6011064921848679E-2</v>
      </c>
      <c r="AJ139" s="944">
        <f t="shared" si="43"/>
        <v>8.6346868487056236E-2</v>
      </c>
      <c r="AL139" s="945">
        <f t="shared" si="50"/>
        <v>0.99999999999999989</v>
      </c>
    </row>
    <row r="140" spans="1:38" ht="15.75" thickBot="1">
      <c r="A140" s="127" t="s">
        <v>32</v>
      </c>
      <c r="B140" s="291">
        <f>KMA!B140*FRO_TOT!B140</f>
        <v>32504350942.038128</v>
      </c>
      <c r="C140" s="291">
        <f>KMA!C140*FRO_TOT!C140</f>
        <v>4661654248.4572458</v>
      </c>
      <c r="D140" s="291">
        <f>KMA!D140*FRO_TOT!D140</f>
        <v>1281848869.6585803</v>
      </c>
      <c r="E140" s="291">
        <f>KMA!E140*FRO_TOT!E140</f>
        <v>27681559012.124432</v>
      </c>
      <c r="F140" s="291">
        <f>KMA!F140*FRO_TOT!F140</f>
        <v>387781233.60238999</v>
      </c>
      <c r="G140" s="291">
        <f>KMA!G140*FRO_TOT!G140</f>
        <v>114811892.96473561</v>
      </c>
      <c r="H140" s="291">
        <f>KMA!H140*FRO_TOT!H140</f>
        <v>3703030261.1380038</v>
      </c>
      <c r="I140" s="291">
        <f>KMA!I140*FRO_TOT!I140</f>
        <v>474209499.50638056</v>
      </c>
      <c r="J140" s="291">
        <f>KMA!J140*FRO_TOT!J140</f>
        <v>5840174951.8455038</v>
      </c>
      <c r="K140" s="291">
        <f>KMA!K140*FRO_TOT!K140</f>
        <v>5580402778.4100504</v>
      </c>
      <c r="L140" s="291">
        <f>KMA!L140*FRO_TOT!L140</f>
        <v>3444849843.3237495</v>
      </c>
      <c r="M140" s="291">
        <f>KMA!M140*FRO_TOT!M140</f>
        <v>1021478110.9822788</v>
      </c>
      <c r="N140" s="291">
        <f>KMA!N140*FRO_TOT!N140</f>
        <v>6012140189.17272</v>
      </c>
      <c r="O140" s="291">
        <f>KMA!O140*FRO_TOT!O140</f>
        <v>663677755.37380147</v>
      </c>
      <c r="P140" s="291">
        <f>KMA!P140*FRO_TOT!P140</f>
        <v>77415466.671841532</v>
      </c>
      <c r="Q140" s="291">
        <f>KMA!Q140*FRO_TOT!Q140</f>
        <v>3138139907.0886078</v>
      </c>
      <c r="R140" s="291">
        <f>KMA!R140*FRO_TOT!R140</f>
        <v>573343080.00000012</v>
      </c>
      <c r="S140" s="690">
        <f t="shared" si="44"/>
        <v>97160868042.358429</v>
      </c>
      <c r="U140" s="733">
        <f>(B140+C140+H140+I140+P140+Q140+R140)/(DEN!C132+DEN!F132+DEN!G132+DEN!L132)</f>
        <v>8653.1690424332573</v>
      </c>
      <c r="V140" s="734">
        <f>SUM(D140:G140)/SUM(DEN!I132:J132)</f>
        <v>13845.653349486503</v>
      </c>
      <c r="W140" s="734">
        <f>SUM(J140:L140)/SUM(DEN!D132:E132)</f>
        <v>45243.215458580147</v>
      </c>
      <c r="X140" s="735">
        <f>SUM(M140:O140)/(DEN!H132+DEN!K132)</f>
        <v>79384.666730562487</v>
      </c>
      <c r="Z140" s="665">
        <f>V140*(DEN!I132+DEN!J132)</f>
        <v>29466001008.35014</v>
      </c>
      <c r="AB140" s="733">
        <f t="shared" si="45"/>
        <v>45132143404.900208</v>
      </c>
      <c r="AC140" s="734">
        <f t="shared" si="46"/>
        <v>29466001008.35014</v>
      </c>
      <c r="AD140" s="734">
        <f t="shared" si="47"/>
        <v>14865427573.579304</v>
      </c>
      <c r="AE140" s="735">
        <f t="shared" si="48"/>
        <v>7697296055.5288</v>
      </c>
      <c r="AG140" s="944">
        <f t="shared" si="49"/>
        <v>0.46450947088311639</v>
      </c>
      <c r="AH140" s="944">
        <f t="shared" si="41"/>
        <v>0.30327025274726949</v>
      </c>
      <c r="AI140" s="944">
        <f t="shared" si="42"/>
        <v>0.1529980935030196</v>
      </c>
      <c r="AJ140" s="944">
        <f t="shared" si="43"/>
        <v>7.9222182866594743E-2</v>
      </c>
      <c r="AL140" s="945">
        <f t="shared" si="50"/>
        <v>1.0000000000000002</v>
      </c>
    </row>
    <row r="141" spans="1:38" ht="15.75" thickBot="1">
      <c r="A141" s="127" t="s">
        <v>33</v>
      </c>
      <c r="B141" s="291">
        <f>KMA!B141*FRO_TOT!B141</f>
        <v>18882557274.403496</v>
      </c>
      <c r="C141" s="291">
        <f>KMA!C141*FRO_TOT!C141</f>
        <v>3160926903.6482539</v>
      </c>
      <c r="D141" s="291">
        <f>KMA!D141*FRO_TOT!D141</f>
        <v>906618664.30364704</v>
      </c>
      <c r="E141" s="291">
        <f>KMA!E141*FRO_TOT!E141</f>
        <v>11110907639.04184</v>
      </c>
      <c r="F141" s="291">
        <f>KMA!F141*FRO_TOT!F141</f>
        <v>155649825.41521966</v>
      </c>
      <c r="G141" s="291">
        <f>KMA!G141*FRO_TOT!G141</f>
        <v>46082343.203228898</v>
      </c>
      <c r="H141" s="291">
        <f>KMA!H141*FRO_TOT!H141</f>
        <v>3136575995.6764927</v>
      </c>
      <c r="I141" s="291">
        <f>KMA!I141*FRO_TOT!I141</f>
        <v>336214160.44928336</v>
      </c>
      <c r="J141" s="291">
        <f>KMA!J141*FRO_TOT!J141</f>
        <v>1398507619.7074084</v>
      </c>
      <c r="K141" s="291">
        <f>KMA!K141*FRO_TOT!K141</f>
        <v>1336331403.571835</v>
      </c>
      <c r="L141" s="291">
        <f>KMA!L141*FRO_TOT!L141</f>
        <v>477626675.27827358</v>
      </c>
      <c r="M141" s="291">
        <f>KMA!M141*FRO_TOT!M141</f>
        <v>1385217260.3021126</v>
      </c>
      <c r="N141" s="291">
        <f>KMA!N141*FRO_TOT!N141</f>
        <v>4051494679.7485399</v>
      </c>
      <c r="O141" s="291">
        <f>KMA!O141*FRO_TOT!O141</f>
        <v>620669862.89365661</v>
      </c>
      <c r="P141" s="291">
        <f>KMA!P141*FRO_TOT!P141</f>
        <v>30726821.98871002</v>
      </c>
      <c r="Q141" s="291">
        <f>KMA!Q141*FRO_TOT!Q141</f>
        <v>1047596537.4538982</v>
      </c>
      <c r="R141" s="291">
        <f>KMA!R141*FRO_TOT!R141</f>
        <v>13376990256.000002</v>
      </c>
      <c r="S141" s="690">
        <f t="shared" si="44"/>
        <v>61460693923.085884</v>
      </c>
      <c r="U141" s="733">
        <f>(B141+C141+H141+I141+P141+Q141+R141)/(DEN!C133+DEN!F133+DEN!G133+DEN!L133)</f>
        <v>10082.680738713088</v>
      </c>
      <c r="V141" s="734">
        <f>SUM(D141:G141)/SUM(DEN!I133:J133)</f>
        <v>15598.542267292434</v>
      </c>
      <c r="W141" s="734">
        <f>SUM(J141:L141)/SUM(DEN!D133:E133)</f>
        <v>23734.683658966944</v>
      </c>
      <c r="X141" s="735">
        <f>SUM(M141:O141)/(DEN!H133+DEN!K133)</f>
        <v>81612.775399742779</v>
      </c>
      <c r="Z141" s="665">
        <f>V141*(DEN!I133+DEN!J133)</f>
        <v>12219258471.963934</v>
      </c>
      <c r="AB141" s="733">
        <f t="shared" si="45"/>
        <v>39971587949.620132</v>
      </c>
      <c r="AC141" s="734">
        <f t="shared" si="46"/>
        <v>12219258471.963934</v>
      </c>
      <c r="AD141" s="734">
        <f t="shared" si="47"/>
        <v>3212465698.5575171</v>
      </c>
      <c r="AE141" s="735">
        <f t="shared" si="48"/>
        <v>6057381802.9443092</v>
      </c>
      <c r="AG141" s="944">
        <f t="shared" si="49"/>
        <v>0.65036017978648286</v>
      </c>
      <c r="AH141" s="944">
        <f t="shared" si="41"/>
        <v>0.19881419639120171</v>
      </c>
      <c r="AI141" s="944">
        <f t="shared" si="42"/>
        <v>5.2268620698908995E-2</v>
      </c>
      <c r="AJ141" s="944">
        <f t="shared" si="43"/>
        <v>9.8557003123406553E-2</v>
      </c>
      <c r="AL141" s="945">
        <f t="shared" si="50"/>
        <v>1.0000000000000002</v>
      </c>
    </row>
    <row r="142" spans="1:38" ht="15.75" thickBot="1">
      <c r="A142" s="128" t="s">
        <v>34</v>
      </c>
      <c r="B142" s="291">
        <f>KMA!B142*FRO_TOT!B142</f>
        <v>78011920390.504395</v>
      </c>
      <c r="C142" s="291">
        <f>KMA!C142*FRO_TOT!C142</f>
        <v>10949581722.564224</v>
      </c>
      <c r="D142" s="291">
        <f>KMA!D142*FRO_TOT!D142</f>
        <v>4142562953.1793075</v>
      </c>
      <c r="E142" s="291">
        <f>KMA!E142*FRO_TOT!E142</f>
        <v>54871288134.787926</v>
      </c>
      <c r="F142" s="291">
        <f>KMA!F142*FRO_TOT!F142</f>
        <v>768681529.20294142</v>
      </c>
      <c r="G142" s="291">
        <f>KMA!G142*FRO_TOT!G142</f>
        <v>227585170.16716778</v>
      </c>
      <c r="H142" s="291">
        <f>KMA!H142*FRO_TOT!H142</f>
        <v>41565035236.385353</v>
      </c>
      <c r="I142" s="291">
        <f>KMA!I142*FRO_TOT!I142</f>
        <v>4957345826.1904068</v>
      </c>
      <c r="J142" s="291">
        <f>KMA!J142*FRO_TOT!J142</f>
        <v>7812667516.882205</v>
      </c>
      <c r="K142" s="291">
        <f>KMA!K142*FRO_TOT!K142</f>
        <v>7465267347.4333086</v>
      </c>
      <c r="L142" s="291">
        <f>KMA!L142*FRO_TOT!L142</f>
        <v>5346559018.8427591</v>
      </c>
      <c r="M142" s="291">
        <f>KMA!M142*FRO_TOT!M142</f>
        <v>2712687865.0897651</v>
      </c>
      <c r="N142" s="291">
        <f>KMA!N142*FRO_TOT!N142</f>
        <v>12070220463.637833</v>
      </c>
      <c r="O142" s="291">
        <f>KMA!O142*FRO_TOT!O142</f>
        <v>1354528719.6548951</v>
      </c>
      <c r="P142" s="291">
        <f>KMA!P142*FRO_TOT!P142</f>
        <v>155885339.96469492</v>
      </c>
      <c r="Q142" s="291">
        <f>KMA!Q142*FRO_TOT!Q142</f>
        <v>6027726287.1863279</v>
      </c>
      <c r="R142" s="291">
        <f>KMA!R142*FRO_TOT!R142</f>
        <v>4142254229.9999995</v>
      </c>
      <c r="S142" s="690">
        <f t="shared" si="44"/>
        <v>242581797751.67355</v>
      </c>
      <c r="U142" s="733">
        <f>(B142+C142+H142+I142+P142+Q142+R142)/(DEN!C134+DEN!F134+DEN!G134+DEN!L134)</f>
        <v>8668.9904329279871</v>
      </c>
      <c r="V142" s="734">
        <f>SUM(D142:G142)/SUM(DEN!I134:J134)</f>
        <v>13828.818821014818</v>
      </c>
      <c r="W142" s="734">
        <f>SUM(J142:L142)/SUM(DEN!D134:E134)</f>
        <v>27529.791480115691</v>
      </c>
      <c r="X142" s="735">
        <f>SUM(M142:O142)/(DEN!H134+DEN!K134)</f>
        <v>67775.595433796974</v>
      </c>
      <c r="Z142" s="665">
        <f>V142*(DEN!I134+DEN!J134)</f>
        <v>60010117787.337341</v>
      </c>
      <c r="AB142" s="733">
        <f t="shared" si="45"/>
        <v>145809749032.79541</v>
      </c>
      <c r="AC142" s="734">
        <f t="shared" si="46"/>
        <v>60010117787.337341</v>
      </c>
      <c r="AD142" s="734">
        <f t="shared" si="47"/>
        <v>20624493883.158272</v>
      </c>
      <c r="AE142" s="735">
        <f t="shared" si="48"/>
        <v>16137437048.382494</v>
      </c>
      <c r="AG142" s="944">
        <f t="shared" si="49"/>
        <v>0.60107456694693195</v>
      </c>
      <c r="AH142" s="944">
        <f t="shared" si="41"/>
        <v>0.24738095909722202</v>
      </c>
      <c r="AI142" s="944">
        <f t="shared" si="42"/>
        <v>8.5020780925497058E-2</v>
      </c>
      <c r="AJ142" s="944">
        <f t="shared" si="43"/>
        <v>6.6523693030348829E-2</v>
      </c>
      <c r="AL142" s="945">
        <f t="shared" si="50"/>
        <v>0.99999999999999978</v>
      </c>
    </row>
    <row r="143" spans="1:38" ht="15.75" thickBot="1">
      <c r="A143" s="269" t="s">
        <v>69</v>
      </c>
      <c r="B143" s="291">
        <f>KMA!B143*FRO_TOT!B143</f>
        <v>63394754262.729034</v>
      </c>
      <c r="C143" s="291">
        <f>KMA!C143*FRO_TOT!C143</f>
        <v>8061074801.9342489</v>
      </c>
      <c r="D143" s="291">
        <f>KMA!D143*FRO_TOT!D143</f>
        <v>3944493948.132381</v>
      </c>
      <c r="E143" s="291">
        <f>KMA!E143*FRO_TOT!E143</f>
        <v>38097625937.984612</v>
      </c>
      <c r="F143" s="291">
        <f>KMA!F143*FRO_TOT!F143</f>
        <v>533699547.41355634</v>
      </c>
      <c r="G143" s="291">
        <f>KMA!G143*FRO_TOT!G143</f>
        <v>158017128.17022133</v>
      </c>
      <c r="H143" s="291">
        <f>KMA!H143*FRO_TOT!H143</f>
        <v>7318664711.3362398</v>
      </c>
      <c r="I143" s="291">
        <f>KMA!I143*FRO_TOT!I143</f>
        <v>851570165.2628547</v>
      </c>
      <c r="J143" s="291">
        <f>KMA!J143*FRO_TOT!J143</f>
        <v>7429527772.075654</v>
      </c>
      <c r="K143" s="291">
        <f>KMA!K143*FRO_TOT!K143</f>
        <v>7099268316.1319942</v>
      </c>
      <c r="L143" s="291">
        <f>KMA!L143*FRO_TOT!L143</f>
        <v>6751327533.5929537</v>
      </c>
      <c r="M143" s="291">
        <f>KMA!M143*FRO_TOT!M143</f>
        <v>1201815915.3664064</v>
      </c>
      <c r="N143" s="291">
        <f>KMA!N143*FRO_TOT!N143</f>
        <v>7166286081.0634174</v>
      </c>
      <c r="O143" s="291">
        <f>KMA!O143*FRO_TOT!O143</f>
        <v>846821052.52430105</v>
      </c>
      <c r="P143" s="291">
        <f>KMA!P143*FRO_TOT!P143</f>
        <v>160768234.97482085</v>
      </c>
      <c r="Q143" s="291">
        <f>KMA!Q143*FRO_TOT!Q143</f>
        <v>5736462409.2969885</v>
      </c>
      <c r="R143" s="291">
        <f>KMA!R143*FRO_TOT!R143</f>
        <v>3317327075.9999995</v>
      </c>
      <c r="S143" s="690">
        <f t="shared" si="44"/>
        <v>162069504893.98965</v>
      </c>
      <c r="U143" s="733">
        <f>(B143+C143+H143+I143+P143+Q143+R143)/(DEN!C135+DEN!F135+DEN!G135+DEN!L135)</f>
        <v>8567.7527302079616</v>
      </c>
      <c r="V143" s="734">
        <f>SUM(D143:G143)/SUM(DEN!I135:J135)</f>
        <v>13549.410024744007</v>
      </c>
      <c r="W143" s="734">
        <f>SUM(J143:L143)/SUM(DEN!D135:E135)</f>
        <v>29919.204026978587</v>
      </c>
      <c r="X143" s="735">
        <f>SUM(M143:O143)/(DEN!H135+DEN!K135)</f>
        <v>71399.196114690028</v>
      </c>
      <c r="AB143" s="733">
        <f t="shared" si="45"/>
        <v>88840621661.53418</v>
      </c>
      <c r="AC143" s="734">
        <f t="shared" si="46"/>
        <v>42733836561.700768</v>
      </c>
      <c r="AD143" s="734">
        <f t="shared" si="47"/>
        <v>21280123621.800602</v>
      </c>
      <c r="AE143" s="735">
        <f t="shared" si="48"/>
        <v>9214923048.9541245</v>
      </c>
      <c r="AG143" s="944">
        <f t="shared" si="49"/>
        <v>0.54816371358476845</v>
      </c>
      <c r="AH143" s="944">
        <f t="shared" si="41"/>
        <v>0.26367598635939038</v>
      </c>
      <c r="AI143" s="944">
        <f t="shared" si="42"/>
        <v>0.13130245344872263</v>
      </c>
      <c r="AJ143" s="944">
        <f t="shared" si="43"/>
        <v>5.6857846607118623E-2</v>
      </c>
      <c r="AL143" s="945">
        <f t="shared" si="50"/>
        <v>1</v>
      </c>
    </row>
    <row r="144" spans="1:38" ht="15.75" thickBot="1">
      <c r="A144" s="127" t="s">
        <v>36</v>
      </c>
      <c r="B144" s="291">
        <f>KMA!B144*FRO_TOT!B144</f>
        <v>21414361110.092762</v>
      </c>
      <c r="C144" s="291">
        <f>KMA!C144*FRO_TOT!C144</f>
        <v>2875635743.9399896</v>
      </c>
      <c r="D144" s="291">
        <f>KMA!D144*FRO_TOT!D144</f>
        <v>1482913659.5004935</v>
      </c>
      <c r="E144" s="291">
        <f>KMA!E144*FRO_TOT!E144</f>
        <v>13530781894.986767</v>
      </c>
      <c r="F144" s="291">
        <f>KMA!F144*FRO_TOT!F144</f>
        <v>189550852.67411268</v>
      </c>
      <c r="G144" s="291">
        <f>KMA!G144*FRO_TOT!G144</f>
        <v>56122065.990862265</v>
      </c>
      <c r="H144" s="291">
        <f>KMA!H144*FRO_TOT!H144</f>
        <v>5812775684.9109831</v>
      </c>
      <c r="I144" s="291">
        <f>KMA!I144*FRO_TOT!I144</f>
        <v>683338276.25986648</v>
      </c>
      <c r="J144" s="291">
        <f>KMA!J144*FRO_TOT!J144</f>
        <v>3134377153.6967063</v>
      </c>
      <c r="K144" s="291">
        <f>KMA!K144*FRO_TOT!K144</f>
        <v>2995061482.618556</v>
      </c>
      <c r="L144" s="291">
        <f>KMA!L144*FRO_TOT!L144</f>
        <v>3111369688.6188831</v>
      </c>
      <c r="M144" s="291">
        <f>KMA!M144*FRO_TOT!M144</f>
        <v>475403580.03755224</v>
      </c>
      <c r="N144" s="291">
        <f>KMA!N144*FRO_TOT!N144</f>
        <v>2972613033.5467691</v>
      </c>
      <c r="O144" s="291">
        <f>KMA!O144*FRO_TOT!O144</f>
        <v>351253546.6597212</v>
      </c>
      <c r="P144" s="291">
        <f>KMA!P144*FRO_TOT!P144</f>
        <v>64667621.015998855</v>
      </c>
      <c r="Q144" s="291">
        <f>KMA!Q144*FRO_TOT!Q144</f>
        <v>2448402582.4215026</v>
      </c>
      <c r="R144" s="291">
        <f>KMA!R144*FRO_TOT!R144</f>
        <v>456318666.00000012</v>
      </c>
      <c r="S144" s="690">
        <f t="shared" si="44"/>
        <v>62054946642.971512</v>
      </c>
      <c r="U144" s="733">
        <f>(B144+C144+H144+I144+P144+Q144+R144)/(DEN!C136+DEN!F136+DEN!G136+DEN!L136)</f>
        <v>8411.3802220594189</v>
      </c>
      <c r="V144" s="734">
        <f>SUM(D144:G144)/SUM(DEN!I136:J136)</f>
        <v>12952.337054089056</v>
      </c>
      <c r="W144" s="734">
        <f>SUM(J144:L144)/SUM(DEN!D136:E136)</f>
        <v>30714.033240492929</v>
      </c>
      <c r="X144" s="735">
        <f>SUM(M144:O144)/(DEN!H136+DEN!K136)</f>
        <v>73354.896612361568</v>
      </c>
      <c r="Z144" s="665">
        <f>V144*(DEN!I136+DEN!J136)</f>
        <v>15259368473.152235</v>
      </c>
      <c r="AB144" s="733">
        <f t="shared" si="45"/>
        <v>33755499684.641102</v>
      </c>
      <c r="AC144" s="734">
        <f t="shared" si="46"/>
        <v>15259368473.152235</v>
      </c>
      <c r="AD144" s="734">
        <f t="shared" si="47"/>
        <v>9240808324.934145</v>
      </c>
      <c r="AE144" s="735">
        <f t="shared" si="48"/>
        <v>3799270160.2440429</v>
      </c>
      <c r="AG144" s="944">
        <f t="shared" si="49"/>
        <v>0.54396146497153308</v>
      </c>
      <c r="AH144" s="944">
        <f t="shared" si="41"/>
        <v>0.24590092004986916</v>
      </c>
      <c r="AI144" s="944">
        <f t="shared" si="42"/>
        <v>0.14891332318921235</v>
      </c>
      <c r="AJ144" s="944">
        <f t="shared" si="43"/>
        <v>6.1224291789385613E-2</v>
      </c>
      <c r="AL144" s="945">
        <f t="shared" si="50"/>
        <v>1.0000000000000002</v>
      </c>
    </row>
    <row r="145" spans="1:38" ht="15.75" thickBot="1">
      <c r="A145" s="127" t="s">
        <v>37</v>
      </c>
      <c r="B145" s="291">
        <f>KMA!B145*FRO_TOT!B145</f>
        <v>24883582199.898117</v>
      </c>
      <c r="C145" s="291">
        <f>KMA!C145*FRO_TOT!C145</f>
        <v>2967894539.3393998</v>
      </c>
      <c r="D145" s="291">
        <f>KMA!D145*FRO_TOT!D145</f>
        <v>1004185449.767074</v>
      </c>
      <c r="E145" s="291">
        <f>KMA!E145*FRO_TOT!E145</f>
        <v>13349829888.03512</v>
      </c>
      <c r="F145" s="291">
        <f>KMA!F145*FRO_TOT!F145</f>
        <v>187012809.73546797</v>
      </c>
      <c r="G145" s="291">
        <f>KMA!G145*FRO_TOT!G145</f>
        <v>55369757.733704038</v>
      </c>
      <c r="H145" s="291">
        <f>KMA!H145*FRO_TOT!H145</f>
        <v>830936381.66878486</v>
      </c>
      <c r="I145" s="291">
        <f>KMA!I145*FRO_TOT!I145</f>
        <v>88334869.955430627</v>
      </c>
      <c r="J145" s="291">
        <f>KMA!J145*FRO_TOT!J145</f>
        <v>2532330470.8664713</v>
      </c>
      <c r="K145" s="291">
        <f>KMA!K145*FRO_TOT!K145</f>
        <v>2419758608.3240995</v>
      </c>
      <c r="L145" s="291">
        <f>KMA!L145*FRO_TOT!L145</f>
        <v>1902682903.1557591</v>
      </c>
      <c r="M145" s="291">
        <f>KMA!M145*FRO_TOT!M145</f>
        <v>457104845.44333261</v>
      </c>
      <c r="N145" s="291">
        <f>KMA!N145*FRO_TOT!N145</f>
        <v>2806295441.261199</v>
      </c>
      <c r="O145" s="291">
        <f>KMA!O145*FRO_TOT!O145</f>
        <v>331641285.38320911</v>
      </c>
      <c r="P145" s="291">
        <f>KMA!P145*FRO_TOT!P145</f>
        <v>57127897.13168782</v>
      </c>
      <c r="Q145" s="291">
        <f>KMA!Q145*FRO_TOT!Q145</f>
        <v>1907827767.6268716</v>
      </c>
      <c r="R145" s="291">
        <f>KMA!R145*FRO_TOT!R145</f>
        <v>1113752460.0000002</v>
      </c>
      <c r="S145" s="690">
        <f t="shared" si="44"/>
        <v>56895667575.325722</v>
      </c>
      <c r="U145" s="733">
        <f>(B145+C145+H145+I145+P145+Q145+R145)/(DEN!C137+DEN!F137+DEN!G137+DEN!L137)</f>
        <v>8411.9379496390447</v>
      </c>
      <c r="V145" s="734">
        <f>SUM(D145:G145)/SUM(DEN!I137:J137)</f>
        <v>13907.75539679887</v>
      </c>
      <c r="W145" s="734">
        <f>SUM(J145:L145)/SUM(DEN!D137:E137)</f>
        <v>28723.237819334376</v>
      </c>
      <c r="X145" s="735">
        <f>SUM(M145:O145)/(DEN!H137+DEN!K137)</f>
        <v>70225.256814168752</v>
      </c>
      <c r="Z145" s="665">
        <f>V145*(DEN!I137+DEN!J137)</f>
        <v>14596397905.271366</v>
      </c>
      <c r="AB145" s="733">
        <f t="shared" si="45"/>
        <v>31849456115.620293</v>
      </c>
      <c r="AC145" s="734">
        <f t="shared" si="46"/>
        <v>14596397905.271366</v>
      </c>
      <c r="AD145" s="734">
        <f t="shared" si="47"/>
        <v>6854771982.3463297</v>
      </c>
      <c r="AE145" s="735">
        <f t="shared" si="48"/>
        <v>3595041572.0877409</v>
      </c>
      <c r="AG145" s="944">
        <f t="shared" si="49"/>
        <v>0.55978701846593026</v>
      </c>
      <c r="AH145" s="944">
        <f t="shared" si="41"/>
        <v>0.25654673769222935</v>
      </c>
      <c r="AI145" s="944">
        <f t="shared" si="42"/>
        <v>0.12047968280310817</v>
      </c>
      <c r="AJ145" s="944">
        <f t="shared" si="43"/>
        <v>6.3186561038732297E-2</v>
      </c>
      <c r="AL145" s="945">
        <f t="shared" si="50"/>
        <v>1</v>
      </c>
    </row>
    <row r="146" spans="1:38" ht="15.75" thickBot="1">
      <c r="A146" s="128" t="s">
        <v>38</v>
      </c>
      <c r="B146" s="291">
        <f>KMA!B146*FRO_TOT!B146</f>
        <v>17091055662.097269</v>
      </c>
      <c r="C146" s="291">
        <f>KMA!C146*FRO_TOT!C146</f>
        <v>2212713591.7505617</v>
      </c>
      <c r="D146" s="291">
        <f>KMA!D146*FRO_TOT!D146</f>
        <v>1471922841.4993975</v>
      </c>
      <c r="E146" s="291">
        <f>KMA!E146*FRO_TOT!E146</f>
        <v>11236470267.357485</v>
      </c>
      <c r="F146" s="291">
        <f>KMA!F146*FRO_TOT!F146</f>
        <v>157408352.20784998</v>
      </c>
      <c r="G146" s="291">
        <f>KMA!G146*FRO_TOT!G146</f>
        <v>46606010.744692162</v>
      </c>
      <c r="H146" s="291">
        <f>KMA!H146*FRO_TOT!H146</f>
        <v>677642766.79062045</v>
      </c>
      <c r="I146" s="291">
        <f>KMA!I146*FRO_TOT!I146</f>
        <v>77358633.635666907</v>
      </c>
      <c r="J146" s="291">
        <f>KMA!J146*FRO_TOT!J146</f>
        <v>1762426577.4982142</v>
      </c>
      <c r="K146" s="291">
        <f>KMA!K146*FRO_TOT!K146</f>
        <v>1684072465.8885782</v>
      </c>
      <c r="L146" s="291">
        <f>KMA!L146*FRO_TOT!L146</f>
        <v>1750876310.7073407</v>
      </c>
      <c r="M146" s="291">
        <f>KMA!M146*FRO_TOT!M146</f>
        <v>267576872.08964041</v>
      </c>
      <c r="N146" s="291">
        <f>KMA!N146*FRO_TOT!N146</f>
        <v>1377052505.4930773</v>
      </c>
      <c r="O146" s="291">
        <f>KMA!O146*FRO_TOT!O146</f>
        <v>162705221.81542173</v>
      </c>
      <c r="P146" s="291">
        <f>KMA!P146*FRO_TOT!P146</f>
        <v>38858680.700295478</v>
      </c>
      <c r="Q146" s="291">
        <f>KMA!Q146*FRO_TOT!Q146</f>
        <v>1381545033.3845651</v>
      </c>
      <c r="R146" s="291">
        <f>KMA!R146*FRO_TOT!R146</f>
        <v>1747255950</v>
      </c>
      <c r="S146" s="690">
        <f t="shared" si="44"/>
        <v>43143547743.660683</v>
      </c>
      <c r="U146" s="733">
        <f>(B146+C146+H146+I146+P146+Q146+R146)/(DEN!C138+DEN!F138+DEN!G138+DEN!L138)</f>
        <v>9037.9083611979404</v>
      </c>
      <c r="V146" s="734">
        <f>SUM(D146:G146)/SUM(DEN!I138:J138)</f>
        <v>13939.858696924975</v>
      </c>
      <c r="W146" s="734">
        <f>SUM(J146:L146)/SUM(DEN!D138:E138)</f>
        <v>30263.397466455492</v>
      </c>
      <c r="X146" s="735">
        <f>SUM(M146:O146)/(DEN!H138+DEN!K138)</f>
        <v>69310.269956977281</v>
      </c>
      <c r="Z146" s="665">
        <f>V146*(DEN!I138+DEN!J138)</f>
        <v>12912407471.809423</v>
      </c>
      <c r="AB146" s="733">
        <f t="shared" si="45"/>
        <v>23226430318.358974</v>
      </c>
      <c r="AC146" s="734">
        <f t="shared" si="46"/>
        <v>12912407471.809423</v>
      </c>
      <c r="AD146" s="734">
        <f t="shared" si="47"/>
        <v>5197375354.0941334</v>
      </c>
      <c r="AE146" s="735">
        <f t="shared" si="48"/>
        <v>1807334599.3981395</v>
      </c>
      <c r="AG146" s="944">
        <f t="shared" si="49"/>
        <v>0.53835235007468207</v>
      </c>
      <c r="AH146" s="944">
        <f t="shared" si="41"/>
        <v>0.29928942210615295</v>
      </c>
      <c r="AI146" s="944">
        <f t="shared" si="42"/>
        <v>0.12046703680871521</v>
      </c>
      <c r="AJ146" s="944">
        <f t="shared" si="43"/>
        <v>4.1891191010449552E-2</v>
      </c>
      <c r="AL146" s="945">
        <f t="shared" si="50"/>
        <v>0.99999999999999978</v>
      </c>
    </row>
    <row r="147" spans="1:38" ht="15.75" thickBot="1">
      <c r="A147" s="274" t="s">
        <v>73</v>
      </c>
      <c r="B147" s="291">
        <f>KMA!B147*FRO_TOT!B147</f>
        <v>27198639547.696526</v>
      </c>
      <c r="C147" s="291">
        <f>KMA!C147*FRO_TOT!C147</f>
        <v>3882306628.9808769</v>
      </c>
      <c r="D147" s="291">
        <f>KMA!D147*FRO_TOT!D147</f>
        <v>2809665080.5257444</v>
      </c>
      <c r="E147" s="291">
        <f>KMA!E147*FRO_TOT!E147</f>
        <v>22833371070.589573</v>
      </c>
      <c r="F147" s="291">
        <f>KMA!F147*FRO_TOT!F147</f>
        <v>319868359.91360706</v>
      </c>
      <c r="G147" s="291">
        <f>KMA!G147*FRO_TOT!G147</f>
        <v>94703730.339929223</v>
      </c>
      <c r="H147" s="291">
        <f>KMA!H147*FRO_TOT!H147</f>
        <v>8441277599.580534</v>
      </c>
      <c r="I147" s="291">
        <f>KMA!I147*FRO_TOT!I147</f>
        <v>1193014240.0585258</v>
      </c>
      <c r="J147" s="291">
        <f>KMA!J147*FRO_TOT!J147</f>
        <v>5590453606.0417042</v>
      </c>
      <c r="K147" s="291">
        <f>KMA!K147*FRO_TOT!K147</f>
        <v>5341850232.2228489</v>
      </c>
      <c r="L147" s="291">
        <f>KMA!L147*FRO_TOT!L147</f>
        <v>4777628223.4922209</v>
      </c>
      <c r="M147" s="291">
        <f>KMA!M147*FRO_TOT!M147</f>
        <v>424592526.77203554</v>
      </c>
      <c r="N147" s="291">
        <f>KMA!N147*FRO_TOT!N147</f>
        <v>3722858724.8929524</v>
      </c>
      <c r="O147" s="291">
        <f>KMA!O147*FRO_TOT!O147</f>
        <v>388267817.17540991</v>
      </c>
      <c r="P147" s="291">
        <f>KMA!P147*FRO_TOT!P147</f>
        <v>99155466.336846516</v>
      </c>
      <c r="Q147" s="291">
        <f>KMA!Q147*FRO_TOT!Q147</f>
        <v>4310739841.9548244</v>
      </c>
      <c r="R147" s="291">
        <f>KMA!R147*FRO_TOT!R147</f>
        <v>191160360</v>
      </c>
      <c r="S147" s="690">
        <f t="shared" si="44"/>
        <v>91619553056.574173</v>
      </c>
      <c r="U147" s="733">
        <f>(B147+C147+H147+I147+P147+Q147+R147)/(DEN!C139+DEN!F139+DEN!G139+DEN!L139)</f>
        <v>11101.680475394644</v>
      </c>
      <c r="V147" s="734">
        <f>SUM(D147:G147)/SUM(DEN!I139:J139)</f>
        <v>13209.336117400946</v>
      </c>
      <c r="W147" s="734">
        <f>SUM(J147:L147)/SUM(DEN!D139:E139)</f>
        <v>59174.239175537601</v>
      </c>
      <c r="X147" s="735">
        <f>SUM(M147:O147)/(DEN!H139+DEN!K139)</f>
        <v>77798.306527167588</v>
      </c>
      <c r="AB147" s="733">
        <f t="shared" si="45"/>
        <v>45316293684.608131</v>
      </c>
      <c r="AC147" s="734">
        <f t="shared" si="46"/>
        <v>26057608241.368855</v>
      </c>
      <c r="AD147" s="734">
        <f t="shared" si="47"/>
        <v>15709932061.756775</v>
      </c>
      <c r="AE147" s="735">
        <f t="shared" si="48"/>
        <v>4535719068.8403978</v>
      </c>
      <c r="AG147" s="944">
        <f t="shared" si="49"/>
        <v>0.49461378246001447</v>
      </c>
      <c r="AH147" s="944">
        <f t="shared" si="41"/>
        <v>0.28441099494644489</v>
      </c>
      <c r="AI147" s="944">
        <f t="shared" si="42"/>
        <v>0.17146920649193786</v>
      </c>
      <c r="AJ147" s="944">
        <f t="shared" si="43"/>
        <v>4.9506016101602636E-2</v>
      </c>
      <c r="AL147" s="945">
        <f t="shared" si="50"/>
        <v>0.99999999999999989</v>
      </c>
    </row>
    <row r="148" spans="1:38" ht="15.75" thickBot="1">
      <c r="A148" s="127" t="s">
        <v>40</v>
      </c>
      <c r="B148" s="291">
        <f>KMA!B148*FRO_TOT!B148</f>
        <v>9657899894.4300518</v>
      </c>
      <c r="C148" s="291">
        <f>KMA!C148*FRO_TOT!C148</f>
        <v>1136019177.9919586</v>
      </c>
      <c r="D148" s="291">
        <f>KMA!D148*FRO_TOT!D148</f>
        <v>85925033.845183834</v>
      </c>
      <c r="E148" s="291">
        <f>KMA!E148*FRO_TOT!E148</f>
        <v>2056029779.2483654</v>
      </c>
      <c r="F148" s="291">
        <f>KMA!F148*FRO_TOT!F148</f>
        <v>28801601.370088398</v>
      </c>
      <c r="G148" s="291">
        <f>KMA!G148*FRO_TOT!G148</f>
        <v>8528309.2258509174</v>
      </c>
      <c r="H148" s="291">
        <f>KMA!H148*FRO_TOT!H148</f>
        <v>418371007.29915857</v>
      </c>
      <c r="I148" s="291">
        <f>KMA!I148*FRO_TOT!I148</f>
        <v>45408845.193147093</v>
      </c>
      <c r="J148" s="291">
        <f>KMA!J148*FRO_TOT!J148</f>
        <v>472426506.57702512</v>
      </c>
      <c r="K148" s="291">
        <f>KMA!K148*FRO_TOT!K148</f>
        <v>451411672.3189438</v>
      </c>
      <c r="L148" s="291">
        <f>KMA!L148*FRO_TOT!L148</f>
        <v>197124198.10422912</v>
      </c>
      <c r="M148" s="291">
        <f>KMA!M148*FRO_TOT!M148</f>
        <v>103647983.16500753</v>
      </c>
      <c r="N148" s="291">
        <f>KMA!N148*FRO_TOT!N148</f>
        <v>663400526.59755087</v>
      </c>
      <c r="O148" s="291">
        <f>KMA!O148*FRO_TOT!O148</f>
        <v>69180157.546081319</v>
      </c>
      <c r="P148" s="291">
        <f>KMA!P148*FRO_TOT!P148</f>
        <v>13547972.316061843</v>
      </c>
      <c r="Q148" s="291">
        <f>KMA!Q148*FRO_TOT!Q148</f>
        <v>457755607.47169286</v>
      </c>
      <c r="R148" s="291">
        <f>KMA!R148*FRO_TOT!R148</f>
        <v>45203555.999999985</v>
      </c>
      <c r="S148" s="690">
        <f t="shared" si="44"/>
        <v>15910681828.700396</v>
      </c>
      <c r="U148" s="733">
        <f>(B148+C148+H148+I148+P148+Q148+R148)/(DEN!C140+DEN!F140+DEN!G140+DEN!L140)</f>
        <v>10126.87709116014</v>
      </c>
      <c r="V148" s="734">
        <f>SUM(D148:G148)/SUM(DEN!I140:J140)</f>
        <v>14119.202091944158</v>
      </c>
      <c r="W148" s="734">
        <f>SUM(J148:L148)/SUM(DEN!D140:E140)</f>
        <v>47672.126265212137</v>
      </c>
      <c r="X148" s="735">
        <f>SUM(M148:O148)/(DEN!H140+DEN!K140)</f>
        <v>62163.891414558413</v>
      </c>
      <c r="Z148" s="665">
        <f>V148*(DEN!I140+DEN!J140)</f>
        <v>2179284723.6894889</v>
      </c>
      <c r="AB148" s="733">
        <f t="shared" si="45"/>
        <v>11774206060.70207</v>
      </c>
      <c r="AC148" s="734">
        <f t="shared" si="46"/>
        <v>2179284723.6894889</v>
      </c>
      <c r="AD148" s="734">
        <f t="shared" si="47"/>
        <v>1120962377.0001981</v>
      </c>
      <c r="AE148" s="735">
        <f t="shared" si="48"/>
        <v>836228667.30863976</v>
      </c>
      <c r="AG148" s="944">
        <f t="shared" si="49"/>
        <v>0.74001895000271034</v>
      </c>
      <c r="AH148" s="944">
        <f t="shared" si="41"/>
        <v>0.13696991412136708</v>
      </c>
      <c r="AI148" s="944">
        <f t="shared" si="42"/>
        <v>7.0453446877314599E-2</v>
      </c>
      <c r="AJ148" s="944">
        <f t="shared" si="43"/>
        <v>5.2557688998608049E-2</v>
      </c>
      <c r="AL148" s="945">
        <f t="shared" si="50"/>
        <v>1</v>
      </c>
    </row>
    <row r="149" spans="1:38" ht="15.75" thickBot="1">
      <c r="A149" s="127" t="s">
        <v>41</v>
      </c>
      <c r="B149" s="291">
        <f>KMA!B149*FRO_TOT!B149</f>
        <v>9949343286.9550152</v>
      </c>
      <c r="C149" s="291">
        <f>KMA!C149*FRO_TOT!C149</f>
        <v>1546205325.0078149</v>
      </c>
      <c r="D149" s="291">
        <f>KMA!D149*FRO_TOT!D149</f>
        <v>1261191506.3043268</v>
      </c>
      <c r="E149" s="291">
        <f>KMA!E149*FRO_TOT!E149</f>
        <v>9839400113.5805416</v>
      </c>
      <c r="F149" s="291">
        <f>KMA!F149*FRO_TOT!F149</f>
        <v>137838964.3139886</v>
      </c>
      <c r="G149" s="291">
        <f>KMA!G149*FRO_TOT!G149</f>
        <v>40808304.45089902</v>
      </c>
      <c r="H149" s="291">
        <f>KMA!H149*FRO_TOT!H149</f>
        <v>4822565109.1177177</v>
      </c>
      <c r="I149" s="291">
        <f>KMA!I149*FRO_TOT!I149</f>
        <v>664537878.44097805</v>
      </c>
      <c r="J149" s="291">
        <f>KMA!J149*FRO_TOT!J149</f>
        <v>2284528834.9480758</v>
      </c>
      <c r="K149" s="291">
        <f>KMA!K149*FRO_TOT!K149</f>
        <v>2182954741.8011894</v>
      </c>
      <c r="L149" s="291">
        <f>KMA!L149*FRO_TOT!L149</f>
        <v>1713235361.2403111</v>
      </c>
      <c r="M149" s="291">
        <f>KMA!M149*FRO_TOT!M149</f>
        <v>159677292.12790003</v>
      </c>
      <c r="N149" s="291">
        <f>KMA!N149*FRO_TOT!N149</f>
        <v>1468824947.5886202</v>
      </c>
      <c r="O149" s="291">
        <f>KMA!O149*FRO_TOT!O149</f>
        <v>153189413.13795036</v>
      </c>
      <c r="P149" s="291">
        <f>KMA!P149*FRO_TOT!P149</f>
        <v>34828184.064282559</v>
      </c>
      <c r="Q149" s="291">
        <f>KMA!Q149*FRO_TOT!Q149</f>
        <v>1544493283.3844779</v>
      </c>
      <c r="R149" s="291">
        <f>KMA!R149*FRO_TOT!R149</f>
        <v>17903430</v>
      </c>
      <c r="S149" s="690">
        <f t="shared" si="44"/>
        <v>37821525976.464088</v>
      </c>
      <c r="U149" s="733">
        <f>(B149+C149+H149+I149+P149+Q149+R149)/(DEN!C141+DEN!F141+DEN!G141+DEN!L141)</f>
        <v>11287.676361680871</v>
      </c>
      <c r="V149" s="734">
        <f>SUM(D149:G149)/SUM(DEN!I141:J141)</f>
        <v>12986.017086341835</v>
      </c>
      <c r="W149" s="734">
        <f>SUM(J149:L149)/SUM(DEN!D141:E141)</f>
        <v>54272.056987720629</v>
      </c>
      <c r="X149" s="735">
        <f>SUM(M149:O149)/(DEN!H141+DEN!K141)</f>
        <v>72882.747805549807</v>
      </c>
      <c r="Z149" s="665">
        <f>V149*(DEN!I141+DEN!J141)</f>
        <v>11279238888.649755</v>
      </c>
      <c r="AB149" s="733">
        <f t="shared" si="45"/>
        <v>18579876496.970287</v>
      </c>
      <c r="AC149" s="734">
        <f t="shared" si="46"/>
        <v>11279238888.649755</v>
      </c>
      <c r="AD149" s="734">
        <f t="shared" si="47"/>
        <v>6180718937.9895763</v>
      </c>
      <c r="AE149" s="735">
        <f t="shared" si="48"/>
        <v>1781691652.8544707</v>
      </c>
      <c r="AG149" s="944">
        <f t="shared" si="49"/>
        <v>0.4912513712041216</v>
      </c>
      <c r="AH149" s="944">
        <f t="shared" si="41"/>
        <v>0.29822273420878626</v>
      </c>
      <c r="AI149" s="944">
        <f t="shared" si="42"/>
        <v>0.16341802130976335</v>
      </c>
      <c r="AJ149" s="944">
        <f t="shared" si="43"/>
        <v>4.7107873277328828E-2</v>
      </c>
      <c r="AL149" s="945">
        <f t="shared" si="50"/>
        <v>1</v>
      </c>
    </row>
    <row r="150" spans="1:38" ht="15.75" thickBot="1">
      <c r="A150" s="127" t="s">
        <v>42</v>
      </c>
      <c r="B150" s="291">
        <f>KMA!B150*FRO_TOT!B150</f>
        <v>3046881525.2801132</v>
      </c>
      <c r="C150" s="291">
        <f>KMA!C150*FRO_TOT!C150</f>
        <v>521677511.5478918</v>
      </c>
      <c r="D150" s="291">
        <f>KMA!D150*FRO_TOT!D150</f>
        <v>959208277.26361609</v>
      </c>
      <c r="E150" s="291">
        <f>KMA!E150*FRO_TOT!E150</f>
        <v>6809291970.6946335</v>
      </c>
      <c r="F150" s="291">
        <f>KMA!F150*FRO_TOT!F150</f>
        <v>95388915.676420659</v>
      </c>
      <c r="G150" s="291">
        <f>KMA!G150*FRO_TOT!G150</f>
        <v>28243884.531282801</v>
      </c>
      <c r="H150" s="291">
        <f>KMA!H150*FRO_TOT!H150</f>
        <v>2562553886.7669101</v>
      </c>
      <c r="I150" s="291">
        <f>KMA!I150*FRO_TOT!I150</f>
        <v>397664428.74154973</v>
      </c>
      <c r="J150" s="291">
        <f>KMA!J150*FRO_TOT!J150</f>
        <v>1704084901.3844309</v>
      </c>
      <c r="K150" s="291">
        <f>KMA!K150*FRO_TOT!K150</f>
        <v>1628326071.694315</v>
      </c>
      <c r="L150" s="291">
        <f>KMA!L150*FRO_TOT!L150</f>
        <v>2065396432.543411</v>
      </c>
      <c r="M150" s="291">
        <f>KMA!M150*FRO_TOT!M150</f>
        <v>75871478.267389581</v>
      </c>
      <c r="N150" s="291">
        <f>KMA!N150*FRO_TOT!N150</f>
        <v>860703756.71638763</v>
      </c>
      <c r="O150" s="291">
        <f>KMA!O150*FRO_TOT!O150</f>
        <v>89788526.122258678</v>
      </c>
      <c r="P150" s="291">
        <f>KMA!P150*FRO_TOT!P150</f>
        <v>30079969.799669065</v>
      </c>
      <c r="Q150" s="291">
        <f>KMA!Q150*FRO_TOT!Q150</f>
        <v>1471486277.4625082</v>
      </c>
      <c r="R150" s="291">
        <f>KMA!R150*FRO_TOT!R150</f>
        <v>32101146.000000004</v>
      </c>
      <c r="S150" s="690">
        <f t="shared" si="44"/>
        <v>22378748960.492786</v>
      </c>
      <c r="U150" s="733">
        <f>(B150+C150+H150+I150+P150+Q150+R150)/(DEN!C142+DEN!F142+DEN!G142+DEN!L142)</f>
        <v>12712.258320533441</v>
      </c>
      <c r="V150" s="734">
        <f>SUM(D150:G150)/SUM(DEN!I142:J142)</f>
        <v>13542.565267588056</v>
      </c>
      <c r="W150" s="734">
        <f>SUM(J150:L150)/SUM(DEN!D142:E142)</f>
        <v>71964.04876374414</v>
      </c>
      <c r="X150" s="735">
        <f>SUM(M150:O150)/(DEN!H142+DEN!K142)</f>
        <v>95386.966645542358</v>
      </c>
      <c r="Z150" s="665">
        <f>V150*(DEN!I142+DEN!J142)</f>
        <v>7892133048.1659536</v>
      </c>
      <c r="AB150" s="733">
        <f t="shared" si="45"/>
        <v>8062444745.5986423</v>
      </c>
      <c r="AC150" s="734">
        <f t="shared" si="46"/>
        <v>7892133048.1659527</v>
      </c>
      <c r="AD150" s="734">
        <f t="shared" si="47"/>
        <v>5397807405.6221571</v>
      </c>
      <c r="AE150" s="735">
        <f t="shared" si="48"/>
        <v>1026363761.1060358</v>
      </c>
      <c r="AG150" s="944">
        <f t="shared" si="49"/>
        <v>0.36027236195517448</v>
      </c>
      <c r="AH150" s="944">
        <f t="shared" si="41"/>
        <v>0.35266194111648702</v>
      </c>
      <c r="AI150" s="944">
        <f t="shared" si="42"/>
        <v>0.24120237530486582</v>
      </c>
      <c r="AJ150" s="944">
        <f t="shared" si="43"/>
        <v>4.5863321623472689E-2</v>
      </c>
      <c r="AL150" s="945">
        <f t="shared" si="50"/>
        <v>1</v>
      </c>
    </row>
    <row r="151" spans="1:38" ht="15.75" thickBot="1">
      <c r="A151" s="128" t="s">
        <v>43</v>
      </c>
      <c r="B151" s="291">
        <f>KMA!B151*FRO_TOT!B151</f>
        <v>4480128476.5538893</v>
      </c>
      <c r="C151" s="291">
        <f>KMA!C151*FRO_TOT!C151</f>
        <v>674064049.22658479</v>
      </c>
      <c r="D151" s="291">
        <f>KMA!D151*FRO_TOT!D151</f>
        <v>529689836.58209777</v>
      </c>
      <c r="E151" s="291">
        <f>KMA!E151*FRO_TOT!E151</f>
        <v>4294431727.9911661</v>
      </c>
      <c r="F151" s="291">
        <f>KMA!F151*FRO_TOT!F151</f>
        <v>60161266.477661431</v>
      </c>
      <c r="G151" s="291">
        <f>KMA!G151*FRO_TOT!G151</f>
        <v>17810901.259833973</v>
      </c>
      <c r="H151" s="291">
        <f>KMA!H151*FRO_TOT!H151</f>
        <v>637897764.34512007</v>
      </c>
      <c r="I151" s="291">
        <f>KMA!I151*FRO_TOT!I151</f>
        <v>85299133.769438133</v>
      </c>
      <c r="J151" s="291">
        <f>KMA!J151*FRO_TOT!J151</f>
        <v>1120999927.8950555</v>
      </c>
      <c r="K151" s="291">
        <f>KMA!K151*FRO_TOT!K151</f>
        <v>1071121285.6014957</v>
      </c>
      <c r="L151" s="291">
        <f>KMA!L151*FRO_TOT!L151</f>
        <v>938246583.86204827</v>
      </c>
      <c r="M151" s="291">
        <f>KMA!M151*FRO_TOT!M151</f>
        <v>66302263.524558403</v>
      </c>
      <c r="N151" s="291">
        <f>KMA!N151*FRO_TOT!N151</f>
        <v>628158822.2512362</v>
      </c>
      <c r="O151" s="291">
        <f>KMA!O151*FRO_TOT!O151</f>
        <v>65500431.017771304</v>
      </c>
      <c r="P151" s="291">
        <f>KMA!P151*FRO_TOT!P151</f>
        <v>20076512.211501509</v>
      </c>
      <c r="Q151" s="291">
        <f>KMA!Q151*FRO_TOT!Q151</f>
        <v>854295946.528427</v>
      </c>
      <c r="R151" s="291">
        <f>KMA!R151*FRO_TOT!R151</f>
        <v>95952227.999999985</v>
      </c>
      <c r="S151" s="690">
        <f t="shared" si="44"/>
        <v>15640137157.097885</v>
      </c>
      <c r="U151" s="733">
        <f>(B151+C151+H151+I151+P151+Q151+R151)/(DEN!C143+DEN!F143+DEN!G143+DEN!L143)</f>
        <v>10716.23043147611</v>
      </c>
      <c r="V151" s="734">
        <f>SUM(D151:G151)/SUM(DEN!I143:J143)</f>
        <v>13357.785986066858</v>
      </c>
      <c r="W151" s="734">
        <f>SUM(J151:L151)/SUM(DEN!D143:E143)</f>
        <v>58973.414166247807</v>
      </c>
      <c r="X151" s="735">
        <f>SUM(M151:O151)/(DEN!H143+DEN!K143)</f>
        <v>78809.656413311837</v>
      </c>
      <c r="Z151" s="665">
        <f>V151*(DEN!I143+DEN!J143)</f>
        <v>4902093732.3107595</v>
      </c>
      <c r="AB151" s="733">
        <f t="shared" si="45"/>
        <v>6847714110.6349602</v>
      </c>
      <c r="AC151" s="734">
        <f t="shared" si="46"/>
        <v>4902093732.3107595</v>
      </c>
      <c r="AD151" s="734">
        <f t="shared" si="47"/>
        <v>3130367797.3585997</v>
      </c>
      <c r="AE151" s="735">
        <f t="shared" si="48"/>
        <v>759961516.79356599</v>
      </c>
      <c r="AG151" s="944">
        <f t="shared" si="49"/>
        <v>0.43782954342745622</v>
      </c>
      <c r="AH151" s="944">
        <f t="shared" si="41"/>
        <v>0.31343035441898709</v>
      </c>
      <c r="AI151" s="944">
        <f t="shared" si="42"/>
        <v>0.20014963845364747</v>
      </c>
      <c r="AJ151" s="944">
        <f t="shared" si="43"/>
        <v>4.8590463699909207E-2</v>
      </c>
      <c r="AL151" s="945">
        <f>SUM(AG151:AJ151)</f>
        <v>0.99999999999999989</v>
      </c>
    </row>
    <row r="152" spans="1:38" ht="15.75" thickBot="1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U152" s="732"/>
      <c r="AB152" s="732"/>
      <c r="AG152" s="732"/>
    </row>
    <row r="153" spans="1:38" ht="15.75" thickBot="1">
      <c r="A153" s="1051" t="s">
        <v>120</v>
      </c>
      <c r="B153" s="1054">
        <v>2013</v>
      </c>
      <c r="C153" s="1055"/>
      <c r="D153" s="1055"/>
      <c r="E153" s="1055"/>
      <c r="F153" s="1055"/>
      <c r="G153" s="1055"/>
      <c r="H153" s="1055"/>
      <c r="I153" s="1055"/>
      <c r="J153" s="1055"/>
      <c r="K153" s="1055"/>
      <c r="L153" s="1055"/>
      <c r="M153" s="1055"/>
      <c r="N153" s="1055"/>
      <c r="O153" s="1055"/>
      <c r="P153" s="1055"/>
      <c r="Q153" s="1055"/>
      <c r="R153" s="1078"/>
      <c r="S153" s="1057" t="s">
        <v>96</v>
      </c>
      <c r="U153" s="732"/>
      <c r="Z153" s="665">
        <f>SUM(Z121:Z151)/(DEN!I111+DEN!J111)</f>
        <v>14062.79454847701</v>
      </c>
      <c r="AB153" s="732"/>
      <c r="AG153" s="732"/>
    </row>
    <row r="154" spans="1:38" ht="15.75" thickBot="1">
      <c r="A154" s="1052"/>
      <c r="B154" s="1060" t="s">
        <v>97</v>
      </c>
      <c r="C154" s="1061"/>
      <c r="D154" s="1061"/>
      <c r="E154" s="1061"/>
      <c r="F154" s="1061"/>
      <c r="G154" s="1061"/>
      <c r="H154" s="1061" t="s">
        <v>98</v>
      </c>
      <c r="I154" s="1061"/>
      <c r="J154" s="1061" t="s">
        <v>99</v>
      </c>
      <c r="K154" s="1061"/>
      <c r="L154" s="1061"/>
      <c r="M154" s="1061"/>
      <c r="N154" s="1061"/>
      <c r="O154" s="1061"/>
      <c r="P154" s="1061"/>
      <c r="Q154" s="1061"/>
      <c r="R154" s="289" t="s">
        <v>100</v>
      </c>
      <c r="S154" s="1058"/>
      <c r="U154" s="1068">
        <v>2013</v>
      </c>
      <c r="V154" s="1069"/>
      <c r="W154" s="1069"/>
      <c r="X154" s="1070"/>
      <c r="AB154" s="1068">
        <v>2013</v>
      </c>
      <c r="AC154" s="1069"/>
      <c r="AD154" s="1069"/>
      <c r="AE154" s="1070"/>
      <c r="AG154" s="1068">
        <v>2013</v>
      </c>
      <c r="AH154" s="1069"/>
      <c r="AI154" s="1069"/>
      <c r="AJ154" s="1070"/>
    </row>
    <row r="155" spans="1:38">
      <c r="A155" s="1052"/>
      <c r="B155" s="1062" t="s">
        <v>101</v>
      </c>
      <c r="C155" s="1064" t="s">
        <v>102</v>
      </c>
      <c r="D155" s="1064" t="s">
        <v>103</v>
      </c>
      <c r="E155" s="1064"/>
      <c r="F155" s="1064"/>
      <c r="G155" s="1064"/>
      <c r="H155" s="1062" t="s">
        <v>101</v>
      </c>
      <c r="I155" s="1064" t="s">
        <v>102</v>
      </c>
      <c r="J155" s="1064" t="s">
        <v>104</v>
      </c>
      <c r="K155" s="1064"/>
      <c r="L155" s="1064"/>
      <c r="M155" s="1064" t="s">
        <v>105</v>
      </c>
      <c r="N155" s="1064"/>
      <c r="O155" s="1064"/>
      <c r="P155" s="1062" t="s">
        <v>101</v>
      </c>
      <c r="Q155" s="1064" t="s">
        <v>102</v>
      </c>
      <c r="R155" s="1062" t="s">
        <v>101</v>
      </c>
      <c r="S155" s="1058"/>
      <c r="U155" s="1075" t="s">
        <v>101</v>
      </c>
      <c r="V155" s="1077" t="s">
        <v>103</v>
      </c>
      <c r="W155" s="1071" t="s">
        <v>104</v>
      </c>
      <c r="X155" s="1073" t="s">
        <v>105</v>
      </c>
      <c r="AB155" s="1075" t="s">
        <v>101</v>
      </c>
      <c r="AC155" s="1077" t="s">
        <v>103</v>
      </c>
      <c r="AD155" s="1071" t="s">
        <v>104</v>
      </c>
      <c r="AE155" s="1073" t="s">
        <v>105</v>
      </c>
      <c r="AG155" s="1075" t="s">
        <v>101</v>
      </c>
      <c r="AH155" s="1077" t="s">
        <v>103</v>
      </c>
      <c r="AI155" s="1071" t="s">
        <v>104</v>
      </c>
      <c r="AJ155" s="1073" t="s">
        <v>105</v>
      </c>
    </row>
    <row r="156" spans="1:38" ht="15.75" thickBot="1">
      <c r="A156" s="1053"/>
      <c r="B156" s="1063"/>
      <c r="C156" s="1065"/>
      <c r="D156" s="290" t="s">
        <v>106</v>
      </c>
      <c r="E156" s="290" t="s">
        <v>107</v>
      </c>
      <c r="F156" s="290" t="s">
        <v>108</v>
      </c>
      <c r="G156" s="290" t="s">
        <v>109</v>
      </c>
      <c r="H156" s="1063"/>
      <c r="I156" s="1065"/>
      <c r="J156" s="290" t="s">
        <v>110</v>
      </c>
      <c r="K156" s="290" t="s">
        <v>111</v>
      </c>
      <c r="L156" s="290" t="s">
        <v>112</v>
      </c>
      <c r="M156" s="290" t="s">
        <v>113</v>
      </c>
      <c r="N156" s="290" t="s">
        <v>114</v>
      </c>
      <c r="O156" s="290" t="s">
        <v>115</v>
      </c>
      <c r="P156" s="1063"/>
      <c r="Q156" s="1065"/>
      <c r="R156" s="1063"/>
      <c r="S156" s="1059"/>
      <c r="U156" s="1076"/>
      <c r="V156" s="1074"/>
      <c r="W156" s="1072"/>
      <c r="X156" s="1074"/>
      <c r="AB156" s="1076"/>
      <c r="AC156" s="1074"/>
      <c r="AD156" s="1072"/>
      <c r="AE156" s="1074"/>
      <c r="AG156" s="1076"/>
      <c r="AH156" s="1074"/>
      <c r="AI156" s="1072"/>
      <c r="AJ156" s="1074"/>
    </row>
    <row r="157" spans="1:38" ht="15.75" thickBot="1">
      <c r="A157" s="164" t="s">
        <v>11</v>
      </c>
      <c r="B157" s="291" t="e">
        <f>KMA!B157*FRO_TOT!B157</f>
        <v>#DIV/0!</v>
      </c>
      <c r="C157" s="291" t="e">
        <f>KMA!C157*FRO_TOT!C157</f>
        <v>#DIV/0!</v>
      </c>
      <c r="D157" s="291" t="e">
        <f>KMA!D157*FRO_TOT!D157</f>
        <v>#DIV/0!</v>
      </c>
      <c r="E157" s="291" t="e">
        <f>KMA!E157*FRO_TOT!E157</f>
        <v>#DIV/0!</v>
      </c>
      <c r="F157" s="291" t="e">
        <f>KMA!F157*FRO_TOT!F157</f>
        <v>#DIV/0!</v>
      </c>
      <c r="G157" s="291" t="e">
        <f>KMA!G157*FRO_TOT!G157</f>
        <v>#DIV/0!</v>
      </c>
      <c r="H157" s="291" t="e">
        <f>KMA!H157*FRO_TOT!H157</f>
        <v>#VALUE!</v>
      </c>
      <c r="I157" s="291" t="e">
        <f>KMA!I157*FRO_TOT!I157</f>
        <v>#DIV/0!</v>
      </c>
      <c r="J157" s="291" t="e">
        <f>KMA!J157*FRO_TOT!J157</f>
        <v>#DIV/0!</v>
      </c>
      <c r="K157" s="291" t="e">
        <f>KMA!K157*FRO_TOT!K157</f>
        <v>#DIV/0!</v>
      </c>
      <c r="L157" s="291" t="e">
        <f>KMA!L157*FRO_TOT!L157</f>
        <v>#DIV/0!</v>
      </c>
      <c r="M157" s="291" t="e">
        <f>KMA!M157*FRO_TOT!M157</f>
        <v>#DIV/0!</v>
      </c>
      <c r="N157" s="291" t="e">
        <f>KMA!N157*FRO_TOT!N157</f>
        <v>#DIV/0!</v>
      </c>
      <c r="O157" s="291" t="e">
        <f>KMA!O157*FRO_TOT!O157</f>
        <v>#DIV/0!</v>
      </c>
      <c r="P157" s="291" t="e">
        <f>KMA!P157*FRO_TOT!P157</f>
        <v>#DIV/0!</v>
      </c>
      <c r="Q157" s="291" t="e">
        <f>KMA!Q157*FRO_TOT!Q157</f>
        <v>#DIV/0!</v>
      </c>
      <c r="R157" s="291">
        <f>KMA!R157*FRO_TOT!R157</f>
        <v>0</v>
      </c>
      <c r="S157" s="690" t="e">
        <f>SUM(B157:R157)</f>
        <v>#DIV/0!</v>
      </c>
      <c r="U157" s="733" t="e">
        <f>(B157+C157+H157+I157+P157+Q157+R157)/(DEN!C147+DEN!F147+DEN!G147+DEN!L147)</f>
        <v>#DIV/0!</v>
      </c>
      <c r="V157" s="734" t="e">
        <f>SUM(D157:G157)/SUM(DEN!I147:J147)</f>
        <v>#DIV/0!</v>
      </c>
      <c r="W157" s="734" t="e">
        <f>SUM(J157:L157)/SUM(DEN!D147:E147)</f>
        <v>#DIV/0!</v>
      </c>
      <c r="X157" s="735" t="e">
        <f>SUM(M157:O157)/(DEN!H147+DEN!K147)</f>
        <v>#DIV/0!</v>
      </c>
      <c r="AB157" s="733" t="e">
        <f>($B157+$C157+$H157+$I157+$P157+$Q157+$R157)</f>
        <v>#DIV/0!</v>
      </c>
      <c r="AC157" s="734" t="e">
        <f>SUM($D157:$G157)</f>
        <v>#DIV/0!</v>
      </c>
      <c r="AD157" s="734" t="e">
        <f>SUM($J157:$L157)</f>
        <v>#DIV/0!</v>
      </c>
      <c r="AE157" s="735" t="e">
        <f>SUM($M157:$O157)</f>
        <v>#DIV/0!</v>
      </c>
      <c r="AG157" s="944" t="e">
        <f>AB157/$S157</f>
        <v>#DIV/0!</v>
      </c>
      <c r="AH157" s="944" t="e">
        <f t="shared" ref="AH157:AH189" si="51">AC157/$S157</f>
        <v>#DIV/0!</v>
      </c>
      <c r="AI157" s="944" t="e">
        <f t="shared" ref="AI157:AI189" si="52">AD157/$S157</f>
        <v>#DIV/0!</v>
      </c>
      <c r="AJ157" s="944" t="e">
        <f t="shared" ref="AJ157:AJ189" si="53">AE157/$S157</f>
        <v>#DIV/0!</v>
      </c>
    </row>
    <row r="158" spans="1:38" ht="15.75" thickBot="1">
      <c r="A158" s="269" t="s">
        <v>46</v>
      </c>
      <c r="B158" s="291" t="e">
        <f>KMA!B158*FRO_TOT!B158</f>
        <v>#DIV/0!</v>
      </c>
      <c r="C158" s="291" t="e">
        <f>KMA!C158*FRO_TOT!C158</f>
        <v>#DIV/0!</v>
      </c>
      <c r="D158" s="291" t="e">
        <f>KMA!D158*FRO_TOT!D158</f>
        <v>#DIV/0!</v>
      </c>
      <c r="E158" s="291" t="e">
        <f>KMA!E158*FRO_TOT!E158</f>
        <v>#DIV/0!</v>
      </c>
      <c r="F158" s="291" t="e">
        <f>KMA!F158*FRO_TOT!F158</f>
        <v>#DIV/0!</v>
      </c>
      <c r="G158" s="291" t="e">
        <f>KMA!G158*FRO_TOT!G158</f>
        <v>#DIV/0!</v>
      </c>
      <c r="H158" s="291" t="e">
        <f>KMA!H158*FRO_TOT!H158</f>
        <v>#VALUE!</v>
      </c>
      <c r="I158" s="291" t="e">
        <f>KMA!I158*FRO_TOT!I158</f>
        <v>#DIV/0!</v>
      </c>
      <c r="J158" s="291" t="e">
        <f>KMA!J158*FRO_TOT!J158</f>
        <v>#DIV/0!</v>
      </c>
      <c r="K158" s="291" t="e">
        <f>KMA!K158*FRO_TOT!K158</f>
        <v>#DIV/0!</v>
      </c>
      <c r="L158" s="291" t="e">
        <f>KMA!L158*FRO_TOT!L158</f>
        <v>#DIV/0!</v>
      </c>
      <c r="M158" s="291" t="e">
        <f>KMA!M158*FRO_TOT!M158</f>
        <v>#DIV/0!</v>
      </c>
      <c r="N158" s="291" t="e">
        <f>KMA!N158*FRO_TOT!N158</f>
        <v>#DIV/0!</v>
      </c>
      <c r="O158" s="291" t="e">
        <f>KMA!O158*FRO_TOT!O158</f>
        <v>#DIV/0!</v>
      </c>
      <c r="P158" s="291" t="e">
        <f>KMA!P158*FRO_TOT!P158</f>
        <v>#DIV/0!</v>
      </c>
      <c r="Q158" s="291" t="e">
        <f>KMA!Q158*FRO_TOT!Q158</f>
        <v>#DIV/0!</v>
      </c>
      <c r="R158" s="291">
        <f>KMA!R158*FRO_TOT!R158</f>
        <v>0</v>
      </c>
      <c r="S158" s="690" t="e">
        <f t="shared" ref="S158:S189" si="54">SUM(B158:R158)</f>
        <v>#DIV/0!</v>
      </c>
      <c r="U158" s="733" t="e">
        <f>(B158+C158+H158+I158+P158+Q158+R158)/(DEN!C148+DEN!F148+DEN!G148+DEN!L148)</f>
        <v>#DIV/0!</v>
      </c>
      <c r="V158" s="734" t="e">
        <f>SUM(D158:G158)/SUM(DEN!I148:J148)</f>
        <v>#DIV/0!</v>
      </c>
      <c r="W158" s="734" t="e">
        <f>SUM(J158:L158)/SUM(DEN!D148:E148)</f>
        <v>#DIV/0!</v>
      </c>
      <c r="X158" s="735" t="e">
        <f>SUM(M158:O158)/(DEN!H148+DEN!K148)</f>
        <v>#DIV/0!</v>
      </c>
      <c r="AB158" s="733" t="e">
        <f t="shared" ref="AB158:AB189" si="55">($B158+$C158+$H158+$I158+$P158+$Q158+$R158)</f>
        <v>#DIV/0!</v>
      </c>
      <c r="AC158" s="734" t="e">
        <f t="shared" ref="AC158:AC189" si="56">SUM($D158:$G158)</f>
        <v>#DIV/0!</v>
      </c>
      <c r="AD158" s="734" t="e">
        <f t="shared" ref="AD158:AD189" si="57">SUM($J158:$L158)</f>
        <v>#DIV/0!</v>
      </c>
      <c r="AE158" s="735" t="e">
        <f t="shared" ref="AE158:AE189" si="58">SUM($M158:$O158)</f>
        <v>#DIV/0!</v>
      </c>
      <c r="AG158" s="944" t="e">
        <f t="shared" ref="AG158:AG189" si="59">AB158/$S158</f>
        <v>#DIV/0!</v>
      </c>
      <c r="AH158" s="944" t="e">
        <f t="shared" si="51"/>
        <v>#DIV/0!</v>
      </c>
      <c r="AI158" s="944" t="e">
        <f t="shared" si="52"/>
        <v>#DIV/0!</v>
      </c>
      <c r="AJ158" s="944" t="e">
        <f t="shared" si="53"/>
        <v>#DIV/0!</v>
      </c>
    </row>
    <row r="159" spans="1:38" ht="15.75" thickBot="1">
      <c r="A159" s="127" t="s">
        <v>13</v>
      </c>
      <c r="B159" s="291" t="e">
        <f>KMA!B159*FRO_TOT!B159</f>
        <v>#DIV/0!</v>
      </c>
      <c r="C159" s="291" t="e">
        <f>KMA!C159*FRO_TOT!C159</f>
        <v>#DIV/0!</v>
      </c>
      <c r="D159" s="291" t="e">
        <f>KMA!D159*FRO_TOT!D159</f>
        <v>#DIV/0!</v>
      </c>
      <c r="E159" s="291" t="e">
        <f>KMA!E159*FRO_TOT!E159</f>
        <v>#DIV/0!</v>
      </c>
      <c r="F159" s="291" t="e">
        <f>KMA!F159*FRO_TOT!F159</f>
        <v>#DIV/0!</v>
      </c>
      <c r="G159" s="291" t="e">
        <f>KMA!G159*FRO_TOT!G159</f>
        <v>#DIV/0!</v>
      </c>
      <c r="H159" s="291" t="e">
        <f>KMA!H159*FRO_TOT!H159</f>
        <v>#VALUE!</v>
      </c>
      <c r="I159" s="291" t="e">
        <f>KMA!I159*FRO_TOT!I159</f>
        <v>#DIV/0!</v>
      </c>
      <c r="J159" s="291" t="e">
        <f>KMA!J159*FRO_TOT!J159</f>
        <v>#DIV/0!</v>
      </c>
      <c r="K159" s="291" t="e">
        <f>KMA!K159*FRO_TOT!K159</f>
        <v>#DIV/0!</v>
      </c>
      <c r="L159" s="291" t="e">
        <f>KMA!L159*FRO_TOT!L159</f>
        <v>#DIV/0!</v>
      </c>
      <c r="M159" s="291" t="e">
        <f>KMA!M159*FRO_TOT!M159</f>
        <v>#DIV/0!</v>
      </c>
      <c r="N159" s="291" t="e">
        <f>KMA!N159*FRO_TOT!N159</f>
        <v>#DIV/0!</v>
      </c>
      <c r="O159" s="291" t="e">
        <f>KMA!O159*FRO_TOT!O159</f>
        <v>#DIV/0!</v>
      </c>
      <c r="P159" s="291" t="e">
        <f>KMA!P159*FRO_TOT!P159</f>
        <v>#DIV/0!</v>
      </c>
      <c r="Q159" s="291" t="e">
        <f>KMA!Q159*FRO_TOT!Q159</f>
        <v>#DIV/0!</v>
      </c>
      <c r="R159" s="291">
        <f>KMA!R159*FRO_TOT!R159</f>
        <v>0</v>
      </c>
      <c r="S159" s="690" t="e">
        <f t="shared" si="54"/>
        <v>#DIV/0!</v>
      </c>
      <c r="U159" s="733" t="e">
        <f>(B159+C159+H159+I159+P159+Q159+R159)/(DEN!C149+DEN!F149+DEN!G149+DEN!L149)</f>
        <v>#DIV/0!</v>
      </c>
      <c r="V159" s="734" t="e">
        <f>SUM(D159:G159)/SUM(DEN!I149:J149)</f>
        <v>#DIV/0!</v>
      </c>
      <c r="W159" s="734" t="e">
        <f>SUM(J159:L159)/SUM(DEN!D149:E149)</f>
        <v>#DIV/0!</v>
      </c>
      <c r="X159" s="735" t="e">
        <f>SUM(M159:O159)/(DEN!H149+DEN!K149)</f>
        <v>#DIV/0!</v>
      </c>
      <c r="Z159" s="665" t="e">
        <f>V159*(DEN!I149+DEN!J149)</f>
        <v>#DIV/0!</v>
      </c>
      <c r="AB159" s="733" t="e">
        <f t="shared" si="55"/>
        <v>#DIV/0!</v>
      </c>
      <c r="AC159" s="734" t="e">
        <f t="shared" si="56"/>
        <v>#DIV/0!</v>
      </c>
      <c r="AD159" s="734" t="e">
        <f t="shared" si="57"/>
        <v>#DIV/0!</v>
      </c>
      <c r="AE159" s="735" t="e">
        <f t="shared" si="58"/>
        <v>#DIV/0!</v>
      </c>
      <c r="AG159" s="944" t="e">
        <f t="shared" si="59"/>
        <v>#DIV/0!</v>
      </c>
      <c r="AH159" s="944" t="e">
        <f t="shared" si="51"/>
        <v>#DIV/0!</v>
      </c>
      <c r="AI159" s="944" t="e">
        <f t="shared" si="52"/>
        <v>#DIV/0!</v>
      </c>
      <c r="AJ159" s="944" t="e">
        <f t="shared" si="53"/>
        <v>#DIV/0!</v>
      </c>
    </row>
    <row r="160" spans="1:38" ht="15.75" thickBot="1">
      <c r="A160" s="127" t="s">
        <v>14</v>
      </c>
      <c r="B160" s="291" t="e">
        <f>KMA!B160*FRO_TOT!B160</f>
        <v>#DIV/0!</v>
      </c>
      <c r="C160" s="291" t="e">
        <f>KMA!C160*FRO_TOT!C160</f>
        <v>#DIV/0!</v>
      </c>
      <c r="D160" s="291" t="e">
        <f>KMA!D160*FRO_TOT!D160</f>
        <v>#DIV/0!</v>
      </c>
      <c r="E160" s="291" t="e">
        <f>KMA!E160*FRO_TOT!E160</f>
        <v>#DIV/0!</v>
      </c>
      <c r="F160" s="291" t="e">
        <f>KMA!F160*FRO_TOT!F160</f>
        <v>#DIV/0!</v>
      </c>
      <c r="G160" s="291" t="e">
        <f>KMA!G160*FRO_TOT!G160</f>
        <v>#DIV/0!</v>
      </c>
      <c r="H160" s="291" t="e">
        <f>KMA!H160*FRO_TOT!H160</f>
        <v>#DIV/0!</v>
      </c>
      <c r="I160" s="291" t="e">
        <f>KMA!I160*FRO_TOT!I160</f>
        <v>#DIV/0!</v>
      </c>
      <c r="J160" s="291" t="e">
        <f>KMA!J160*FRO_TOT!J160</f>
        <v>#DIV/0!</v>
      </c>
      <c r="K160" s="291" t="e">
        <f>KMA!K160*FRO_TOT!K160</f>
        <v>#DIV/0!</v>
      </c>
      <c r="L160" s="291" t="e">
        <f>KMA!L160*FRO_TOT!L160</f>
        <v>#DIV/0!</v>
      </c>
      <c r="M160" s="291" t="e">
        <f>KMA!M160*FRO_TOT!M160</f>
        <v>#DIV/0!</v>
      </c>
      <c r="N160" s="291" t="e">
        <f>KMA!N160*FRO_TOT!N160</f>
        <v>#DIV/0!</v>
      </c>
      <c r="O160" s="291" t="e">
        <f>KMA!O160*FRO_TOT!O160</f>
        <v>#DIV/0!</v>
      </c>
      <c r="P160" s="291" t="e">
        <f>KMA!P160*FRO_TOT!P160</f>
        <v>#DIV/0!</v>
      </c>
      <c r="Q160" s="291" t="e">
        <f>KMA!Q160*FRO_TOT!Q160</f>
        <v>#DIV/0!</v>
      </c>
      <c r="R160" s="291">
        <f>KMA!R160*FRO_TOT!R160</f>
        <v>0</v>
      </c>
      <c r="S160" s="690" t="e">
        <f t="shared" si="54"/>
        <v>#DIV/0!</v>
      </c>
      <c r="U160" s="733" t="e">
        <f>(B160+C160+H160+I160+P160+Q160+R160)/(DEN!C150+DEN!F150+DEN!G150+DEN!L150)</f>
        <v>#DIV/0!</v>
      </c>
      <c r="V160" s="734" t="e">
        <f>SUM(D160:G160)/SUM(DEN!I150:J150)</f>
        <v>#DIV/0!</v>
      </c>
      <c r="W160" s="734" t="e">
        <f>SUM(J160:L160)/SUM(DEN!D150:E150)</f>
        <v>#DIV/0!</v>
      </c>
      <c r="X160" s="735" t="e">
        <f>SUM(M160:O160)/(DEN!H150+DEN!K150)</f>
        <v>#DIV/0!</v>
      </c>
      <c r="Z160" s="665" t="e">
        <f>V160*(DEN!I150+DEN!J150)</f>
        <v>#DIV/0!</v>
      </c>
      <c r="AB160" s="733" t="e">
        <f t="shared" si="55"/>
        <v>#DIV/0!</v>
      </c>
      <c r="AC160" s="734" t="e">
        <f t="shared" si="56"/>
        <v>#DIV/0!</v>
      </c>
      <c r="AD160" s="734" t="e">
        <f t="shared" si="57"/>
        <v>#DIV/0!</v>
      </c>
      <c r="AE160" s="735" t="e">
        <f t="shared" si="58"/>
        <v>#DIV/0!</v>
      </c>
      <c r="AG160" s="944" t="e">
        <f t="shared" si="59"/>
        <v>#DIV/0!</v>
      </c>
      <c r="AH160" s="944" t="e">
        <f t="shared" si="51"/>
        <v>#DIV/0!</v>
      </c>
      <c r="AI160" s="944" t="e">
        <f t="shared" si="52"/>
        <v>#DIV/0!</v>
      </c>
      <c r="AJ160" s="944" t="e">
        <f t="shared" si="53"/>
        <v>#DIV/0!</v>
      </c>
    </row>
    <row r="161" spans="1:36" ht="15.75" thickBot="1">
      <c r="A161" s="127" t="s">
        <v>15</v>
      </c>
      <c r="B161" s="291" t="e">
        <f>KMA!B161*FRO_TOT!B161</f>
        <v>#DIV/0!</v>
      </c>
      <c r="C161" s="291" t="e">
        <f>KMA!C161*FRO_TOT!C161</f>
        <v>#DIV/0!</v>
      </c>
      <c r="D161" s="291" t="e">
        <f>KMA!D161*FRO_TOT!D161</f>
        <v>#DIV/0!</v>
      </c>
      <c r="E161" s="291" t="e">
        <f>KMA!E161*FRO_TOT!E161</f>
        <v>#DIV/0!</v>
      </c>
      <c r="F161" s="291" t="e">
        <f>KMA!F161*FRO_TOT!F161</f>
        <v>#DIV/0!</v>
      </c>
      <c r="G161" s="291" t="e">
        <f>KMA!G161*FRO_TOT!G161</f>
        <v>#DIV/0!</v>
      </c>
      <c r="H161" s="291" t="e">
        <f>KMA!H161*FRO_TOT!H161</f>
        <v>#DIV/0!</v>
      </c>
      <c r="I161" s="291" t="e">
        <f>KMA!I161*FRO_TOT!I161</f>
        <v>#DIV/0!</v>
      </c>
      <c r="J161" s="291" t="e">
        <f>KMA!J161*FRO_TOT!J161</f>
        <v>#DIV/0!</v>
      </c>
      <c r="K161" s="291" t="e">
        <f>KMA!K161*FRO_TOT!K161</f>
        <v>#DIV/0!</v>
      </c>
      <c r="L161" s="291" t="e">
        <f>KMA!L161*FRO_TOT!L161</f>
        <v>#DIV/0!</v>
      </c>
      <c r="M161" s="291" t="e">
        <f>KMA!M161*FRO_TOT!M161</f>
        <v>#DIV/0!</v>
      </c>
      <c r="N161" s="291" t="e">
        <f>KMA!N161*FRO_TOT!N161</f>
        <v>#DIV/0!</v>
      </c>
      <c r="O161" s="291" t="e">
        <f>KMA!O161*FRO_TOT!O161</f>
        <v>#DIV/0!</v>
      </c>
      <c r="P161" s="291" t="e">
        <f>KMA!P161*FRO_TOT!P161</f>
        <v>#DIV/0!</v>
      </c>
      <c r="Q161" s="291" t="e">
        <f>KMA!Q161*FRO_TOT!Q161</f>
        <v>#DIV/0!</v>
      </c>
      <c r="R161" s="291">
        <f>KMA!R161*FRO_TOT!R161</f>
        <v>0</v>
      </c>
      <c r="S161" s="690" t="e">
        <f t="shared" si="54"/>
        <v>#DIV/0!</v>
      </c>
      <c r="U161" s="733" t="e">
        <f>(B161+C161+H161+I161+P161+Q161+R161)/(DEN!C151+DEN!F151+DEN!G151+DEN!L151)</f>
        <v>#DIV/0!</v>
      </c>
      <c r="V161" s="734" t="e">
        <f>SUM(D161:G161)/SUM(DEN!I151:J151)</f>
        <v>#DIV/0!</v>
      </c>
      <c r="W161" s="734" t="e">
        <f>SUM(J161:L161)/SUM(DEN!D151:E151)</f>
        <v>#DIV/0!</v>
      </c>
      <c r="X161" s="735" t="e">
        <f>SUM(M161:O161)/(DEN!H151+DEN!K151)</f>
        <v>#DIV/0!</v>
      </c>
      <c r="Z161" s="665" t="e">
        <f>V161*(DEN!I151+DEN!J151)</f>
        <v>#DIV/0!</v>
      </c>
      <c r="AB161" s="733" t="e">
        <f t="shared" si="55"/>
        <v>#DIV/0!</v>
      </c>
      <c r="AC161" s="734" t="e">
        <f t="shared" si="56"/>
        <v>#DIV/0!</v>
      </c>
      <c r="AD161" s="734" t="e">
        <f t="shared" si="57"/>
        <v>#DIV/0!</v>
      </c>
      <c r="AE161" s="735" t="e">
        <f t="shared" si="58"/>
        <v>#DIV/0!</v>
      </c>
      <c r="AG161" s="944" t="e">
        <f t="shared" si="59"/>
        <v>#DIV/0!</v>
      </c>
      <c r="AH161" s="944" t="e">
        <f t="shared" si="51"/>
        <v>#DIV/0!</v>
      </c>
      <c r="AI161" s="944" t="e">
        <f t="shared" si="52"/>
        <v>#DIV/0!</v>
      </c>
      <c r="AJ161" s="944" t="e">
        <f t="shared" si="53"/>
        <v>#DIV/0!</v>
      </c>
    </row>
    <row r="162" spans="1:36" ht="15.75" thickBot="1">
      <c r="A162" s="127" t="s">
        <v>16</v>
      </c>
      <c r="B162" s="291" t="e">
        <f>KMA!B162*FRO_TOT!B162</f>
        <v>#DIV/0!</v>
      </c>
      <c r="C162" s="291" t="e">
        <f>KMA!C162*FRO_TOT!C162</f>
        <v>#DIV/0!</v>
      </c>
      <c r="D162" s="291" t="e">
        <f>KMA!D162*FRO_TOT!D162</f>
        <v>#DIV/0!</v>
      </c>
      <c r="E162" s="291" t="e">
        <f>KMA!E162*FRO_TOT!E162</f>
        <v>#DIV/0!</v>
      </c>
      <c r="F162" s="291" t="e">
        <f>KMA!F162*FRO_TOT!F162</f>
        <v>#DIV/0!</v>
      </c>
      <c r="G162" s="291" t="e">
        <f>KMA!G162*FRO_TOT!G162</f>
        <v>#DIV/0!</v>
      </c>
      <c r="H162" s="291" t="e">
        <f>KMA!H162*FRO_TOT!H162</f>
        <v>#DIV/0!</v>
      </c>
      <c r="I162" s="291" t="e">
        <f>KMA!I162*FRO_TOT!I162</f>
        <v>#DIV/0!</v>
      </c>
      <c r="J162" s="291" t="e">
        <f>KMA!J162*FRO_TOT!J162</f>
        <v>#DIV/0!</v>
      </c>
      <c r="K162" s="291" t="e">
        <f>KMA!K162*FRO_TOT!K162</f>
        <v>#DIV/0!</v>
      </c>
      <c r="L162" s="291" t="e">
        <f>KMA!L162*FRO_TOT!L162</f>
        <v>#DIV/0!</v>
      </c>
      <c r="M162" s="291" t="e">
        <f>KMA!M162*FRO_TOT!M162</f>
        <v>#DIV/0!</v>
      </c>
      <c r="N162" s="291" t="e">
        <f>KMA!N162*FRO_TOT!N162</f>
        <v>#DIV/0!</v>
      </c>
      <c r="O162" s="291" t="e">
        <f>KMA!O162*FRO_TOT!O162</f>
        <v>#DIV/0!</v>
      </c>
      <c r="P162" s="291" t="e">
        <f>KMA!P162*FRO_TOT!P162</f>
        <v>#DIV/0!</v>
      </c>
      <c r="Q162" s="291" t="e">
        <f>KMA!Q162*FRO_TOT!Q162</f>
        <v>#DIV/0!</v>
      </c>
      <c r="R162" s="291">
        <f>KMA!R162*FRO_TOT!R162</f>
        <v>0</v>
      </c>
      <c r="S162" s="690" t="e">
        <f t="shared" si="54"/>
        <v>#DIV/0!</v>
      </c>
      <c r="U162" s="733" t="e">
        <f>(B162+C162+H162+I162+P162+Q162+R162)/(DEN!C152+DEN!F152+DEN!G152+DEN!L152)</f>
        <v>#DIV/0!</v>
      </c>
      <c r="V162" s="734" t="e">
        <f>SUM(D162:G162)/SUM(DEN!I152:J152)</f>
        <v>#DIV/0!</v>
      </c>
      <c r="W162" s="734" t="e">
        <f>SUM(J162:L162)/SUM(DEN!D152:E152)</f>
        <v>#DIV/0!</v>
      </c>
      <c r="X162" s="735" t="e">
        <f>SUM(M162:O162)/(DEN!H152+DEN!K152)</f>
        <v>#DIV/0!</v>
      </c>
      <c r="Z162" s="665" t="e">
        <f>V162*(DEN!I152+DEN!J152)</f>
        <v>#DIV/0!</v>
      </c>
      <c r="AB162" s="733" t="e">
        <f t="shared" si="55"/>
        <v>#DIV/0!</v>
      </c>
      <c r="AC162" s="734" t="e">
        <f t="shared" si="56"/>
        <v>#DIV/0!</v>
      </c>
      <c r="AD162" s="734" t="e">
        <f t="shared" si="57"/>
        <v>#DIV/0!</v>
      </c>
      <c r="AE162" s="735" t="e">
        <f t="shared" si="58"/>
        <v>#DIV/0!</v>
      </c>
      <c r="AG162" s="944" t="e">
        <f t="shared" si="59"/>
        <v>#DIV/0!</v>
      </c>
      <c r="AH162" s="944" t="e">
        <f t="shared" si="51"/>
        <v>#DIV/0!</v>
      </c>
      <c r="AI162" s="944" t="e">
        <f t="shared" si="52"/>
        <v>#DIV/0!</v>
      </c>
      <c r="AJ162" s="944" t="e">
        <f t="shared" si="53"/>
        <v>#DIV/0!</v>
      </c>
    </row>
    <row r="163" spans="1:36" ht="15.75" thickBot="1">
      <c r="A163" s="127" t="s">
        <v>17</v>
      </c>
      <c r="B163" s="291" t="e">
        <f>KMA!B163*FRO_TOT!B163</f>
        <v>#DIV/0!</v>
      </c>
      <c r="C163" s="291" t="e">
        <f>KMA!C163*FRO_TOT!C163</f>
        <v>#DIV/0!</v>
      </c>
      <c r="D163" s="291" t="e">
        <f>KMA!D163*FRO_TOT!D163</f>
        <v>#DIV/0!</v>
      </c>
      <c r="E163" s="291" t="e">
        <f>KMA!E163*FRO_TOT!E163</f>
        <v>#DIV/0!</v>
      </c>
      <c r="F163" s="291" t="e">
        <f>KMA!F163*FRO_TOT!F163</f>
        <v>#DIV/0!</v>
      </c>
      <c r="G163" s="291" t="e">
        <f>KMA!G163*FRO_TOT!G163</f>
        <v>#DIV/0!</v>
      </c>
      <c r="H163" s="291" t="e">
        <f>KMA!H163*FRO_TOT!H163</f>
        <v>#DIV/0!</v>
      </c>
      <c r="I163" s="291" t="e">
        <f>KMA!I163*FRO_TOT!I163</f>
        <v>#DIV/0!</v>
      </c>
      <c r="J163" s="291" t="e">
        <f>KMA!J163*FRO_TOT!J163</f>
        <v>#DIV/0!</v>
      </c>
      <c r="K163" s="291" t="e">
        <f>KMA!K163*FRO_TOT!K163</f>
        <v>#DIV/0!</v>
      </c>
      <c r="L163" s="291" t="e">
        <f>KMA!L163*FRO_TOT!L163</f>
        <v>#DIV/0!</v>
      </c>
      <c r="M163" s="291" t="e">
        <f>KMA!M163*FRO_TOT!M163</f>
        <v>#DIV/0!</v>
      </c>
      <c r="N163" s="291" t="e">
        <f>KMA!N163*FRO_TOT!N163</f>
        <v>#DIV/0!</v>
      </c>
      <c r="O163" s="291" t="e">
        <f>KMA!O163*FRO_TOT!O163</f>
        <v>#DIV/0!</v>
      </c>
      <c r="P163" s="291" t="e">
        <f>KMA!P163*FRO_TOT!P163</f>
        <v>#DIV/0!</v>
      </c>
      <c r="Q163" s="291" t="e">
        <f>KMA!Q163*FRO_TOT!Q163</f>
        <v>#DIV/0!</v>
      </c>
      <c r="R163" s="291">
        <f>KMA!R163*FRO_TOT!R163</f>
        <v>0</v>
      </c>
      <c r="S163" s="690" t="e">
        <f t="shared" si="54"/>
        <v>#DIV/0!</v>
      </c>
      <c r="U163" s="733" t="e">
        <f>(B163+C163+H163+I163+P163+Q163+R163)/(DEN!C153+DEN!F153+DEN!G153+DEN!L153)</f>
        <v>#DIV/0!</v>
      </c>
      <c r="V163" s="734" t="e">
        <f>SUM(D163:G163)/SUM(DEN!I153:J153)</f>
        <v>#DIV/0!</v>
      </c>
      <c r="W163" s="734" t="e">
        <f>SUM(J163:L163)/SUM(DEN!D153:E153)</f>
        <v>#DIV/0!</v>
      </c>
      <c r="X163" s="735" t="e">
        <f>SUM(M163:O163)/(DEN!H153+DEN!K153)</f>
        <v>#DIV/0!</v>
      </c>
      <c r="Z163" s="665" t="e">
        <f>V163*(DEN!I153+DEN!J153)</f>
        <v>#DIV/0!</v>
      </c>
      <c r="AB163" s="733" t="e">
        <f t="shared" si="55"/>
        <v>#DIV/0!</v>
      </c>
      <c r="AC163" s="734" t="e">
        <f t="shared" si="56"/>
        <v>#DIV/0!</v>
      </c>
      <c r="AD163" s="734" t="e">
        <f t="shared" si="57"/>
        <v>#DIV/0!</v>
      </c>
      <c r="AE163" s="735" t="e">
        <f t="shared" si="58"/>
        <v>#DIV/0!</v>
      </c>
      <c r="AG163" s="944" t="e">
        <f t="shared" si="59"/>
        <v>#DIV/0!</v>
      </c>
      <c r="AH163" s="944" t="e">
        <f t="shared" si="51"/>
        <v>#DIV/0!</v>
      </c>
      <c r="AI163" s="944" t="e">
        <f t="shared" si="52"/>
        <v>#DIV/0!</v>
      </c>
      <c r="AJ163" s="944" t="e">
        <f t="shared" si="53"/>
        <v>#DIV/0!</v>
      </c>
    </row>
    <row r="164" spans="1:36" ht="15.75" thickBot="1">
      <c r="A164" s="127" t="s">
        <v>18</v>
      </c>
      <c r="B164" s="291" t="e">
        <f>KMA!B164*FRO_TOT!B164</f>
        <v>#DIV/0!</v>
      </c>
      <c r="C164" s="291" t="e">
        <f>KMA!C164*FRO_TOT!C164</f>
        <v>#DIV/0!</v>
      </c>
      <c r="D164" s="291" t="e">
        <f>KMA!D164*FRO_TOT!D164</f>
        <v>#DIV/0!</v>
      </c>
      <c r="E164" s="291" t="e">
        <f>KMA!E164*FRO_TOT!E164</f>
        <v>#DIV/0!</v>
      </c>
      <c r="F164" s="291" t="e">
        <f>KMA!F164*FRO_TOT!F164</f>
        <v>#DIV/0!</v>
      </c>
      <c r="G164" s="291" t="e">
        <f>KMA!G164*FRO_TOT!G164</f>
        <v>#DIV/0!</v>
      </c>
      <c r="H164" s="291" t="e">
        <f>KMA!H164*FRO_TOT!H164</f>
        <v>#DIV/0!</v>
      </c>
      <c r="I164" s="291" t="e">
        <f>KMA!I164*FRO_TOT!I164</f>
        <v>#DIV/0!</v>
      </c>
      <c r="J164" s="291" t="e">
        <f>KMA!J164*FRO_TOT!J164</f>
        <v>#DIV/0!</v>
      </c>
      <c r="K164" s="291" t="e">
        <f>KMA!K164*FRO_TOT!K164</f>
        <v>#DIV/0!</v>
      </c>
      <c r="L164" s="291" t="e">
        <f>KMA!L164*FRO_TOT!L164</f>
        <v>#DIV/0!</v>
      </c>
      <c r="M164" s="291" t="e">
        <f>KMA!M164*FRO_TOT!M164</f>
        <v>#DIV/0!</v>
      </c>
      <c r="N164" s="291" t="e">
        <f>KMA!N164*FRO_TOT!N164</f>
        <v>#DIV/0!</v>
      </c>
      <c r="O164" s="291" t="e">
        <f>KMA!O164*FRO_TOT!O164</f>
        <v>#DIV/0!</v>
      </c>
      <c r="P164" s="291" t="e">
        <f>KMA!P164*FRO_TOT!P164</f>
        <v>#DIV/0!</v>
      </c>
      <c r="Q164" s="291" t="e">
        <f>KMA!Q164*FRO_TOT!Q164</f>
        <v>#DIV/0!</v>
      </c>
      <c r="R164" s="291">
        <f>KMA!R164*FRO_TOT!R164</f>
        <v>0</v>
      </c>
      <c r="S164" s="690" t="e">
        <f t="shared" si="54"/>
        <v>#DIV/0!</v>
      </c>
      <c r="U164" s="733" t="e">
        <f>(B164+C164+H164+I164+P164+Q164+R164)/(DEN!C154+DEN!F154+DEN!G154+DEN!L154)</f>
        <v>#DIV/0!</v>
      </c>
      <c r="V164" s="734" t="e">
        <f>SUM(D164:G164)/SUM(DEN!I154:J154)</f>
        <v>#DIV/0!</v>
      </c>
      <c r="W164" s="734" t="e">
        <f>SUM(J164:L164)/SUM(DEN!D154:E154)</f>
        <v>#DIV/0!</v>
      </c>
      <c r="X164" s="735" t="e">
        <f>SUM(M164:O164)/(DEN!H154+DEN!K154)</f>
        <v>#DIV/0!</v>
      </c>
      <c r="Z164" s="665" t="e">
        <f>V164*(DEN!I154+DEN!J154)</f>
        <v>#DIV/0!</v>
      </c>
      <c r="AB164" s="733" t="e">
        <f t="shared" si="55"/>
        <v>#DIV/0!</v>
      </c>
      <c r="AC164" s="734" t="e">
        <f t="shared" si="56"/>
        <v>#DIV/0!</v>
      </c>
      <c r="AD164" s="734" t="e">
        <f t="shared" si="57"/>
        <v>#DIV/0!</v>
      </c>
      <c r="AE164" s="735" t="e">
        <f t="shared" si="58"/>
        <v>#DIV/0!</v>
      </c>
      <c r="AG164" s="944" t="e">
        <f t="shared" si="59"/>
        <v>#DIV/0!</v>
      </c>
      <c r="AH164" s="944" t="e">
        <f t="shared" si="51"/>
        <v>#DIV/0!</v>
      </c>
      <c r="AI164" s="944" t="e">
        <f t="shared" si="52"/>
        <v>#DIV/0!</v>
      </c>
      <c r="AJ164" s="944" t="e">
        <f t="shared" si="53"/>
        <v>#DIV/0!</v>
      </c>
    </row>
    <row r="165" spans="1:36" ht="15.75" thickBot="1">
      <c r="A165" s="128" t="s">
        <v>19</v>
      </c>
      <c r="B165" s="291" t="e">
        <f>KMA!B165*FRO_TOT!B165</f>
        <v>#DIV/0!</v>
      </c>
      <c r="C165" s="291" t="e">
        <f>KMA!C165*FRO_TOT!C165</f>
        <v>#DIV/0!</v>
      </c>
      <c r="D165" s="291" t="e">
        <f>KMA!D165*FRO_TOT!D165</f>
        <v>#DIV/0!</v>
      </c>
      <c r="E165" s="291" t="e">
        <f>KMA!E165*FRO_TOT!E165</f>
        <v>#DIV/0!</v>
      </c>
      <c r="F165" s="291" t="e">
        <f>KMA!F165*FRO_TOT!F165</f>
        <v>#DIV/0!</v>
      </c>
      <c r="G165" s="291" t="e">
        <f>KMA!G165*FRO_TOT!G165</f>
        <v>#DIV/0!</v>
      </c>
      <c r="H165" s="291" t="e">
        <f>KMA!H165*FRO_TOT!H165</f>
        <v>#DIV/0!</v>
      </c>
      <c r="I165" s="291" t="e">
        <f>KMA!I165*FRO_TOT!I165</f>
        <v>#DIV/0!</v>
      </c>
      <c r="J165" s="291" t="e">
        <f>KMA!J165*FRO_TOT!J165</f>
        <v>#DIV/0!</v>
      </c>
      <c r="K165" s="291" t="e">
        <f>KMA!K165*FRO_TOT!K165</f>
        <v>#DIV/0!</v>
      </c>
      <c r="L165" s="291" t="e">
        <f>KMA!L165*FRO_TOT!L165</f>
        <v>#DIV/0!</v>
      </c>
      <c r="M165" s="291" t="e">
        <f>KMA!M165*FRO_TOT!M165</f>
        <v>#DIV/0!</v>
      </c>
      <c r="N165" s="291" t="e">
        <f>KMA!N165*FRO_TOT!N165</f>
        <v>#DIV/0!</v>
      </c>
      <c r="O165" s="291" t="e">
        <f>KMA!O165*FRO_TOT!O165</f>
        <v>#DIV/0!</v>
      </c>
      <c r="P165" s="291" t="e">
        <f>KMA!P165*FRO_TOT!P165</f>
        <v>#DIV/0!</v>
      </c>
      <c r="Q165" s="291" t="e">
        <f>KMA!Q165*FRO_TOT!Q165</f>
        <v>#DIV/0!</v>
      </c>
      <c r="R165" s="291">
        <f>KMA!R165*FRO_TOT!R165</f>
        <v>0</v>
      </c>
      <c r="S165" s="690" t="e">
        <f t="shared" si="54"/>
        <v>#DIV/0!</v>
      </c>
      <c r="U165" s="733" t="e">
        <f>(B165+C165+H165+I165+P165+Q165+R165)/(DEN!C155+DEN!F155+DEN!G155+DEN!L155)</f>
        <v>#DIV/0!</v>
      </c>
      <c r="V165" s="734" t="e">
        <f>SUM(D165:G165)/SUM(DEN!I155:J155)</f>
        <v>#DIV/0!</v>
      </c>
      <c r="W165" s="734" t="e">
        <f>SUM(J165:L165)/SUM(DEN!D155:E155)</f>
        <v>#DIV/0!</v>
      </c>
      <c r="X165" s="735" t="e">
        <f>SUM(M165:O165)/(DEN!H155+DEN!K155)</f>
        <v>#DIV/0!</v>
      </c>
      <c r="Z165" s="665" t="e">
        <f>V165*(DEN!I155+DEN!J155)</f>
        <v>#DIV/0!</v>
      </c>
      <c r="AB165" s="733" t="e">
        <f t="shared" si="55"/>
        <v>#DIV/0!</v>
      </c>
      <c r="AC165" s="734" t="e">
        <f t="shared" si="56"/>
        <v>#DIV/0!</v>
      </c>
      <c r="AD165" s="734" t="e">
        <f t="shared" si="57"/>
        <v>#DIV/0!</v>
      </c>
      <c r="AE165" s="735" t="e">
        <f t="shared" si="58"/>
        <v>#DIV/0!</v>
      </c>
      <c r="AG165" s="944" t="e">
        <f t="shared" si="59"/>
        <v>#DIV/0!</v>
      </c>
      <c r="AH165" s="944" t="e">
        <f t="shared" si="51"/>
        <v>#DIV/0!</v>
      </c>
      <c r="AI165" s="944" t="e">
        <f t="shared" si="52"/>
        <v>#DIV/0!</v>
      </c>
      <c r="AJ165" s="944" t="e">
        <f t="shared" si="53"/>
        <v>#DIV/0!</v>
      </c>
    </row>
    <row r="166" spans="1:36" ht="15.75" thickBot="1">
      <c r="A166" s="269" t="s">
        <v>54</v>
      </c>
      <c r="B166" s="291" t="e">
        <f>KMA!B166*FRO_TOT!B166</f>
        <v>#DIV/0!</v>
      </c>
      <c r="C166" s="291" t="e">
        <f>KMA!C166*FRO_TOT!C166</f>
        <v>#DIV/0!</v>
      </c>
      <c r="D166" s="291" t="e">
        <f>KMA!D166*FRO_TOT!D166</f>
        <v>#DIV/0!</v>
      </c>
      <c r="E166" s="291" t="e">
        <f>KMA!E166*FRO_TOT!E166</f>
        <v>#DIV/0!</v>
      </c>
      <c r="F166" s="291" t="e">
        <f>KMA!F166*FRO_TOT!F166</f>
        <v>#DIV/0!</v>
      </c>
      <c r="G166" s="291" t="e">
        <f>KMA!G166*FRO_TOT!G166</f>
        <v>#DIV/0!</v>
      </c>
      <c r="H166" s="291" t="e">
        <f>KMA!H166*FRO_TOT!H166</f>
        <v>#DIV/0!</v>
      </c>
      <c r="I166" s="291" t="e">
        <f>KMA!I166*FRO_TOT!I166</f>
        <v>#DIV/0!</v>
      </c>
      <c r="J166" s="291" t="e">
        <f>KMA!J166*FRO_TOT!J166</f>
        <v>#DIV/0!</v>
      </c>
      <c r="K166" s="291" t="e">
        <f>KMA!K166*FRO_TOT!K166</f>
        <v>#DIV/0!</v>
      </c>
      <c r="L166" s="291" t="e">
        <f>KMA!L166*FRO_TOT!L166</f>
        <v>#DIV/0!</v>
      </c>
      <c r="M166" s="291" t="e">
        <f>KMA!M166*FRO_TOT!M166</f>
        <v>#DIV/0!</v>
      </c>
      <c r="N166" s="291" t="e">
        <f>KMA!N166*FRO_TOT!N166</f>
        <v>#DIV/0!</v>
      </c>
      <c r="O166" s="291" t="e">
        <f>KMA!O166*FRO_TOT!O166</f>
        <v>#DIV/0!</v>
      </c>
      <c r="P166" s="291" t="e">
        <f>KMA!P166*FRO_TOT!P166</f>
        <v>#DIV/0!</v>
      </c>
      <c r="Q166" s="291" t="e">
        <f>KMA!Q166*FRO_TOT!Q166</f>
        <v>#DIV/0!</v>
      </c>
      <c r="R166" s="291">
        <f>KMA!R166*FRO_TOT!R166</f>
        <v>0</v>
      </c>
      <c r="S166" s="690" t="e">
        <f t="shared" si="54"/>
        <v>#DIV/0!</v>
      </c>
      <c r="U166" s="733" t="e">
        <f>(B166+C166+H166+I166+P166+Q166+R166)/(DEN!C156+DEN!F156+DEN!G156+DEN!L156)</f>
        <v>#DIV/0!</v>
      </c>
      <c r="V166" s="734" t="e">
        <f>SUM(D166:G166)/SUM(DEN!I156:J156)</f>
        <v>#DIV/0!</v>
      </c>
      <c r="W166" s="734" t="e">
        <f>SUM(J166:L166)/SUM(DEN!D156:E156)</f>
        <v>#DIV/0!</v>
      </c>
      <c r="X166" s="735" t="e">
        <f>SUM(M166:O166)/(DEN!H156+DEN!K156)</f>
        <v>#DIV/0!</v>
      </c>
      <c r="AB166" s="733" t="e">
        <f t="shared" si="55"/>
        <v>#DIV/0!</v>
      </c>
      <c r="AC166" s="734" t="e">
        <f t="shared" si="56"/>
        <v>#DIV/0!</v>
      </c>
      <c r="AD166" s="734" t="e">
        <f t="shared" si="57"/>
        <v>#DIV/0!</v>
      </c>
      <c r="AE166" s="735" t="e">
        <f t="shared" si="58"/>
        <v>#DIV/0!</v>
      </c>
      <c r="AG166" s="944" t="e">
        <f t="shared" si="59"/>
        <v>#DIV/0!</v>
      </c>
      <c r="AH166" s="944" t="e">
        <f t="shared" si="51"/>
        <v>#DIV/0!</v>
      </c>
      <c r="AI166" s="944" t="e">
        <f t="shared" si="52"/>
        <v>#DIV/0!</v>
      </c>
      <c r="AJ166" s="944" t="e">
        <f t="shared" si="53"/>
        <v>#DIV/0!</v>
      </c>
    </row>
    <row r="167" spans="1:36" ht="15.75" thickBot="1">
      <c r="A167" s="127" t="s">
        <v>21</v>
      </c>
      <c r="B167" s="291" t="e">
        <f>KMA!B167*FRO_TOT!B167</f>
        <v>#DIV/0!</v>
      </c>
      <c r="C167" s="291" t="e">
        <f>KMA!C167*FRO_TOT!C167</f>
        <v>#DIV/0!</v>
      </c>
      <c r="D167" s="291" t="e">
        <f>KMA!D167*FRO_TOT!D167</f>
        <v>#DIV/0!</v>
      </c>
      <c r="E167" s="291" t="e">
        <f>KMA!E167*FRO_TOT!E167</f>
        <v>#DIV/0!</v>
      </c>
      <c r="F167" s="291" t="e">
        <f>KMA!F167*FRO_TOT!F167</f>
        <v>#DIV/0!</v>
      </c>
      <c r="G167" s="291" t="e">
        <f>KMA!G167*FRO_TOT!G167</f>
        <v>#DIV/0!</v>
      </c>
      <c r="H167" s="291" t="e">
        <f>KMA!H167*FRO_TOT!H167</f>
        <v>#DIV/0!</v>
      </c>
      <c r="I167" s="291" t="e">
        <f>KMA!I167*FRO_TOT!I167</f>
        <v>#DIV/0!</v>
      </c>
      <c r="J167" s="291" t="e">
        <f>KMA!J167*FRO_TOT!J167</f>
        <v>#DIV/0!</v>
      </c>
      <c r="K167" s="291" t="e">
        <f>KMA!K167*FRO_TOT!K167</f>
        <v>#DIV/0!</v>
      </c>
      <c r="L167" s="291" t="e">
        <f>KMA!L167*FRO_TOT!L167</f>
        <v>#DIV/0!</v>
      </c>
      <c r="M167" s="291" t="e">
        <f>KMA!M167*FRO_TOT!M167</f>
        <v>#DIV/0!</v>
      </c>
      <c r="N167" s="291" t="e">
        <f>KMA!N167*FRO_TOT!N167</f>
        <v>#DIV/0!</v>
      </c>
      <c r="O167" s="291" t="e">
        <f>KMA!O167*FRO_TOT!O167</f>
        <v>#DIV/0!</v>
      </c>
      <c r="P167" s="291" t="e">
        <f>KMA!P167*FRO_TOT!P167</f>
        <v>#DIV/0!</v>
      </c>
      <c r="Q167" s="291" t="e">
        <f>KMA!Q167*FRO_TOT!Q167</f>
        <v>#DIV/0!</v>
      </c>
      <c r="R167" s="291">
        <f>KMA!R167*FRO_TOT!R167</f>
        <v>0</v>
      </c>
      <c r="S167" s="690" t="e">
        <f t="shared" si="54"/>
        <v>#DIV/0!</v>
      </c>
      <c r="U167" s="733" t="e">
        <f>(B167+C167+H167+I167+P167+Q167+R167)/(DEN!C157+DEN!F157+DEN!G157+DEN!L157)</f>
        <v>#DIV/0!</v>
      </c>
      <c r="V167" s="734" t="e">
        <f>SUM(D167:G167)/SUM(DEN!I157:J157)</f>
        <v>#DIV/0!</v>
      </c>
      <c r="W167" s="734" t="e">
        <f>SUM(J167:L167)/SUM(DEN!D157:E157)</f>
        <v>#DIV/0!</v>
      </c>
      <c r="X167" s="735" t="e">
        <f>SUM(M167:O167)/(DEN!H157+DEN!K157)</f>
        <v>#DIV/0!</v>
      </c>
      <c r="Z167" s="665" t="e">
        <f>V167*(DEN!I157+DEN!J157)</f>
        <v>#DIV/0!</v>
      </c>
      <c r="AB167" s="733" t="e">
        <f t="shared" si="55"/>
        <v>#DIV/0!</v>
      </c>
      <c r="AC167" s="734" t="e">
        <f t="shared" si="56"/>
        <v>#DIV/0!</v>
      </c>
      <c r="AD167" s="734" t="e">
        <f t="shared" si="57"/>
        <v>#DIV/0!</v>
      </c>
      <c r="AE167" s="735" t="e">
        <f t="shared" si="58"/>
        <v>#DIV/0!</v>
      </c>
      <c r="AG167" s="944" t="e">
        <f t="shared" si="59"/>
        <v>#DIV/0!</v>
      </c>
      <c r="AH167" s="944" t="e">
        <f t="shared" si="51"/>
        <v>#DIV/0!</v>
      </c>
      <c r="AI167" s="944" t="e">
        <f t="shared" si="52"/>
        <v>#DIV/0!</v>
      </c>
      <c r="AJ167" s="944" t="e">
        <f t="shared" si="53"/>
        <v>#DIV/0!</v>
      </c>
    </row>
    <row r="168" spans="1:36" ht="15.75" thickBot="1">
      <c r="A168" s="127" t="s">
        <v>22</v>
      </c>
      <c r="B168" s="291" t="e">
        <f>KMA!B168*FRO_TOT!B168</f>
        <v>#DIV/0!</v>
      </c>
      <c r="C168" s="291" t="e">
        <f>KMA!C168*FRO_TOT!C168</f>
        <v>#DIV/0!</v>
      </c>
      <c r="D168" s="291" t="e">
        <f>KMA!D168*FRO_TOT!D168</f>
        <v>#DIV/0!</v>
      </c>
      <c r="E168" s="291" t="e">
        <f>KMA!E168*FRO_TOT!E168</f>
        <v>#DIV/0!</v>
      </c>
      <c r="F168" s="291" t="e">
        <f>KMA!F168*FRO_TOT!F168</f>
        <v>#DIV/0!</v>
      </c>
      <c r="G168" s="291" t="e">
        <f>KMA!G168*FRO_TOT!G168</f>
        <v>#DIV/0!</v>
      </c>
      <c r="H168" s="291" t="e">
        <f>KMA!H168*FRO_TOT!H168</f>
        <v>#DIV/0!</v>
      </c>
      <c r="I168" s="291" t="e">
        <f>KMA!I168*FRO_TOT!I168</f>
        <v>#DIV/0!</v>
      </c>
      <c r="J168" s="291" t="e">
        <f>KMA!J168*FRO_TOT!J168</f>
        <v>#DIV/0!</v>
      </c>
      <c r="K168" s="291" t="e">
        <f>KMA!K168*FRO_TOT!K168</f>
        <v>#DIV/0!</v>
      </c>
      <c r="L168" s="291" t="e">
        <f>KMA!L168*FRO_TOT!L168</f>
        <v>#DIV/0!</v>
      </c>
      <c r="M168" s="291" t="e">
        <f>KMA!M168*FRO_TOT!M168</f>
        <v>#DIV/0!</v>
      </c>
      <c r="N168" s="291" t="e">
        <f>KMA!N168*FRO_TOT!N168</f>
        <v>#DIV/0!</v>
      </c>
      <c r="O168" s="291" t="e">
        <f>KMA!O168*FRO_TOT!O168</f>
        <v>#DIV/0!</v>
      </c>
      <c r="P168" s="291" t="e">
        <f>KMA!P168*FRO_TOT!P168</f>
        <v>#DIV/0!</v>
      </c>
      <c r="Q168" s="291" t="e">
        <f>KMA!Q168*FRO_TOT!Q168</f>
        <v>#DIV/0!</v>
      </c>
      <c r="R168" s="291">
        <f>KMA!R168*FRO_TOT!R168</f>
        <v>0</v>
      </c>
      <c r="S168" s="690" t="e">
        <f t="shared" si="54"/>
        <v>#DIV/0!</v>
      </c>
      <c r="U168" s="733" t="e">
        <f>(B168+C168+H168+I168+P168+Q168+R168)/(DEN!C158+DEN!F158+DEN!G158+DEN!L158)</f>
        <v>#DIV/0!</v>
      </c>
      <c r="V168" s="734" t="e">
        <f>SUM(D168:G168)/SUM(DEN!I158:J158)</f>
        <v>#DIV/0!</v>
      </c>
      <c r="W168" s="734" t="e">
        <f>SUM(J168:L168)/SUM(DEN!D158:E158)</f>
        <v>#DIV/0!</v>
      </c>
      <c r="X168" s="735" t="e">
        <f>SUM(M168:O168)/(DEN!H158+DEN!K158)</f>
        <v>#DIV/0!</v>
      </c>
      <c r="Z168" s="665" t="e">
        <f>V168*(DEN!I158+DEN!J158)</f>
        <v>#DIV/0!</v>
      </c>
      <c r="AB168" s="733" t="e">
        <f t="shared" si="55"/>
        <v>#DIV/0!</v>
      </c>
      <c r="AC168" s="734" t="e">
        <f t="shared" si="56"/>
        <v>#DIV/0!</v>
      </c>
      <c r="AD168" s="734" t="e">
        <f t="shared" si="57"/>
        <v>#DIV/0!</v>
      </c>
      <c r="AE168" s="735" t="e">
        <f t="shared" si="58"/>
        <v>#DIV/0!</v>
      </c>
      <c r="AG168" s="944" t="e">
        <f t="shared" si="59"/>
        <v>#DIV/0!</v>
      </c>
      <c r="AH168" s="944" t="e">
        <f t="shared" si="51"/>
        <v>#DIV/0!</v>
      </c>
      <c r="AI168" s="944" t="e">
        <f t="shared" si="52"/>
        <v>#DIV/0!</v>
      </c>
      <c r="AJ168" s="944" t="e">
        <f t="shared" si="53"/>
        <v>#DIV/0!</v>
      </c>
    </row>
    <row r="169" spans="1:36" ht="15.75" thickBot="1">
      <c r="A169" s="127" t="s">
        <v>23</v>
      </c>
      <c r="B169" s="291" t="e">
        <f>KMA!B169*FRO_TOT!B169</f>
        <v>#DIV/0!</v>
      </c>
      <c r="C169" s="291" t="e">
        <f>KMA!C169*FRO_TOT!C169</f>
        <v>#DIV/0!</v>
      </c>
      <c r="D169" s="291" t="e">
        <f>KMA!D169*FRO_TOT!D169</f>
        <v>#DIV/0!</v>
      </c>
      <c r="E169" s="291" t="e">
        <f>KMA!E169*FRO_TOT!E169</f>
        <v>#DIV/0!</v>
      </c>
      <c r="F169" s="291" t="e">
        <f>KMA!F169*FRO_TOT!F169</f>
        <v>#DIV/0!</v>
      </c>
      <c r="G169" s="291" t="e">
        <f>KMA!G169*FRO_TOT!G169</f>
        <v>#DIV/0!</v>
      </c>
      <c r="H169" s="291" t="e">
        <f>KMA!H169*FRO_TOT!H169</f>
        <v>#DIV/0!</v>
      </c>
      <c r="I169" s="291" t="e">
        <f>KMA!I169*FRO_TOT!I169</f>
        <v>#DIV/0!</v>
      </c>
      <c r="J169" s="291" t="e">
        <f>KMA!J169*FRO_TOT!J169</f>
        <v>#DIV/0!</v>
      </c>
      <c r="K169" s="291" t="e">
        <f>KMA!K169*FRO_TOT!K169</f>
        <v>#DIV/0!</v>
      </c>
      <c r="L169" s="291" t="e">
        <f>KMA!L169*FRO_TOT!L169</f>
        <v>#DIV/0!</v>
      </c>
      <c r="M169" s="291" t="e">
        <f>KMA!M169*FRO_TOT!M169</f>
        <v>#DIV/0!</v>
      </c>
      <c r="N169" s="291" t="e">
        <f>KMA!N169*FRO_TOT!N169</f>
        <v>#DIV/0!</v>
      </c>
      <c r="O169" s="291" t="e">
        <f>KMA!O169*FRO_TOT!O169</f>
        <v>#DIV/0!</v>
      </c>
      <c r="P169" s="291" t="e">
        <f>KMA!P169*FRO_TOT!P169</f>
        <v>#DIV/0!</v>
      </c>
      <c r="Q169" s="291" t="e">
        <f>KMA!Q169*FRO_TOT!Q169</f>
        <v>#DIV/0!</v>
      </c>
      <c r="R169" s="291">
        <f>KMA!R169*FRO_TOT!R169</f>
        <v>0</v>
      </c>
      <c r="S169" s="690" t="e">
        <f t="shared" si="54"/>
        <v>#DIV/0!</v>
      </c>
      <c r="U169" s="733" t="e">
        <f>(B169+C169+H169+I169+P169+Q169+R169)/(DEN!C159+DEN!F159+DEN!G159+DEN!L159)</f>
        <v>#DIV/0!</v>
      </c>
      <c r="V169" s="734" t="e">
        <f>SUM(D169:G169)/SUM(DEN!I159:J159)</f>
        <v>#DIV/0!</v>
      </c>
      <c r="W169" s="734" t="e">
        <f>SUM(J169:L169)/SUM(DEN!D159:E159)</f>
        <v>#DIV/0!</v>
      </c>
      <c r="X169" s="735" t="e">
        <f>SUM(M169:O169)/(DEN!H159+DEN!K159)</f>
        <v>#DIV/0!</v>
      </c>
      <c r="Z169" s="665" t="e">
        <f>V169*(DEN!I159+DEN!J159)</f>
        <v>#DIV/0!</v>
      </c>
      <c r="AB169" s="733" t="e">
        <f t="shared" si="55"/>
        <v>#DIV/0!</v>
      </c>
      <c r="AC169" s="734" t="e">
        <f t="shared" si="56"/>
        <v>#DIV/0!</v>
      </c>
      <c r="AD169" s="734" t="e">
        <f t="shared" si="57"/>
        <v>#DIV/0!</v>
      </c>
      <c r="AE169" s="735" t="e">
        <f t="shared" si="58"/>
        <v>#DIV/0!</v>
      </c>
      <c r="AG169" s="944" t="e">
        <f t="shared" si="59"/>
        <v>#DIV/0!</v>
      </c>
      <c r="AH169" s="944" t="e">
        <f t="shared" si="51"/>
        <v>#DIV/0!</v>
      </c>
      <c r="AI169" s="944" t="e">
        <f t="shared" si="52"/>
        <v>#DIV/0!</v>
      </c>
      <c r="AJ169" s="944" t="e">
        <f t="shared" si="53"/>
        <v>#DIV/0!</v>
      </c>
    </row>
    <row r="170" spans="1:36" ht="15.75" thickBot="1">
      <c r="A170" s="127" t="s">
        <v>24</v>
      </c>
      <c r="B170" s="291" t="e">
        <f>KMA!B170*FRO_TOT!B170</f>
        <v>#DIV/0!</v>
      </c>
      <c r="C170" s="291" t="e">
        <f>KMA!C170*FRO_TOT!C170</f>
        <v>#DIV/0!</v>
      </c>
      <c r="D170" s="291" t="e">
        <f>KMA!D170*FRO_TOT!D170</f>
        <v>#DIV/0!</v>
      </c>
      <c r="E170" s="291" t="e">
        <f>KMA!E170*FRO_TOT!E170</f>
        <v>#DIV/0!</v>
      </c>
      <c r="F170" s="291" t="e">
        <f>KMA!F170*FRO_TOT!F170</f>
        <v>#DIV/0!</v>
      </c>
      <c r="G170" s="291" t="e">
        <f>KMA!G170*FRO_TOT!G170</f>
        <v>#DIV/0!</v>
      </c>
      <c r="H170" s="291" t="e">
        <f>KMA!H170*FRO_TOT!H170</f>
        <v>#DIV/0!</v>
      </c>
      <c r="I170" s="291" t="e">
        <f>KMA!I170*FRO_TOT!I170</f>
        <v>#DIV/0!</v>
      </c>
      <c r="J170" s="291" t="e">
        <f>KMA!J170*FRO_TOT!J170</f>
        <v>#DIV/0!</v>
      </c>
      <c r="K170" s="291" t="e">
        <f>KMA!K170*FRO_TOT!K170</f>
        <v>#DIV/0!</v>
      </c>
      <c r="L170" s="291" t="e">
        <f>KMA!L170*FRO_TOT!L170</f>
        <v>#DIV/0!</v>
      </c>
      <c r="M170" s="291" t="e">
        <f>KMA!M170*FRO_TOT!M170</f>
        <v>#DIV/0!</v>
      </c>
      <c r="N170" s="291" t="e">
        <f>KMA!N170*FRO_TOT!N170</f>
        <v>#DIV/0!</v>
      </c>
      <c r="O170" s="291" t="e">
        <f>KMA!O170*FRO_TOT!O170</f>
        <v>#DIV/0!</v>
      </c>
      <c r="P170" s="291" t="e">
        <f>KMA!P170*FRO_TOT!P170</f>
        <v>#DIV/0!</v>
      </c>
      <c r="Q170" s="291" t="e">
        <f>KMA!Q170*FRO_TOT!Q170</f>
        <v>#DIV/0!</v>
      </c>
      <c r="R170" s="291">
        <f>KMA!R170*FRO_TOT!R170</f>
        <v>0</v>
      </c>
      <c r="S170" s="690" t="e">
        <f t="shared" si="54"/>
        <v>#DIV/0!</v>
      </c>
      <c r="U170" s="733" t="e">
        <f>(B170+C170+H170+I170+P170+Q170+R170)/(DEN!C160+DEN!F160+DEN!G160+DEN!L160)</f>
        <v>#DIV/0!</v>
      </c>
      <c r="V170" s="734" t="e">
        <f>SUM(D170:G170)/SUM(DEN!I160:J160)</f>
        <v>#DIV/0!</v>
      </c>
      <c r="W170" s="734" t="e">
        <f>SUM(J170:L170)/SUM(DEN!D160:E160)</f>
        <v>#DIV/0!</v>
      </c>
      <c r="X170" s="735" t="e">
        <f>SUM(M170:O170)/(DEN!H160+DEN!K160)</f>
        <v>#DIV/0!</v>
      </c>
      <c r="Z170" s="665" t="e">
        <f>V170*(DEN!I160+DEN!J160)</f>
        <v>#DIV/0!</v>
      </c>
      <c r="AB170" s="733" t="e">
        <f t="shared" si="55"/>
        <v>#DIV/0!</v>
      </c>
      <c r="AC170" s="734" t="e">
        <f t="shared" si="56"/>
        <v>#DIV/0!</v>
      </c>
      <c r="AD170" s="734" t="e">
        <f t="shared" si="57"/>
        <v>#DIV/0!</v>
      </c>
      <c r="AE170" s="735" t="e">
        <f t="shared" si="58"/>
        <v>#DIV/0!</v>
      </c>
      <c r="AG170" s="944" t="e">
        <f t="shared" si="59"/>
        <v>#DIV/0!</v>
      </c>
      <c r="AH170" s="944" t="e">
        <f t="shared" si="51"/>
        <v>#DIV/0!</v>
      </c>
      <c r="AI170" s="944" t="e">
        <f t="shared" si="52"/>
        <v>#DIV/0!</v>
      </c>
      <c r="AJ170" s="944" t="e">
        <f t="shared" si="53"/>
        <v>#DIV/0!</v>
      </c>
    </row>
    <row r="171" spans="1:36" ht="15.75" thickBot="1">
      <c r="A171" s="127" t="s">
        <v>25</v>
      </c>
      <c r="B171" s="291" t="e">
        <f>KMA!B171*FRO_TOT!B171</f>
        <v>#DIV/0!</v>
      </c>
      <c r="C171" s="291" t="e">
        <f>KMA!C171*FRO_TOT!C171</f>
        <v>#DIV/0!</v>
      </c>
      <c r="D171" s="291" t="e">
        <f>KMA!D171*FRO_TOT!D171</f>
        <v>#DIV/0!</v>
      </c>
      <c r="E171" s="291" t="e">
        <f>KMA!E171*FRO_TOT!E171</f>
        <v>#DIV/0!</v>
      </c>
      <c r="F171" s="291" t="e">
        <f>KMA!F171*FRO_TOT!F171</f>
        <v>#DIV/0!</v>
      </c>
      <c r="G171" s="291" t="e">
        <f>KMA!G171*FRO_TOT!G171</f>
        <v>#DIV/0!</v>
      </c>
      <c r="H171" s="291" t="e">
        <f>KMA!H171*FRO_TOT!H171</f>
        <v>#DIV/0!</v>
      </c>
      <c r="I171" s="291" t="e">
        <f>KMA!I171*FRO_TOT!I171</f>
        <v>#DIV/0!</v>
      </c>
      <c r="J171" s="291" t="e">
        <f>KMA!J171*FRO_TOT!J171</f>
        <v>#DIV/0!</v>
      </c>
      <c r="K171" s="291" t="e">
        <f>KMA!K171*FRO_TOT!K171</f>
        <v>#DIV/0!</v>
      </c>
      <c r="L171" s="291" t="e">
        <f>KMA!L171*FRO_TOT!L171</f>
        <v>#DIV/0!</v>
      </c>
      <c r="M171" s="291" t="e">
        <f>KMA!M171*FRO_TOT!M171</f>
        <v>#DIV/0!</v>
      </c>
      <c r="N171" s="291" t="e">
        <f>KMA!N171*FRO_TOT!N171</f>
        <v>#DIV/0!</v>
      </c>
      <c r="O171" s="291" t="e">
        <f>KMA!O171*FRO_TOT!O171</f>
        <v>#DIV/0!</v>
      </c>
      <c r="P171" s="291" t="e">
        <f>KMA!P171*FRO_TOT!P171</f>
        <v>#DIV/0!</v>
      </c>
      <c r="Q171" s="291" t="e">
        <f>KMA!Q171*FRO_TOT!Q171</f>
        <v>#DIV/0!</v>
      </c>
      <c r="R171" s="291">
        <f>KMA!R171*FRO_TOT!R171</f>
        <v>0</v>
      </c>
      <c r="S171" s="690" t="e">
        <f t="shared" si="54"/>
        <v>#DIV/0!</v>
      </c>
      <c r="U171" s="733" t="e">
        <f>(B171+C171+H171+I171+P171+Q171+R171)/(DEN!C161+DEN!F161+DEN!G161+DEN!L161)</f>
        <v>#DIV/0!</v>
      </c>
      <c r="V171" s="734" t="e">
        <f>SUM(D171:G171)/SUM(DEN!I161:J161)</f>
        <v>#DIV/0!</v>
      </c>
      <c r="W171" s="734" t="e">
        <f>SUM(J171:L171)/SUM(DEN!D161:E161)</f>
        <v>#DIV/0!</v>
      </c>
      <c r="X171" s="735" t="e">
        <f>SUM(M171:O171)/(DEN!H161+DEN!K161)</f>
        <v>#DIV/0!</v>
      </c>
      <c r="Z171" s="665" t="e">
        <f>V171*(DEN!I161+DEN!J161)</f>
        <v>#DIV/0!</v>
      </c>
      <c r="AB171" s="733" t="e">
        <f t="shared" si="55"/>
        <v>#DIV/0!</v>
      </c>
      <c r="AC171" s="734" t="e">
        <f t="shared" si="56"/>
        <v>#DIV/0!</v>
      </c>
      <c r="AD171" s="734" t="e">
        <f t="shared" si="57"/>
        <v>#DIV/0!</v>
      </c>
      <c r="AE171" s="735" t="e">
        <f t="shared" si="58"/>
        <v>#DIV/0!</v>
      </c>
      <c r="AG171" s="944" t="e">
        <f t="shared" si="59"/>
        <v>#DIV/0!</v>
      </c>
      <c r="AH171" s="944" t="e">
        <f t="shared" si="51"/>
        <v>#DIV/0!</v>
      </c>
      <c r="AI171" s="944" t="e">
        <f t="shared" si="52"/>
        <v>#DIV/0!</v>
      </c>
      <c r="AJ171" s="944" t="e">
        <f t="shared" si="53"/>
        <v>#DIV/0!</v>
      </c>
    </row>
    <row r="172" spans="1:36" ht="15.75" thickBot="1">
      <c r="A172" s="127" t="s">
        <v>26</v>
      </c>
      <c r="B172" s="291" t="e">
        <f>KMA!B172*FRO_TOT!B172</f>
        <v>#DIV/0!</v>
      </c>
      <c r="C172" s="291" t="e">
        <f>KMA!C172*FRO_TOT!C172</f>
        <v>#DIV/0!</v>
      </c>
      <c r="D172" s="291" t="e">
        <f>KMA!D172*FRO_TOT!D172</f>
        <v>#DIV/0!</v>
      </c>
      <c r="E172" s="291" t="e">
        <f>KMA!E172*FRO_TOT!E172</f>
        <v>#DIV/0!</v>
      </c>
      <c r="F172" s="291" t="e">
        <f>KMA!F172*FRO_TOT!F172</f>
        <v>#DIV/0!</v>
      </c>
      <c r="G172" s="291" t="e">
        <f>KMA!G172*FRO_TOT!G172</f>
        <v>#DIV/0!</v>
      </c>
      <c r="H172" s="291" t="e">
        <f>KMA!H172*FRO_TOT!H172</f>
        <v>#DIV/0!</v>
      </c>
      <c r="I172" s="291" t="e">
        <f>KMA!I172*FRO_TOT!I172</f>
        <v>#DIV/0!</v>
      </c>
      <c r="J172" s="291" t="e">
        <f>KMA!J172*FRO_TOT!J172</f>
        <v>#DIV/0!</v>
      </c>
      <c r="K172" s="291" t="e">
        <f>KMA!K172*FRO_TOT!K172</f>
        <v>#DIV/0!</v>
      </c>
      <c r="L172" s="291" t="e">
        <f>KMA!L172*FRO_TOT!L172</f>
        <v>#DIV/0!</v>
      </c>
      <c r="M172" s="291" t="e">
        <f>KMA!M172*FRO_TOT!M172</f>
        <v>#DIV/0!</v>
      </c>
      <c r="N172" s="291" t="e">
        <f>KMA!N172*FRO_TOT!N172</f>
        <v>#DIV/0!</v>
      </c>
      <c r="O172" s="291" t="e">
        <f>KMA!O172*FRO_TOT!O172</f>
        <v>#DIV/0!</v>
      </c>
      <c r="P172" s="291" t="e">
        <f>KMA!P172*FRO_TOT!P172</f>
        <v>#DIV/0!</v>
      </c>
      <c r="Q172" s="291" t="e">
        <f>KMA!Q172*FRO_TOT!Q172</f>
        <v>#DIV/0!</v>
      </c>
      <c r="R172" s="291">
        <f>KMA!R172*FRO_TOT!R172</f>
        <v>0</v>
      </c>
      <c r="S172" s="690" t="e">
        <f t="shared" si="54"/>
        <v>#DIV/0!</v>
      </c>
      <c r="U172" s="733" t="e">
        <f>(B172+C172+H172+I172+P172+Q172+R172)/(DEN!C162+DEN!F162+DEN!G162+DEN!L162)</f>
        <v>#DIV/0!</v>
      </c>
      <c r="V172" s="734" t="e">
        <f>SUM(D172:G172)/SUM(DEN!I162:J162)</f>
        <v>#DIV/0!</v>
      </c>
      <c r="W172" s="734" t="e">
        <f>SUM(J172:L172)/SUM(DEN!D162:E162)</f>
        <v>#DIV/0!</v>
      </c>
      <c r="X172" s="735" t="e">
        <f>SUM(M172:O172)/(DEN!H162+DEN!K162)</f>
        <v>#DIV/0!</v>
      </c>
      <c r="Z172" s="665" t="e">
        <f>V172*(DEN!I162+DEN!J162)</f>
        <v>#DIV/0!</v>
      </c>
      <c r="AB172" s="733" t="e">
        <f t="shared" si="55"/>
        <v>#DIV/0!</v>
      </c>
      <c r="AC172" s="734" t="e">
        <f t="shared" si="56"/>
        <v>#DIV/0!</v>
      </c>
      <c r="AD172" s="734" t="e">
        <f t="shared" si="57"/>
        <v>#DIV/0!</v>
      </c>
      <c r="AE172" s="735" t="e">
        <f t="shared" si="58"/>
        <v>#DIV/0!</v>
      </c>
      <c r="AG172" s="944" t="e">
        <f t="shared" si="59"/>
        <v>#DIV/0!</v>
      </c>
      <c r="AH172" s="944" t="e">
        <f t="shared" si="51"/>
        <v>#DIV/0!</v>
      </c>
      <c r="AI172" s="944" t="e">
        <f t="shared" si="52"/>
        <v>#DIV/0!</v>
      </c>
      <c r="AJ172" s="944" t="e">
        <f t="shared" si="53"/>
        <v>#DIV/0!</v>
      </c>
    </row>
    <row r="173" spans="1:36" ht="15.75" thickBot="1">
      <c r="A173" s="127" t="s">
        <v>27</v>
      </c>
      <c r="B173" s="291" t="e">
        <f>KMA!B173*FRO_TOT!B173</f>
        <v>#DIV/0!</v>
      </c>
      <c r="C173" s="291" t="e">
        <f>KMA!C173*FRO_TOT!C173</f>
        <v>#DIV/0!</v>
      </c>
      <c r="D173" s="291" t="e">
        <f>KMA!D173*FRO_TOT!D173</f>
        <v>#DIV/0!</v>
      </c>
      <c r="E173" s="291" t="e">
        <f>KMA!E173*FRO_TOT!E173</f>
        <v>#DIV/0!</v>
      </c>
      <c r="F173" s="291" t="e">
        <f>KMA!F173*FRO_TOT!F173</f>
        <v>#DIV/0!</v>
      </c>
      <c r="G173" s="291" t="e">
        <f>KMA!G173*FRO_TOT!G173</f>
        <v>#DIV/0!</v>
      </c>
      <c r="H173" s="291" t="e">
        <f>KMA!H173*FRO_TOT!H173</f>
        <v>#DIV/0!</v>
      </c>
      <c r="I173" s="291" t="e">
        <f>KMA!I173*FRO_TOT!I173</f>
        <v>#DIV/0!</v>
      </c>
      <c r="J173" s="291" t="e">
        <f>KMA!J173*FRO_TOT!J173</f>
        <v>#DIV/0!</v>
      </c>
      <c r="K173" s="291" t="e">
        <f>KMA!K173*FRO_TOT!K173</f>
        <v>#DIV/0!</v>
      </c>
      <c r="L173" s="291" t="e">
        <f>KMA!L173*FRO_TOT!L173</f>
        <v>#DIV/0!</v>
      </c>
      <c r="M173" s="291" t="e">
        <f>KMA!M173*FRO_TOT!M173</f>
        <v>#DIV/0!</v>
      </c>
      <c r="N173" s="291" t="e">
        <f>KMA!N173*FRO_TOT!N173</f>
        <v>#DIV/0!</v>
      </c>
      <c r="O173" s="291" t="e">
        <f>KMA!O173*FRO_TOT!O173</f>
        <v>#DIV/0!</v>
      </c>
      <c r="P173" s="291" t="e">
        <f>KMA!P173*FRO_TOT!P173</f>
        <v>#DIV/0!</v>
      </c>
      <c r="Q173" s="291" t="e">
        <f>KMA!Q173*FRO_TOT!Q173</f>
        <v>#DIV/0!</v>
      </c>
      <c r="R173" s="291">
        <f>KMA!R173*FRO_TOT!R173</f>
        <v>0</v>
      </c>
      <c r="S173" s="690" t="e">
        <f t="shared" si="54"/>
        <v>#DIV/0!</v>
      </c>
      <c r="U173" s="733" t="e">
        <f>(B173+C173+H173+I173+P173+Q173+R173)/(DEN!C163+DEN!F163+DEN!G163+DEN!L163)</f>
        <v>#DIV/0!</v>
      </c>
      <c r="V173" s="734" t="e">
        <f>SUM(D173:G173)/SUM(DEN!I163:J163)</f>
        <v>#DIV/0!</v>
      </c>
      <c r="W173" s="734" t="e">
        <f>SUM(J173:L173)/SUM(DEN!D163:E163)</f>
        <v>#DIV/0!</v>
      </c>
      <c r="X173" s="735" t="e">
        <f>SUM(M173:O173)/(DEN!H163+DEN!K163)</f>
        <v>#DIV/0!</v>
      </c>
      <c r="Z173" s="665" t="e">
        <f>V173*(DEN!I163+DEN!J163)</f>
        <v>#DIV/0!</v>
      </c>
      <c r="AB173" s="733" t="e">
        <f t="shared" si="55"/>
        <v>#DIV/0!</v>
      </c>
      <c r="AC173" s="734" t="e">
        <f t="shared" si="56"/>
        <v>#DIV/0!</v>
      </c>
      <c r="AD173" s="734" t="e">
        <f t="shared" si="57"/>
        <v>#DIV/0!</v>
      </c>
      <c r="AE173" s="735" t="e">
        <f t="shared" si="58"/>
        <v>#DIV/0!</v>
      </c>
      <c r="AG173" s="944" t="e">
        <f t="shared" si="59"/>
        <v>#DIV/0!</v>
      </c>
      <c r="AH173" s="944" t="e">
        <f t="shared" si="51"/>
        <v>#DIV/0!</v>
      </c>
      <c r="AI173" s="944" t="e">
        <f t="shared" si="52"/>
        <v>#DIV/0!</v>
      </c>
      <c r="AJ173" s="944" t="e">
        <f t="shared" si="53"/>
        <v>#DIV/0!</v>
      </c>
    </row>
    <row r="174" spans="1:36" ht="15.75" thickBot="1">
      <c r="A174" s="127" t="s">
        <v>28</v>
      </c>
      <c r="B174" s="291" t="e">
        <f>KMA!B174*FRO_TOT!B174</f>
        <v>#DIV/0!</v>
      </c>
      <c r="C174" s="291" t="e">
        <f>KMA!C174*FRO_TOT!C174</f>
        <v>#DIV/0!</v>
      </c>
      <c r="D174" s="291" t="e">
        <f>KMA!D174*FRO_TOT!D174</f>
        <v>#DIV/0!</v>
      </c>
      <c r="E174" s="291" t="e">
        <f>KMA!E174*FRO_TOT!E174</f>
        <v>#DIV/0!</v>
      </c>
      <c r="F174" s="291" t="e">
        <f>KMA!F174*FRO_TOT!F174</f>
        <v>#DIV/0!</v>
      </c>
      <c r="G174" s="291" t="e">
        <f>KMA!G174*FRO_TOT!G174</f>
        <v>#DIV/0!</v>
      </c>
      <c r="H174" s="291" t="e">
        <f>KMA!H174*FRO_TOT!H174</f>
        <v>#DIV/0!</v>
      </c>
      <c r="I174" s="291" t="e">
        <f>KMA!I174*FRO_TOT!I174</f>
        <v>#DIV/0!</v>
      </c>
      <c r="J174" s="291" t="e">
        <f>KMA!J174*FRO_TOT!J174</f>
        <v>#DIV/0!</v>
      </c>
      <c r="K174" s="291" t="e">
        <f>KMA!K174*FRO_TOT!K174</f>
        <v>#DIV/0!</v>
      </c>
      <c r="L174" s="291" t="e">
        <f>KMA!L174*FRO_TOT!L174</f>
        <v>#DIV/0!</v>
      </c>
      <c r="M174" s="291" t="e">
        <f>KMA!M174*FRO_TOT!M174</f>
        <v>#DIV/0!</v>
      </c>
      <c r="N174" s="291" t="e">
        <f>KMA!N174*FRO_TOT!N174</f>
        <v>#DIV/0!</v>
      </c>
      <c r="O174" s="291" t="e">
        <f>KMA!O174*FRO_TOT!O174</f>
        <v>#DIV/0!</v>
      </c>
      <c r="P174" s="291" t="e">
        <f>KMA!P174*FRO_TOT!P174</f>
        <v>#DIV/0!</v>
      </c>
      <c r="Q174" s="291" t="e">
        <f>KMA!Q174*FRO_TOT!Q174</f>
        <v>#DIV/0!</v>
      </c>
      <c r="R174" s="291">
        <f>KMA!R174*FRO_TOT!R174</f>
        <v>0</v>
      </c>
      <c r="S174" s="690" t="e">
        <f t="shared" si="54"/>
        <v>#DIV/0!</v>
      </c>
      <c r="U174" s="733" t="e">
        <f>(B174+C174+H174+I174+P174+Q174+R174)/(DEN!C164+DEN!F164+DEN!G164+DEN!L164)</f>
        <v>#DIV/0!</v>
      </c>
      <c r="V174" s="734" t="e">
        <f>SUM(D174:G174)/SUM(DEN!I164:J164)</f>
        <v>#DIV/0!</v>
      </c>
      <c r="W174" s="734" t="e">
        <f>SUM(J174:L174)/SUM(DEN!D164:E164)</f>
        <v>#DIV/0!</v>
      </c>
      <c r="X174" s="735" t="e">
        <f>SUM(M174:O174)/(DEN!H164+DEN!K164)</f>
        <v>#DIV/0!</v>
      </c>
      <c r="Z174" s="665" t="e">
        <f>V174*(DEN!I164+DEN!J164)</f>
        <v>#DIV/0!</v>
      </c>
      <c r="AB174" s="733" t="e">
        <f t="shared" si="55"/>
        <v>#DIV/0!</v>
      </c>
      <c r="AC174" s="734" t="e">
        <f t="shared" si="56"/>
        <v>#DIV/0!</v>
      </c>
      <c r="AD174" s="734" t="e">
        <f t="shared" si="57"/>
        <v>#DIV/0!</v>
      </c>
      <c r="AE174" s="735" t="e">
        <f t="shared" si="58"/>
        <v>#DIV/0!</v>
      </c>
      <c r="AG174" s="944" t="e">
        <f t="shared" si="59"/>
        <v>#DIV/0!</v>
      </c>
      <c r="AH174" s="944" t="e">
        <f t="shared" si="51"/>
        <v>#DIV/0!</v>
      </c>
      <c r="AI174" s="944" t="e">
        <f t="shared" si="52"/>
        <v>#DIV/0!</v>
      </c>
      <c r="AJ174" s="944" t="e">
        <f t="shared" si="53"/>
        <v>#DIV/0!</v>
      </c>
    </row>
    <row r="175" spans="1:36" ht="15.75" thickBot="1">
      <c r="A175" s="128" t="s">
        <v>29</v>
      </c>
      <c r="B175" s="291" t="e">
        <f>KMA!B175*FRO_TOT!B175</f>
        <v>#DIV/0!</v>
      </c>
      <c r="C175" s="291" t="e">
        <f>KMA!C175*FRO_TOT!C175</f>
        <v>#DIV/0!</v>
      </c>
      <c r="D175" s="291" t="e">
        <f>KMA!D175*FRO_TOT!D175</f>
        <v>#DIV/0!</v>
      </c>
      <c r="E175" s="291" t="e">
        <f>KMA!E175*FRO_TOT!E175</f>
        <v>#DIV/0!</v>
      </c>
      <c r="F175" s="291" t="e">
        <f>KMA!F175*FRO_TOT!F175</f>
        <v>#DIV/0!</v>
      </c>
      <c r="G175" s="291" t="e">
        <f>KMA!G175*FRO_TOT!G175</f>
        <v>#DIV/0!</v>
      </c>
      <c r="H175" s="291" t="e">
        <f>KMA!H175*FRO_TOT!H175</f>
        <v>#DIV/0!</v>
      </c>
      <c r="I175" s="291" t="e">
        <f>KMA!I175*FRO_TOT!I175</f>
        <v>#DIV/0!</v>
      </c>
      <c r="J175" s="291" t="e">
        <f>KMA!J175*FRO_TOT!J175</f>
        <v>#DIV/0!</v>
      </c>
      <c r="K175" s="291" t="e">
        <f>KMA!K175*FRO_TOT!K175</f>
        <v>#DIV/0!</v>
      </c>
      <c r="L175" s="291" t="e">
        <f>KMA!L175*FRO_TOT!L175</f>
        <v>#DIV/0!</v>
      </c>
      <c r="M175" s="291" t="e">
        <f>KMA!M175*FRO_TOT!M175</f>
        <v>#DIV/0!</v>
      </c>
      <c r="N175" s="291" t="e">
        <f>KMA!N175*FRO_TOT!N175</f>
        <v>#DIV/0!</v>
      </c>
      <c r="O175" s="291" t="e">
        <f>KMA!O175*FRO_TOT!O175</f>
        <v>#DIV/0!</v>
      </c>
      <c r="P175" s="291" t="e">
        <f>KMA!P175*FRO_TOT!P175</f>
        <v>#DIV/0!</v>
      </c>
      <c r="Q175" s="291" t="e">
        <f>KMA!Q175*FRO_TOT!Q175</f>
        <v>#DIV/0!</v>
      </c>
      <c r="R175" s="291">
        <f>KMA!R175*FRO_TOT!R175</f>
        <v>0</v>
      </c>
      <c r="S175" s="690" t="e">
        <f t="shared" si="54"/>
        <v>#DIV/0!</v>
      </c>
      <c r="U175" s="733" t="e">
        <f>(B175+C175+H175+I175+P175+Q175+R175)/(DEN!C165+DEN!F165+DEN!G165+DEN!L165)</f>
        <v>#DIV/0!</v>
      </c>
      <c r="V175" s="734" t="e">
        <f>SUM(D175:G175)/SUM(DEN!I165:J165)</f>
        <v>#DIV/0!</v>
      </c>
      <c r="W175" s="734" t="e">
        <f>SUM(J175:L175)/SUM(DEN!D165:E165)</f>
        <v>#DIV/0!</v>
      </c>
      <c r="X175" s="735" t="e">
        <f>SUM(M175:O175)/(DEN!H165+DEN!K165)</f>
        <v>#DIV/0!</v>
      </c>
      <c r="Z175" s="665" t="e">
        <f>V175*(DEN!I165+DEN!J165)</f>
        <v>#DIV/0!</v>
      </c>
      <c r="AB175" s="733" t="e">
        <f t="shared" si="55"/>
        <v>#DIV/0!</v>
      </c>
      <c r="AC175" s="734" t="e">
        <f t="shared" si="56"/>
        <v>#DIV/0!</v>
      </c>
      <c r="AD175" s="734" t="e">
        <f t="shared" si="57"/>
        <v>#DIV/0!</v>
      </c>
      <c r="AE175" s="735" t="e">
        <f t="shared" si="58"/>
        <v>#DIV/0!</v>
      </c>
      <c r="AG175" s="944" t="e">
        <f t="shared" si="59"/>
        <v>#DIV/0!</v>
      </c>
      <c r="AH175" s="944" t="e">
        <f t="shared" si="51"/>
        <v>#DIV/0!</v>
      </c>
      <c r="AI175" s="944" t="e">
        <f t="shared" si="52"/>
        <v>#DIV/0!</v>
      </c>
      <c r="AJ175" s="944" t="e">
        <f t="shared" si="53"/>
        <v>#DIV/0!</v>
      </c>
    </row>
    <row r="176" spans="1:36" ht="15.75" thickBot="1">
      <c r="A176" s="269" t="s">
        <v>64</v>
      </c>
      <c r="B176" s="291" t="e">
        <f>KMA!B176*FRO_TOT!B176</f>
        <v>#DIV/0!</v>
      </c>
      <c r="C176" s="291" t="e">
        <f>KMA!C176*FRO_TOT!C176</f>
        <v>#DIV/0!</v>
      </c>
      <c r="D176" s="291" t="e">
        <f>KMA!D176*FRO_TOT!D176</f>
        <v>#DIV/0!</v>
      </c>
      <c r="E176" s="291" t="e">
        <f>KMA!E176*FRO_TOT!E176</f>
        <v>#DIV/0!</v>
      </c>
      <c r="F176" s="291" t="e">
        <f>KMA!F176*FRO_TOT!F176</f>
        <v>#DIV/0!</v>
      </c>
      <c r="G176" s="291" t="e">
        <f>KMA!G176*FRO_TOT!G176</f>
        <v>#DIV/0!</v>
      </c>
      <c r="H176" s="291" t="e">
        <f>KMA!H176*FRO_TOT!H176</f>
        <v>#DIV/0!</v>
      </c>
      <c r="I176" s="291" t="e">
        <f>KMA!I176*FRO_TOT!I176</f>
        <v>#DIV/0!</v>
      </c>
      <c r="J176" s="291" t="e">
        <f>KMA!J176*FRO_TOT!J176</f>
        <v>#DIV/0!</v>
      </c>
      <c r="K176" s="291" t="e">
        <f>KMA!K176*FRO_TOT!K176</f>
        <v>#DIV/0!</v>
      </c>
      <c r="L176" s="291" t="e">
        <f>KMA!L176*FRO_TOT!L176</f>
        <v>#DIV/0!</v>
      </c>
      <c r="M176" s="291" t="e">
        <f>KMA!M176*FRO_TOT!M176</f>
        <v>#DIV/0!</v>
      </c>
      <c r="N176" s="291" t="e">
        <f>KMA!N176*FRO_TOT!N176</f>
        <v>#DIV/0!</v>
      </c>
      <c r="O176" s="291" t="e">
        <f>KMA!O176*FRO_TOT!O176</f>
        <v>#DIV/0!</v>
      </c>
      <c r="P176" s="291" t="e">
        <f>KMA!P176*FRO_TOT!P176</f>
        <v>#DIV/0!</v>
      </c>
      <c r="Q176" s="291" t="e">
        <f>KMA!Q176*FRO_TOT!Q176</f>
        <v>#DIV/0!</v>
      </c>
      <c r="R176" s="291">
        <f>KMA!R176*FRO_TOT!R176</f>
        <v>0</v>
      </c>
      <c r="S176" s="690" t="e">
        <f t="shared" si="54"/>
        <v>#DIV/0!</v>
      </c>
      <c r="U176" s="733" t="e">
        <f>(B176+C176+H176+I176+P176+Q176+R176)/(DEN!C166+DEN!F166+DEN!G166+DEN!L166)</f>
        <v>#DIV/0!</v>
      </c>
      <c r="V176" s="734" t="e">
        <f>SUM(D176:G176)/SUM(DEN!I166:J166)</f>
        <v>#DIV/0!</v>
      </c>
      <c r="W176" s="734" t="e">
        <f>SUM(J176:L176)/SUM(DEN!D166:E166)</f>
        <v>#DIV/0!</v>
      </c>
      <c r="X176" s="735" t="e">
        <f>SUM(M176:O176)/(DEN!H166+DEN!K166)</f>
        <v>#DIV/0!</v>
      </c>
      <c r="AB176" s="733" t="e">
        <f t="shared" si="55"/>
        <v>#DIV/0!</v>
      </c>
      <c r="AC176" s="734" t="e">
        <f t="shared" si="56"/>
        <v>#DIV/0!</v>
      </c>
      <c r="AD176" s="734" t="e">
        <f t="shared" si="57"/>
        <v>#DIV/0!</v>
      </c>
      <c r="AE176" s="735" t="e">
        <f t="shared" si="58"/>
        <v>#DIV/0!</v>
      </c>
      <c r="AG176" s="944" t="e">
        <f t="shared" si="59"/>
        <v>#DIV/0!</v>
      </c>
      <c r="AH176" s="944" t="e">
        <f t="shared" si="51"/>
        <v>#DIV/0!</v>
      </c>
      <c r="AI176" s="944" t="e">
        <f t="shared" si="52"/>
        <v>#DIV/0!</v>
      </c>
      <c r="AJ176" s="944" t="e">
        <f t="shared" si="53"/>
        <v>#DIV/0!</v>
      </c>
    </row>
    <row r="177" spans="1:64" ht="15.75" thickBot="1">
      <c r="A177" s="127" t="s">
        <v>31</v>
      </c>
      <c r="B177" s="291" t="e">
        <f>KMA!B177*FRO_TOT!B177</f>
        <v>#DIV/0!</v>
      </c>
      <c r="C177" s="291" t="e">
        <f>KMA!C177*FRO_TOT!C177</f>
        <v>#DIV/0!</v>
      </c>
      <c r="D177" s="291" t="e">
        <f>KMA!D177*FRO_TOT!D177</f>
        <v>#DIV/0!</v>
      </c>
      <c r="E177" s="291" t="e">
        <f>KMA!E177*FRO_TOT!E177</f>
        <v>#DIV/0!</v>
      </c>
      <c r="F177" s="291" t="e">
        <f>KMA!F177*FRO_TOT!F177</f>
        <v>#DIV/0!</v>
      </c>
      <c r="G177" s="291" t="e">
        <f>KMA!G177*FRO_TOT!G177</f>
        <v>#DIV/0!</v>
      </c>
      <c r="H177" s="291" t="e">
        <f>KMA!H177*FRO_TOT!H177</f>
        <v>#DIV/0!</v>
      </c>
      <c r="I177" s="291" t="e">
        <f>KMA!I177*FRO_TOT!I177</f>
        <v>#DIV/0!</v>
      </c>
      <c r="J177" s="291" t="e">
        <f>KMA!J177*FRO_TOT!J177</f>
        <v>#DIV/0!</v>
      </c>
      <c r="K177" s="291" t="e">
        <f>KMA!K177*FRO_TOT!K177</f>
        <v>#DIV/0!</v>
      </c>
      <c r="L177" s="291" t="e">
        <f>KMA!L177*FRO_TOT!L177</f>
        <v>#DIV/0!</v>
      </c>
      <c r="M177" s="291" t="e">
        <f>KMA!M177*FRO_TOT!M177</f>
        <v>#DIV/0!</v>
      </c>
      <c r="N177" s="291" t="e">
        <f>KMA!N177*FRO_TOT!N177</f>
        <v>#DIV/0!</v>
      </c>
      <c r="O177" s="291" t="e">
        <f>KMA!O177*FRO_TOT!O177</f>
        <v>#DIV/0!</v>
      </c>
      <c r="P177" s="291" t="e">
        <f>KMA!P177*FRO_TOT!P177</f>
        <v>#DIV/0!</v>
      </c>
      <c r="Q177" s="291" t="e">
        <f>KMA!Q177*FRO_TOT!Q177</f>
        <v>#DIV/0!</v>
      </c>
      <c r="R177" s="291">
        <f>KMA!R177*FRO_TOT!R177</f>
        <v>0</v>
      </c>
      <c r="S177" s="690" t="e">
        <f t="shared" si="54"/>
        <v>#DIV/0!</v>
      </c>
      <c r="U177" s="733" t="e">
        <f>(B177+C177+H177+I177+P177+Q177+R177)/(DEN!C167+DEN!F167+DEN!G167+DEN!L167)</f>
        <v>#DIV/0!</v>
      </c>
      <c r="V177" s="734" t="e">
        <f>SUM(D177:G177)/SUM(DEN!I167:J167)</f>
        <v>#DIV/0!</v>
      </c>
      <c r="W177" s="734" t="e">
        <f>SUM(J177:L177)/SUM(DEN!D167:E167)</f>
        <v>#DIV/0!</v>
      </c>
      <c r="X177" s="735" t="e">
        <f>SUM(M177:O177)/(DEN!H167+DEN!K167)</f>
        <v>#DIV/0!</v>
      </c>
      <c r="Z177" s="665" t="e">
        <f>V177*(DEN!I167+DEN!J167)</f>
        <v>#DIV/0!</v>
      </c>
      <c r="AB177" s="733" t="e">
        <f t="shared" si="55"/>
        <v>#DIV/0!</v>
      </c>
      <c r="AC177" s="734" t="e">
        <f t="shared" si="56"/>
        <v>#DIV/0!</v>
      </c>
      <c r="AD177" s="734" t="e">
        <f t="shared" si="57"/>
        <v>#DIV/0!</v>
      </c>
      <c r="AE177" s="735" t="e">
        <f t="shared" si="58"/>
        <v>#DIV/0!</v>
      </c>
      <c r="AG177" s="944" t="e">
        <f t="shared" si="59"/>
        <v>#DIV/0!</v>
      </c>
      <c r="AH177" s="944" t="e">
        <f t="shared" si="51"/>
        <v>#DIV/0!</v>
      </c>
      <c r="AI177" s="944" t="e">
        <f t="shared" si="52"/>
        <v>#DIV/0!</v>
      </c>
      <c r="AJ177" s="944" t="e">
        <f t="shared" si="53"/>
        <v>#DIV/0!</v>
      </c>
    </row>
    <row r="178" spans="1:64" ht="15.75" thickBot="1">
      <c r="A178" s="127" t="s">
        <v>32</v>
      </c>
      <c r="B178" s="291" t="e">
        <f>KMA!B178*FRO_TOT!B178</f>
        <v>#DIV/0!</v>
      </c>
      <c r="C178" s="291" t="e">
        <f>KMA!C178*FRO_TOT!C178</f>
        <v>#DIV/0!</v>
      </c>
      <c r="D178" s="291" t="e">
        <f>KMA!D178*FRO_TOT!D178</f>
        <v>#DIV/0!</v>
      </c>
      <c r="E178" s="291" t="e">
        <f>KMA!E178*FRO_TOT!E178</f>
        <v>#DIV/0!</v>
      </c>
      <c r="F178" s="291" t="e">
        <f>KMA!F178*FRO_TOT!F178</f>
        <v>#DIV/0!</v>
      </c>
      <c r="G178" s="291" t="e">
        <f>KMA!G178*FRO_TOT!G178</f>
        <v>#DIV/0!</v>
      </c>
      <c r="H178" s="291" t="e">
        <f>KMA!H178*FRO_TOT!H178</f>
        <v>#DIV/0!</v>
      </c>
      <c r="I178" s="291" t="e">
        <f>KMA!I178*FRO_TOT!I178</f>
        <v>#DIV/0!</v>
      </c>
      <c r="J178" s="291" t="e">
        <f>KMA!J178*FRO_TOT!J178</f>
        <v>#DIV/0!</v>
      </c>
      <c r="K178" s="291" t="e">
        <f>KMA!K178*FRO_TOT!K178</f>
        <v>#DIV/0!</v>
      </c>
      <c r="L178" s="291" t="e">
        <f>KMA!L178*FRO_TOT!L178</f>
        <v>#DIV/0!</v>
      </c>
      <c r="M178" s="291" t="e">
        <f>KMA!M178*FRO_TOT!M178</f>
        <v>#DIV/0!</v>
      </c>
      <c r="N178" s="291" t="e">
        <f>KMA!N178*FRO_TOT!N178</f>
        <v>#DIV/0!</v>
      </c>
      <c r="O178" s="291" t="e">
        <f>KMA!O178*FRO_TOT!O178</f>
        <v>#DIV/0!</v>
      </c>
      <c r="P178" s="291" t="e">
        <f>KMA!P178*FRO_TOT!P178</f>
        <v>#DIV/0!</v>
      </c>
      <c r="Q178" s="291" t="e">
        <f>KMA!Q178*FRO_TOT!Q178</f>
        <v>#DIV/0!</v>
      </c>
      <c r="R178" s="291">
        <f>KMA!R178*FRO_TOT!R178</f>
        <v>0</v>
      </c>
      <c r="S178" s="690" t="e">
        <f t="shared" si="54"/>
        <v>#DIV/0!</v>
      </c>
      <c r="U178" s="733" t="e">
        <f>(B178+C178+H178+I178+P178+Q178+R178)/(DEN!C168+DEN!F168+DEN!G168+DEN!L168)</f>
        <v>#DIV/0!</v>
      </c>
      <c r="V178" s="734" t="e">
        <f>SUM(D178:G178)/SUM(DEN!I168:J168)</f>
        <v>#DIV/0!</v>
      </c>
      <c r="W178" s="734" t="e">
        <f>SUM(J178:L178)/SUM(DEN!D168:E168)</f>
        <v>#DIV/0!</v>
      </c>
      <c r="X178" s="735" t="e">
        <f>SUM(M178:O178)/(DEN!H168+DEN!K168)</f>
        <v>#DIV/0!</v>
      </c>
      <c r="Z178" s="665" t="e">
        <f>V178*(DEN!I168+DEN!J168)</f>
        <v>#DIV/0!</v>
      </c>
      <c r="AB178" s="733" t="e">
        <f t="shared" si="55"/>
        <v>#DIV/0!</v>
      </c>
      <c r="AC178" s="734" t="e">
        <f t="shared" si="56"/>
        <v>#DIV/0!</v>
      </c>
      <c r="AD178" s="734" t="e">
        <f t="shared" si="57"/>
        <v>#DIV/0!</v>
      </c>
      <c r="AE178" s="735" t="e">
        <f t="shared" si="58"/>
        <v>#DIV/0!</v>
      </c>
      <c r="AG178" s="944" t="e">
        <f t="shared" si="59"/>
        <v>#DIV/0!</v>
      </c>
      <c r="AH178" s="944" t="e">
        <f t="shared" si="51"/>
        <v>#DIV/0!</v>
      </c>
      <c r="AI178" s="944" t="e">
        <f t="shared" si="52"/>
        <v>#DIV/0!</v>
      </c>
      <c r="AJ178" s="944" t="e">
        <f t="shared" si="53"/>
        <v>#DIV/0!</v>
      </c>
    </row>
    <row r="179" spans="1:64" ht="15.75" thickBot="1">
      <c r="A179" s="127" t="s">
        <v>33</v>
      </c>
      <c r="B179" s="291" t="e">
        <f>KMA!B179*FRO_TOT!B179</f>
        <v>#DIV/0!</v>
      </c>
      <c r="C179" s="291" t="e">
        <f>KMA!C179*FRO_TOT!C179</f>
        <v>#DIV/0!</v>
      </c>
      <c r="D179" s="291" t="e">
        <f>KMA!D179*FRO_TOT!D179</f>
        <v>#DIV/0!</v>
      </c>
      <c r="E179" s="291" t="e">
        <f>KMA!E179*FRO_TOT!E179</f>
        <v>#DIV/0!</v>
      </c>
      <c r="F179" s="291" t="e">
        <f>KMA!F179*FRO_TOT!F179</f>
        <v>#DIV/0!</v>
      </c>
      <c r="G179" s="291" t="e">
        <f>KMA!G179*FRO_TOT!G179</f>
        <v>#DIV/0!</v>
      </c>
      <c r="H179" s="291" t="e">
        <f>KMA!H179*FRO_TOT!H179</f>
        <v>#DIV/0!</v>
      </c>
      <c r="I179" s="291" t="e">
        <f>KMA!I179*FRO_TOT!I179</f>
        <v>#DIV/0!</v>
      </c>
      <c r="J179" s="291" t="e">
        <f>KMA!J179*FRO_TOT!J179</f>
        <v>#DIV/0!</v>
      </c>
      <c r="K179" s="291" t="e">
        <f>KMA!K179*FRO_TOT!K179</f>
        <v>#DIV/0!</v>
      </c>
      <c r="L179" s="291" t="e">
        <f>KMA!L179*FRO_TOT!L179</f>
        <v>#DIV/0!</v>
      </c>
      <c r="M179" s="291" t="e">
        <f>KMA!M179*FRO_TOT!M179</f>
        <v>#DIV/0!</v>
      </c>
      <c r="N179" s="291" t="e">
        <f>KMA!N179*FRO_TOT!N179</f>
        <v>#DIV/0!</v>
      </c>
      <c r="O179" s="291" t="e">
        <f>KMA!O179*FRO_TOT!O179</f>
        <v>#DIV/0!</v>
      </c>
      <c r="P179" s="291" t="e">
        <f>KMA!P179*FRO_TOT!P179</f>
        <v>#DIV/0!</v>
      </c>
      <c r="Q179" s="291" t="e">
        <f>KMA!Q179*FRO_TOT!Q179</f>
        <v>#DIV/0!</v>
      </c>
      <c r="R179" s="291">
        <f>KMA!R179*FRO_TOT!R179</f>
        <v>0</v>
      </c>
      <c r="S179" s="690" t="e">
        <f t="shared" si="54"/>
        <v>#DIV/0!</v>
      </c>
      <c r="U179" s="733" t="e">
        <f>(B179+C179+H179+I179+P179+Q179+R179)/(DEN!C169+DEN!F169+DEN!G169+DEN!L169)</f>
        <v>#DIV/0!</v>
      </c>
      <c r="V179" s="734" t="e">
        <f>SUM(D179:G179)/SUM(DEN!I169:J169)</f>
        <v>#DIV/0!</v>
      </c>
      <c r="W179" s="734" t="e">
        <f>SUM(J179:L179)/SUM(DEN!D169:E169)</f>
        <v>#DIV/0!</v>
      </c>
      <c r="X179" s="735" t="e">
        <f>SUM(M179:O179)/(DEN!H169+DEN!K169)</f>
        <v>#DIV/0!</v>
      </c>
      <c r="Z179" s="665" t="e">
        <f>V179*(DEN!I169+DEN!J169)</f>
        <v>#DIV/0!</v>
      </c>
      <c r="AB179" s="733" t="e">
        <f t="shared" si="55"/>
        <v>#DIV/0!</v>
      </c>
      <c r="AC179" s="734" t="e">
        <f t="shared" si="56"/>
        <v>#DIV/0!</v>
      </c>
      <c r="AD179" s="734" t="e">
        <f t="shared" si="57"/>
        <v>#DIV/0!</v>
      </c>
      <c r="AE179" s="735" t="e">
        <f t="shared" si="58"/>
        <v>#DIV/0!</v>
      </c>
      <c r="AG179" s="944" t="e">
        <f t="shared" si="59"/>
        <v>#DIV/0!</v>
      </c>
      <c r="AH179" s="944" t="e">
        <f t="shared" si="51"/>
        <v>#DIV/0!</v>
      </c>
      <c r="AI179" s="944" t="e">
        <f t="shared" si="52"/>
        <v>#DIV/0!</v>
      </c>
      <c r="AJ179" s="944" t="e">
        <f t="shared" si="53"/>
        <v>#DIV/0!</v>
      </c>
    </row>
    <row r="180" spans="1:64" ht="15.75" thickBot="1">
      <c r="A180" s="128" t="s">
        <v>34</v>
      </c>
      <c r="B180" s="291" t="e">
        <f>KMA!B180*FRO_TOT!B180</f>
        <v>#DIV/0!</v>
      </c>
      <c r="C180" s="291" t="e">
        <f>KMA!C180*FRO_TOT!C180</f>
        <v>#DIV/0!</v>
      </c>
      <c r="D180" s="291" t="e">
        <f>KMA!D180*FRO_TOT!D180</f>
        <v>#DIV/0!</v>
      </c>
      <c r="E180" s="291" t="e">
        <f>KMA!E180*FRO_TOT!E180</f>
        <v>#DIV/0!</v>
      </c>
      <c r="F180" s="291" t="e">
        <f>KMA!F180*FRO_TOT!F180</f>
        <v>#DIV/0!</v>
      </c>
      <c r="G180" s="291" t="e">
        <f>KMA!G180*FRO_TOT!G180</f>
        <v>#DIV/0!</v>
      </c>
      <c r="H180" s="291" t="e">
        <f>KMA!H180*FRO_TOT!H180</f>
        <v>#DIV/0!</v>
      </c>
      <c r="I180" s="291" t="e">
        <f>KMA!I180*FRO_TOT!I180</f>
        <v>#DIV/0!</v>
      </c>
      <c r="J180" s="291" t="e">
        <f>KMA!J180*FRO_TOT!J180</f>
        <v>#DIV/0!</v>
      </c>
      <c r="K180" s="291" t="e">
        <f>KMA!K180*FRO_TOT!K180</f>
        <v>#DIV/0!</v>
      </c>
      <c r="L180" s="291" t="e">
        <f>KMA!L180*FRO_TOT!L180</f>
        <v>#DIV/0!</v>
      </c>
      <c r="M180" s="291" t="e">
        <f>KMA!M180*FRO_TOT!M180</f>
        <v>#DIV/0!</v>
      </c>
      <c r="N180" s="291" t="e">
        <f>KMA!N180*FRO_TOT!N180</f>
        <v>#DIV/0!</v>
      </c>
      <c r="O180" s="291" t="e">
        <f>KMA!O180*FRO_TOT!O180</f>
        <v>#DIV/0!</v>
      </c>
      <c r="P180" s="291" t="e">
        <f>KMA!P180*FRO_TOT!P180</f>
        <v>#DIV/0!</v>
      </c>
      <c r="Q180" s="291" t="e">
        <f>KMA!Q180*FRO_TOT!Q180</f>
        <v>#DIV/0!</v>
      </c>
      <c r="R180" s="291">
        <f>KMA!R180*FRO_TOT!R180</f>
        <v>0</v>
      </c>
      <c r="S180" s="690" t="e">
        <f t="shared" si="54"/>
        <v>#DIV/0!</v>
      </c>
      <c r="U180" s="733" t="e">
        <f>(B180+C180+H180+I180+P180+Q180+R180)/(DEN!C170+DEN!F170+DEN!G170+DEN!L170)</f>
        <v>#DIV/0!</v>
      </c>
      <c r="V180" s="734" t="e">
        <f>SUM(D180:G180)/SUM(DEN!I170:J170)</f>
        <v>#DIV/0!</v>
      </c>
      <c r="W180" s="734" t="e">
        <f>SUM(J180:L180)/SUM(DEN!D170:E170)</f>
        <v>#DIV/0!</v>
      </c>
      <c r="X180" s="735" t="e">
        <f>SUM(M180:O180)/(DEN!H170+DEN!K170)</f>
        <v>#DIV/0!</v>
      </c>
      <c r="Z180" s="665" t="e">
        <f>V180*(DEN!I170+DEN!J170)</f>
        <v>#DIV/0!</v>
      </c>
      <c r="AB180" s="733" t="e">
        <f t="shared" si="55"/>
        <v>#DIV/0!</v>
      </c>
      <c r="AC180" s="734" t="e">
        <f t="shared" si="56"/>
        <v>#DIV/0!</v>
      </c>
      <c r="AD180" s="734" t="e">
        <f t="shared" si="57"/>
        <v>#DIV/0!</v>
      </c>
      <c r="AE180" s="735" t="e">
        <f t="shared" si="58"/>
        <v>#DIV/0!</v>
      </c>
      <c r="AG180" s="944" t="e">
        <f t="shared" si="59"/>
        <v>#DIV/0!</v>
      </c>
      <c r="AH180" s="944" t="e">
        <f t="shared" si="51"/>
        <v>#DIV/0!</v>
      </c>
      <c r="AI180" s="944" t="e">
        <f t="shared" si="52"/>
        <v>#DIV/0!</v>
      </c>
      <c r="AJ180" s="944" t="e">
        <f t="shared" si="53"/>
        <v>#DIV/0!</v>
      </c>
    </row>
    <row r="181" spans="1:64" ht="15.75" thickBot="1">
      <c r="A181" s="269" t="s">
        <v>69</v>
      </c>
      <c r="B181" s="291" t="e">
        <f>KMA!B181*FRO_TOT!B181</f>
        <v>#DIV/0!</v>
      </c>
      <c r="C181" s="291" t="e">
        <f>KMA!C181*FRO_TOT!C181</f>
        <v>#DIV/0!</v>
      </c>
      <c r="D181" s="291" t="e">
        <f>KMA!D181*FRO_TOT!D181</f>
        <v>#DIV/0!</v>
      </c>
      <c r="E181" s="291" t="e">
        <f>KMA!E181*FRO_TOT!E181</f>
        <v>#DIV/0!</v>
      </c>
      <c r="F181" s="291" t="e">
        <f>KMA!F181*FRO_TOT!F181</f>
        <v>#DIV/0!</v>
      </c>
      <c r="G181" s="291" t="e">
        <f>KMA!G181*FRO_TOT!G181</f>
        <v>#DIV/0!</v>
      </c>
      <c r="H181" s="291" t="e">
        <f>KMA!H181*FRO_TOT!H181</f>
        <v>#DIV/0!</v>
      </c>
      <c r="I181" s="291" t="e">
        <f>KMA!I181*FRO_TOT!I181</f>
        <v>#DIV/0!</v>
      </c>
      <c r="J181" s="291" t="e">
        <f>KMA!J181*FRO_TOT!J181</f>
        <v>#DIV/0!</v>
      </c>
      <c r="K181" s="291" t="e">
        <f>KMA!K181*FRO_TOT!K181</f>
        <v>#DIV/0!</v>
      </c>
      <c r="L181" s="291" t="e">
        <f>KMA!L181*FRO_TOT!L181</f>
        <v>#DIV/0!</v>
      </c>
      <c r="M181" s="291" t="e">
        <f>KMA!M181*FRO_TOT!M181</f>
        <v>#DIV/0!</v>
      </c>
      <c r="N181" s="291" t="e">
        <f>KMA!N181*FRO_TOT!N181</f>
        <v>#DIV/0!</v>
      </c>
      <c r="O181" s="291" t="e">
        <f>KMA!O181*FRO_TOT!O181</f>
        <v>#DIV/0!</v>
      </c>
      <c r="P181" s="291" t="e">
        <f>KMA!P181*FRO_TOT!P181</f>
        <v>#DIV/0!</v>
      </c>
      <c r="Q181" s="291" t="e">
        <f>KMA!Q181*FRO_TOT!Q181</f>
        <v>#DIV/0!</v>
      </c>
      <c r="R181" s="291">
        <f>KMA!R181*FRO_TOT!R181</f>
        <v>0</v>
      </c>
      <c r="S181" s="690" t="e">
        <f t="shared" si="54"/>
        <v>#DIV/0!</v>
      </c>
      <c r="U181" s="733" t="e">
        <f>(B181+C181+H181+I181+P181+Q181+R181)/(DEN!C171+DEN!F171+DEN!G171+DEN!L171)</f>
        <v>#DIV/0!</v>
      </c>
      <c r="V181" s="734" t="e">
        <f>SUM(D181:G181)/SUM(DEN!I171:J171)</f>
        <v>#DIV/0!</v>
      </c>
      <c r="W181" s="734" t="e">
        <f>SUM(J181:L181)/SUM(DEN!D171:E171)</f>
        <v>#DIV/0!</v>
      </c>
      <c r="X181" s="735" t="e">
        <f>SUM(M181:O181)/(DEN!H171+DEN!K171)</f>
        <v>#DIV/0!</v>
      </c>
      <c r="AB181" s="733" t="e">
        <f t="shared" si="55"/>
        <v>#DIV/0!</v>
      </c>
      <c r="AC181" s="734" t="e">
        <f t="shared" si="56"/>
        <v>#DIV/0!</v>
      </c>
      <c r="AD181" s="734" t="e">
        <f t="shared" si="57"/>
        <v>#DIV/0!</v>
      </c>
      <c r="AE181" s="735" t="e">
        <f t="shared" si="58"/>
        <v>#DIV/0!</v>
      </c>
      <c r="AG181" s="944" t="e">
        <f t="shared" si="59"/>
        <v>#DIV/0!</v>
      </c>
      <c r="AH181" s="944" t="e">
        <f t="shared" si="51"/>
        <v>#DIV/0!</v>
      </c>
      <c r="AI181" s="944" t="e">
        <f t="shared" si="52"/>
        <v>#DIV/0!</v>
      </c>
      <c r="AJ181" s="944" t="e">
        <f t="shared" si="53"/>
        <v>#DIV/0!</v>
      </c>
    </row>
    <row r="182" spans="1:64" ht="15.75" thickBot="1">
      <c r="A182" s="127" t="s">
        <v>36</v>
      </c>
      <c r="B182" s="291" t="e">
        <f>KMA!B182*FRO_TOT!B182</f>
        <v>#DIV/0!</v>
      </c>
      <c r="C182" s="291" t="e">
        <f>KMA!C182*FRO_TOT!C182</f>
        <v>#DIV/0!</v>
      </c>
      <c r="D182" s="291" t="e">
        <f>KMA!D182*FRO_TOT!D182</f>
        <v>#DIV/0!</v>
      </c>
      <c r="E182" s="291" t="e">
        <f>KMA!E182*FRO_TOT!E182</f>
        <v>#DIV/0!</v>
      </c>
      <c r="F182" s="291" t="e">
        <f>KMA!F182*FRO_TOT!F182</f>
        <v>#DIV/0!</v>
      </c>
      <c r="G182" s="291" t="e">
        <f>KMA!G182*FRO_TOT!G182</f>
        <v>#DIV/0!</v>
      </c>
      <c r="H182" s="291" t="e">
        <f>KMA!H182*FRO_TOT!H182</f>
        <v>#DIV/0!</v>
      </c>
      <c r="I182" s="291" t="e">
        <f>KMA!I182*FRO_TOT!I182</f>
        <v>#DIV/0!</v>
      </c>
      <c r="J182" s="291" t="e">
        <f>KMA!J182*FRO_TOT!J182</f>
        <v>#DIV/0!</v>
      </c>
      <c r="K182" s="291" t="e">
        <f>KMA!K182*FRO_TOT!K182</f>
        <v>#DIV/0!</v>
      </c>
      <c r="L182" s="291" t="e">
        <f>KMA!L182*FRO_TOT!L182</f>
        <v>#DIV/0!</v>
      </c>
      <c r="M182" s="291" t="e">
        <f>KMA!M182*FRO_TOT!M182</f>
        <v>#DIV/0!</v>
      </c>
      <c r="N182" s="291" t="e">
        <f>KMA!N182*FRO_TOT!N182</f>
        <v>#DIV/0!</v>
      </c>
      <c r="O182" s="291" t="e">
        <f>KMA!O182*FRO_TOT!O182</f>
        <v>#DIV/0!</v>
      </c>
      <c r="P182" s="291" t="e">
        <f>KMA!P182*FRO_TOT!P182</f>
        <v>#DIV/0!</v>
      </c>
      <c r="Q182" s="291" t="e">
        <f>KMA!Q182*FRO_TOT!Q182</f>
        <v>#DIV/0!</v>
      </c>
      <c r="R182" s="291">
        <f>KMA!R182*FRO_TOT!R182</f>
        <v>0</v>
      </c>
      <c r="S182" s="690" t="e">
        <f t="shared" si="54"/>
        <v>#DIV/0!</v>
      </c>
      <c r="U182" s="733" t="e">
        <f>(B182+C182+H182+I182+P182+Q182+R182)/(DEN!C172+DEN!F172+DEN!G172+DEN!L172)</f>
        <v>#DIV/0!</v>
      </c>
      <c r="V182" s="734" t="e">
        <f>SUM(D182:G182)/SUM(DEN!I172:J172)</f>
        <v>#DIV/0!</v>
      </c>
      <c r="W182" s="734" t="e">
        <f>SUM(J182:L182)/SUM(DEN!D172:E172)</f>
        <v>#DIV/0!</v>
      </c>
      <c r="X182" s="735" t="e">
        <f>SUM(M182:O182)/(DEN!H172+DEN!K172)</f>
        <v>#DIV/0!</v>
      </c>
      <c r="Z182" s="665" t="e">
        <f>V182*(DEN!I172+DEN!J172)</f>
        <v>#DIV/0!</v>
      </c>
      <c r="AB182" s="733" t="e">
        <f t="shared" si="55"/>
        <v>#DIV/0!</v>
      </c>
      <c r="AC182" s="734" t="e">
        <f t="shared" si="56"/>
        <v>#DIV/0!</v>
      </c>
      <c r="AD182" s="734" t="e">
        <f t="shared" si="57"/>
        <v>#DIV/0!</v>
      </c>
      <c r="AE182" s="735" t="e">
        <f t="shared" si="58"/>
        <v>#DIV/0!</v>
      </c>
      <c r="AG182" s="944" t="e">
        <f t="shared" si="59"/>
        <v>#DIV/0!</v>
      </c>
      <c r="AH182" s="944" t="e">
        <f t="shared" si="51"/>
        <v>#DIV/0!</v>
      </c>
      <c r="AI182" s="944" t="e">
        <f t="shared" si="52"/>
        <v>#DIV/0!</v>
      </c>
      <c r="AJ182" s="944" t="e">
        <f t="shared" si="53"/>
        <v>#DIV/0!</v>
      </c>
    </row>
    <row r="183" spans="1:64" ht="15.75" thickBot="1">
      <c r="A183" s="127" t="s">
        <v>37</v>
      </c>
      <c r="B183" s="291" t="e">
        <f>KMA!B183*FRO_TOT!B183</f>
        <v>#DIV/0!</v>
      </c>
      <c r="C183" s="291" t="e">
        <f>KMA!C183*FRO_TOT!C183</f>
        <v>#DIV/0!</v>
      </c>
      <c r="D183" s="291" t="e">
        <f>KMA!D183*FRO_TOT!D183</f>
        <v>#DIV/0!</v>
      </c>
      <c r="E183" s="291" t="e">
        <f>KMA!E183*FRO_TOT!E183</f>
        <v>#DIV/0!</v>
      </c>
      <c r="F183" s="291" t="e">
        <f>KMA!F183*FRO_TOT!F183</f>
        <v>#DIV/0!</v>
      </c>
      <c r="G183" s="291" t="e">
        <f>KMA!G183*FRO_TOT!G183</f>
        <v>#DIV/0!</v>
      </c>
      <c r="H183" s="291" t="e">
        <f>KMA!H183*FRO_TOT!H183</f>
        <v>#DIV/0!</v>
      </c>
      <c r="I183" s="291" t="e">
        <f>KMA!I183*FRO_TOT!I183</f>
        <v>#DIV/0!</v>
      </c>
      <c r="J183" s="291" t="e">
        <f>KMA!J183*FRO_TOT!J183</f>
        <v>#DIV/0!</v>
      </c>
      <c r="K183" s="291" t="e">
        <f>KMA!K183*FRO_TOT!K183</f>
        <v>#DIV/0!</v>
      </c>
      <c r="L183" s="291" t="e">
        <f>KMA!L183*FRO_TOT!L183</f>
        <v>#DIV/0!</v>
      </c>
      <c r="M183" s="291" t="e">
        <f>KMA!M183*FRO_TOT!M183</f>
        <v>#DIV/0!</v>
      </c>
      <c r="N183" s="291" t="e">
        <f>KMA!N183*FRO_TOT!N183</f>
        <v>#DIV/0!</v>
      </c>
      <c r="O183" s="291" t="e">
        <f>KMA!O183*FRO_TOT!O183</f>
        <v>#DIV/0!</v>
      </c>
      <c r="P183" s="291" t="e">
        <f>KMA!P183*FRO_TOT!P183</f>
        <v>#DIV/0!</v>
      </c>
      <c r="Q183" s="291" t="e">
        <f>KMA!Q183*FRO_TOT!Q183</f>
        <v>#DIV/0!</v>
      </c>
      <c r="R183" s="291">
        <f>KMA!R183*FRO_TOT!R183</f>
        <v>0</v>
      </c>
      <c r="S183" s="690" t="e">
        <f t="shared" si="54"/>
        <v>#DIV/0!</v>
      </c>
      <c r="U183" s="733" t="e">
        <f>(B183+C183+H183+I183+P183+Q183+R183)/(DEN!C173+DEN!F173+DEN!G173+DEN!L173)</f>
        <v>#DIV/0!</v>
      </c>
      <c r="V183" s="734" t="e">
        <f>SUM(D183:G183)/SUM(DEN!I173:J173)</f>
        <v>#DIV/0!</v>
      </c>
      <c r="W183" s="734" t="e">
        <f>SUM(J183:L183)/SUM(DEN!D173:E173)</f>
        <v>#DIV/0!</v>
      </c>
      <c r="X183" s="735" t="e">
        <f>SUM(M183:O183)/(DEN!H173+DEN!K173)</f>
        <v>#DIV/0!</v>
      </c>
      <c r="Z183" s="665" t="e">
        <f>V183*(DEN!I173+DEN!J173)</f>
        <v>#DIV/0!</v>
      </c>
      <c r="AB183" s="733" t="e">
        <f t="shared" si="55"/>
        <v>#DIV/0!</v>
      </c>
      <c r="AC183" s="734" t="e">
        <f t="shared" si="56"/>
        <v>#DIV/0!</v>
      </c>
      <c r="AD183" s="734" t="e">
        <f t="shared" si="57"/>
        <v>#DIV/0!</v>
      </c>
      <c r="AE183" s="735" t="e">
        <f t="shared" si="58"/>
        <v>#DIV/0!</v>
      </c>
      <c r="AG183" s="944" t="e">
        <f t="shared" si="59"/>
        <v>#DIV/0!</v>
      </c>
      <c r="AH183" s="944" t="e">
        <f t="shared" si="51"/>
        <v>#DIV/0!</v>
      </c>
      <c r="AI183" s="944" t="e">
        <f t="shared" si="52"/>
        <v>#DIV/0!</v>
      </c>
      <c r="AJ183" s="944" t="e">
        <f t="shared" si="53"/>
        <v>#DIV/0!</v>
      </c>
    </row>
    <row r="184" spans="1:64" ht="15.75" thickBot="1">
      <c r="A184" s="128" t="s">
        <v>38</v>
      </c>
      <c r="B184" s="291" t="e">
        <f>KMA!B184*FRO_TOT!B184</f>
        <v>#DIV/0!</v>
      </c>
      <c r="C184" s="291" t="e">
        <f>KMA!C184*FRO_TOT!C184</f>
        <v>#DIV/0!</v>
      </c>
      <c r="D184" s="291" t="e">
        <f>KMA!D184*FRO_TOT!D184</f>
        <v>#DIV/0!</v>
      </c>
      <c r="E184" s="291" t="e">
        <f>KMA!E184*FRO_TOT!E184</f>
        <v>#DIV/0!</v>
      </c>
      <c r="F184" s="291" t="e">
        <f>KMA!F184*FRO_TOT!F184</f>
        <v>#DIV/0!</v>
      </c>
      <c r="G184" s="291" t="e">
        <f>KMA!G184*FRO_TOT!G184</f>
        <v>#DIV/0!</v>
      </c>
      <c r="H184" s="291" t="e">
        <f>KMA!H184*FRO_TOT!H184</f>
        <v>#DIV/0!</v>
      </c>
      <c r="I184" s="291" t="e">
        <f>KMA!I184*FRO_TOT!I184</f>
        <v>#DIV/0!</v>
      </c>
      <c r="J184" s="291" t="e">
        <f>KMA!J184*FRO_TOT!J184</f>
        <v>#DIV/0!</v>
      </c>
      <c r="K184" s="291" t="e">
        <f>KMA!K184*FRO_TOT!K184</f>
        <v>#DIV/0!</v>
      </c>
      <c r="L184" s="291" t="e">
        <f>KMA!L184*FRO_TOT!L184</f>
        <v>#DIV/0!</v>
      </c>
      <c r="M184" s="291" t="e">
        <f>KMA!M184*FRO_TOT!M184</f>
        <v>#DIV/0!</v>
      </c>
      <c r="N184" s="291" t="e">
        <f>KMA!N184*FRO_TOT!N184</f>
        <v>#DIV/0!</v>
      </c>
      <c r="O184" s="291" t="e">
        <f>KMA!O184*FRO_TOT!O184</f>
        <v>#DIV/0!</v>
      </c>
      <c r="P184" s="291" t="e">
        <f>KMA!P184*FRO_TOT!P184</f>
        <v>#DIV/0!</v>
      </c>
      <c r="Q184" s="291" t="e">
        <f>KMA!Q184*FRO_TOT!Q184</f>
        <v>#DIV/0!</v>
      </c>
      <c r="R184" s="291">
        <f>KMA!R184*FRO_TOT!R184</f>
        <v>0</v>
      </c>
      <c r="S184" s="690" t="e">
        <f t="shared" si="54"/>
        <v>#DIV/0!</v>
      </c>
      <c r="U184" s="733" t="e">
        <f>(B184+C184+H184+I184+P184+Q184+R184)/(DEN!C174+DEN!F174+DEN!G174+DEN!L174)</f>
        <v>#DIV/0!</v>
      </c>
      <c r="V184" s="734" t="e">
        <f>SUM(D184:G184)/SUM(DEN!I174:J174)</f>
        <v>#DIV/0!</v>
      </c>
      <c r="W184" s="734" t="e">
        <f>SUM(J184:L184)/SUM(DEN!D174:E174)</f>
        <v>#DIV/0!</v>
      </c>
      <c r="X184" s="735" t="e">
        <f>SUM(M184:O184)/(DEN!H174+DEN!K174)</f>
        <v>#DIV/0!</v>
      </c>
      <c r="Z184" s="665" t="e">
        <f>V184*(DEN!I174+DEN!J174)</f>
        <v>#DIV/0!</v>
      </c>
      <c r="AB184" s="733" t="e">
        <f t="shared" si="55"/>
        <v>#DIV/0!</v>
      </c>
      <c r="AC184" s="734" t="e">
        <f t="shared" si="56"/>
        <v>#DIV/0!</v>
      </c>
      <c r="AD184" s="734" t="e">
        <f t="shared" si="57"/>
        <v>#DIV/0!</v>
      </c>
      <c r="AE184" s="735" t="e">
        <f t="shared" si="58"/>
        <v>#DIV/0!</v>
      </c>
      <c r="AG184" s="944" t="e">
        <f t="shared" si="59"/>
        <v>#DIV/0!</v>
      </c>
      <c r="AH184" s="944" t="e">
        <f t="shared" si="51"/>
        <v>#DIV/0!</v>
      </c>
      <c r="AI184" s="944" t="e">
        <f t="shared" si="52"/>
        <v>#DIV/0!</v>
      </c>
      <c r="AJ184" s="944" t="e">
        <f t="shared" si="53"/>
        <v>#DIV/0!</v>
      </c>
    </row>
    <row r="185" spans="1:64" ht="15.75" thickBot="1">
      <c r="A185" s="274" t="s">
        <v>73</v>
      </c>
      <c r="B185" s="291" t="e">
        <f>KMA!B185*FRO_TOT!B185</f>
        <v>#DIV/0!</v>
      </c>
      <c r="C185" s="291" t="e">
        <f>KMA!C185*FRO_TOT!C185</f>
        <v>#DIV/0!</v>
      </c>
      <c r="D185" s="291" t="e">
        <f>KMA!D185*FRO_TOT!D185</f>
        <v>#DIV/0!</v>
      </c>
      <c r="E185" s="291" t="e">
        <f>KMA!E185*FRO_TOT!E185</f>
        <v>#DIV/0!</v>
      </c>
      <c r="F185" s="291" t="e">
        <f>KMA!F185*FRO_TOT!F185</f>
        <v>#DIV/0!</v>
      </c>
      <c r="G185" s="291" t="e">
        <f>KMA!G185*FRO_TOT!G185</f>
        <v>#DIV/0!</v>
      </c>
      <c r="H185" s="291" t="e">
        <f>KMA!H185*FRO_TOT!H185</f>
        <v>#DIV/0!</v>
      </c>
      <c r="I185" s="291" t="e">
        <f>KMA!I185*FRO_TOT!I185</f>
        <v>#DIV/0!</v>
      </c>
      <c r="J185" s="291" t="e">
        <f>KMA!J185*FRO_TOT!J185</f>
        <v>#DIV/0!</v>
      </c>
      <c r="K185" s="291" t="e">
        <f>KMA!K185*FRO_TOT!K185</f>
        <v>#DIV/0!</v>
      </c>
      <c r="L185" s="291" t="e">
        <f>KMA!L185*FRO_TOT!L185</f>
        <v>#DIV/0!</v>
      </c>
      <c r="M185" s="291" t="e">
        <f>KMA!M185*FRO_TOT!M185</f>
        <v>#DIV/0!</v>
      </c>
      <c r="N185" s="291" t="e">
        <f>KMA!N185*FRO_TOT!N185</f>
        <v>#DIV/0!</v>
      </c>
      <c r="O185" s="291" t="e">
        <f>KMA!O185*FRO_TOT!O185</f>
        <v>#DIV/0!</v>
      </c>
      <c r="P185" s="291" t="e">
        <f>KMA!P185*FRO_TOT!P185</f>
        <v>#DIV/0!</v>
      </c>
      <c r="Q185" s="291" t="e">
        <f>KMA!Q185*FRO_TOT!Q185</f>
        <v>#DIV/0!</v>
      </c>
      <c r="R185" s="291">
        <f>KMA!R185*FRO_TOT!R185</f>
        <v>0</v>
      </c>
      <c r="S185" s="690" t="e">
        <f t="shared" si="54"/>
        <v>#DIV/0!</v>
      </c>
      <c r="U185" s="733" t="e">
        <f>(B185+C185+H185+I185+P185+Q185+R185)/(DEN!C175+DEN!F175+DEN!G175+DEN!L175)</f>
        <v>#DIV/0!</v>
      </c>
      <c r="V185" s="734" t="e">
        <f>SUM(D185:G185)/SUM(DEN!I175:J175)</f>
        <v>#DIV/0!</v>
      </c>
      <c r="W185" s="734" t="e">
        <f>SUM(J185:L185)/SUM(DEN!D175:E175)</f>
        <v>#DIV/0!</v>
      </c>
      <c r="X185" s="735" t="e">
        <f>SUM(M185:O185)/(DEN!H175+DEN!K175)</f>
        <v>#DIV/0!</v>
      </c>
      <c r="AB185" s="733" t="e">
        <f t="shared" si="55"/>
        <v>#DIV/0!</v>
      </c>
      <c r="AC185" s="734" t="e">
        <f t="shared" si="56"/>
        <v>#DIV/0!</v>
      </c>
      <c r="AD185" s="734" t="e">
        <f t="shared" si="57"/>
        <v>#DIV/0!</v>
      </c>
      <c r="AE185" s="735" t="e">
        <f t="shared" si="58"/>
        <v>#DIV/0!</v>
      </c>
      <c r="AG185" s="944" t="e">
        <f t="shared" si="59"/>
        <v>#DIV/0!</v>
      </c>
      <c r="AH185" s="944" t="e">
        <f t="shared" si="51"/>
        <v>#DIV/0!</v>
      </c>
      <c r="AI185" s="944" t="e">
        <f t="shared" si="52"/>
        <v>#DIV/0!</v>
      </c>
      <c r="AJ185" s="944" t="e">
        <f t="shared" si="53"/>
        <v>#DIV/0!</v>
      </c>
    </row>
    <row r="186" spans="1:64" ht="15.75" thickBot="1">
      <c r="A186" s="127" t="s">
        <v>40</v>
      </c>
      <c r="B186" s="291" t="e">
        <f>KMA!B186*FRO_TOT!B186</f>
        <v>#DIV/0!</v>
      </c>
      <c r="C186" s="291" t="e">
        <f>KMA!C186*FRO_TOT!C186</f>
        <v>#DIV/0!</v>
      </c>
      <c r="D186" s="291" t="e">
        <f>KMA!D186*FRO_TOT!D186</f>
        <v>#DIV/0!</v>
      </c>
      <c r="E186" s="291" t="e">
        <f>KMA!E186*FRO_TOT!E186</f>
        <v>#DIV/0!</v>
      </c>
      <c r="F186" s="291" t="e">
        <f>KMA!F186*FRO_TOT!F186</f>
        <v>#DIV/0!</v>
      </c>
      <c r="G186" s="291" t="e">
        <f>KMA!G186*FRO_TOT!G186</f>
        <v>#DIV/0!</v>
      </c>
      <c r="H186" s="291" t="e">
        <f>KMA!H186*FRO_TOT!H186</f>
        <v>#DIV/0!</v>
      </c>
      <c r="I186" s="291" t="e">
        <f>KMA!I186*FRO_TOT!I186</f>
        <v>#DIV/0!</v>
      </c>
      <c r="J186" s="291" t="e">
        <f>KMA!J186*FRO_TOT!J186</f>
        <v>#DIV/0!</v>
      </c>
      <c r="K186" s="291" t="e">
        <f>KMA!K186*FRO_TOT!K186</f>
        <v>#DIV/0!</v>
      </c>
      <c r="L186" s="291" t="e">
        <f>KMA!L186*FRO_TOT!L186</f>
        <v>#DIV/0!</v>
      </c>
      <c r="M186" s="291" t="e">
        <f>KMA!M186*FRO_TOT!M186</f>
        <v>#DIV/0!</v>
      </c>
      <c r="N186" s="291" t="e">
        <f>KMA!N186*FRO_TOT!N186</f>
        <v>#DIV/0!</v>
      </c>
      <c r="O186" s="291" t="e">
        <f>KMA!O186*FRO_TOT!O186</f>
        <v>#DIV/0!</v>
      </c>
      <c r="P186" s="291" t="e">
        <f>KMA!P186*FRO_TOT!P186</f>
        <v>#DIV/0!</v>
      </c>
      <c r="Q186" s="291" t="e">
        <f>KMA!Q186*FRO_TOT!Q186</f>
        <v>#DIV/0!</v>
      </c>
      <c r="R186" s="291">
        <f>KMA!R186*FRO_TOT!R186</f>
        <v>0</v>
      </c>
      <c r="S186" s="690" t="e">
        <f t="shared" si="54"/>
        <v>#DIV/0!</v>
      </c>
      <c r="U186" s="733" t="e">
        <f>(B186+C186+H186+I186+P186+Q186+R186)/(DEN!C176+DEN!F176+DEN!G176+DEN!L176)</f>
        <v>#DIV/0!</v>
      </c>
      <c r="V186" s="734" t="e">
        <f>SUM(D186:G186)/SUM(DEN!I176:J176)</f>
        <v>#DIV/0!</v>
      </c>
      <c r="W186" s="734" t="e">
        <f>SUM(J186:L186)/SUM(DEN!D176:E176)</f>
        <v>#DIV/0!</v>
      </c>
      <c r="X186" s="735" t="e">
        <f>SUM(M186:O186)/(DEN!H176+DEN!K176)</f>
        <v>#DIV/0!</v>
      </c>
      <c r="Z186" s="665" t="e">
        <f>V186*(DEN!I176+DEN!J176)</f>
        <v>#DIV/0!</v>
      </c>
      <c r="AB186" s="733" t="e">
        <f t="shared" si="55"/>
        <v>#DIV/0!</v>
      </c>
      <c r="AC186" s="734" t="e">
        <f t="shared" si="56"/>
        <v>#DIV/0!</v>
      </c>
      <c r="AD186" s="734" t="e">
        <f t="shared" si="57"/>
        <v>#DIV/0!</v>
      </c>
      <c r="AE186" s="735" t="e">
        <f t="shared" si="58"/>
        <v>#DIV/0!</v>
      </c>
      <c r="AG186" s="944" t="e">
        <f t="shared" si="59"/>
        <v>#DIV/0!</v>
      </c>
      <c r="AH186" s="944" t="e">
        <f t="shared" si="51"/>
        <v>#DIV/0!</v>
      </c>
      <c r="AI186" s="944" t="e">
        <f t="shared" si="52"/>
        <v>#DIV/0!</v>
      </c>
      <c r="AJ186" s="944" t="e">
        <f t="shared" si="53"/>
        <v>#DIV/0!</v>
      </c>
    </row>
    <row r="187" spans="1:64" ht="15.75" thickBot="1">
      <c r="A187" s="127" t="s">
        <v>41</v>
      </c>
      <c r="B187" s="291" t="e">
        <f>KMA!B187*FRO_TOT!B187</f>
        <v>#DIV/0!</v>
      </c>
      <c r="C187" s="291" t="e">
        <f>KMA!C187*FRO_TOT!C187</f>
        <v>#DIV/0!</v>
      </c>
      <c r="D187" s="291" t="e">
        <f>KMA!D187*FRO_TOT!D187</f>
        <v>#DIV/0!</v>
      </c>
      <c r="E187" s="291" t="e">
        <f>KMA!E187*FRO_TOT!E187</f>
        <v>#DIV/0!</v>
      </c>
      <c r="F187" s="291" t="e">
        <f>KMA!F187*FRO_TOT!F187</f>
        <v>#DIV/0!</v>
      </c>
      <c r="G187" s="291" t="e">
        <f>KMA!G187*FRO_TOT!G187</f>
        <v>#DIV/0!</v>
      </c>
      <c r="H187" s="291" t="e">
        <f>KMA!H187*FRO_TOT!H187</f>
        <v>#DIV/0!</v>
      </c>
      <c r="I187" s="291" t="e">
        <f>KMA!I187*FRO_TOT!I187</f>
        <v>#DIV/0!</v>
      </c>
      <c r="J187" s="291" t="e">
        <f>KMA!J187*FRO_TOT!J187</f>
        <v>#DIV/0!</v>
      </c>
      <c r="K187" s="291" t="e">
        <f>KMA!K187*FRO_TOT!K187</f>
        <v>#DIV/0!</v>
      </c>
      <c r="L187" s="291" t="e">
        <f>KMA!L187*FRO_TOT!L187</f>
        <v>#DIV/0!</v>
      </c>
      <c r="M187" s="291" t="e">
        <f>KMA!M187*FRO_TOT!M187</f>
        <v>#DIV/0!</v>
      </c>
      <c r="N187" s="291" t="e">
        <f>KMA!N187*FRO_TOT!N187</f>
        <v>#DIV/0!</v>
      </c>
      <c r="O187" s="291" t="e">
        <f>KMA!O187*FRO_TOT!O187</f>
        <v>#DIV/0!</v>
      </c>
      <c r="P187" s="291" t="e">
        <f>KMA!P187*FRO_TOT!P187</f>
        <v>#DIV/0!</v>
      </c>
      <c r="Q187" s="291" t="e">
        <f>KMA!Q187*FRO_TOT!Q187</f>
        <v>#DIV/0!</v>
      </c>
      <c r="R187" s="291">
        <f>KMA!R187*FRO_TOT!R187</f>
        <v>0</v>
      </c>
      <c r="S187" s="690" t="e">
        <f t="shared" si="54"/>
        <v>#DIV/0!</v>
      </c>
      <c r="U187" s="733" t="e">
        <f>(B187+C187+H187+I187+P187+Q187+R187)/(DEN!C177+DEN!F177+DEN!G177+DEN!L177)</f>
        <v>#DIV/0!</v>
      </c>
      <c r="V187" s="734" t="e">
        <f>SUM(D187:G187)/SUM(DEN!I177:J177)</f>
        <v>#DIV/0!</v>
      </c>
      <c r="W187" s="734" t="e">
        <f>SUM(J187:L187)/SUM(DEN!D177:E177)</f>
        <v>#DIV/0!</v>
      </c>
      <c r="X187" s="735" t="e">
        <f>SUM(M187:O187)/(DEN!H177+DEN!K177)</f>
        <v>#DIV/0!</v>
      </c>
      <c r="Z187" s="665" t="e">
        <f>V187*(DEN!I177+DEN!J177)</f>
        <v>#DIV/0!</v>
      </c>
      <c r="AB187" s="733" t="e">
        <f t="shared" si="55"/>
        <v>#DIV/0!</v>
      </c>
      <c r="AC187" s="734" t="e">
        <f t="shared" si="56"/>
        <v>#DIV/0!</v>
      </c>
      <c r="AD187" s="734" t="e">
        <f t="shared" si="57"/>
        <v>#DIV/0!</v>
      </c>
      <c r="AE187" s="735" t="e">
        <f t="shared" si="58"/>
        <v>#DIV/0!</v>
      </c>
      <c r="AG187" s="944" t="e">
        <f t="shared" si="59"/>
        <v>#DIV/0!</v>
      </c>
      <c r="AH187" s="944" t="e">
        <f t="shared" si="51"/>
        <v>#DIV/0!</v>
      </c>
      <c r="AI187" s="944" t="e">
        <f t="shared" si="52"/>
        <v>#DIV/0!</v>
      </c>
      <c r="AJ187" s="944" t="e">
        <f t="shared" si="53"/>
        <v>#DIV/0!</v>
      </c>
    </row>
    <row r="188" spans="1:64" ht="15.75" thickBot="1">
      <c r="A188" s="127" t="s">
        <v>42</v>
      </c>
      <c r="B188" s="291" t="e">
        <f>KMA!B188*FRO_TOT!B188</f>
        <v>#DIV/0!</v>
      </c>
      <c r="C188" s="291" t="e">
        <f>KMA!C188*FRO_TOT!C188</f>
        <v>#DIV/0!</v>
      </c>
      <c r="D188" s="291" t="e">
        <f>KMA!D188*FRO_TOT!D188</f>
        <v>#DIV/0!</v>
      </c>
      <c r="E188" s="291" t="e">
        <f>KMA!E188*FRO_TOT!E188</f>
        <v>#DIV/0!</v>
      </c>
      <c r="F188" s="291" t="e">
        <f>KMA!F188*FRO_TOT!F188</f>
        <v>#DIV/0!</v>
      </c>
      <c r="G188" s="291" t="e">
        <f>KMA!G188*FRO_TOT!G188</f>
        <v>#DIV/0!</v>
      </c>
      <c r="H188" s="291" t="e">
        <f>KMA!H188*FRO_TOT!H188</f>
        <v>#DIV/0!</v>
      </c>
      <c r="I188" s="291" t="e">
        <f>KMA!I188*FRO_TOT!I188</f>
        <v>#DIV/0!</v>
      </c>
      <c r="J188" s="291" t="e">
        <f>KMA!J188*FRO_TOT!J188</f>
        <v>#DIV/0!</v>
      </c>
      <c r="K188" s="291" t="e">
        <f>KMA!K188*FRO_TOT!K188</f>
        <v>#DIV/0!</v>
      </c>
      <c r="L188" s="291" t="e">
        <f>KMA!L188*FRO_TOT!L188</f>
        <v>#DIV/0!</v>
      </c>
      <c r="M188" s="291" t="e">
        <f>KMA!M188*FRO_TOT!M188</f>
        <v>#DIV/0!</v>
      </c>
      <c r="N188" s="291" t="e">
        <f>KMA!N188*FRO_TOT!N188</f>
        <v>#DIV/0!</v>
      </c>
      <c r="O188" s="291" t="e">
        <f>KMA!O188*FRO_TOT!O188</f>
        <v>#DIV/0!</v>
      </c>
      <c r="P188" s="291" t="e">
        <f>KMA!P188*FRO_TOT!P188</f>
        <v>#DIV/0!</v>
      </c>
      <c r="Q188" s="291" t="e">
        <f>KMA!Q188*FRO_TOT!Q188</f>
        <v>#DIV/0!</v>
      </c>
      <c r="R188" s="291">
        <f>KMA!R188*FRO_TOT!R188</f>
        <v>0</v>
      </c>
      <c r="S188" s="690" t="e">
        <f t="shared" si="54"/>
        <v>#DIV/0!</v>
      </c>
      <c r="U188" s="733" t="e">
        <f>(B188+C188+H188+I188+P188+Q188+R188)/(DEN!C178+DEN!F178+DEN!G178+DEN!L178)</f>
        <v>#DIV/0!</v>
      </c>
      <c r="V188" s="734" t="e">
        <f>SUM(D188:G188)/SUM(DEN!I178:J178)</f>
        <v>#DIV/0!</v>
      </c>
      <c r="W188" s="734" t="e">
        <f>SUM(J188:L188)/SUM(DEN!D178:E178)</f>
        <v>#DIV/0!</v>
      </c>
      <c r="X188" s="735" t="e">
        <f>SUM(M188:O188)/(DEN!H178+DEN!K178)</f>
        <v>#DIV/0!</v>
      </c>
      <c r="Z188" s="665" t="e">
        <f>V188*(DEN!I178+DEN!J178)</f>
        <v>#DIV/0!</v>
      </c>
      <c r="AB188" s="733" t="e">
        <f t="shared" si="55"/>
        <v>#DIV/0!</v>
      </c>
      <c r="AC188" s="734" t="e">
        <f t="shared" si="56"/>
        <v>#DIV/0!</v>
      </c>
      <c r="AD188" s="734" t="e">
        <f t="shared" si="57"/>
        <v>#DIV/0!</v>
      </c>
      <c r="AE188" s="735" t="e">
        <f t="shared" si="58"/>
        <v>#DIV/0!</v>
      </c>
      <c r="AG188" s="944" t="e">
        <f t="shared" si="59"/>
        <v>#DIV/0!</v>
      </c>
      <c r="AH188" s="944" t="e">
        <f t="shared" si="51"/>
        <v>#DIV/0!</v>
      </c>
      <c r="AI188" s="944" t="e">
        <f t="shared" si="52"/>
        <v>#DIV/0!</v>
      </c>
      <c r="AJ188" s="944" t="e">
        <f t="shared" si="53"/>
        <v>#DIV/0!</v>
      </c>
    </row>
    <row r="189" spans="1:64" ht="15.75" thickBot="1">
      <c r="A189" s="128" t="s">
        <v>43</v>
      </c>
      <c r="B189" s="291" t="e">
        <f>KMA!B189*FRO_TOT!B189</f>
        <v>#DIV/0!</v>
      </c>
      <c r="C189" s="291" t="e">
        <f>KMA!C189*FRO_TOT!C189</f>
        <v>#DIV/0!</v>
      </c>
      <c r="D189" s="291" t="e">
        <f>KMA!D189*FRO_TOT!D189</f>
        <v>#DIV/0!</v>
      </c>
      <c r="E189" s="291" t="e">
        <f>KMA!E189*FRO_TOT!E189</f>
        <v>#DIV/0!</v>
      </c>
      <c r="F189" s="291" t="e">
        <f>KMA!F189*FRO_TOT!F189</f>
        <v>#DIV/0!</v>
      </c>
      <c r="G189" s="291" t="e">
        <f>KMA!G189*FRO_TOT!G189</f>
        <v>#DIV/0!</v>
      </c>
      <c r="H189" s="291" t="e">
        <f>KMA!H189*FRO_TOT!H189</f>
        <v>#DIV/0!</v>
      </c>
      <c r="I189" s="291" t="e">
        <f>KMA!I189*FRO_TOT!I189</f>
        <v>#DIV/0!</v>
      </c>
      <c r="J189" s="291" t="e">
        <f>KMA!J189*FRO_TOT!J189</f>
        <v>#DIV/0!</v>
      </c>
      <c r="K189" s="291" t="e">
        <f>KMA!K189*FRO_TOT!K189</f>
        <v>#DIV/0!</v>
      </c>
      <c r="L189" s="291" t="e">
        <f>KMA!L189*FRO_TOT!L189</f>
        <v>#DIV/0!</v>
      </c>
      <c r="M189" s="291" t="e">
        <f>KMA!M189*FRO_TOT!M189</f>
        <v>#DIV/0!</v>
      </c>
      <c r="N189" s="291" t="e">
        <f>KMA!N189*FRO_TOT!N189</f>
        <v>#DIV/0!</v>
      </c>
      <c r="O189" s="291" t="e">
        <f>KMA!O189*FRO_TOT!O189</f>
        <v>#DIV/0!</v>
      </c>
      <c r="P189" s="291" t="e">
        <f>KMA!P189*FRO_TOT!P189</f>
        <v>#DIV/0!</v>
      </c>
      <c r="Q189" s="291" t="e">
        <f>KMA!Q189*FRO_TOT!Q189</f>
        <v>#DIV/0!</v>
      </c>
      <c r="R189" s="291">
        <f>KMA!R189*FRO_TOT!R189</f>
        <v>0</v>
      </c>
      <c r="S189" s="690" t="e">
        <f t="shared" si="54"/>
        <v>#DIV/0!</v>
      </c>
      <c r="U189" s="733" t="e">
        <f>(B189+C189+H189+I189+P189+Q189+R189)/(DEN!C179+DEN!F179+DEN!G179+DEN!L179)</f>
        <v>#DIV/0!</v>
      </c>
      <c r="V189" s="734" t="e">
        <f>SUM(D189:G189)/SUM(DEN!I179:J179)</f>
        <v>#DIV/0!</v>
      </c>
      <c r="W189" s="734" t="e">
        <f>SUM(J189:L189)/SUM(DEN!D179:E179)</f>
        <v>#DIV/0!</v>
      </c>
      <c r="X189" s="735" t="e">
        <f>SUM(M189:O189)/(DEN!H179+DEN!K179)</f>
        <v>#DIV/0!</v>
      </c>
      <c r="Z189" s="665" t="e">
        <f>V189*(DEN!I179+DEN!J179)</f>
        <v>#DIV/0!</v>
      </c>
      <c r="AB189" s="733" t="e">
        <f t="shared" si="55"/>
        <v>#DIV/0!</v>
      </c>
      <c r="AC189" s="734" t="e">
        <f t="shared" si="56"/>
        <v>#DIV/0!</v>
      </c>
      <c r="AD189" s="734" t="e">
        <f t="shared" si="57"/>
        <v>#DIV/0!</v>
      </c>
      <c r="AE189" s="735" t="e">
        <f t="shared" si="58"/>
        <v>#DIV/0!</v>
      </c>
      <c r="AG189" s="944" t="e">
        <f t="shared" si="59"/>
        <v>#DIV/0!</v>
      </c>
      <c r="AH189" s="944" t="e">
        <f t="shared" si="51"/>
        <v>#DIV/0!</v>
      </c>
      <c r="AI189" s="944" t="e">
        <f t="shared" si="52"/>
        <v>#DIV/0!</v>
      </c>
      <c r="AJ189" s="944" t="e">
        <f t="shared" si="53"/>
        <v>#DIV/0!</v>
      </c>
    </row>
    <row r="190" spans="1:64" s="665" customFormat="1" ht="15.75" thickBot="1">
      <c r="B190" s="691"/>
      <c r="C190" s="691"/>
      <c r="D190" s="691"/>
      <c r="E190" s="691"/>
      <c r="F190" s="691"/>
      <c r="G190" s="691"/>
      <c r="H190" s="691"/>
      <c r="I190" s="691"/>
      <c r="J190" s="691"/>
      <c r="K190" s="691"/>
      <c r="L190" s="691"/>
      <c r="M190" s="691"/>
      <c r="N190" s="691"/>
      <c r="O190" s="691"/>
      <c r="P190" s="691"/>
      <c r="Q190" s="691"/>
      <c r="R190" s="691"/>
      <c r="AN190" s="273"/>
      <c r="AO190" s="273"/>
      <c r="AP190" s="273"/>
      <c r="AQ190" s="273"/>
      <c r="AR190" s="273"/>
      <c r="AS190" s="273"/>
      <c r="AT190" s="273"/>
      <c r="AU190" s="273"/>
      <c r="AV190" s="273"/>
      <c r="AW190" s="273"/>
      <c r="AX190" s="273"/>
      <c r="AY190" s="273"/>
      <c r="AZ190" s="273"/>
      <c r="BA190" s="273"/>
      <c r="BB190" s="273"/>
      <c r="BC190" s="273"/>
      <c r="BD190" s="273"/>
      <c r="BE190" s="273"/>
      <c r="BF190" s="273"/>
      <c r="BG190" s="273"/>
      <c r="BH190" s="273"/>
      <c r="BI190" s="273"/>
      <c r="BJ190" s="273"/>
      <c r="BK190" s="273"/>
      <c r="BL190" s="273"/>
    </row>
    <row r="191" spans="1:64" s="665" customFormat="1" ht="15.75" thickBot="1">
      <c r="B191" s="691"/>
      <c r="C191" s="691"/>
      <c r="D191" s="691"/>
      <c r="E191" s="691"/>
      <c r="F191" s="691"/>
      <c r="G191" s="691"/>
      <c r="H191" s="691"/>
      <c r="I191" s="691"/>
      <c r="J191" s="691"/>
      <c r="K191" s="691"/>
      <c r="L191" s="691"/>
      <c r="M191" s="691"/>
      <c r="N191" s="691"/>
      <c r="O191" s="691"/>
      <c r="P191" s="691"/>
      <c r="Q191" s="691"/>
      <c r="R191" s="691"/>
      <c r="U191" s="1068" t="s">
        <v>121</v>
      </c>
      <c r="V191" s="1069"/>
      <c r="W191" s="1069"/>
      <c r="X191" s="1070"/>
      <c r="Z191" s="665" t="e">
        <f>SUM(Z159:Z189)/(DEN!I147+DEN!J147)</f>
        <v>#DIV/0!</v>
      </c>
      <c r="AB191" s="1068" t="s">
        <v>121</v>
      </c>
      <c r="AC191" s="1069"/>
      <c r="AD191" s="1069"/>
      <c r="AE191" s="1070"/>
      <c r="AG191" s="1068" t="s">
        <v>121</v>
      </c>
      <c r="AH191" s="1069"/>
      <c r="AI191" s="1069"/>
      <c r="AJ191" s="1070"/>
      <c r="AN191" s="273"/>
      <c r="AO191" s="273"/>
      <c r="AP191" s="273"/>
      <c r="AQ191" s="273"/>
      <c r="AR191" s="273"/>
      <c r="AS191" s="273"/>
      <c r="AT191" s="273"/>
      <c r="AU191" s="273"/>
      <c r="AV191" s="273"/>
      <c r="AW191" s="273"/>
      <c r="AX191" s="273"/>
      <c r="AY191" s="273"/>
      <c r="AZ191" s="273"/>
      <c r="BA191" s="273"/>
      <c r="BB191" s="273"/>
      <c r="BC191" s="273"/>
      <c r="BD191" s="273"/>
      <c r="BE191" s="273"/>
      <c r="BF191" s="273"/>
      <c r="BG191" s="273"/>
      <c r="BH191" s="273"/>
      <c r="BI191" s="273"/>
      <c r="BJ191" s="273"/>
      <c r="BK191" s="273"/>
      <c r="BL191" s="273"/>
    </row>
    <row r="192" spans="1:64" s="665" customFormat="1">
      <c r="B192" s="691"/>
      <c r="C192" s="691"/>
      <c r="D192" s="691"/>
      <c r="E192" s="691"/>
      <c r="F192" s="691"/>
      <c r="G192" s="691"/>
      <c r="H192" s="691"/>
      <c r="I192" s="691"/>
      <c r="J192" s="691"/>
      <c r="K192" s="691"/>
      <c r="L192" s="691"/>
      <c r="M192" s="691"/>
      <c r="N192" s="691"/>
      <c r="O192" s="691"/>
      <c r="P192" s="691"/>
      <c r="Q192" s="691"/>
      <c r="R192" s="691"/>
      <c r="U192" s="1075" t="s">
        <v>122</v>
      </c>
      <c r="V192" s="1077" t="s">
        <v>123</v>
      </c>
      <c r="W192" s="1071" t="s">
        <v>124</v>
      </c>
      <c r="X192" s="1073" t="s">
        <v>125</v>
      </c>
      <c r="AB192" s="1075" t="s">
        <v>122</v>
      </c>
      <c r="AC192" s="1077" t="s">
        <v>123</v>
      </c>
      <c r="AD192" s="1071" t="s">
        <v>124</v>
      </c>
      <c r="AE192" s="1073" t="s">
        <v>125</v>
      </c>
      <c r="AG192" s="1075" t="s">
        <v>122</v>
      </c>
      <c r="AH192" s="1077" t="s">
        <v>123</v>
      </c>
      <c r="AI192" s="1071" t="s">
        <v>124</v>
      </c>
      <c r="AJ192" s="1073" t="s">
        <v>125</v>
      </c>
      <c r="AN192" s="273"/>
      <c r="AO192" s="273"/>
      <c r="AP192" s="273"/>
      <c r="AQ192" s="273"/>
      <c r="AR192" s="273"/>
      <c r="AS192" s="273"/>
      <c r="AT192" s="273"/>
      <c r="AU192" s="273"/>
      <c r="AV192" s="273"/>
      <c r="AW192" s="273"/>
      <c r="AX192" s="273"/>
      <c r="AY192" s="273"/>
      <c r="AZ192" s="273"/>
      <c r="BA192" s="273"/>
      <c r="BB192" s="273"/>
      <c r="BC192" s="273"/>
      <c r="BD192" s="273"/>
      <c r="BE192" s="273"/>
      <c r="BF192" s="273"/>
      <c r="BG192" s="273"/>
      <c r="BH192" s="273"/>
      <c r="BI192" s="273"/>
      <c r="BJ192" s="273"/>
      <c r="BK192" s="273"/>
      <c r="BL192" s="273"/>
    </row>
    <row r="193" spans="2:64" s="665" customFormat="1" ht="15.75" thickBot="1">
      <c r="B193" s="691"/>
      <c r="C193" s="691"/>
      <c r="D193" s="691"/>
      <c r="E193" s="691"/>
      <c r="F193" s="691"/>
      <c r="G193" s="691"/>
      <c r="H193" s="691"/>
      <c r="I193" s="691"/>
      <c r="J193" s="691"/>
      <c r="K193" s="691"/>
      <c r="L193" s="691"/>
      <c r="M193" s="691"/>
      <c r="N193" s="691"/>
      <c r="O193" s="691"/>
      <c r="P193" s="691"/>
      <c r="Q193" s="691"/>
      <c r="R193" s="691"/>
      <c r="U193" s="1076"/>
      <c r="V193" s="1074"/>
      <c r="W193" s="1072"/>
      <c r="X193" s="1074"/>
      <c r="AB193" s="1076"/>
      <c r="AC193" s="1074"/>
      <c r="AD193" s="1072"/>
      <c r="AE193" s="1074"/>
      <c r="AG193" s="1076"/>
      <c r="AH193" s="1074"/>
      <c r="AI193" s="1072"/>
      <c r="AJ193" s="1074"/>
      <c r="AN193" s="273"/>
      <c r="AO193" s="273"/>
      <c r="AP193" s="273"/>
      <c r="AQ193" s="273"/>
      <c r="AR193" s="273"/>
      <c r="AS193" s="273"/>
      <c r="AT193" s="273"/>
      <c r="AU193" s="273"/>
      <c r="AV193" s="273"/>
      <c r="AW193" s="273"/>
      <c r="AX193" s="273"/>
      <c r="AY193" s="273"/>
      <c r="AZ193" s="273"/>
      <c r="BA193" s="273"/>
      <c r="BB193" s="273"/>
      <c r="BC193" s="273"/>
      <c r="BD193" s="273"/>
      <c r="BE193" s="273"/>
      <c r="BF193" s="273"/>
      <c r="BG193" s="273"/>
      <c r="BH193" s="273"/>
      <c r="BI193" s="273"/>
      <c r="BJ193" s="273"/>
      <c r="BK193" s="273"/>
      <c r="BL193" s="273"/>
    </row>
    <row r="194" spans="2:64" s="665" customFormat="1">
      <c r="B194" s="691"/>
      <c r="C194" s="691"/>
      <c r="D194" s="691"/>
      <c r="E194" s="691"/>
      <c r="F194" s="691"/>
      <c r="G194" s="691"/>
      <c r="H194" s="691"/>
      <c r="I194" s="691"/>
      <c r="J194" s="691"/>
      <c r="K194" s="691"/>
      <c r="L194" s="691"/>
      <c r="M194" s="691"/>
      <c r="N194" s="691"/>
      <c r="O194" s="691"/>
      <c r="P194" s="691"/>
      <c r="Q194" s="691"/>
      <c r="R194" s="691"/>
      <c r="U194" s="733" t="e">
        <f>AVERAGE(U5,U43,U81,U119,U157)</f>
        <v>#DIV/0!</v>
      </c>
      <c r="V194" s="733" t="e">
        <f t="shared" ref="V194:X194" si="60">AVERAGE(V5,V43,V81,V119,V157)</f>
        <v>#DIV/0!</v>
      </c>
      <c r="W194" s="733" t="e">
        <f t="shared" si="60"/>
        <v>#DIV/0!</v>
      </c>
      <c r="X194" s="733" t="e">
        <f t="shared" si="60"/>
        <v>#DIV/0!</v>
      </c>
      <c r="AB194" s="733" t="e">
        <f>AVERAGE(AB5,AB43,AB81,AB119,AB157)</f>
        <v>#DIV/0!</v>
      </c>
      <c r="AC194" s="733" t="e">
        <f t="shared" ref="AC194:AE194" si="61">AVERAGE(AC5,AC43,AC81,AC119,AC157)</f>
        <v>#DIV/0!</v>
      </c>
      <c r="AD194" s="733" t="e">
        <f t="shared" si="61"/>
        <v>#DIV/0!</v>
      </c>
      <c r="AE194" s="733" t="e">
        <f t="shared" si="61"/>
        <v>#DIV/0!</v>
      </c>
      <c r="AG194" s="733" t="e">
        <f>AVERAGE(AG5,AG43,AG81,AG119,AG157)</f>
        <v>#DIV/0!</v>
      </c>
      <c r="AH194" s="733" t="e">
        <f t="shared" ref="AH194:AJ194" si="62">AVERAGE(AH5,AH43,AH81,AH119,AH157)</f>
        <v>#DIV/0!</v>
      </c>
      <c r="AI194" s="733" t="e">
        <f t="shared" si="62"/>
        <v>#DIV/0!</v>
      </c>
      <c r="AJ194" s="733" t="e">
        <f t="shared" si="62"/>
        <v>#DIV/0!</v>
      </c>
      <c r="AN194" s="273"/>
      <c r="AO194" s="273"/>
      <c r="AP194" s="273"/>
      <c r="AQ194" s="273"/>
      <c r="AR194" s="273"/>
      <c r="AS194" s="273"/>
      <c r="AT194" s="273"/>
      <c r="AU194" s="273"/>
      <c r="AV194" s="273"/>
      <c r="AW194" s="273"/>
      <c r="AX194" s="273"/>
      <c r="AY194" s="273"/>
      <c r="AZ194" s="273"/>
      <c r="BA194" s="273"/>
      <c r="BB194" s="273"/>
      <c r="BC194" s="273"/>
      <c r="BD194" s="273"/>
      <c r="BE194" s="273"/>
      <c r="BF194" s="273"/>
      <c r="BG194" s="273"/>
      <c r="BH194" s="273"/>
      <c r="BI194" s="273"/>
      <c r="BJ194" s="273"/>
      <c r="BK194" s="273"/>
      <c r="BL194" s="273"/>
    </row>
    <row r="195" spans="2:64" s="665" customFormat="1">
      <c r="B195" s="691"/>
      <c r="C195" s="691"/>
      <c r="D195" s="691"/>
      <c r="E195" s="691"/>
      <c r="F195" s="691"/>
      <c r="G195" s="691"/>
      <c r="H195" s="691"/>
      <c r="I195" s="691"/>
      <c r="J195" s="691"/>
      <c r="K195" s="691"/>
      <c r="L195" s="691"/>
      <c r="M195" s="691"/>
      <c r="N195" s="691"/>
      <c r="O195" s="691"/>
      <c r="P195" s="691"/>
      <c r="Q195" s="691"/>
      <c r="R195" s="691"/>
      <c r="AN195" s="273"/>
      <c r="AO195" s="273"/>
      <c r="AP195" s="273"/>
      <c r="AQ195" s="273"/>
      <c r="AR195" s="273"/>
      <c r="AS195" s="273"/>
      <c r="AT195" s="273"/>
      <c r="AU195" s="273"/>
      <c r="AV195" s="273"/>
      <c r="AW195" s="273"/>
      <c r="AX195" s="273"/>
      <c r="AY195" s="273"/>
      <c r="AZ195" s="273"/>
      <c r="BA195" s="273"/>
      <c r="BB195" s="273"/>
      <c r="BC195" s="273"/>
      <c r="BD195" s="273"/>
      <c r="BE195" s="273"/>
      <c r="BF195" s="273"/>
      <c r="BG195" s="273"/>
      <c r="BH195" s="273"/>
      <c r="BI195" s="273"/>
      <c r="BJ195" s="273"/>
      <c r="BK195" s="273"/>
      <c r="BL195" s="273"/>
    </row>
    <row r="196" spans="2:64" s="665" customFormat="1">
      <c r="B196" s="691"/>
      <c r="C196" s="691"/>
      <c r="D196" s="691"/>
      <c r="E196" s="691"/>
      <c r="F196" s="691"/>
      <c r="G196" s="691"/>
      <c r="H196" s="691"/>
      <c r="I196" s="691"/>
      <c r="J196" s="691"/>
      <c r="K196" s="691"/>
      <c r="L196" s="691"/>
      <c r="M196" s="691"/>
      <c r="N196" s="691"/>
      <c r="O196" s="691"/>
      <c r="P196" s="691"/>
      <c r="Q196" s="691"/>
      <c r="R196" s="691"/>
      <c r="AN196" s="273"/>
      <c r="AO196" s="273"/>
      <c r="AP196" s="273"/>
      <c r="AQ196" s="273"/>
      <c r="AR196" s="273"/>
      <c r="AS196" s="273"/>
      <c r="AT196" s="273"/>
      <c r="AU196" s="273"/>
      <c r="AV196" s="273"/>
      <c r="AW196" s="273"/>
      <c r="AX196" s="273"/>
      <c r="AY196" s="273"/>
      <c r="AZ196" s="273"/>
      <c r="BA196" s="273"/>
      <c r="BB196" s="273"/>
      <c r="BC196" s="273"/>
      <c r="BD196" s="273"/>
      <c r="BE196" s="273"/>
      <c r="BF196" s="273"/>
      <c r="BG196" s="273"/>
      <c r="BH196" s="273"/>
      <c r="BI196" s="273"/>
      <c r="BJ196" s="273"/>
      <c r="BK196" s="273"/>
      <c r="BL196" s="273"/>
    </row>
    <row r="197" spans="2:64" s="665" customFormat="1">
      <c r="B197" s="691"/>
      <c r="C197" s="691"/>
      <c r="D197" s="691"/>
      <c r="E197" s="691"/>
      <c r="F197" s="691"/>
      <c r="G197" s="691"/>
      <c r="H197" s="691"/>
      <c r="I197" s="691"/>
      <c r="J197" s="691"/>
      <c r="K197" s="691"/>
      <c r="L197" s="691"/>
      <c r="M197" s="691"/>
      <c r="N197" s="691"/>
      <c r="O197" s="691"/>
      <c r="P197" s="691"/>
      <c r="Q197" s="691"/>
      <c r="R197" s="691"/>
      <c r="AN197" s="273"/>
      <c r="AO197" s="273"/>
      <c r="AP197" s="273"/>
      <c r="AQ197" s="273"/>
      <c r="AR197" s="273"/>
      <c r="AS197" s="273"/>
      <c r="AT197" s="273"/>
      <c r="AU197" s="273"/>
      <c r="AV197" s="273"/>
      <c r="AW197" s="273"/>
      <c r="AX197" s="273"/>
      <c r="AY197" s="273"/>
      <c r="AZ197" s="273"/>
      <c r="BA197" s="273"/>
      <c r="BB197" s="273"/>
      <c r="BC197" s="273"/>
      <c r="BD197" s="273"/>
      <c r="BE197" s="273"/>
      <c r="BF197" s="273"/>
      <c r="BG197" s="273"/>
      <c r="BH197" s="273"/>
      <c r="BI197" s="273"/>
      <c r="BJ197" s="273"/>
      <c r="BK197" s="273"/>
      <c r="BL197" s="273"/>
    </row>
    <row r="198" spans="2:64" s="665" customFormat="1">
      <c r="B198" s="691"/>
      <c r="C198" s="691"/>
      <c r="D198" s="691"/>
      <c r="E198" s="691"/>
      <c r="F198" s="691"/>
      <c r="G198" s="691"/>
      <c r="H198" s="691"/>
      <c r="I198" s="691"/>
      <c r="J198" s="691"/>
      <c r="K198" s="691"/>
      <c r="L198" s="691"/>
      <c r="M198" s="691"/>
      <c r="N198" s="691"/>
      <c r="O198" s="691"/>
      <c r="P198" s="691"/>
      <c r="Q198" s="691"/>
      <c r="R198" s="691"/>
      <c r="AN198" s="273"/>
      <c r="AO198" s="273"/>
      <c r="AP198" s="273"/>
      <c r="AQ198" s="273"/>
      <c r="AR198" s="273"/>
      <c r="AS198" s="273"/>
      <c r="AT198" s="273"/>
      <c r="AU198" s="273"/>
      <c r="AV198" s="273"/>
      <c r="AW198" s="273"/>
      <c r="AX198" s="273"/>
      <c r="AY198" s="273"/>
      <c r="AZ198" s="273"/>
      <c r="BA198" s="273"/>
      <c r="BB198" s="273"/>
      <c r="BC198" s="273"/>
      <c r="BD198" s="273"/>
      <c r="BE198" s="273"/>
      <c r="BF198" s="273"/>
      <c r="BG198" s="273"/>
      <c r="BH198" s="273"/>
      <c r="BI198" s="273"/>
      <c r="BJ198" s="273"/>
      <c r="BK198" s="273"/>
      <c r="BL198" s="273"/>
    </row>
    <row r="199" spans="2:64" s="665" customFormat="1">
      <c r="B199" s="691"/>
      <c r="C199" s="691"/>
      <c r="D199" s="691"/>
      <c r="E199" s="691"/>
      <c r="F199" s="691"/>
      <c r="G199" s="691"/>
      <c r="H199" s="691"/>
      <c r="I199" s="691"/>
      <c r="J199" s="691"/>
      <c r="K199" s="691"/>
      <c r="L199" s="691"/>
      <c r="M199" s="691"/>
      <c r="N199" s="691"/>
      <c r="O199" s="691"/>
      <c r="P199" s="691"/>
      <c r="Q199" s="691"/>
      <c r="R199" s="691"/>
      <c r="AN199" s="273"/>
      <c r="AO199" s="273"/>
      <c r="AP199" s="273"/>
      <c r="AQ199" s="273"/>
      <c r="AR199" s="273"/>
      <c r="AS199" s="273"/>
      <c r="AT199" s="273"/>
      <c r="AU199" s="273"/>
      <c r="AV199" s="273"/>
      <c r="AW199" s="273"/>
      <c r="AX199" s="273"/>
      <c r="AY199" s="273"/>
      <c r="AZ199" s="273"/>
      <c r="BA199" s="273"/>
      <c r="BB199" s="273"/>
      <c r="BC199" s="273"/>
      <c r="BD199" s="273"/>
      <c r="BE199" s="273"/>
      <c r="BF199" s="273"/>
      <c r="BG199" s="273"/>
      <c r="BH199" s="273"/>
      <c r="BI199" s="273"/>
      <c r="BJ199" s="273"/>
      <c r="BK199" s="273"/>
      <c r="BL199" s="273"/>
    </row>
    <row r="200" spans="2:64" s="665" customFormat="1">
      <c r="B200" s="691"/>
      <c r="C200" s="691"/>
      <c r="D200" s="691"/>
      <c r="E200" s="691"/>
      <c r="F200" s="691"/>
      <c r="G200" s="691"/>
      <c r="H200" s="691"/>
      <c r="I200" s="691"/>
      <c r="J200" s="691"/>
      <c r="K200" s="691"/>
      <c r="L200" s="691"/>
      <c r="M200" s="691"/>
      <c r="N200" s="691"/>
      <c r="O200" s="691"/>
      <c r="P200" s="691"/>
      <c r="Q200" s="691"/>
      <c r="R200" s="691"/>
      <c r="AN200" s="273"/>
      <c r="AO200" s="273"/>
      <c r="AP200" s="273"/>
      <c r="AQ200" s="273"/>
      <c r="AR200" s="273"/>
      <c r="AS200" s="273"/>
      <c r="AT200" s="273"/>
      <c r="AU200" s="273"/>
      <c r="AV200" s="273"/>
      <c r="AW200" s="273"/>
      <c r="AX200" s="273"/>
      <c r="AY200" s="273"/>
      <c r="AZ200" s="273"/>
      <c r="BA200" s="273"/>
      <c r="BB200" s="273"/>
      <c r="BC200" s="273"/>
      <c r="BD200" s="273"/>
      <c r="BE200" s="273"/>
      <c r="BF200" s="273"/>
      <c r="BG200" s="273"/>
      <c r="BH200" s="273"/>
      <c r="BI200" s="273"/>
      <c r="BJ200" s="273"/>
      <c r="BK200" s="273"/>
      <c r="BL200" s="273"/>
    </row>
    <row r="201" spans="2:64" s="665" customFormat="1">
      <c r="B201" s="691"/>
      <c r="C201" s="691"/>
      <c r="D201" s="691"/>
      <c r="E201" s="691"/>
      <c r="F201" s="691"/>
      <c r="G201" s="691"/>
      <c r="H201" s="691"/>
      <c r="I201" s="691"/>
      <c r="J201" s="691"/>
      <c r="K201" s="691"/>
      <c r="L201" s="691"/>
      <c r="M201" s="691"/>
      <c r="N201" s="691"/>
      <c r="O201" s="691"/>
      <c r="P201" s="691"/>
      <c r="Q201" s="691"/>
      <c r="R201" s="691"/>
      <c r="AN201" s="273"/>
      <c r="AO201" s="273"/>
      <c r="AP201" s="273"/>
      <c r="AQ201" s="273"/>
      <c r="AR201" s="273"/>
      <c r="AS201" s="273"/>
      <c r="AT201" s="273"/>
      <c r="AU201" s="273"/>
      <c r="AV201" s="273"/>
      <c r="AW201" s="273"/>
      <c r="AX201" s="273"/>
      <c r="AY201" s="273"/>
      <c r="AZ201" s="273"/>
      <c r="BA201" s="273"/>
      <c r="BB201" s="273"/>
      <c r="BC201" s="273"/>
      <c r="BD201" s="273"/>
      <c r="BE201" s="273"/>
      <c r="BF201" s="273"/>
      <c r="BG201" s="273"/>
      <c r="BH201" s="273"/>
      <c r="BI201" s="273"/>
      <c r="BJ201" s="273"/>
      <c r="BK201" s="273"/>
      <c r="BL201" s="273"/>
    </row>
    <row r="202" spans="2:64" s="665" customFormat="1">
      <c r="B202" s="691"/>
      <c r="C202" s="691"/>
      <c r="D202" s="691"/>
      <c r="E202" s="691"/>
      <c r="F202" s="691"/>
      <c r="G202" s="691"/>
      <c r="H202" s="691"/>
      <c r="I202" s="691"/>
      <c r="J202" s="691"/>
      <c r="K202" s="691"/>
      <c r="L202" s="691"/>
      <c r="M202" s="691"/>
      <c r="N202" s="691"/>
      <c r="O202" s="691"/>
      <c r="P202" s="691"/>
      <c r="Q202" s="691"/>
      <c r="R202" s="691"/>
      <c r="AN202" s="273"/>
      <c r="AO202" s="273"/>
      <c r="AP202" s="273"/>
      <c r="AQ202" s="273"/>
      <c r="AR202" s="273"/>
      <c r="AS202" s="273"/>
      <c r="AT202" s="273"/>
      <c r="AU202" s="273"/>
      <c r="AV202" s="273"/>
      <c r="AW202" s="273"/>
      <c r="AX202" s="273"/>
      <c r="AY202" s="273"/>
      <c r="AZ202" s="273"/>
      <c r="BA202" s="273"/>
      <c r="BB202" s="273"/>
      <c r="BC202" s="273"/>
      <c r="BD202" s="273"/>
      <c r="BE202" s="273"/>
      <c r="BF202" s="273"/>
      <c r="BG202" s="273"/>
      <c r="BH202" s="273"/>
      <c r="BI202" s="273"/>
      <c r="BJ202" s="273"/>
      <c r="BK202" s="273"/>
      <c r="BL202" s="273"/>
    </row>
    <row r="203" spans="2:64" s="665" customFormat="1">
      <c r="B203" s="691"/>
      <c r="C203" s="691"/>
      <c r="D203" s="691"/>
      <c r="E203" s="691"/>
      <c r="F203" s="691"/>
      <c r="G203" s="691"/>
      <c r="H203" s="691"/>
      <c r="I203" s="691"/>
      <c r="J203" s="691"/>
      <c r="K203" s="691"/>
      <c r="L203" s="691"/>
      <c r="M203" s="691"/>
      <c r="N203" s="691"/>
      <c r="O203" s="691"/>
      <c r="P203" s="691"/>
      <c r="Q203" s="691"/>
      <c r="R203" s="691"/>
      <c r="AN203" s="273"/>
      <c r="AO203" s="273"/>
      <c r="AP203" s="273"/>
      <c r="AQ203" s="273"/>
      <c r="AR203" s="273"/>
      <c r="AS203" s="273"/>
      <c r="AT203" s="273"/>
      <c r="AU203" s="273"/>
      <c r="AV203" s="273"/>
      <c r="AW203" s="273"/>
      <c r="AX203" s="273"/>
      <c r="AY203" s="273"/>
      <c r="AZ203" s="273"/>
      <c r="BA203" s="273"/>
      <c r="BB203" s="273"/>
      <c r="BC203" s="273"/>
      <c r="BD203" s="273"/>
      <c r="BE203" s="273"/>
      <c r="BF203" s="273"/>
      <c r="BG203" s="273"/>
      <c r="BH203" s="273"/>
      <c r="BI203" s="273"/>
      <c r="BJ203" s="273"/>
      <c r="BK203" s="273"/>
      <c r="BL203" s="273"/>
    </row>
    <row r="204" spans="2:64" s="665" customFormat="1">
      <c r="B204" s="691"/>
      <c r="C204" s="691"/>
      <c r="D204" s="691"/>
      <c r="E204" s="691"/>
      <c r="F204" s="691"/>
      <c r="G204" s="691"/>
      <c r="H204" s="691"/>
      <c r="I204" s="691"/>
      <c r="J204" s="691"/>
      <c r="K204" s="691"/>
      <c r="L204" s="691"/>
      <c r="M204" s="691"/>
      <c r="N204" s="691"/>
      <c r="O204" s="691"/>
      <c r="P204" s="691"/>
      <c r="Q204" s="691"/>
      <c r="R204" s="691"/>
      <c r="AN204" s="273"/>
      <c r="AO204" s="273"/>
      <c r="AP204" s="273"/>
      <c r="AQ204" s="273"/>
      <c r="AR204" s="273"/>
      <c r="AS204" s="273"/>
      <c r="AT204" s="273"/>
      <c r="AU204" s="273"/>
      <c r="AV204" s="273"/>
      <c r="AW204" s="273"/>
      <c r="AX204" s="273"/>
      <c r="AY204" s="273"/>
      <c r="AZ204" s="273"/>
      <c r="BA204" s="273"/>
      <c r="BB204" s="273"/>
      <c r="BC204" s="273"/>
      <c r="BD204" s="273"/>
      <c r="BE204" s="273"/>
      <c r="BF204" s="273"/>
      <c r="BG204" s="273"/>
      <c r="BH204" s="273"/>
      <c r="BI204" s="273"/>
      <c r="BJ204" s="273"/>
      <c r="BK204" s="273"/>
      <c r="BL204" s="273"/>
    </row>
    <row r="205" spans="2:64" s="665" customFormat="1">
      <c r="B205" s="691"/>
      <c r="C205" s="691"/>
      <c r="D205" s="691"/>
      <c r="E205" s="691"/>
      <c r="F205" s="691"/>
      <c r="G205" s="691"/>
      <c r="H205" s="691"/>
      <c r="I205" s="691"/>
      <c r="J205" s="691"/>
      <c r="K205" s="691"/>
      <c r="L205" s="691"/>
      <c r="M205" s="691"/>
      <c r="N205" s="691"/>
      <c r="O205" s="691"/>
      <c r="P205" s="691"/>
      <c r="Q205" s="691"/>
      <c r="R205" s="691"/>
      <c r="AN205" s="273"/>
      <c r="AO205" s="273"/>
      <c r="AP205" s="273"/>
      <c r="AQ205" s="273"/>
      <c r="AR205" s="273"/>
      <c r="AS205" s="273"/>
      <c r="AT205" s="273"/>
      <c r="AU205" s="273"/>
      <c r="AV205" s="273"/>
      <c r="AW205" s="273"/>
      <c r="AX205" s="273"/>
      <c r="AY205" s="273"/>
      <c r="AZ205" s="273"/>
      <c r="BA205" s="273"/>
      <c r="BB205" s="273"/>
      <c r="BC205" s="273"/>
      <c r="BD205" s="273"/>
      <c r="BE205" s="273"/>
      <c r="BF205" s="273"/>
      <c r="BG205" s="273"/>
      <c r="BH205" s="273"/>
      <c r="BI205" s="273"/>
      <c r="BJ205" s="273"/>
      <c r="BK205" s="273"/>
      <c r="BL205" s="273"/>
    </row>
    <row r="206" spans="2:64" s="665" customFormat="1">
      <c r="B206" s="691"/>
      <c r="C206" s="691"/>
      <c r="D206" s="691"/>
      <c r="E206" s="691"/>
      <c r="F206" s="691"/>
      <c r="G206" s="691"/>
      <c r="H206" s="691"/>
      <c r="I206" s="691"/>
      <c r="J206" s="691"/>
      <c r="K206" s="691"/>
      <c r="L206" s="691"/>
      <c r="M206" s="691"/>
      <c r="N206" s="691"/>
      <c r="O206" s="691"/>
      <c r="P206" s="691"/>
      <c r="Q206" s="691"/>
      <c r="R206" s="691"/>
      <c r="AN206" s="273"/>
      <c r="AO206" s="273"/>
      <c r="AP206" s="273"/>
      <c r="AQ206" s="273"/>
      <c r="AR206" s="273"/>
      <c r="AS206" s="273"/>
      <c r="AT206" s="273"/>
      <c r="AU206" s="273"/>
      <c r="AV206" s="273"/>
      <c r="AW206" s="273"/>
      <c r="AX206" s="273"/>
      <c r="AY206" s="273"/>
      <c r="AZ206" s="273"/>
      <c r="BA206" s="273"/>
      <c r="BB206" s="273"/>
      <c r="BC206" s="273"/>
      <c r="BD206" s="273"/>
      <c r="BE206" s="273"/>
      <c r="BF206" s="273"/>
      <c r="BG206" s="273"/>
      <c r="BH206" s="273"/>
      <c r="BI206" s="273"/>
      <c r="BJ206" s="273"/>
      <c r="BK206" s="273"/>
      <c r="BL206" s="273"/>
    </row>
    <row r="207" spans="2:64" s="665" customFormat="1">
      <c r="B207" s="691"/>
      <c r="C207" s="691"/>
      <c r="D207" s="691"/>
      <c r="E207" s="691"/>
      <c r="F207" s="691"/>
      <c r="G207" s="691"/>
      <c r="H207" s="691"/>
      <c r="I207" s="691"/>
      <c r="J207" s="691"/>
      <c r="K207" s="691"/>
      <c r="L207" s="691"/>
      <c r="M207" s="691"/>
      <c r="N207" s="691"/>
      <c r="O207" s="691"/>
      <c r="P207" s="691"/>
      <c r="Q207" s="691"/>
      <c r="R207" s="691"/>
      <c r="AN207" s="273"/>
      <c r="AO207" s="273"/>
      <c r="AP207" s="273"/>
      <c r="AQ207" s="273"/>
      <c r="AR207" s="273"/>
      <c r="AS207" s="273"/>
      <c r="AT207" s="273"/>
      <c r="AU207" s="273"/>
      <c r="AV207" s="273"/>
      <c r="AW207" s="273"/>
      <c r="AX207" s="273"/>
      <c r="AY207" s="273"/>
      <c r="AZ207" s="273"/>
      <c r="BA207" s="273"/>
      <c r="BB207" s="273"/>
      <c r="BC207" s="273"/>
      <c r="BD207" s="273"/>
      <c r="BE207" s="273"/>
      <c r="BF207" s="273"/>
      <c r="BG207" s="273"/>
      <c r="BH207" s="273"/>
      <c r="BI207" s="273"/>
      <c r="BJ207" s="273"/>
      <c r="BK207" s="273"/>
      <c r="BL207" s="273"/>
    </row>
    <row r="208" spans="2:64" s="665" customFormat="1">
      <c r="B208" s="691"/>
      <c r="C208" s="691"/>
      <c r="D208" s="691"/>
      <c r="E208" s="691"/>
      <c r="F208" s="691"/>
      <c r="G208" s="691"/>
      <c r="H208" s="691"/>
      <c r="I208" s="691"/>
      <c r="J208" s="691"/>
      <c r="K208" s="691"/>
      <c r="L208" s="691"/>
      <c r="M208" s="691"/>
      <c r="N208" s="691"/>
      <c r="O208" s="691"/>
      <c r="P208" s="691"/>
      <c r="Q208" s="691"/>
      <c r="R208" s="691"/>
      <c r="AN208" s="273"/>
      <c r="AO208" s="273"/>
      <c r="AP208" s="273"/>
      <c r="AQ208" s="273"/>
      <c r="AR208" s="273"/>
      <c r="AS208" s="273"/>
      <c r="AT208" s="273"/>
      <c r="AU208" s="273"/>
      <c r="AV208" s="273"/>
      <c r="AW208" s="273"/>
      <c r="AX208" s="273"/>
      <c r="AY208" s="273"/>
      <c r="AZ208" s="273"/>
      <c r="BA208" s="273"/>
      <c r="BB208" s="273"/>
      <c r="BC208" s="273"/>
      <c r="BD208" s="273"/>
      <c r="BE208" s="273"/>
      <c r="BF208" s="273"/>
      <c r="BG208" s="273"/>
      <c r="BH208" s="273"/>
      <c r="BI208" s="273"/>
      <c r="BJ208" s="273"/>
      <c r="BK208" s="273"/>
      <c r="BL208" s="273"/>
    </row>
    <row r="209" spans="1:64" s="665" customFormat="1">
      <c r="B209" s="691"/>
      <c r="C209" s="691"/>
      <c r="D209" s="691"/>
      <c r="E209" s="691"/>
      <c r="F209" s="691"/>
      <c r="G209" s="691"/>
      <c r="H209" s="691"/>
      <c r="I209" s="691"/>
      <c r="J209" s="691"/>
      <c r="K209" s="691"/>
      <c r="L209" s="691"/>
      <c r="M209" s="691"/>
      <c r="N209" s="691"/>
      <c r="O209" s="691"/>
      <c r="P209" s="691"/>
      <c r="Q209" s="691"/>
      <c r="R209" s="691"/>
      <c r="AN209" s="273"/>
      <c r="AO209" s="273"/>
      <c r="AP209" s="273"/>
      <c r="AQ209" s="273"/>
      <c r="AR209" s="273"/>
      <c r="AS209" s="273"/>
      <c r="AT209" s="273"/>
      <c r="AU209" s="273"/>
      <c r="AV209" s="273"/>
      <c r="AW209" s="273"/>
      <c r="AX209" s="273"/>
      <c r="AY209" s="273"/>
      <c r="AZ209" s="273"/>
      <c r="BA209" s="273"/>
      <c r="BB209" s="273"/>
      <c r="BC209" s="273"/>
      <c r="BD209" s="273"/>
      <c r="BE209" s="273"/>
      <c r="BF209" s="273"/>
      <c r="BG209" s="273"/>
      <c r="BH209" s="273"/>
      <c r="BI209" s="273"/>
      <c r="BJ209" s="273"/>
      <c r="BK209" s="273"/>
      <c r="BL209" s="273"/>
    </row>
    <row r="210" spans="1:64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</row>
  </sheetData>
  <mergeCells count="180">
    <mergeCell ref="AS40:AV40"/>
    <mergeCell ref="AS41:AS42"/>
    <mergeCell ref="AT41:AT42"/>
    <mergeCell ref="AU41:AU42"/>
    <mergeCell ref="AV41:AV42"/>
    <mergeCell ref="AB154:AE154"/>
    <mergeCell ref="AB155:AB156"/>
    <mergeCell ref="AC155:AC156"/>
    <mergeCell ref="AD155:AD156"/>
    <mergeCell ref="AE155:AE156"/>
    <mergeCell ref="AN40:AQ40"/>
    <mergeCell ref="AN41:AN42"/>
    <mergeCell ref="AO41:AO42"/>
    <mergeCell ref="AP41:AP42"/>
    <mergeCell ref="AQ41:AQ42"/>
    <mergeCell ref="AB191:AE191"/>
    <mergeCell ref="AB192:AB193"/>
    <mergeCell ref="AC192:AC193"/>
    <mergeCell ref="AD192:AD193"/>
    <mergeCell ref="AE192:AE193"/>
    <mergeCell ref="AB78:AE78"/>
    <mergeCell ref="AB79:AB80"/>
    <mergeCell ref="AC79:AC80"/>
    <mergeCell ref="AD79:AD80"/>
    <mergeCell ref="AE79:AE80"/>
    <mergeCell ref="AB116:AE116"/>
    <mergeCell ref="AB117:AB118"/>
    <mergeCell ref="AC117:AC118"/>
    <mergeCell ref="AD117:AD118"/>
    <mergeCell ref="AE117:AE118"/>
    <mergeCell ref="AB2:AE2"/>
    <mergeCell ref="AB3:AB4"/>
    <mergeCell ref="AC3:AC4"/>
    <mergeCell ref="AD3:AD4"/>
    <mergeCell ref="AE3:AE4"/>
    <mergeCell ref="AB40:AE40"/>
    <mergeCell ref="AB41:AB42"/>
    <mergeCell ref="AC41:AC42"/>
    <mergeCell ref="AD41:AD42"/>
    <mergeCell ref="AE41:AE42"/>
    <mergeCell ref="S153:S156"/>
    <mergeCell ref="A153:A156"/>
    <mergeCell ref="B153:R153"/>
    <mergeCell ref="B154:G154"/>
    <mergeCell ref="H154:I154"/>
    <mergeCell ref="J154:Q154"/>
    <mergeCell ref="B155:B156"/>
    <mergeCell ref="C155:C156"/>
    <mergeCell ref="D155:G155"/>
    <mergeCell ref="H155:H156"/>
    <mergeCell ref="I155:I156"/>
    <mergeCell ref="J155:L155"/>
    <mergeCell ref="M155:O155"/>
    <mergeCell ref="P155:P156"/>
    <mergeCell ref="Q155:Q156"/>
    <mergeCell ref="R155:R156"/>
    <mergeCell ref="M117:O117"/>
    <mergeCell ref="P117:P118"/>
    <mergeCell ref="B41:B42"/>
    <mergeCell ref="C41:C42"/>
    <mergeCell ref="D41:G41"/>
    <mergeCell ref="H41:H42"/>
    <mergeCell ref="I41:I42"/>
    <mergeCell ref="J41:L41"/>
    <mergeCell ref="S1:S4"/>
    <mergeCell ref="S39:S42"/>
    <mergeCell ref="S77:S80"/>
    <mergeCell ref="S115:S118"/>
    <mergeCell ref="H116:I116"/>
    <mergeCell ref="J116:Q116"/>
    <mergeCell ref="B117:B118"/>
    <mergeCell ref="C117:C118"/>
    <mergeCell ref="A115:A118"/>
    <mergeCell ref="B77:R77"/>
    <mergeCell ref="B78:G78"/>
    <mergeCell ref="H78:I78"/>
    <mergeCell ref="J78:Q78"/>
    <mergeCell ref="B79:B80"/>
    <mergeCell ref="P79:P80"/>
    <mergeCell ref="Q79:Q80"/>
    <mergeCell ref="R79:R80"/>
    <mergeCell ref="C79:C80"/>
    <mergeCell ref="D79:G79"/>
    <mergeCell ref="H79:H80"/>
    <mergeCell ref="I79:I80"/>
    <mergeCell ref="J79:L79"/>
    <mergeCell ref="M79:O79"/>
    <mergeCell ref="A77:A80"/>
    <mergeCell ref="B115:R115"/>
    <mergeCell ref="B116:G116"/>
    <mergeCell ref="Q117:Q118"/>
    <mergeCell ref="R117:R118"/>
    <mergeCell ref="D117:G117"/>
    <mergeCell ref="H117:H118"/>
    <mergeCell ref="I117:I118"/>
    <mergeCell ref="J117:L117"/>
    <mergeCell ref="A39:A42"/>
    <mergeCell ref="B1:R1"/>
    <mergeCell ref="B2:G2"/>
    <mergeCell ref="H2:I2"/>
    <mergeCell ref="J2:Q2"/>
    <mergeCell ref="B3:B4"/>
    <mergeCell ref="C3:C4"/>
    <mergeCell ref="D3:G3"/>
    <mergeCell ref="H3:H4"/>
    <mergeCell ref="I3:I4"/>
    <mergeCell ref="J3:L3"/>
    <mergeCell ref="M3:O3"/>
    <mergeCell ref="P3:P4"/>
    <mergeCell ref="Q3:Q4"/>
    <mergeCell ref="R3:R4"/>
    <mergeCell ref="A1:A4"/>
    <mergeCell ref="B39:R39"/>
    <mergeCell ref="B40:G40"/>
    <mergeCell ref="H40:I40"/>
    <mergeCell ref="J40:Q40"/>
    <mergeCell ref="M41:O41"/>
    <mergeCell ref="P41:P42"/>
    <mergeCell ref="Q41:Q42"/>
    <mergeCell ref="R41:R42"/>
    <mergeCell ref="U2:X2"/>
    <mergeCell ref="U40:X40"/>
    <mergeCell ref="U41:U42"/>
    <mergeCell ref="V41:V42"/>
    <mergeCell ref="W41:W42"/>
    <mergeCell ref="X41:X42"/>
    <mergeCell ref="U3:U4"/>
    <mergeCell ref="V3:V4"/>
    <mergeCell ref="W3:W4"/>
    <mergeCell ref="X3:X4"/>
    <mergeCell ref="U116:X116"/>
    <mergeCell ref="U117:U118"/>
    <mergeCell ref="V117:V118"/>
    <mergeCell ref="W117:W118"/>
    <mergeCell ref="X117:X118"/>
    <mergeCell ref="U78:X78"/>
    <mergeCell ref="U79:U80"/>
    <mergeCell ref="V79:V80"/>
    <mergeCell ref="W79:W80"/>
    <mergeCell ref="X79:X80"/>
    <mergeCell ref="U191:X191"/>
    <mergeCell ref="U192:U193"/>
    <mergeCell ref="V192:V193"/>
    <mergeCell ref="W192:W193"/>
    <mergeCell ref="X192:X193"/>
    <mergeCell ref="U154:X154"/>
    <mergeCell ref="U155:U156"/>
    <mergeCell ref="V155:V156"/>
    <mergeCell ref="W155:W156"/>
    <mergeCell ref="X155:X156"/>
    <mergeCell ref="AG2:AJ2"/>
    <mergeCell ref="AG3:AG4"/>
    <mergeCell ref="AH3:AH4"/>
    <mergeCell ref="AI3:AI4"/>
    <mergeCell ref="AJ3:AJ4"/>
    <mergeCell ref="AG40:AJ40"/>
    <mergeCell ref="AG41:AG42"/>
    <mergeCell ref="AH41:AH42"/>
    <mergeCell ref="AI41:AI42"/>
    <mergeCell ref="AJ41:AJ42"/>
    <mergeCell ref="AG191:AJ191"/>
    <mergeCell ref="AG192:AG193"/>
    <mergeCell ref="AH192:AH193"/>
    <mergeCell ref="AI192:AI193"/>
    <mergeCell ref="AJ192:AJ193"/>
    <mergeCell ref="AG78:AJ78"/>
    <mergeCell ref="AG79:AG80"/>
    <mergeCell ref="AH79:AH80"/>
    <mergeCell ref="AI79:AI80"/>
    <mergeCell ref="AJ79:AJ80"/>
    <mergeCell ref="AG116:AJ116"/>
    <mergeCell ref="AG117:AG118"/>
    <mergeCell ref="AH117:AH118"/>
    <mergeCell ref="AI117:AI118"/>
    <mergeCell ref="AJ117:AJ118"/>
    <mergeCell ref="AG154:AJ154"/>
    <mergeCell ref="AG155:AG156"/>
    <mergeCell ref="AH155:AH156"/>
    <mergeCell ref="AI155:AI156"/>
    <mergeCell ref="AJ155:AJ156"/>
  </mergeCells>
  <pageMargins left="0.51181102362204722" right="0.51181102362204722" top="0.78740157480314965" bottom="0.78740157480314965" header="0.31496062992125984" footer="0.31496062992125984"/>
  <pageSetup paperSize="9"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5" tint="0.39997558519241921"/>
  </sheetPr>
  <dimension ref="A1:CH210"/>
  <sheetViews>
    <sheetView topLeftCell="A116" workbookViewId="0">
      <pane xSplit="1" topLeftCell="O38" activePane="topRight" state="frozen"/>
      <selection pane="topRight" activeCell="O122" sqref="O122"/>
    </sheetView>
  </sheetViews>
  <sheetFormatPr defaultColWidth="8.85546875" defaultRowHeight="15"/>
  <cols>
    <col min="1" max="1" width="20" customWidth="1"/>
    <col min="2" max="2" width="15.28515625" style="272" bestFit="1" customWidth="1"/>
    <col min="3" max="3" width="10.140625" style="272" customWidth="1"/>
    <col min="4" max="4" width="8.7109375" style="272" customWidth="1"/>
    <col min="5" max="6" width="11.85546875" style="272" customWidth="1"/>
    <col min="7" max="7" width="8.85546875" style="272"/>
    <col min="8" max="8" width="12.42578125" style="272" customWidth="1"/>
    <col min="9" max="9" width="10.42578125" style="272" customWidth="1"/>
    <col min="10" max="10" width="11.28515625" style="272" customWidth="1"/>
    <col min="11" max="11" width="12" style="272" customWidth="1"/>
    <col min="12" max="13" width="8.85546875" style="272"/>
    <col min="14" max="14" width="10.7109375" style="272" customWidth="1"/>
    <col min="15" max="15" width="8.85546875" style="272"/>
    <col min="16" max="16" width="11.7109375" style="272" customWidth="1"/>
    <col min="17" max="17" width="10.85546875" style="272" customWidth="1"/>
    <col min="18" max="18" width="10.42578125" style="272" bestFit="1" customWidth="1"/>
    <col min="19" max="19" width="8.85546875" style="1"/>
    <col min="20" max="20" width="20" customWidth="1"/>
    <col min="21" max="21" width="22.28515625" style="1" customWidth="1"/>
    <col min="22" max="22" width="12" style="1" bestFit="1" customWidth="1"/>
    <col min="23" max="23" width="14" style="1" customWidth="1"/>
    <col min="24" max="86" width="8.85546875" style="1"/>
  </cols>
  <sheetData>
    <row r="1" spans="1:22" ht="15.75" customHeight="1" thickBot="1">
      <c r="A1" s="1051" t="s">
        <v>126</v>
      </c>
      <c r="B1" s="1054">
        <v>2009</v>
      </c>
      <c r="C1" s="1055"/>
      <c r="D1" s="1055"/>
      <c r="E1" s="1055"/>
      <c r="F1" s="1055"/>
      <c r="G1" s="1055"/>
      <c r="H1" s="1055"/>
      <c r="I1" s="1055"/>
      <c r="J1" s="1055"/>
      <c r="K1" s="1055"/>
      <c r="L1" s="1055"/>
      <c r="M1" s="1055"/>
      <c r="N1" s="1055"/>
      <c r="O1" s="1055"/>
      <c r="P1" s="1055"/>
      <c r="Q1" s="1055"/>
      <c r="R1" s="1078"/>
      <c r="T1" s="1040" t="s">
        <v>126</v>
      </c>
      <c r="U1" s="1088"/>
    </row>
    <row r="2" spans="1:22">
      <c r="A2" s="1052"/>
      <c r="B2" s="1060" t="s">
        <v>97</v>
      </c>
      <c r="C2" s="1061"/>
      <c r="D2" s="1061"/>
      <c r="E2" s="1061"/>
      <c r="F2" s="1061"/>
      <c r="G2" s="1061"/>
      <c r="H2" s="1061" t="s">
        <v>98</v>
      </c>
      <c r="I2" s="1061"/>
      <c r="J2" s="1061" t="s">
        <v>99</v>
      </c>
      <c r="K2" s="1061"/>
      <c r="L2" s="1061"/>
      <c r="M2" s="1061"/>
      <c r="N2" s="1061"/>
      <c r="O2" s="1061"/>
      <c r="P2" s="1061"/>
      <c r="Q2" s="1061"/>
      <c r="R2" s="289" t="s">
        <v>100</v>
      </c>
      <c r="T2" s="1089"/>
      <c r="U2" s="1090"/>
    </row>
    <row r="3" spans="1:22">
      <c r="A3" s="1052"/>
      <c r="B3" s="1062" t="s">
        <v>101</v>
      </c>
      <c r="C3" s="1064" t="s">
        <v>102</v>
      </c>
      <c r="D3" s="1064" t="s">
        <v>103</v>
      </c>
      <c r="E3" s="1064"/>
      <c r="F3" s="1064"/>
      <c r="G3" s="1064"/>
      <c r="H3" s="1062" t="s">
        <v>101</v>
      </c>
      <c r="I3" s="1064" t="s">
        <v>102</v>
      </c>
      <c r="J3" s="1064" t="s">
        <v>104</v>
      </c>
      <c r="K3" s="1064"/>
      <c r="L3" s="1064"/>
      <c r="M3" s="1064" t="s">
        <v>105</v>
      </c>
      <c r="N3" s="1064"/>
      <c r="O3" s="1064"/>
      <c r="P3" s="1062" t="s">
        <v>101</v>
      </c>
      <c r="Q3" s="1064" t="s">
        <v>102</v>
      </c>
      <c r="R3" s="1062" t="s">
        <v>101</v>
      </c>
      <c r="T3" s="1089"/>
      <c r="U3" s="1090"/>
    </row>
    <row r="4" spans="1:22" ht="15.75" thickBot="1">
      <c r="A4" s="1053"/>
      <c r="B4" s="1086"/>
      <c r="C4" s="1087"/>
      <c r="D4" s="414" t="s">
        <v>106</v>
      </c>
      <c r="E4" s="414" t="s">
        <v>107</v>
      </c>
      <c r="F4" s="414" t="s">
        <v>108</v>
      </c>
      <c r="G4" s="414" t="s">
        <v>109</v>
      </c>
      <c r="H4" s="1086"/>
      <c r="I4" s="1087"/>
      <c r="J4" s="414" t="s">
        <v>110</v>
      </c>
      <c r="K4" s="414" t="s">
        <v>111</v>
      </c>
      <c r="L4" s="414" t="s">
        <v>112</v>
      </c>
      <c r="M4" s="414" t="s">
        <v>113</v>
      </c>
      <c r="N4" s="414" t="s">
        <v>114</v>
      </c>
      <c r="O4" s="414" t="s">
        <v>115</v>
      </c>
      <c r="P4" s="1086"/>
      <c r="Q4" s="1087"/>
      <c r="R4" s="1086"/>
      <c r="T4" s="1089"/>
      <c r="U4" s="1090"/>
    </row>
    <row r="5" spans="1:22" ht="15.75" thickBot="1">
      <c r="A5" s="268" t="s">
        <v>11</v>
      </c>
      <c r="B5" s="415">
        <f>DIST_TOT!B5*TAX_TOT!B5*COMB_TOT!B5/FRO_TOT!B5</f>
        <v>8346.3801776698365</v>
      </c>
      <c r="C5" s="415">
        <f>DIST_TOT!C5*TAX_TOT!C5*COMB_TOT!C5/FRO_TOT!C5</f>
        <v>8197.409918339552</v>
      </c>
      <c r="D5" s="427">
        <f>DIST_TOT!D5*TAX_TOT!D5*COMB_TOT!D5/FRO_TOT!D5</f>
        <v>6190.9065018946667</v>
      </c>
      <c r="E5" s="417">
        <f>DIST_TOT!E5*TAX_TOT!E5*COMB_TOT!E5/FRO_TOT!E5</f>
        <v>14239.084954357731</v>
      </c>
      <c r="F5" s="418">
        <f>DIST_TOT!F5*TAX_TOT!F5*COMB_TOT!F5/FRO_TOT!F5</f>
        <v>6190.9065018946676</v>
      </c>
      <c r="G5" s="418">
        <f>DIST_TOT!G5*TAX_TOT!G5*COMB_TOT!G5/FRO_TOT!G5</f>
        <v>4127.2710012631123</v>
      </c>
      <c r="H5" s="418">
        <f>DIST_TOT!H5*TAX_TOT!H5*COMB_TOT!H5/FRO_TOT!H5</f>
        <v>11082.606156262689</v>
      </c>
      <c r="I5" s="418">
        <f>DIST_TOT!I5*TAX_TOT!I5*COMB_TOT!I5/FRO_TOT!I5</f>
        <v>11271.915149823753</v>
      </c>
      <c r="J5" s="418">
        <f>DIST_TOT!J5*TAX_TOT!J5*COMB_TOT!J5/FRO_TOT!J5</f>
        <v>28021.087522326186</v>
      </c>
      <c r="K5" s="418">
        <f>DIST_TOT!K5*TAX_TOT!K5*COMB_TOT!K5/FRO_TOT!K5</f>
        <v>42031.640231275509</v>
      </c>
      <c r="L5" s="418">
        <f>DIST_TOT!L5*TAX_TOT!L5*COMB_TOT!L5/FRO_TOT!L5</f>
        <v>55799.480218943565</v>
      </c>
      <c r="M5" s="418">
        <f>DIST_TOT!M5*TAX_TOT!M5*COMB_TOT!M5/FRO_TOT!M5</f>
        <v>32348.016362516453</v>
      </c>
      <c r="N5" s="418">
        <f>DIST_TOT!N5*TAX_TOT!N5*COMB_TOT!N5/FRO_TOT!N5</f>
        <v>114040.62366574981</v>
      </c>
      <c r="O5" s="418">
        <f>DIST_TOT!O5*TAX_TOT!O5*COMB_TOT!O5/FRO_TOT!O5</f>
        <v>62837.852748244164</v>
      </c>
      <c r="P5" s="418">
        <f>DIST_TOT!P5*TAX_TOT!P5*COMB_TOT!P5/FRO_TOT!P5</f>
        <v>15089.528906762698</v>
      </c>
      <c r="Q5" s="418">
        <f>DIST_TOT!Q5*TAX_TOT!Q5*COMB_TOT!Q5/FRO_TOT!Q5</f>
        <v>15089.528906762702</v>
      </c>
      <c r="R5" s="419">
        <f>DIST_TOT!R5*TAX_TOT!R5*COMB_TOT!R5/FRO_TOT!R5</f>
        <v>17917.487227263824</v>
      </c>
      <c r="T5" s="268" t="s">
        <v>11</v>
      </c>
      <c r="U5" s="697">
        <f>SUMPRODUCT(B5:R5,FRO_TOT!B5:R5)/SUM(FRO_TOT!B5:R5)</f>
        <v>12413.077816816938</v>
      </c>
      <c r="V5" s="719">
        <f>(B5*DIST_GAS_LEV!E11+C5*DIST_GAS_LEV!Z11+KMA!H5*DIST_ALC_LEV!D11+KMA!I5*DIST_ALC_LEV!U11+P5*DIST_DSL_LEV!B11+KMA!Q5*DIST_DSL_LEV!C11+KMA!R5*GNV!B4)/SUM(DEN!C3,DEN!F3,DEN!G3,DEN!L3)</f>
        <v>9878.06050682358</v>
      </c>
    </row>
    <row r="6" spans="1:22" ht="15.75" thickBot="1">
      <c r="A6" s="324" t="s">
        <v>46</v>
      </c>
      <c r="B6" s="415">
        <f>DIST_TOT!B6*TAX_TOT!B6*COMB_TOT!B6/FRO_TOT!B6</f>
        <v>14708.710595340479</v>
      </c>
      <c r="C6" s="415">
        <f>DIST_TOT!C6*TAX_TOT!C6*COMB_TOT!C6/FRO_TOT!C6</f>
        <v>15089.194903746016</v>
      </c>
      <c r="D6" s="427">
        <f>DIST_TOT!D6*TAX_TOT!D6*COMB_TOT!D6/FRO_TOT!D6</f>
        <v>6819.0504807239786</v>
      </c>
      <c r="E6" s="420">
        <f>DIST_TOT!E6*TAX_TOT!E6*COMB_TOT!E6/FRO_TOT!E6</f>
        <v>15683.81610566515</v>
      </c>
      <c r="F6" s="415">
        <f>DIST_TOT!F6*TAX_TOT!F6*COMB_TOT!F6/FRO_TOT!F6</f>
        <v>6819.0504807239777</v>
      </c>
      <c r="G6" s="415">
        <f>DIST_TOT!G6*TAX_TOT!G6*COMB_TOT!G6/FRO_TOT!G6</f>
        <v>4546.0336538159845</v>
      </c>
      <c r="H6" s="415">
        <f>DIST_TOT!H6*TAX_TOT!H6*COMB_TOT!H6/FRO_TOT!H6</f>
        <v>13562.219674160984</v>
      </c>
      <c r="I6" s="415">
        <f>DIST_TOT!I6*TAX_TOT!I6*COMB_TOT!I6/FRO_TOT!I6</f>
        <v>13562.219674160982</v>
      </c>
      <c r="J6" s="415">
        <f>DIST_TOT!J6*TAX_TOT!J6*COMB_TOT!J6/FRO_TOT!J6</f>
        <v>73565.139086392999</v>
      </c>
      <c r="K6" s="415">
        <f>DIST_TOT!K6*TAX_TOT!K6*COMB_TOT!K6/FRO_TOT!K6</f>
        <v>110347.70862958948</v>
      </c>
      <c r="L6" s="415">
        <f>DIST_TOT!L6*TAX_TOT!L6*COMB_TOT!L6/FRO_TOT!L6</f>
        <v>147130.278172786</v>
      </c>
      <c r="M6" s="415">
        <f>DIST_TOT!M6*TAX_TOT!M6*COMB_TOT!M6/FRO_TOT!M6</f>
        <v>52421.404945248127</v>
      </c>
      <c r="N6" s="415">
        <f>DIST_TOT!N6*TAX_TOT!N6*COMB_TOT!N6/FRO_TOT!N6</f>
        <v>135458.50676330854</v>
      </c>
      <c r="O6" s="415">
        <f>DIST_TOT!O6*TAX_TOT!O6*COMB_TOT!O6/FRO_TOT!O6</f>
        <v>104017.13482457193</v>
      </c>
      <c r="P6" s="415">
        <f>DIST_TOT!P6*TAX_TOT!P6*COMB_TOT!P6/FRO_TOT!P6</f>
        <v>17923.48189416065</v>
      </c>
      <c r="Q6" s="415">
        <f>DIST_TOT!Q6*TAX_TOT!Q6*COMB_TOT!Q6/FRO_TOT!Q6</f>
        <v>17923.48189416065</v>
      </c>
      <c r="R6" s="421">
        <v>0</v>
      </c>
      <c r="T6" s="268" t="s">
        <v>46</v>
      </c>
      <c r="U6" s="697">
        <f>SUMPRODUCT(B6:R6,FRO_TOT!B6:R6)/SUM(FRO_TOT!B6:R6)</f>
        <v>19349.278060242599</v>
      </c>
      <c r="V6" s="719">
        <f>(B6*DIST_GAS_LEV!E12+C6*DIST_GAS_LEV!Z12+KMA!H6*DIST_ALC_LEV!D12+KMA!I6*DIST_ALC_LEV!U12+P6*DIST_DSL_LEV!B12+KMA!Q6*DIST_DSL_LEV!C12+KMA!R6*GNV!B5)/SUM(DEN!C4,DEN!F4,DEN!G4,DEN!L4)</f>
        <v>14746.061687667534</v>
      </c>
    </row>
    <row r="7" spans="1:22">
      <c r="A7" s="130" t="s">
        <v>13</v>
      </c>
      <c r="B7" s="416">
        <f>DIST_TOT!B7*TAX_TOT!B7*COMB_TOT!B7/FRO_TOT!B7</f>
        <v>13388.714783087753</v>
      </c>
      <c r="C7" s="416">
        <f>DIST_TOT!C7*TAX_TOT!C7*COMB_TOT!C7/FRO_TOT!C7</f>
        <v>13867.608964460882</v>
      </c>
      <c r="D7" s="428">
        <f>DIST_TOT!D7*TAX_TOT!D7*COMB_TOT!D7/FRO_TOT!D7</f>
        <v>6266.9960974606302</v>
      </c>
      <c r="E7" s="422">
        <f>DIST_TOT!E7*TAX_TOT!E7*COMB_TOT!E7/FRO_TOT!E7</f>
        <v>14414.09102415945</v>
      </c>
      <c r="F7" s="416">
        <f>DIST_TOT!F7*TAX_TOT!F7*COMB_TOT!F7/FRO_TOT!F7</f>
        <v>6266.9960974606302</v>
      </c>
      <c r="G7" s="416">
        <f>DIST_TOT!G7*TAX_TOT!G7*COMB_TOT!G7/FRO_TOT!G7</f>
        <v>4177.9973983070859</v>
      </c>
      <c r="H7" s="416">
        <f>DIST_TOT!H7*TAX_TOT!H7*COMB_TOT!H7/FRO_TOT!H7</f>
        <v>13062.248408411051</v>
      </c>
      <c r="I7" s="416">
        <f>DIST_TOT!I7*TAX_TOT!I7*COMB_TOT!I7/FRO_TOT!I7</f>
        <v>13062.248408411049</v>
      </c>
      <c r="J7" s="416">
        <f>DIST_TOT!J7*TAX_TOT!J7*COMB_TOT!J7/FRO_TOT!J7</f>
        <v>67586.722122366351</v>
      </c>
      <c r="K7" s="416">
        <f>DIST_TOT!K7*TAX_TOT!K7*COMB_TOT!K7/FRO_TOT!K7</f>
        <v>101380.08318354949</v>
      </c>
      <c r="L7" s="416">
        <f>DIST_TOT!L7*TAX_TOT!L7*COMB_TOT!L7/FRO_TOT!L7</f>
        <v>135173.44424473267</v>
      </c>
      <c r="M7" s="416">
        <f>DIST_TOT!M7*TAX_TOT!M7*COMB_TOT!M7/FRO_TOT!M7</f>
        <v>48161.275480465411</v>
      </c>
      <c r="N7" s="416">
        <f>DIST_TOT!N7*TAX_TOT!N7*COMB_TOT!N7/FRO_TOT!N7</f>
        <v>124450.2024929334</v>
      </c>
      <c r="O7" s="416">
        <f>DIST_TOT!O7*TAX_TOT!O7*COMB_TOT!O7/FRO_TOT!O7</f>
        <v>95563.976017186636</v>
      </c>
      <c r="P7" s="416">
        <f>DIST_TOT!P7*TAX_TOT!P7*COMB_TOT!P7/FRO_TOT!P7</f>
        <v>16466.894582001354</v>
      </c>
      <c r="Q7" s="416">
        <f>DIST_TOT!Q7*TAX_TOT!Q7*COMB_TOT!Q7/FRO_TOT!Q7</f>
        <v>16466.89458200135</v>
      </c>
      <c r="R7" s="423">
        <v>0</v>
      </c>
      <c r="T7" s="190" t="s">
        <v>13</v>
      </c>
      <c r="U7" s="699">
        <f>SUMPRODUCT(B7:R7,FRO_TOT!B7:R7)/SUM(FRO_TOT!B7:R7)</f>
        <v>16701.33461861622</v>
      </c>
      <c r="V7" s="719">
        <f>(B7*DIST_GAS_LEV!E13+C7*DIST_GAS_LEV!Z13+KMA!H7*DIST_ALC_LEV!D13+KMA!I7*DIST_ALC_LEV!U13+P7*DIST_DSL_LEV!B13+KMA!Q7*DIST_DSL_LEV!C13+KMA!R7*GNV!B6)/SUM(DEN!C5,DEN!F5,DEN!G5,DEN!L5)</f>
        <v>13584.937895840934</v>
      </c>
    </row>
    <row r="8" spans="1:22">
      <c r="A8" s="130" t="s">
        <v>14</v>
      </c>
      <c r="B8" s="416">
        <f>DIST_TOT!B8*TAX_TOT!B8*COMB_TOT!B8/FRO_TOT!B8</f>
        <v>15910.082085508582</v>
      </c>
      <c r="C8" s="416">
        <f>DIST_TOT!C8*TAX_TOT!C8*COMB_TOT!C8/FRO_TOT!C8</f>
        <v>16171.236097783438</v>
      </c>
      <c r="D8" s="428">
        <f>DIST_TOT!D8*TAX_TOT!D8*COMB_TOT!D8/FRO_TOT!D8</f>
        <v>7308.042343539154</v>
      </c>
      <c r="E8" s="422">
        <f>DIST_TOT!E8*TAX_TOT!E8*COMB_TOT!E8/FRO_TOT!E8</f>
        <v>16808.497390140055</v>
      </c>
      <c r="F8" s="416">
        <f>DIST_TOT!F8*TAX_TOT!F8*COMB_TOT!F8/FRO_TOT!F8</f>
        <v>7308.0423435391531</v>
      </c>
      <c r="G8" s="416">
        <f>DIST_TOT!G8*TAX_TOT!G8*COMB_TOT!G8/FRO_TOT!G8</f>
        <v>4872.028229026103</v>
      </c>
      <c r="H8" s="416">
        <f>DIST_TOT!H8*TAX_TOT!H8*COMB_TOT!H8/FRO_TOT!H8</f>
        <v>17483.691709663974</v>
      </c>
      <c r="I8" s="416">
        <f>DIST_TOT!I8*TAX_TOT!I8*COMB_TOT!I8/FRO_TOT!I8</f>
        <v>17483.691709663977</v>
      </c>
      <c r="J8" s="416">
        <f>DIST_TOT!J8*TAX_TOT!J8*COMB_TOT!J8/FRO_TOT!J8</f>
        <v>118613.93484750099</v>
      </c>
      <c r="K8" s="416">
        <f>DIST_TOT!K8*TAX_TOT!K8*COMB_TOT!K8/FRO_TOT!K8</f>
        <v>177920.90227125149</v>
      </c>
      <c r="L8" s="416">
        <f>DIST_TOT!L8*TAX_TOT!L8*COMB_TOT!L8/FRO_TOT!L8</f>
        <v>237227.86969500201</v>
      </c>
      <c r="M8" s="416">
        <f>DIST_TOT!M8*TAX_TOT!M8*COMB_TOT!M8/FRO_TOT!M8</f>
        <v>84522.49513846467</v>
      </c>
      <c r="N8" s="416">
        <f>DIST_TOT!N8*TAX_TOT!N8*COMB_TOT!N8/FRO_TOT!N8</f>
        <v>218408.70139447262</v>
      </c>
      <c r="O8" s="416">
        <f>DIST_TOT!O8*TAX_TOT!O8*COMB_TOT!O8/FRO_TOT!O8</f>
        <v>167713.69980849506</v>
      </c>
      <c r="P8" s="416">
        <f>DIST_TOT!P8*TAX_TOT!P8*COMB_TOT!P8/FRO_TOT!P8</f>
        <v>28899.214220714603</v>
      </c>
      <c r="Q8" s="416">
        <f>DIST_TOT!Q8*TAX_TOT!Q8*COMB_TOT!Q8/FRO_TOT!Q8</f>
        <v>28899.214220714595</v>
      </c>
      <c r="R8" s="423">
        <v>0</v>
      </c>
      <c r="T8" s="130" t="s">
        <v>14</v>
      </c>
      <c r="U8" s="700">
        <f>SUMPRODUCT(B8:R8,FRO_TOT!B8:R8)/SUM(FRO_TOT!B8:R8)</f>
        <v>22034.374651674552</v>
      </c>
      <c r="V8" s="719">
        <f>(B8*DIST_GAS_LEV!E14+C8*DIST_GAS_LEV!Z14+KMA!H8*DIST_ALC_LEV!D14+KMA!I8*DIST_ALC_LEV!U14+P8*DIST_DSL_LEV!B14+KMA!Q8*DIST_DSL_LEV!C14+KMA!R8*GNV!B7)/SUM(DEN!C6,DEN!F6,DEN!G6,DEN!L6)</f>
        <v>17110.435184331571</v>
      </c>
    </row>
    <row r="9" spans="1:22">
      <c r="A9" s="130" t="s">
        <v>15</v>
      </c>
      <c r="B9" s="416">
        <f>DIST_TOT!B9*TAX_TOT!B9*COMB_TOT!B9/FRO_TOT!B9</f>
        <v>15483.726128645949</v>
      </c>
      <c r="C9" s="416">
        <f>DIST_TOT!C9*TAX_TOT!C9*COMB_TOT!C9/FRO_TOT!C9</f>
        <v>15819.065885477872</v>
      </c>
      <c r="D9" s="428">
        <f>DIST_TOT!D9*TAX_TOT!D9*COMB_TOT!D9/FRO_TOT!D9</f>
        <v>7148.8909460764053</v>
      </c>
      <c r="E9" s="422">
        <f>DIST_TOT!E9*TAX_TOT!E9*COMB_TOT!E9/FRO_TOT!E9</f>
        <v>16442.449175975733</v>
      </c>
      <c r="F9" s="416">
        <f>DIST_TOT!F9*TAX_TOT!F9*COMB_TOT!F9/FRO_TOT!F9</f>
        <v>7148.8909460764071</v>
      </c>
      <c r="G9" s="416">
        <f>DIST_TOT!G9*TAX_TOT!G9*COMB_TOT!G9/FRO_TOT!G9</f>
        <v>4765.9272973842708</v>
      </c>
      <c r="H9" s="416">
        <f>DIST_TOT!H9*TAX_TOT!H9*COMB_TOT!H9/FRO_TOT!H9</f>
        <v>17872.891238024058</v>
      </c>
      <c r="I9" s="416">
        <f>DIST_TOT!I9*TAX_TOT!I9*COMB_TOT!I9/FRO_TOT!I9</f>
        <v>17872.891238024058</v>
      </c>
      <c r="J9" s="416">
        <f>DIST_TOT!J9*TAX_TOT!J9*COMB_TOT!J9/FRO_TOT!J9</f>
        <v>79221.754558552435</v>
      </c>
      <c r="K9" s="416">
        <f>DIST_TOT!K9*TAX_TOT!K9*COMB_TOT!K9/FRO_TOT!K9</f>
        <v>118832.63183782865</v>
      </c>
      <c r="L9" s="416">
        <f>DIST_TOT!L9*TAX_TOT!L9*COMB_TOT!L9/FRO_TOT!L9</f>
        <v>158443.50911710484</v>
      </c>
      <c r="M9" s="416">
        <f>DIST_TOT!M9*TAX_TOT!M9*COMB_TOT!M9/FRO_TOT!M9</f>
        <v>56452.223536339108</v>
      </c>
      <c r="N9" s="416">
        <f>DIST_TOT!N9*TAX_TOT!N9*COMB_TOT!N9/FRO_TOT!N9</f>
        <v>145874.26475287881</v>
      </c>
      <c r="O9" s="416">
        <f>DIST_TOT!O9*TAX_TOT!O9*COMB_TOT!O9/FRO_TOT!O9</f>
        <v>112015.28369678957</v>
      </c>
      <c r="P9" s="416">
        <f>DIST_TOT!P9*TAX_TOT!P9*COMB_TOT!P9/FRO_TOT!P9</f>
        <v>19301.665178479787</v>
      </c>
      <c r="Q9" s="416">
        <f>DIST_TOT!Q9*TAX_TOT!Q9*COMB_TOT!Q9/FRO_TOT!Q9</f>
        <v>19301.665178479783</v>
      </c>
      <c r="R9" s="423">
        <v>0</v>
      </c>
      <c r="T9" s="130" t="s">
        <v>15</v>
      </c>
      <c r="U9" s="700">
        <f>SUMPRODUCT(B9:R9,FRO_TOT!B9:R9)/SUM(FRO_TOT!B9:R9)</f>
        <v>20655.106248584372</v>
      </c>
      <c r="V9" s="719">
        <f>(B9*DIST_GAS_LEV!E15+C9*DIST_GAS_LEV!Z15+KMA!H9*DIST_ALC_LEV!D15+KMA!I9*DIST_ALC_LEV!U15+P9*DIST_DSL_LEV!B15+KMA!Q9*DIST_DSL_LEV!C15+KMA!R9*GNV!B8)/SUM(DEN!C7,DEN!F7,DEN!G7,DEN!L7)</f>
        <v>15843.033476308405</v>
      </c>
    </row>
    <row r="10" spans="1:22">
      <c r="A10" s="130" t="s">
        <v>16</v>
      </c>
      <c r="B10" s="416">
        <f>DIST_TOT!B10*TAX_TOT!B10*COMB_TOT!B10/FRO_TOT!B10</f>
        <v>14754.828474000784</v>
      </c>
      <c r="C10" s="416">
        <f>DIST_TOT!C10*TAX_TOT!C10*COMB_TOT!C10/FRO_TOT!C10</f>
        <v>15410.953283258608</v>
      </c>
      <c r="D10" s="428">
        <f>DIST_TOT!D10*TAX_TOT!D10*COMB_TOT!D10/FRO_TOT!D10</f>
        <v>6964.4582805760147</v>
      </c>
      <c r="E10" s="422">
        <f>DIST_TOT!E10*TAX_TOT!E10*COMB_TOT!E10/FRO_TOT!E10</f>
        <v>16018.254045324835</v>
      </c>
      <c r="F10" s="416">
        <f>DIST_TOT!F10*TAX_TOT!F10*COMB_TOT!F10/FRO_TOT!F10</f>
        <v>6964.4582805760165</v>
      </c>
      <c r="G10" s="416">
        <f>DIST_TOT!G10*TAX_TOT!G10*COMB_TOT!G10/FRO_TOT!G10</f>
        <v>4642.9721870506764</v>
      </c>
      <c r="H10" s="416">
        <f>DIST_TOT!H10*TAX_TOT!H10*COMB_TOT!H10/FRO_TOT!H10</f>
        <v>12780.648299052036</v>
      </c>
      <c r="I10" s="416">
        <f>DIST_TOT!I10*TAX_TOT!I10*COMB_TOT!I10/FRO_TOT!I10</f>
        <v>12780.648299052034</v>
      </c>
      <c r="J10" s="416">
        <f>DIST_TOT!J10*TAX_TOT!J10*COMB_TOT!J10/FRO_TOT!J10</f>
        <v>74817.434298451059</v>
      </c>
      <c r="K10" s="416">
        <f>DIST_TOT!K10*TAX_TOT!K10*COMB_TOT!K10/FRO_TOT!K10</f>
        <v>112226.15144767659</v>
      </c>
      <c r="L10" s="416">
        <f>DIST_TOT!L10*TAX_TOT!L10*COMB_TOT!L10/FRO_TOT!L10</f>
        <v>149634.86859690215</v>
      </c>
      <c r="M10" s="416">
        <f>DIST_TOT!M10*TAX_TOT!M10*COMB_TOT!M10/FRO_TOT!M10</f>
        <v>53313.771563969502</v>
      </c>
      <c r="N10" s="416">
        <f>DIST_TOT!N10*TAX_TOT!N10*COMB_TOT!N10/FRO_TOT!N10</f>
        <v>137764.40928125277</v>
      </c>
      <c r="O10" s="416">
        <f>DIST_TOT!O10*TAX_TOT!O10*COMB_TOT!O10/FRO_TOT!O10</f>
        <v>105787.81264195278</v>
      </c>
      <c r="P10" s="416">
        <f>DIST_TOT!P10*TAX_TOT!P10*COMB_TOT!P10/FRO_TOT!P10</f>
        <v>18228.592315186401</v>
      </c>
      <c r="Q10" s="416">
        <f>DIST_TOT!Q10*TAX_TOT!Q10*COMB_TOT!Q10/FRO_TOT!Q10</f>
        <v>18228.592315186404</v>
      </c>
      <c r="R10" s="423">
        <v>0</v>
      </c>
      <c r="T10" s="130" t="s">
        <v>16</v>
      </c>
      <c r="U10" s="700">
        <f>SUMPRODUCT(B10:R10,FRO_TOT!B10:R10)/SUM(FRO_TOT!B10:R10)</f>
        <v>20157.996755260778</v>
      </c>
      <c r="V10" s="719">
        <f>(B10*DIST_GAS_LEV!E16+C10*DIST_GAS_LEV!Z16+KMA!H10*DIST_ALC_LEV!D16+KMA!I10*DIST_ALC_LEV!U16+P10*DIST_DSL_LEV!B16+KMA!Q10*DIST_DSL_LEV!C16+KMA!R10*GNV!B9)/SUM(DEN!C8,DEN!F8,DEN!G8,DEN!L8)</f>
        <v>14645.151772010187</v>
      </c>
    </row>
    <row r="11" spans="1:22">
      <c r="A11" s="130" t="s">
        <v>17</v>
      </c>
      <c r="B11" s="416">
        <f>DIST_TOT!B11*TAX_TOT!B11*COMB_TOT!B11/FRO_TOT!B11</f>
        <v>13437.576748095556</v>
      </c>
      <c r="C11" s="416">
        <f>DIST_TOT!C11*TAX_TOT!C11*COMB_TOT!C11/FRO_TOT!C11</f>
        <v>13660.205732339371</v>
      </c>
      <c r="D11" s="428">
        <f>DIST_TOT!D11*TAX_TOT!D11*COMB_TOT!D11/FRO_TOT!D11</f>
        <v>6173.2672326190204</v>
      </c>
      <c r="E11" s="422">
        <f>DIST_TOT!E11*TAX_TOT!E11*COMB_TOT!E11/FRO_TOT!E11</f>
        <v>14198.51463502375</v>
      </c>
      <c r="F11" s="416">
        <f>DIST_TOT!F11*TAX_TOT!F11*COMB_TOT!F11/FRO_TOT!F11</f>
        <v>6173.2672326190213</v>
      </c>
      <c r="G11" s="416">
        <f>DIST_TOT!G11*TAX_TOT!G11*COMB_TOT!G11/FRO_TOT!G11</f>
        <v>4115.5114884126806</v>
      </c>
      <c r="H11" s="416">
        <f>DIST_TOT!H11*TAX_TOT!H11*COMB_TOT!H11/FRO_TOT!H11</f>
        <v>10581.045920515049</v>
      </c>
      <c r="I11" s="416">
        <f>DIST_TOT!I11*TAX_TOT!I11*COMB_TOT!I11/FRO_TOT!I11</f>
        <v>10581.045920515049</v>
      </c>
      <c r="J11" s="416">
        <f>DIST_TOT!J11*TAX_TOT!J11*COMB_TOT!J11/FRO_TOT!J11</f>
        <v>70794.759316586584</v>
      </c>
      <c r="K11" s="416">
        <f>DIST_TOT!K11*TAX_TOT!K11*COMB_TOT!K11/FRO_TOT!K11</f>
        <v>106192.1389748799</v>
      </c>
      <c r="L11" s="416">
        <f>DIST_TOT!L11*TAX_TOT!L11*COMB_TOT!L11/FRO_TOT!L11</f>
        <v>141589.5186331732</v>
      </c>
      <c r="M11" s="416">
        <f>DIST_TOT!M11*TAX_TOT!M11*COMB_TOT!M11/FRO_TOT!M11</f>
        <v>50447.274241918756</v>
      </c>
      <c r="N11" s="416">
        <f>DIST_TOT!N11*TAX_TOT!N11*COMB_TOT!N11/FRO_TOT!N11</f>
        <v>130357.29290786348</v>
      </c>
      <c r="O11" s="416">
        <f>DIST_TOT!O11*TAX_TOT!O11*COMB_TOT!O11/FRO_TOT!O11</f>
        <v>100099.96740519411</v>
      </c>
      <c r="P11" s="416">
        <f>DIST_TOT!P11*TAX_TOT!P11*COMB_TOT!P11/FRO_TOT!P11</f>
        <v>17248.503877932606</v>
      </c>
      <c r="Q11" s="416">
        <f>DIST_TOT!Q11*TAX_TOT!Q11*COMB_TOT!Q11/FRO_TOT!Q11</f>
        <v>17248.503877932602</v>
      </c>
      <c r="R11" s="423">
        <v>0</v>
      </c>
      <c r="T11" s="130" t="s">
        <v>17</v>
      </c>
      <c r="U11" s="700">
        <f>SUMPRODUCT(B11:R11,FRO_TOT!B11:R11)/SUM(FRO_TOT!B11:R11)</f>
        <v>17683.806780500665</v>
      </c>
      <c r="V11" s="719">
        <f>(B11*DIST_GAS_LEV!E17+C11*DIST_GAS_LEV!Z17+KMA!H11*DIST_ALC_LEV!D17+KMA!I11*DIST_ALC_LEV!U17+P11*DIST_DSL_LEV!B17+KMA!Q11*DIST_DSL_LEV!C17+KMA!R11*GNV!B10)/SUM(DEN!C9,DEN!F9,DEN!G9,DEN!L9)</f>
        <v>13274.697350219478</v>
      </c>
    </row>
    <row r="12" spans="1:22">
      <c r="A12" s="130" t="s">
        <v>18</v>
      </c>
      <c r="B12" s="416">
        <f>DIST_TOT!B12*TAX_TOT!B12*COMB_TOT!B12/FRO_TOT!B12</f>
        <v>14371.072469587074</v>
      </c>
      <c r="C12" s="416">
        <f>DIST_TOT!C12*TAX_TOT!C12*COMB_TOT!C12/FRO_TOT!C12</f>
        <v>14728.974374475678</v>
      </c>
      <c r="D12" s="428">
        <f>DIST_TOT!D12*TAX_TOT!D12*COMB_TOT!D12/FRO_TOT!D12</f>
        <v>6656.2610152185816</v>
      </c>
      <c r="E12" s="422">
        <f>DIST_TOT!E12*TAX_TOT!E12*COMB_TOT!E12/FRO_TOT!E12</f>
        <v>15309.400335002738</v>
      </c>
      <c r="F12" s="416">
        <f>DIST_TOT!F12*TAX_TOT!F12*COMB_TOT!F12/FRO_TOT!F12</f>
        <v>6656.2610152185807</v>
      </c>
      <c r="G12" s="416">
        <f>DIST_TOT!G12*TAX_TOT!G12*COMB_TOT!G12/FRO_TOT!G12</f>
        <v>4437.5073434790547</v>
      </c>
      <c r="H12" s="416">
        <f>DIST_TOT!H12*TAX_TOT!H12*COMB_TOT!H12/FRO_TOT!H12</f>
        <v>16726.732900413568</v>
      </c>
      <c r="I12" s="416">
        <f>DIST_TOT!I12*TAX_TOT!I12*COMB_TOT!I12/FRO_TOT!I12</f>
        <v>16726.732900413572</v>
      </c>
      <c r="J12" s="416">
        <f>DIST_TOT!J12*TAX_TOT!J12*COMB_TOT!J12/FRO_TOT!J12</f>
        <v>57784.227349913948</v>
      </c>
      <c r="K12" s="416">
        <f>DIST_TOT!K12*TAX_TOT!K12*COMB_TOT!K12/FRO_TOT!K12</f>
        <v>86676.341024870911</v>
      </c>
      <c r="L12" s="416">
        <f>DIST_TOT!L12*TAX_TOT!L12*COMB_TOT!L12/FRO_TOT!L12</f>
        <v>115568.4546998279</v>
      </c>
      <c r="M12" s="416">
        <f>DIST_TOT!M12*TAX_TOT!M12*COMB_TOT!M12/FRO_TOT!M12</f>
        <v>41176.166034305868</v>
      </c>
      <c r="N12" s="416">
        <f>DIST_TOT!N12*TAX_TOT!N12*COMB_TOT!N12/FRO_TOT!N12</f>
        <v>106400.46696708645</v>
      </c>
      <c r="O12" s="416">
        <f>DIST_TOT!O12*TAX_TOT!O12*COMB_TOT!O12/FRO_TOT!O12</f>
        <v>81703.777653856989</v>
      </c>
      <c r="P12" s="416">
        <f>DIST_TOT!P12*TAX_TOT!P12*COMB_TOT!P12/FRO_TOT!P12</f>
        <v>14078.605240696314</v>
      </c>
      <c r="Q12" s="416">
        <f>DIST_TOT!Q12*TAX_TOT!Q12*COMB_TOT!Q12/FRO_TOT!Q12</f>
        <v>14078.605240696312</v>
      </c>
      <c r="R12" s="423">
        <v>0</v>
      </c>
      <c r="T12" s="130" t="s">
        <v>18</v>
      </c>
      <c r="U12" s="700">
        <f>SUMPRODUCT(B12:R12,FRO_TOT!B12:R12)/SUM(FRO_TOT!B12:R12)</f>
        <v>16214.427501960823</v>
      </c>
      <c r="V12" s="719">
        <f>(B12*DIST_GAS_LEV!E18+C12*DIST_GAS_LEV!Z18+KMA!H12*DIST_ALC_LEV!D18+KMA!I12*DIST_ALC_LEV!U18+P12*DIST_DSL_LEV!B18+KMA!Q12*DIST_DSL_LEV!C18+KMA!R12*GNV!B11)/SUM(DEN!C10,DEN!F10,DEN!G10,DEN!L10)</f>
        <v>14217.918152931219</v>
      </c>
    </row>
    <row r="13" spans="1:22" ht="15.75" thickBot="1">
      <c r="A13" s="131" t="s">
        <v>19</v>
      </c>
      <c r="B13" s="416">
        <f>DIST_TOT!B13*TAX_TOT!B13*COMB_TOT!B13/FRO_TOT!B13</f>
        <v>15080.418401581348</v>
      </c>
      <c r="C13" s="416">
        <f>DIST_TOT!C13*TAX_TOT!C13*COMB_TOT!C13/FRO_TOT!C13</f>
        <v>14785.323537499915</v>
      </c>
      <c r="D13" s="428">
        <f>DIST_TOT!D13*TAX_TOT!D13*COMB_TOT!D13/FRO_TOT!D13</f>
        <v>6681.7261105838361</v>
      </c>
      <c r="E13" s="422">
        <f>DIST_TOT!E13*TAX_TOT!E13*COMB_TOT!E13/FRO_TOT!E13</f>
        <v>15367.970054342824</v>
      </c>
      <c r="F13" s="416">
        <f>DIST_TOT!F13*TAX_TOT!F13*COMB_TOT!F13/FRO_TOT!F13</f>
        <v>6681.7261105838379</v>
      </c>
      <c r="G13" s="416">
        <f>DIST_TOT!G13*TAX_TOT!G13*COMB_TOT!G13/FRO_TOT!G13</f>
        <v>4454.4840737225586</v>
      </c>
      <c r="H13" s="416">
        <f>DIST_TOT!H13*TAX_TOT!H13*COMB_TOT!H13/FRO_TOT!H13</f>
        <v>13144.560843098259</v>
      </c>
      <c r="I13" s="416">
        <f>DIST_TOT!I13*TAX_TOT!I13*COMB_TOT!I13/FRO_TOT!I13</f>
        <v>13144.560843098259</v>
      </c>
      <c r="J13" s="416">
        <f>DIST_TOT!J13*TAX_TOT!J13*COMB_TOT!J13/FRO_TOT!J13</f>
        <v>64237.019236791377</v>
      </c>
      <c r="K13" s="416">
        <f>DIST_TOT!K13*TAX_TOT!K13*COMB_TOT!K13/FRO_TOT!K13</f>
        <v>96355.528855187091</v>
      </c>
      <c r="L13" s="416">
        <f>DIST_TOT!L13*TAX_TOT!L13*COMB_TOT!L13/FRO_TOT!L13</f>
        <v>128474.03847358278</v>
      </c>
      <c r="M13" s="416">
        <f>DIST_TOT!M13*TAX_TOT!M13*COMB_TOT!M13/FRO_TOT!M13</f>
        <v>45774.327890999499</v>
      </c>
      <c r="N13" s="416">
        <f>DIST_TOT!N13*TAX_TOT!N13*COMB_TOT!N13/FRO_TOT!N13</f>
        <v>118282.25723223238</v>
      </c>
      <c r="O13" s="416">
        <f>DIST_TOT!O13*TAX_TOT!O13*COMB_TOT!O13/FRO_TOT!O13</f>
        <v>90827.676990253196</v>
      </c>
      <c r="P13" s="416">
        <f>DIST_TOT!P13*TAX_TOT!P13*COMB_TOT!P13/FRO_TOT!P13</f>
        <v>15650.769719518417</v>
      </c>
      <c r="Q13" s="416">
        <f>DIST_TOT!Q13*TAX_TOT!Q13*COMB_TOT!Q13/FRO_TOT!Q13</f>
        <v>15650.769719518417</v>
      </c>
      <c r="R13" s="423">
        <v>0</v>
      </c>
      <c r="T13" s="210" t="s">
        <v>19</v>
      </c>
      <c r="U13" s="701">
        <f>SUMPRODUCT(B13:R13,FRO_TOT!B13:R13)/SUM(FRO_TOT!B13:R13)</f>
        <v>18620.10956198267</v>
      </c>
      <c r="V13" s="719">
        <f>(B13*DIST_GAS_LEV!E19+C13*DIST_GAS_LEV!Z19+KMA!H13*DIST_ALC_LEV!D19+KMA!I13*DIST_ALC_LEV!U19+P13*DIST_DSL_LEV!B19+KMA!Q13*DIST_DSL_LEV!C19+KMA!R13*GNV!B12)/SUM(DEN!C11,DEN!F11,DEN!G11,DEN!L11)</f>
        <v>14766.123670121271</v>
      </c>
    </row>
    <row r="14" spans="1:22" ht="15.75" thickBot="1">
      <c r="A14" s="324" t="s">
        <v>54</v>
      </c>
      <c r="B14" s="415">
        <f>DIST_TOT!B14*TAX_TOT!B14*COMB_TOT!B14/FRO_TOT!B14</f>
        <v>13347.744106732118</v>
      </c>
      <c r="C14" s="415">
        <f>DIST_TOT!C14*TAX_TOT!C14*COMB_TOT!C14/FRO_TOT!C14</f>
        <v>11226.292376072837</v>
      </c>
      <c r="D14" s="427">
        <f>DIST_TOT!D14*TAX_TOT!D14*COMB_TOT!D14/FRO_TOT!D14</f>
        <v>6670.6696894744318</v>
      </c>
      <c r="E14" s="420">
        <f>DIST_TOT!E14*TAX_TOT!E14*COMB_TOT!E14/FRO_TOT!E14</f>
        <v>15342.540285791192</v>
      </c>
      <c r="F14" s="415">
        <f>DIST_TOT!F14*TAX_TOT!F14*COMB_TOT!F14/FRO_TOT!F14</f>
        <v>6670.66968947443</v>
      </c>
      <c r="G14" s="415">
        <f>DIST_TOT!G14*TAX_TOT!G14*COMB_TOT!G14/FRO_TOT!G14</f>
        <v>4447.113126316287</v>
      </c>
      <c r="H14" s="415">
        <f>DIST_TOT!H14*TAX_TOT!H14*COMB_TOT!H14/FRO_TOT!H14</f>
        <v>7958.1420825119812</v>
      </c>
      <c r="I14" s="415">
        <f>DIST_TOT!I14*TAX_TOT!I14*COMB_TOT!I14/FRO_TOT!I14</f>
        <v>7958.142082511984</v>
      </c>
      <c r="J14" s="415">
        <f>DIST_TOT!J14*TAX_TOT!J14*COMB_TOT!J14/FRO_TOT!J14</f>
        <v>27555.76008914999</v>
      </c>
      <c r="K14" s="415">
        <f>DIST_TOT!K14*TAX_TOT!K14*COMB_TOT!K14/FRO_TOT!K14</f>
        <v>41333.640133725006</v>
      </c>
      <c r="L14" s="415">
        <f>DIST_TOT!L14*TAX_TOT!L14*COMB_TOT!L14/FRO_TOT!L14</f>
        <v>55111.520178299994</v>
      </c>
      <c r="M14" s="415">
        <f>DIST_TOT!M14*TAX_TOT!M14*COMB_TOT!M14/FRO_TOT!M14</f>
        <v>40246.436040805573</v>
      </c>
      <c r="N14" s="415">
        <f>DIST_TOT!N14*TAX_TOT!N14*COMB_TOT!N14/FRO_TOT!N14</f>
        <v>121848.54650491088</v>
      </c>
      <c r="O14" s="415">
        <f>DIST_TOT!O14*TAX_TOT!O14*COMB_TOT!O14/FRO_TOT!O14</f>
        <v>79377.184638753664</v>
      </c>
      <c r="P14" s="415">
        <f>DIST_TOT!P14*TAX_TOT!P14*COMB_TOT!P14/FRO_TOT!P14</f>
        <v>16122.650908345358</v>
      </c>
      <c r="Q14" s="415">
        <f>DIST_TOT!Q14*TAX_TOT!Q14*COMB_TOT!Q14/FRO_TOT!Q14</f>
        <v>16122.650908345357</v>
      </c>
      <c r="R14" s="421">
        <f>DIST_TOT!R14*TAX_TOT!R14*COMB_TOT!R14/FRO_TOT!R14</f>
        <v>21603.480603741333</v>
      </c>
      <c r="T14" s="268" t="s">
        <v>54</v>
      </c>
      <c r="U14" s="697">
        <f>SUMPRODUCT(B14:R14,FRO_TOT!B14:R14)/SUM(FRO_TOT!B14:R14)</f>
        <v>14785.556794116348</v>
      </c>
      <c r="V14" s="719">
        <f>(B14*DIST_GAS_LEV!E20+C14*DIST_GAS_LEV!Z20+KMA!H14*DIST_ALC_LEV!D20+KMA!I14*DIST_ALC_LEV!U20+P14*DIST_DSL_LEV!B20+KMA!Q14*DIST_DSL_LEV!C20+KMA!R14*GNV!B13)/SUM(DEN!C12,DEN!F12,DEN!G12,DEN!L12)</f>
        <v>13173.206620016279</v>
      </c>
    </row>
    <row r="15" spans="1:22" s="1" customFormat="1">
      <c r="A15" s="130" t="s">
        <v>21</v>
      </c>
      <c r="B15" s="416">
        <f>DIST_TOT!B15*TAX_TOT!B15*COMB_TOT!B15/FRO_TOT!B15</f>
        <v>9979.5038430030581</v>
      </c>
      <c r="C15" s="416">
        <f>DIST_TOT!C15*TAX_TOT!C15*COMB_TOT!C15/FRO_TOT!C15</f>
        <v>11643.234252869481</v>
      </c>
      <c r="D15" s="428">
        <f>DIST_TOT!D15*TAX_TOT!D15*COMB_TOT!D15/FRO_TOT!D15</f>
        <v>6918.4168037174077</v>
      </c>
      <c r="E15" s="422">
        <f>DIST_TOT!E15*TAX_TOT!E15*COMB_TOT!E15/FRO_TOT!E15</f>
        <v>15912.358648550036</v>
      </c>
      <c r="F15" s="416">
        <f>DIST_TOT!F15*TAX_TOT!F15*COMB_TOT!F15/FRO_TOT!F15</f>
        <v>6918.4168037174068</v>
      </c>
      <c r="G15" s="416">
        <f>DIST_TOT!G15*TAX_TOT!G15*COMB_TOT!G15/FRO_TOT!G15</f>
        <v>4612.2778691449375</v>
      </c>
      <c r="H15" s="416">
        <f>DIST_TOT!H15*TAX_TOT!H15*COMB_TOT!H15/FRO_TOT!H15</f>
        <v>13133.937093845201</v>
      </c>
      <c r="I15" s="416">
        <f>DIST_TOT!I15*TAX_TOT!I15*COMB_TOT!I15/FRO_TOT!I15</f>
        <v>13133.937093845199</v>
      </c>
      <c r="J15" s="416">
        <f>DIST_TOT!J15*TAX_TOT!J15*COMB_TOT!J15/FRO_TOT!J15</f>
        <v>20868.572898240825</v>
      </c>
      <c r="K15" s="416">
        <f>DIST_TOT!K15*TAX_TOT!K15*COMB_TOT!K15/FRO_TOT!K15</f>
        <v>31302.859347361245</v>
      </c>
      <c r="L15" s="416">
        <f>DIST_TOT!L15*TAX_TOT!L15*COMB_TOT!L15/FRO_TOT!L15</f>
        <v>41737.145796481651</v>
      </c>
      <c r="M15" s="416">
        <f>DIST_TOT!M15*TAX_TOT!M15*COMB_TOT!M15/FRO_TOT!M15</f>
        <v>30479.496181367926</v>
      </c>
      <c r="N15" s="416">
        <f>DIST_TOT!N15*TAX_TOT!N15*COMB_TOT!N15/FRO_TOT!N15</f>
        <v>92278.538753995133</v>
      </c>
      <c r="O15" s="416">
        <f>DIST_TOT!O15*TAX_TOT!O15*COMB_TOT!O15/FRO_TOT!O15</f>
        <v>60114.058139996305</v>
      </c>
      <c r="P15" s="416">
        <f>DIST_TOT!P15*TAX_TOT!P15*COMB_TOT!P15/FRO_TOT!P15</f>
        <v>12210.032120513804</v>
      </c>
      <c r="Q15" s="416">
        <f>DIST_TOT!Q15*TAX_TOT!Q15*COMB_TOT!Q15/FRO_TOT!Q15</f>
        <v>12210.032120513803</v>
      </c>
      <c r="R15" s="423">
        <f>DIST_TOT!R15*TAX_TOT!R15*COMB_TOT!R15/FRO_TOT!R15</f>
        <v>27896.651737786695</v>
      </c>
      <c r="T15" s="190" t="s">
        <v>21</v>
      </c>
      <c r="U15" s="699">
        <f>SUMPRODUCT(B15:R15,FRO_TOT!B15:R15)/SUM(FRO_TOT!B15:R15)</f>
        <v>14694.707469834673</v>
      </c>
      <c r="V15" s="719">
        <f>(B15*DIST_GAS_LEV!E21+C15*DIST_GAS_LEV!Z21+KMA!H15*DIST_ALC_LEV!D21+KMA!I15*DIST_ALC_LEV!U21+P15*DIST_DSL_LEV!B21+KMA!Q15*DIST_DSL_LEV!C21+KMA!R15*GNV!B14)/SUM(DEN!C13,DEN!F13,DEN!G13,DEN!L13)</f>
        <v>11837.471574068313</v>
      </c>
    </row>
    <row r="16" spans="1:22" s="1" customFormat="1">
      <c r="A16" s="130" t="s">
        <v>22</v>
      </c>
      <c r="B16" s="416">
        <f>DIST_TOT!B16*TAX_TOT!B16*COMB_TOT!B16/FRO_TOT!B16</f>
        <v>25035.750126759733</v>
      </c>
      <c r="C16" s="416">
        <f>DIST_TOT!C16*TAX_TOT!C16*COMB_TOT!C16/FRO_TOT!C16</f>
        <v>11579.330266985102</v>
      </c>
      <c r="D16" s="428">
        <f>DIST_TOT!D16*TAX_TOT!D16*COMB_TOT!D16/FRO_TOT!D16</f>
        <v>6880.4450168268322</v>
      </c>
      <c r="E16" s="422">
        <f>DIST_TOT!E16*TAX_TOT!E16*COMB_TOT!E16/FRO_TOT!E16</f>
        <v>15825.023538701713</v>
      </c>
      <c r="F16" s="416">
        <f>DIST_TOT!F16*TAX_TOT!F16*COMB_TOT!F16/FRO_TOT!F16</f>
        <v>6880.4450168268322</v>
      </c>
      <c r="G16" s="416">
        <f>DIST_TOT!G16*TAX_TOT!G16*COMB_TOT!G16/FRO_TOT!G16</f>
        <v>4586.9633445512209</v>
      </c>
      <c r="H16" s="416">
        <f>DIST_TOT!H16*TAX_TOT!H16*COMB_TOT!H16/FRO_TOT!H16</f>
        <v>6208.5211294585415</v>
      </c>
      <c r="I16" s="416">
        <f>DIST_TOT!I16*TAX_TOT!I16*COMB_TOT!I16/FRO_TOT!I16</f>
        <v>6208.5211294585424</v>
      </c>
      <c r="J16" s="416">
        <f>DIST_TOT!J16*TAX_TOT!J16*COMB_TOT!J16/FRO_TOT!J16</f>
        <v>33246.403601048987</v>
      </c>
      <c r="K16" s="416">
        <f>DIST_TOT!K16*TAX_TOT!K16*COMB_TOT!K16/FRO_TOT!K16</f>
        <v>49869.605401573477</v>
      </c>
      <c r="L16" s="416">
        <f>DIST_TOT!L16*TAX_TOT!L16*COMB_TOT!L16/FRO_TOT!L16</f>
        <v>66492.807202097974</v>
      </c>
      <c r="M16" s="416">
        <f>DIST_TOT!M16*TAX_TOT!M16*COMB_TOT!M16/FRO_TOT!M16</f>
        <v>48557.878708026605</v>
      </c>
      <c r="N16" s="416">
        <f>DIST_TOT!N16*TAX_TOT!N16*COMB_TOT!N16/FRO_TOT!N16</f>
        <v>147011.94749109948</v>
      </c>
      <c r="O16" s="416">
        <f>DIST_TOT!O16*TAX_TOT!O16*COMB_TOT!O16/FRO_TOT!O16</f>
        <v>95769.665168992753</v>
      </c>
      <c r="P16" s="416">
        <f>DIST_TOT!P16*TAX_TOT!P16*COMB_TOT!P16/FRO_TOT!P16</f>
        <v>19452.20010202967</v>
      </c>
      <c r="Q16" s="416">
        <f>DIST_TOT!Q16*TAX_TOT!Q16*COMB_TOT!Q16/FRO_TOT!Q16</f>
        <v>19452.200102029674</v>
      </c>
      <c r="R16" s="423">
        <f>DIST_TOT!R16*TAX_TOT!R16*COMB_TOT!R16/FRO_TOT!R16</f>
        <v>17220.43602116156</v>
      </c>
      <c r="T16" s="130" t="s">
        <v>22</v>
      </c>
      <c r="U16" s="700">
        <f>SUMPRODUCT(B16:R16,FRO_TOT!B16:R16)/SUM(FRO_TOT!B16:R16)</f>
        <v>16587.683549210742</v>
      </c>
      <c r="V16" s="719">
        <f>(B16*DIST_GAS_LEV!E22+C16*DIST_GAS_LEV!Z22+KMA!H16*DIST_ALC_LEV!D22+KMA!I16*DIST_ALC_LEV!U22+P16*DIST_DSL_LEV!B22+KMA!Q16*DIST_DSL_LEV!C22+KMA!R16*GNV!B15)/SUM(DEN!C14,DEN!F14,DEN!G14,DEN!L14)</f>
        <v>19792.896945255456</v>
      </c>
    </row>
    <row r="17" spans="1:22" s="1" customFormat="1">
      <c r="A17" s="130" t="s">
        <v>23</v>
      </c>
      <c r="B17" s="416">
        <f>DIST_TOT!B17*TAX_TOT!B17*COMB_TOT!B17/FRO_TOT!B17</f>
        <v>9286.2665964705357</v>
      </c>
      <c r="C17" s="416">
        <f>DIST_TOT!C17*TAX_TOT!C17*COMB_TOT!C17/FRO_TOT!C17</f>
        <v>10006.698365584074</v>
      </c>
      <c r="D17" s="428">
        <f>DIST_TOT!D17*TAX_TOT!D17*COMB_TOT!D17/FRO_TOT!D17</f>
        <v>5945.9861940960673</v>
      </c>
      <c r="E17" s="422">
        <f>DIST_TOT!E17*TAX_TOT!E17*COMB_TOT!E17/FRO_TOT!E17</f>
        <v>13675.768246420954</v>
      </c>
      <c r="F17" s="416">
        <f>DIST_TOT!F17*TAX_TOT!F17*COMB_TOT!F17/FRO_TOT!F17</f>
        <v>5945.9861940960673</v>
      </c>
      <c r="G17" s="416">
        <f>DIST_TOT!G17*TAX_TOT!G17*COMB_TOT!G17/FRO_TOT!G17</f>
        <v>3963.9907960640448</v>
      </c>
      <c r="H17" s="416">
        <f>DIST_TOT!H17*TAX_TOT!H17*COMB_TOT!H17/FRO_TOT!H17</f>
        <v>8868.9347295426214</v>
      </c>
      <c r="I17" s="416">
        <f>DIST_TOT!I17*TAX_TOT!I17*COMB_TOT!I17/FRO_TOT!I17</f>
        <v>8868.9347295426214</v>
      </c>
      <c r="J17" s="416">
        <f>DIST_TOT!J17*TAX_TOT!J17*COMB_TOT!J17/FRO_TOT!J17</f>
        <v>22696.417211776476</v>
      </c>
      <c r="K17" s="416">
        <f>DIST_TOT!K17*TAX_TOT!K17*COMB_TOT!K17/FRO_TOT!K17</f>
        <v>34044.625817664702</v>
      </c>
      <c r="L17" s="416">
        <f>DIST_TOT!L17*TAX_TOT!L17*COMB_TOT!L17/FRO_TOT!L17</f>
        <v>45392.834423552944</v>
      </c>
      <c r="M17" s="416">
        <f>DIST_TOT!M17*TAX_TOT!M17*COMB_TOT!M17/FRO_TOT!M17</f>
        <v>33149.145612893801</v>
      </c>
      <c r="N17" s="416">
        <f>DIST_TOT!N17*TAX_TOT!N17*COMB_TOT!N17/FRO_TOT!N17</f>
        <v>100361.06567834878</v>
      </c>
      <c r="O17" s="416">
        <f>DIST_TOT!O17*TAX_TOT!O17*COMB_TOT!O17/FRO_TOT!O17</f>
        <v>65379.350590540729</v>
      </c>
      <c r="P17" s="416">
        <f>DIST_TOT!P17*TAX_TOT!P17*COMB_TOT!P17/FRO_TOT!P17</f>
        <v>13279.488948654172</v>
      </c>
      <c r="Q17" s="416">
        <f>DIST_TOT!Q17*TAX_TOT!Q17*COMB_TOT!Q17/FRO_TOT!Q17</f>
        <v>13279.488948654178</v>
      </c>
      <c r="R17" s="423">
        <f>DIST_TOT!R17*TAX_TOT!R17*COMB_TOT!R17/FRO_TOT!R17</f>
        <v>20393.730213057243</v>
      </c>
      <c r="T17" s="130" t="s">
        <v>23</v>
      </c>
      <c r="U17" s="700">
        <f>SUMPRODUCT(B17:R17,FRO_TOT!B17:R17)/SUM(FRO_TOT!B17:R17)</f>
        <v>12584.167994213763</v>
      </c>
      <c r="V17" s="719">
        <f>(B17*DIST_GAS_LEV!E23+C17*DIST_GAS_LEV!Z23+KMA!H17*DIST_ALC_LEV!D23+KMA!I17*DIST_ALC_LEV!U23+P17*DIST_DSL_LEV!B23+KMA!Q17*DIST_DSL_LEV!C23+KMA!R17*GNV!B16)/SUM(DEN!C15,DEN!F15,DEN!G15,DEN!L15)</f>
        <v>9948.39622973316</v>
      </c>
    </row>
    <row r="18" spans="1:22" s="1" customFormat="1">
      <c r="A18" s="130" t="s">
        <v>24</v>
      </c>
      <c r="B18" s="416">
        <f>DIST_TOT!B18*TAX_TOT!B18*COMB_TOT!B18/FRO_TOT!B18</f>
        <v>12788.15494095854</v>
      </c>
      <c r="C18" s="416">
        <f>DIST_TOT!C18*TAX_TOT!C18*COMB_TOT!C18/FRO_TOT!C18</f>
        <v>13016.59896678509</v>
      </c>
      <c r="D18" s="428">
        <f>DIST_TOT!D18*TAX_TOT!D18*COMB_TOT!D18/FRO_TOT!D18</f>
        <v>7734.4709436609237</v>
      </c>
      <c r="E18" s="422">
        <f>DIST_TOT!E18*TAX_TOT!E18*COMB_TOT!E18/FRO_TOT!E18</f>
        <v>17789.283170420131</v>
      </c>
      <c r="F18" s="416">
        <f>DIST_TOT!F18*TAX_TOT!F18*COMB_TOT!F18/FRO_TOT!F18</f>
        <v>7734.4709436609246</v>
      </c>
      <c r="G18" s="416">
        <f>DIST_TOT!G18*TAX_TOT!G18*COMB_TOT!G18/FRO_TOT!G18</f>
        <v>5156.3139624406167</v>
      </c>
      <c r="H18" s="416">
        <f>DIST_TOT!H18*TAX_TOT!H18*COMB_TOT!H18/FRO_TOT!H18</f>
        <v>21034.059758762636</v>
      </c>
      <c r="I18" s="416">
        <f>DIST_TOT!I18*TAX_TOT!I18*COMB_TOT!I18/FRO_TOT!I18</f>
        <v>21034.05975876264</v>
      </c>
      <c r="J18" s="416">
        <f>DIST_TOT!J18*TAX_TOT!J18*COMB_TOT!J18/FRO_TOT!J18</f>
        <v>28496.721352654866</v>
      </c>
      <c r="K18" s="416">
        <f>DIST_TOT!K18*TAX_TOT!K18*COMB_TOT!K18/FRO_TOT!K18</f>
        <v>42745.082028982288</v>
      </c>
      <c r="L18" s="416">
        <f>DIST_TOT!L18*TAX_TOT!L18*COMB_TOT!L18/FRO_TOT!L18</f>
        <v>56993.442705309724</v>
      </c>
      <c r="M18" s="416">
        <f>DIST_TOT!M18*TAX_TOT!M18*COMB_TOT!M18/FRO_TOT!M18</f>
        <v>41620.75259698127</v>
      </c>
      <c r="N18" s="416">
        <f>DIST_TOT!N18*TAX_TOT!N18*COMB_TOT!N18/FRO_TOT!N18</f>
        <v>126009.37392917919</v>
      </c>
      <c r="O18" s="416">
        <f>DIST_TOT!O18*TAX_TOT!O18*COMB_TOT!O18/FRO_TOT!O18</f>
        <v>82087.719775853737</v>
      </c>
      <c r="P18" s="416">
        <f>DIST_TOT!P18*TAX_TOT!P18*COMB_TOT!P18/FRO_TOT!P18</f>
        <v>16673.199683653427</v>
      </c>
      <c r="Q18" s="416">
        <f>DIST_TOT!Q18*TAX_TOT!Q18*COMB_TOT!Q18/FRO_TOT!Q18</f>
        <v>16673.199683653431</v>
      </c>
      <c r="R18" s="423">
        <v>0</v>
      </c>
      <c r="T18" s="130" t="s">
        <v>24</v>
      </c>
      <c r="U18" s="700">
        <f>SUMPRODUCT(B18:R18,FRO_TOT!B18:R18)/SUM(FRO_TOT!B18:R18)</f>
        <v>16831.044436714375</v>
      </c>
      <c r="V18" s="719">
        <f>(B18*DIST_GAS_LEV!E24+C18*DIST_GAS_LEV!Z24+KMA!H18*DIST_ALC_LEV!D24+KMA!I18*DIST_ALC_LEV!U24+P18*DIST_DSL_LEV!B24+KMA!Q18*DIST_DSL_LEV!C24+KMA!R18*GNV!B17)/SUM(DEN!C16,DEN!F16,DEN!G16,DEN!L16)</f>
        <v>14500.052046484938</v>
      </c>
    </row>
    <row r="19" spans="1:22" s="1" customFormat="1">
      <c r="A19" s="130" t="s">
        <v>25</v>
      </c>
      <c r="B19" s="416">
        <f>DIST_TOT!B19*TAX_TOT!B19*COMB_TOT!B19/FRO_TOT!B19</f>
        <v>12358.486791501</v>
      </c>
      <c r="C19" s="416">
        <f>DIST_TOT!C19*TAX_TOT!C19*COMB_TOT!C19/FRO_TOT!C19</f>
        <v>12363.058931809053</v>
      </c>
      <c r="D19" s="428">
        <f>DIST_TOT!D19*TAX_TOT!D19*COMB_TOT!D19/FRO_TOT!D19</f>
        <v>7346.1370613664958</v>
      </c>
      <c r="E19" s="422">
        <f>DIST_TOT!E19*TAX_TOT!E19*COMB_TOT!E19/FRO_TOT!E19</f>
        <v>16896.115241142939</v>
      </c>
      <c r="F19" s="416">
        <f>DIST_TOT!F19*TAX_TOT!F19*COMB_TOT!F19/FRO_TOT!F19</f>
        <v>7346.1370613664949</v>
      </c>
      <c r="G19" s="416">
        <f>DIST_TOT!G19*TAX_TOT!G19*COMB_TOT!G19/FRO_TOT!G19</f>
        <v>4897.4247075776639</v>
      </c>
      <c r="H19" s="416">
        <f>DIST_TOT!H19*TAX_TOT!H19*COMB_TOT!H19/FRO_TOT!H19</f>
        <v>10783.563918490023</v>
      </c>
      <c r="I19" s="416">
        <f>DIST_TOT!I19*TAX_TOT!I19*COMB_TOT!I19/FRO_TOT!I19</f>
        <v>10783.563918490023</v>
      </c>
      <c r="J19" s="416">
        <f>DIST_TOT!J19*TAX_TOT!J19*COMB_TOT!J19/FRO_TOT!J19</f>
        <v>25568.399440500234</v>
      </c>
      <c r="K19" s="416">
        <f>DIST_TOT!K19*TAX_TOT!K19*COMB_TOT!K19/FRO_TOT!K19</f>
        <v>38352.59916075036</v>
      </c>
      <c r="L19" s="416">
        <f>DIST_TOT!L19*TAX_TOT!L19*COMB_TOT!L19/FRO_TOT!L19</f>
        <v>51136.798881000475</v>
      </c>
      <c r="M19" s="416">
        <f>DIST_TOT!M19*TAX_TOT!M19*COMB_TOT!M19/FRO_TOT!M19</f>
        <v>37343.805774860193</v>
      </c>
      <c r="N19" s="416">
        <f>DIST_TOT!N19*TAX_TOT!N19*COMB_TOT!N19/FRO_TOT!N19</f>
        <v>113060.6558557112</v>
      </c>
      <c r="O19" s="416">
        <f>DIST_TOT!O19*TAX_TOT!O19*COMB_TOT!O19/FRO_TOT!O19</f>
        <v>73652.389073641316</v>
      </c>
      <c r="P19" s="416">
        <f>DIST_TOT!P19*TAX_TOT!P19*COMB_TOT!P19/FRO_TOT!P19</f>
        <v>14959.862371084897</v>
      </c>
      <c r="Q19" s="416">
        <f>DIST_TOT!Q19*TAX_TOT!Q19*COMB_TOT!Q19/FRO_TOT!Q19</f>
        <v>14959.862371084899</v>
      </c>
      <c r="R19" s="423">
        <f>DIST_TOT!R19*TAX_TOT!R19*COMB_TOT!R19/FRO_TOT!R19</f>
        <v>29008.543910310855</v>
      </c>
      <c r="T19" s="130" t="s">
        <v>25</v>
      </c>
      <c r="U19" s="700">
        <f>SUMPRODUCT(B19:R19,FRO_TOT!B19:R19)/SUM(FRO_TOT!B19:R19)</f>
        <v>15337.608413745329</v>
      </c>
      <c r="V19" s="719">
        <f>(B19*DIST_GAS_LEV!E25+C19*DIST_GAS_LEV!Z25+KMA!H19*DIST_ALC_LEV!D25+KMA!I19*DIST_ALC_LEV!U25+P19*DIST_DSL_LEV!B25+KMA!Q19*DIST_DSL_LEV!C25+KMA!R19*GNV!B18)/SUM(DEN!C17,DEN!F17,DEN!G17,DEN!L17)</f>
        <v>13072.565953023523</v>
      </c>
    </row>
    <row r="20" spans="1:22" s="1" customFormat="1">
      <c r="A20" s="130" t="s">
        <v>26</v>
      </c>
      <c r="B20" s="416">
        <f>DIST_TOT!B20*TAX_TOT!B20*COMB_TOT!B20/FRO_TOT!B20</f>
        <v>13470.196341148234</v>
      </c>
      <c r="C20" s="416">
        <f>DIST_TOT!C20*TAX_TOT!C20*COMB_TOT!C20/FRO_TOT!C20</f>
        <v>10142.898869985107</v>
      </c>
      <c r="D20" s="428">
        <f>DIST_TOT!D20*TAX_TOT!D20*COMB_TOT!D20/FRO_TOT!D20</f>
        <v>6026.9166158206544</v>
      </c>
      <c r="E20" s="422">
        <f>DIST_TOT!E20*TAX_TOT!E20*COMB_TOT!E20/FRO_TOT!E20</f>
        <v>13861.908216387506</v>
      </c>
      <c r="F20" s="416">
        <f>DIST_TOT!F20*TAX_TOT!F20*COMB_TOT!F20/FRO_TOT!F20</f>
        <v>6026.9166158206563</v>
      </c>
      <c r="G20" s="416">
        <f>DIST_TOT!G20*TAX_TOT!G20*COMB_TOT!G20/FRO_TOT!G20</f>
        <v>4017.9444105471039</v>
      </c>
      <c r="H20" s="416">
        <f>DIST_TOT!H20*TAX_TOT!H20*COMB_TOT!H20/FRO_TOT!H20</f>
        <v>6745.5622852860233</v>
      </c>
      <c r="I20" s="416">
        <f>DIST_TOT!I20*TAX_TOT!I20*COMB_TOT!I20/FRO_TOT!I20</f>
        <v>6745.5622852860242</v>
      </c>
      <c r="J20" s="416">
        <f>DIST_TOT!J20*TAX_TOT!J20*COMB_TOT!J20/FRO_TOT!J20</f>
        <v>23966.220820323986</v>
      </c>
      <c r="K20" s="416">
        <f>DIST_TOT!K20*TAX_TOT!K20*COMB_TOT!K20/FRO_TOT!K20</f>
        <v>35949.331230485979</v>
      </c>
      <c r="L20" s="416">
        <f>DIST_TOT!L20*TAX_TOT!L20*COMB_TOT!L20/FRO_TOT!L20</f>
        <v>47932.441640647972</v>
      </c>
      <c r="M20" s="416">
        <f>DIST_TOT!M20*TAX_TOT!M20*COMB_TOT!M20/FRO_TOT!M20</f>
        <v>35003.751312408291</v>
      </c>
      <c r="N20" s="416">
        <f>DIST_TOT!N20*TAX_TOT!N20*COMB_TOT!N20/FRO_TOT!N20</f>
        <v>105975.99785759677</v>
      </c>
      <c r="O20" s="416">
        <f>DIST_TOT!O20*TAX_TOT!O20*COMB_TOT!O20/FRO_TOT!O20</f>
        <v>69037.149728163451</v>
      </c>
      <c r="P20" s="416">
        <f>DIST_TOT!P20*TAX_TOT!P20*COMB_TOT!P20/FRO_TOT!P20</f>
        <v>14022.440703079918</v>
      </c>
      <c r="Q20" s="416">
        <f>DIST_TOT!Q20*TAX_TOT!Q20*COMB_TOT!Q20/FRO_TOT!Q20</f>
        <v>14022.440703079918</v>
      </c>
      <c r="R20" s="423">
        <f>DIST_TOT!R20*TAX_TOT!R20*COMB_TOT!R20/FRO_TOT!R20</f>
        <v>19492.881681785708</v>
      </c>
      <c r="T20" s="130" t="s">
        <v>26</v>
      </c>
      <c r="U20" s="700">
        <f>SUMPRODUCT(B20:R20,FRO_TOT!B20:R20)/SUM(FRO_TOT!B20:R20)</f>
        <v>13205.471655814026</v>
      </c>
      <c r="V20" s="719">
        <f>(B20*DIST_GAS_LEV!E26+C20*DIST_GAS_LEV!Z26+KMA!H20*DIST_ALC_LEV!D26+KMA!I20*DIST_ALC_LEV!U26+P20*DIST_DSL_LEV!B26+KMA!Q20*DIST_DSL_LEV!C26+KMA!R20*GNV!B19)/SUM(DEN!C18,DEN!F18,DEN!G18,DEN!L18)</f>
        <v>12354.749649560146</v>
      </c>
    </row>
    <row r="21" spans="1:22" s="1" customFormat="1">
      <c r="A21" s="130" t="s">
        <v>27</v>
      </c>
      <c r="B21" s="416">
        <f>DIST_TOT!B21*TAX_TOT!B21*COMB_TOT!B21/FRO_TOT!B21</f>
        <v>11008.40700165672</v>
      </c>
      <c r="C21" s="416">
        <f>DIST_TOT!C21*TAX_TOT!C21*COMB_TOT!C21/FRO_TOT!C21</f>
        <v>11937.536449923007</v>
      </c>
      <c r="D21" s="428">
        <f>DIST_TOT!D21*TAX_TOT!D21*COMB_TOT!D21/FRO_TOT!D21</f>
        <v>7093.2913464128151</v>
      </c>
      <c r="E21" s="422">
        <f>DIST_TOT!E21*TAX_TOT!E21*COMB_TOT!E21/FRO_TOT!E21</f>
        <v>16314.570096749474</v>
      </c>
      <c r="F21" s="416">
        <f>DIST_TOT!F21*TAX_TOT!F21*COMB_TOT!F21/FRO_TOT!F21</f>
        <v>7093.2913464128151</v>
      </c>
      <c r="G21" s="416">
        <f>DIST_TOT!G21*TAX_TOT!G21*COMB_TOT!G21/FRO_TOT!G21</f>
        <v>4728.8608976085425</v>
      </c>
      <c r="H21" s="416">
        <f>DIST_TOT!H21*TAX_TOT!H21*COMB_TOT!H21/FRO_TOT!H21</f>
        <v>11733.495542744879</v>
      </c>
      <c r="I21" s="416">
        <f>DIST_TOT!I21*TAX_TOT!I21*COMB_TOT!I21/FRO_TOT!I21</f>
        <v>11733.495542744877</v>
      </c>
      <c r="J21" s="416">
        <f>DIST_TOT!J21*TAX_TOT!J21*COMB_TOT!J21/FRO_TOT!J21</f>
        <v>32646.942048325865</v>
      </c>
      <c r="K21" s="416">
        <f>DIST_TOT!K21*TAX_TOT!K21*COMB_TOT!K21/FRO_TOT!K21</f>
        <v>48970.413072488809</v>
      </c>
      <c r="L21" s="416">
        <f>DIST_TOT!L21*TAX_TOT!L21*COMB_TOT!L21/FRO_TOT!L21</f>
        <v>65293.884096651738</v>
      </c>
      <c r="M21" s="416">
        <f>DIST_TOT!M21*TAX_TOT!M21*COMB_TOT!M21/FRO_TOT!M21</f>
        <v>47682.337951301393</v>
      </c>
      <c r="N21" s="416">
        <f>DIST_TOT!N21*TAX_TOT!N21*COMB_TOT!N21/FRO_TOT!N21</f>
        <v>144361.19430379584</v>
      </c>
      <c r="O21" s="416">
        <f>DIST_TOT!O21*TAX_TOT!O21*COMB_TOT!O21/FRO_TOT!O21</f>
        <v>94042.85486870016</v>
      </c>
      <c r="P21" s="416">
        <f>DIST_TOT!P21*TAX_TOT!P21*COMB_TOT!P21/FRO_TOT!P21</f>
        <v>19101.460027494944</v>
      </c>
      <c r="Q21" s="416">
        <f>DIST_TOT!Q21*TAX_TOT!Q21*COMB_TOT!Q21/FRO_TOT!Q21</f>
        <v>19101.460027494948</v>
      </c>
      <c r="R21" s="423">
        <f>DIST_TOT!R21*TAX_TOT!R21*COMB_TOT!R21/FRO_TOT!R21</f>
        <v>13539.192660550456</v>
      </c>
      <c r="T21" s="130" t="s">
        <v>27</v>
      </c>
      <c r="U21" s="700">
        <f>SUMPRODUCT(B21:R21,FRO_TOT!B21:R21)/SUM(FRO_TOT!B21:R21)</f>
        <v>15301.101133024669</v>
      </c>
      <c r="V21" s="719">
        <f>(B21*DIST_GAS_LEV!E27+C21*DIST_GAS_LEV!Z27+KMA!H21*DIST_ALC_LEV!D27+KMA!I21*DIST_ALC_LEV!U27+P21*DIST_DSL_LEV!B27+KMA!Q21*DIST_DSL_LEV!C27+KMA!R21*GNV!B20)/SUM(DEN!C19,DEN!F19,DEN!G19,DEN!L19)</f>
        <v>11519.783843105479</v>
      </c>
    </row>
    <row r="22" spans="1:22" s="1" customFormat="1">
      <c r="A22" s="130" t="s">
        <v>28</v>
      </c>
      <c r="B22" s="416">
        <f>DIST_TOT!B22*TAX_TOT!B22*COMB_TOT!B22/FRO_TOT!B22</f>
        <v>11390.124235811014</v>
      </c>
      <c r="C22" s="416">
        <f>DIST_TOT!C22*TAX_TOT!C22*COMB_TOT!C22/FRO_TOT!C22</f>
        <v>11172.368402869999</v>
      </c>
      <c r="D22" s="428">
        <f>DIST_TOT!D22*TAX_TOT!D22*COMB_TOT!D22/FRO_TOT!D22</f>
        <v>6638.6280321284266</v>
      </c>
      <c r="E22" s="422">
        <f>DIST_TOT!E22*TAX_TOT!E22*COMB_TOT!E22/FRO_TOT!E22</f>
        <v>15268.844473895377</v>
      </c>
      <c r="F22" s="416">
        <f>DIST_TOT!F22*TAX_TOT!F22*COMB_TOT!F22/FRO_TOT!F22</f>
        <v>6638.6280321284257</v>
      </c>
      <c r="G22" s="416">
        <f>DIST_TOT!G22*TAX_TOT!G22*COMB_TOT!G22/FRO_TOT!G22</f>
        <v>4425.7520214189508</v>
      </c>
      <c r="H22" s="416">
        <f>DIST_TOT!H22*TAX_TOT!H22*COMB_TOT!H22/FRO_TOT!H22</f>
        <v>9153.3068466833538</v>
      </c>
      <c r="I22" s="416">
        <f>DIST_TOT!I22*TAX_TOT!I22*COMB_TOT!I22/FRO_TOT!I22</f>
        <v>9153.3068466833556</v>
      </c>
      <c r="J22" s="416">
        <f>DIST_TOT!J22*TAX_TOT!J22*COMB_TOT!J22/FRO_TOT!J22</f>
        <v>26232.352386214592</v>
      </c>
      <c r="K22" s="416">
        <f>DIST_TOT!K22*TAX_TOT!K22*COMB_TOT!K22/FRO_TOT!K22</f>
        <v>39348.528579321879</v>
      </c>
      <c r="L22" s="416">
        <f>DIST_TOT!L22*TAX_TOT!L22*COMB_TOT!L22/FRO_TOT!L22</f>
        <v>52464.704772429177</v>
      </c>
      <c r="M22" s="416">
        <f>DIST_TOT!M22*TAX_TOT!M22*COMB_TOT!M22/FRO_TOT!M22</f>
        <v>38313.539132871207</v>
      </c>
      <c r="N22" s="416">
        <f>DIST_TOT!N22*TAX_TOT!N22*COMB_TOT!N22/FRO_TOT!N22</f>
        <v>115996.58290403831</v>
      </c>
      <c r="O22" s="416">
        <f>DIST_TOT!O22*TAX_TOT!O22*COMB_TOT!O22/FRO_TOT!O22</f>
        <v>75564.97342598383</v>
      </c>
      <c r="P22" s="416">
        <f>DIST_TOT!P22*TAX_TOT!P22*COMB_TOT!P22/FRO_TOT!P22</f>
        <v>15348.335834661581</v>
      </c>
      <c r="Q22" s="416">
        <f>DIST_TOT!Q22*TAX_TOT!Q22*COMB_TOT!Q22/FRO_TOT!Q22</f>
        <v>15348.335834661575</v>
      </c>
      <c r="R22" s="423">
        <f>DIST_TOT!R22*TAX_TOT!R22*COMB_TOT!R22/FRO_TOT!R22</f>
        <v>24186.685593618018</v>
      </c>
      <c r="T22" s="130" t="s">
        <v>28</v>
      </c>
      <c r="U22" s="700">
        <f>SUMPRODUCT(B22:R22,FRO_TOT!B22:R22)/SUM(FRO_TOT!B22:R22)</f>
        <v>14520.595516045285</v>
      </c>
      <c r="V22" s="719">
        <f>(B22*DIST_GAS_LEV!E28+C22*DIST_GAS_LEV!Z28+KMA!H22*DIST_ALC_LEV!D28+KMA!I22*DIST_ALC_LEV!U28+P22*DIST_DSL_LEV!B28+KMA!Q22*DIST_DSL_LEV!C28+KMA!R22*GNV!B21)/SUM(DEN!C20,DEN!F20,DEN!G20,DEN!L20)</f>
        <v>12657.41598618114</v>
      </c>
    </row>
    <row r="23" spans="1:22" s="1" customFormat="1" ht="15.75" thickBot="1">
      <c r="A23" s="131" t="s">
        <v>29</v>
      </c>
      <c r="B23" s="416">
        <f>DIST_TOT!B23*TAX_TOT!B23*COMB_TOT!B23/FRO_TOT!B23</f>
        <v>11224.735703250957</v>
      </c>
      <c r="C23" s="416">
        <f>DIST_TOT!C23*TAX_TOT!C23*COMB_TOT!C23/FRO_TOT!C23</f>
        <v>12116.255218250853</v>
      </c>
      <c r="D23" s="428">
        <f>DIST_TOT!D23*TAX_TOT!D23*COMB_TOT!D23/FRO_TOT!D23</f>
        <v>7199.4861461639521</v>
      </c>
      <c r="E23" s="422">
        <f>DIST_TOT!E23*TAX_TOT!E23*COMB_TOT!E23/FRO_TOT!E23</f>
        <v>16558.818136177091</v>
      </c>
      <c r="F23" s="416">
        <f>DIST_TOT!F23*TAX_TOT!F23*COMB_TOT!F23/FRO_TOT!F23</f>
        <v>7199.4861461639493</v>
      </c>
      <c r="G23" s="416">
        <f>DIST_TOT!G23*TAX_TOT!G23*COMB_TOT!G23/FRO_TOT!G23</f>
        <v>4799.6574307759665</v>
      </c>
      <c r="H23" s="416">
        <f>DIST_TOT!H23*TAX_TOT!H23*COMB_TOT!H23/FRO_TOT!H23</f>
        <v>11874.319178851181</v>
      </c>
      <c r="I23" s="416">
        <f>DIST_TOT!I23*TAX_TOT!I23*COMB_TOT!I23/FRO_TOT!I23</f>
        <v>11874.319178851179</v>
      </c>
      <c r="J23" s="416">
        <f>DIST_TOT!J23*TAX_TOT!J23*COMB_TOT!J23/FRO_TOT!J23</f>
        <v>25229.799545204678</v>
      </c>
      <c r="K23" s="416">
        <f>DIST_TOT!K23*TAX_TOT!K23*COMB_TOT!K23/FRO_TOT!K23</f>
        <v>37844.699317807012</v>
      </c>
      <c r="L23" s="416">
        <f>DIST_TOT!L23*TAX_TOT!L23*COMB_TOT!L23/FRO_TOT!L23</f>
        <v>50459.599090409356</v>
      </c>
      <c r="M23" s="416">
        <f>DIST_TOT!M23*TAX_TOT!M23*COMB_TOT!M23/FRO_TOT!M23</f>
        <v>36849.265287305214</v>
      </c>
      <c r="N23" s="416">
        <f>DIST_TOT!N23*TAX_TOT!N23*COMB_TOT!N23/FRO_TOT!N23</f>
        <v>111563.40428453342</v>
      </c>
      <c r="O23" s="416">
        <f>DIST_TOT!O23*TAX_TOT!O23*COMB_TOT!O23/FRO_TOT!O23</f>
        <v>72677.017451861204</v>
      </c>
      <c r="P23" s="416">
        <f>DIST_TOT!P23*TAX_TOT!P23*COMB_TOT!P23/FRO_TOT!P23</f>
        <v>14761.75032874635</v>
      </c>
      <c r="Q23" s="416">
        <f>DIST_TOT!Q23*TAX_TOT!Q23*COMB_TOT!Q23/FRO_TOT!Q23</f>
        <v>14761.750328746353</v>
      </c>
      <c r="R23" s="423">
        <f>DIST_TOT!R23*TAX_TOT!R23*COMB_TOT!R23/FRO_TOT!R23</f>
        <v>26916.55983598742</v>
      </c>
      <c r="T23" s="210" t="s">
        <v>29</v>
      </c>
      <c r="U23" s="701">
        <f>SUMPRODUCT(B23:R23,FRO_TOT!B23:R23)/SUM(FRO_TOT!B23:R23)</f>
        <v>15727.623699856789</v>
      </c>
      <c r="V23" s="719">
        <f>(B23*DIST_GAS_LEV!E29+C23*DIST_GAS_LEV!Z29+KMA!H23*DIST_ALC_LEV!D29+KMA!I23*DIST_ALC_LEV!U29+P23*DIST_DSL_LEV!B29+KMA!Q23*DIST_DSL_LEV!C29+KMA!R23*GNV!B22)/SUM(DEN!C21,DEN!F21,DEN!G21,DEN!L21)</f>
        <v>12656.333724569791</v>
      </c>
    </row>
    <row r="24" spans="1:22" ht="15.75" thickBot="1">
      <c r="A24" s="324" t="s">
        <v>64</v>
      </c>
      <c r="B24" s="415">
        <f>DIST_TOT!B24*TAX_TOT!B24*COMB_TOT!B24/FRO_TOT!B24</f>
        <v>7500.3427129814636</v>
      </c>
      <c r="C24" s="415">
        <f>DIST_TOT!C24*TAX_TOT!C24*COMB_TOT!C24/FRO_TOT!C24</f>
        <v>7224.6879904609814</v>
      </c>
      <c r="D24" s="427">
        <f>DIST_TOT!D24*TAX_TOT!D24*COMB_TOT!D24/FRO_TOT!D24</f>
        <v>6110.9874550729646</v>
      </c>
      <c r="E24" s="420">
        <f>DIST_TOT!E24*TAX_TOT!E24*COMB_TOT!E24/FRO_TOT!E24</f>
        <v>14055.271146667819</v>
      </c>
      <c r="F24" s="415">
        <f>DIST_TOT!F24*TAX_TOT!F24*COMB_TOT!F24/FRO_TOT!F24</f>
        <v>6110.9874550729664</v>
      </c>
      <c r="G24" s="415">
        <f>DIST_TOT!G24*TAX_TOT!G24*COMB_TOT!G24/FRO_TOT!G24</f>
        <v>4073.991636715311</v>
      </c>
      <c r="H24" s="415">
        <f>DIST_TOT!H24*TAX_TOT!H24*COMB_TOT!H24/FRO_TOT!H24</f>
        <v>11502.814280853265</v>
      </c>
      <c r="I24" s="415">
        <f>DIST_TOT!I24*TAX_TOT!I24*COMB_TOT!I24/FRO_TOT!I24</f>
        <v>11532.659705384671</v>
      </c>
      <c r="J24" s="415">
        <f>DIST_TOT!J24*TAX_TOT!J24*COMB_TOT!J24/FRO_TOT!J24</f>
        <v>23961.574506037996</v>
      </c>
      <c r="K24" s="415">
        <f>DIST_TOT!K24*TAX_TOT!K24*COMB_TOT!K24/FRO_TOT!K24</f>
        <v>35942.245770278249</v>
      </c>
      <c r="L24" s="415">
        <f>DIST_TOT!L24*TAX_TOT!L24*COMB_TOT!L24/FRO_TOT!L24</f>
        <v>47940.662082037794</v>
      </c>
      <c r="M24" s="415">
        <f>DIST_TOT!M24*TAX_TOT!M24*COMB_TOT!M24/FRO_TOT!M24</f>
        <v>31043.090780785213</v>
      </c>
      <c r="N24" s="415">
        <f>DIST_TOT!N24*TAX_TOT!N24*COMB_TOT!N24/FRO_TOT!N24</f>
        <v>114478.38137927109</v>
      </c>
      <c r="O24" s="415">
        <f>DIST_TOT!O24*TAX_TOT!O24*COMB_TOT!O24/FRO_TOT!O24</f>
        <v>60036.908732776988</v>
      </c>
      <c r="P24" s="415">
        <f>DIST_TOT!P24*TAX_TOT!P24*COMB_TOT!P24/FRO_TOT!P24</f>
        <v>15147.451754428797</v>
      </c>
      <c r="Q24" s="415">
        <f>DIST_TOT!Q24*TAX_TOT!Q24*COMB_TOT!Q24/FRO_TOT!Q24</f>
        <v>15147.451754428796</v>
      </c>
      <c r="R24" s="421">
        <f>DIST_TOT!R24*TAX_TOT!R24*COMB_TOT!R24/FRO_TOT!R24</f>
        <v>16413.031904156745</v>
      </c>
      <c r="T24" s="268" t="s">
        <v>64</v>
      </c>
      <c r="U24" s="697">
        <f>SUMPRODUCT(B24:R24,FRO_TOT!B24:R24)/SUM(FRO_TOT!B24:R24)</f>
        <v>11666.775000144273</v>
      </c>
      <c r="V24" s="719">
        <f>(B24*DIST_GAS_LEV!E30+C24*DIST_GAS_LEV!Z30+KMA!H24*DIST_ALC_LEV!D30+KMA!I24*DIST_ALC_LEV!U30+P24*DIST_DSL_LEV!B30+KMA!Q24*DIST_DSL_LEV!C30+KMA!R24*GNV!B23)/SUM(DEN!C22,DEN!F22,DEN!G22,DEN!L22)</f>
        <v>9535.2509279915157</v>
      </c>
    </row>
    <row r="25" spans="1:22" s="1" customFormat="1">
      <c r="A25" s="130" t="s">
        <v>31</v>
      </c>
      <c r="B25" s="416">
        <f>DIST_TOT!B25*TAX_TOT!B25*COMB_TOT!B25/FRO_TOT!B25</f>
        <v>8182.9615397486741</v>
      </c>
      <c r="C25" s="416">
        <f>DIST_TOT!C25*TAX_TOT!C25*COMB_TOT!C25/FRO_TOT!C25</f>
        <v>8527.1615339661948</v>
      </c>
      <c r="D25" s="428">
        <f>DIST_TOT!D25*TAX_TOT!D25*COMB_TOT!D25/FRO_TOT!D25</f>
        <v>6161.2438829235534</v>
      </c>
      <c r="E25" s="422">
        <f>DIST_TOT!E25*TAX_TOT!E25*COMB_TOT!E25/FRO_TOT!E25</f>
        <v>14170.86093072417</v>
      </c>
      <c r="F25" s="416">
        <f>DIST_TOT!F25*TAX_TOT!F25*COMB_TOT!F25/FRO_TOT!F25</f>
        <v>6161.2438829235525</v>
      </c>
      <c r="G25" s="416">
        <f>DIST_TOT!G25*TAX_TOT!G25*COMB_TOT!G25/FRO_TOT!G25</f>
        <v>4107.4959219490347</v>
      </c>
      <c r="H25" s="416">
        <f>DIST_TOT!H25*TAX_TOT!H25*COMB_TOT!H25/FRO_TOT!H25</f>
        <v>10331.706984536817</v>
      </c>
      <c r="I25" s="416">
        <f>DIST_TOT!I25*TAX_TOT!I25*COMB_TOT!I25/FRO_TOT!I25</f>
        <v>10331.706984536815</v>
      </c>
      <c r="J25" s="416">
        <f>DIST_TOT!J25*TAX_TOT!J25*COMB_TOT!J25/FRO_TOT!J25</f>
        <v>12858.076900325079</v>
      </c>
      <c r="K25" s="416">
        <f>DIST_TOT!K25*TAX_TOT!K25*COMB_TOT!K25/FRO_TOT!K25</f>
        <v>19287.526545783439</v>
      </c>
      <c r="L25" s="416">
        <f>DIST_TOT!L25*TAX_TOT!L25*COMB_TOT!L25/FRO_TOT!L25</f>
        <v>25716.976191241803</v>
      </c>
      <c r="M25" s="416">
        <f>DIST_TOT!M25*TAX_TOT!M25*COMB_TOT!M25/FRO_TOT!M25</f>
        <v>29137.298661881523</v>
      </c>
      <c r="N25" s="416">
        <f>DIST_TOT!N25*TAX_TOT!N25*COMB_TOT!N25/FRO_TOT!N25</f>
        <v>93229.487030921155</v>
      </c>
      <c r="O25" s="416">
        <f>DIST_TOT!O25*TAX_TOT!O25*COMB_TOT!O25/FRO_TOT!O25</f>
        <v>57332.13770574113</v>
      </c>
      <c r="P25" s="416">
        <f>DIST_TOT!P25*TAX_TOT!P25*COMB_TOT!P25/FRO_TOT!P25</f>
        <v>12335.858874632309</v>
      </c>
      <c r="Q25" s="416">
        <f>DIST_TOT!Q25*TAX_TOT!Q25*COMB_TOT!Q25/FRO_TOT!Q25</f>
        <v>12335.858874632313</v>
      </c>
      <c r="R25" s="423">
        <f>DIST_TOT!R25*TAX_TOT!R25*COMB_TOT!R25/FRO_TOT!R25</f>
        <v>14303.254904054018</v>
      </c>
      <c r="T25" s="190" t="s">
        <v>31</v>
      </c>
      <c r="U25" s="699">
        <f>SUMPRODUCT(B25:R25,FRO_TOT!B25:R25)/SUM(FRO_TOT!B25:R25)</f>
        <v>11451.325282527036</v>
      </c>
      <c r="V25" s="719">
        <f>(B25*DIST_GAS_LEV!E31+C25*DIST_GAS_LEV!Z31+KMA!H25*DIST_ALC_LEV!D31+KMA!I25*DIST_ALC_LEV!U31+P25*DIST_DSL_LEV!B31+KMA!Q25*DIST_DSL_LEV!C31+KMA!R25*GNV!B24)/SUM(DEN!C23,DEN!F23,DEN!G23,DEN!L23)</f>
        <v>8937.0200985634165</v>
      </c>
    </row>
    <row r="26" spans="1:22" s="1" customFormat="1">
      <c r="A26" s="130" t="s">
        <v>32</v>
      </c>
      <c r="B26" s="416">
        <f>DIST_TOT!B26*TAX_TOT!B26*COMB_TOT!B26/FRO_TOT!B26</f>
        <v>7985.0346348761514</v>
      </c>
      <c r="C26" s="416">
        <f>DIST_TOT!C26*TAX_TOT!C26*COMB_TOT!C26/FRO_TOT!C26</f>
        <v>8277.1525796430778</v>
      </c>
      <c r="D26" s="428">
        <f>DIST_TOT!D26*TAX_TOT!D26*COMB_TOT!D26/FRO_TOT!D26</f>
        <v>6239.0597333993046</v>
      </c>
      <c r="E26" s="422">
        <f>DIST_TOT!E26*TAX_TOT!E26*COMB_TOT!E26/FRO_TOT!E26</f>
        <v>14349.837386818403</v>
      </c>
      <c r="F26" s="416">
        <f>DIST_TOT!F26*TAX_TOT!F26*COMB_TOT!F26/FRO_TOT!F26</f>
        <v>6239.0597333993055</v>
      </c>
      <c r="G26" s="416">
        <f>DIST_TOT!G26*TAX_TOT!G26*COMB_TOT!G26/FRO_TOT!G26</f>
        <v>4159.3731555995364</v>
      </c>
      <c r="H26" s="416">
        <f>DIST_TOT!H26*TAX_TOT!H26*COMB_TOT!H26/FRO_TOT!H26</f>
        <v>11456.088489669566</v>
      </c>
      <c r="I26" s="416">
        <f>DIST_TOT!I26*TAX_TOT!I26*COMB_TOT!I26/FRO_TOT!I26</f>
        <v>11456.088489669566</v>
      </c>
      <c r="J26" s="416">
        <f>DIST_TOT!J26*TAX_TOT!J26*COMB_TOT!J26/FRO_TOT!J26</f>
        <v>35830.20529747368</v>
      </c>
      <c r="K26" s="416">
        <f>DIST_TOT!K26*TAX_TOT!K26*COMB_TOT!K26/FRO_TOT!K26</f>
        <v>53744.762485771826</v>
      </c>
      <c r="L26" s="416">
        <f>DIST_TOT!L26*TAX_TOT!L26*COMB_TOT!L26/FRO_TOT!L26</f>
        <v>71659.319674069964</v>
      </c>
      <c r="M26" s="416">
        <f>DIST_TOT!M26*TAX_TOT!M26*COMB_TOT!M26/FRO_TOT!M26</f>
        <v>30748.695850523494</v>
      </c>
      <c r="N26" s="416">
        <f>DIST_TOT!N26*TAX_TOT!N26*COMB_TOT!N26/FRO_TOT!N26</f>
        <v>123671.15434608475</v>
      </c>
      <c r="O26" s="416">
        <f>DIST_TOT!O26*TAX_TOT!O26*COMB_TOT!O26/FRO_TOT!O26</f>
        <v>59819.555391598835</v>
      </c>
      <c r="P26" s="416">
        <f>DIST_TOT!P26*TAX_TOT!P26*COMB_TOT!P26/FRO_TOT!P26</f>
        <v>16363.813161067636</v>
      </c>
      <c r="Q26" s="416">
        <f>DIST_TOT!Q26*TAX_TOT!Q26*COMB_TOT!Q26/FRO_TOT!Q26</f>
        <v>16363.81316106763</v>
      </c>
      <c r="R26" s="423">
        <f>DIST_TOT!R26*TAX_TOT!R26*COMB_TOT!R26/FRO_TOT!R26</f>
        <v>11612.6935902886</v>
      </c>
      <c r="T26" s="130" t="s">
        <v>32</v>
      </c>
      <c r="U26" s="700">
        <f>SUMPRODUCT(B26:R26,FRO_TOT!B26:R26)/SUM(FRO_TOT!B26:R26)</f>
        <v>12817.712710358301</v>
      </c>
      <c r="V26" s="719">
        <f>(B26*DIST_GAS_LEV!E32+C26*DIST_GAS_LEV!Z32+KMA!H26*DIST_ALC_LEV!D32+KMA!I26*DIST_ALC_LEV!U32+P26*DIST_DSL_LEV!B32+KMA!Q26*DIST_DSL_LEV!C32+KMA!R26*GNV!B25)/SUM(DEN!C24,DEN!F24,DEN!G24,DEN!L24)</f>
        <v>8824.5729304222514</v>
      </c>
    </row>
    <row r="27" spans="1:22" s="1" customFormat="1">
      <c r="A27" s="130" t="s">
        <v>33</v>
      </c>
      <c r="B27" s="416">
        <f>DIST_TOT!B27*TAX_TOT!B27*COMB_TOT!B27/FRO_TOT!B27</f>
        <v>7704.9948526919534</v>
      </c>
      <c r="C27" s="416">
        <f>DIST_TOT!C27*TAX_TOT!C27*COMB_TOT!C27/FRO_TOT!C27</f>
        <v>8217.8297684348872</v>
      </c>
      <c r="D27" s="428">
        <f>DIST_TOT!D27*TAX_TOT!D27*COMB_TOT!D27/FRO_TOT!D27</f>
        <v>7046.2699512131767</v>
      </c>
      <c r="E27" s="422">
        <f>DIST_TOT!E27*TAX_TOT!E27*COMB_TOT!E27/FRO_TOT!E27</f>
        <v>16206.420887790304</v>
      </c>
      <c r="F27" s="416">
        <f>DIST_TOT!F27*TAX_TOT!F27*COMB_TOT!F27/FRO_TOT!F27</f>
        <v>7046.2699512131767</v>
      </c>
      <c r="G27" s="416">
        <f>DIST_TOT!G27*TAX_TOT!G27*COMB_TOT!G27/FRO_TOT!G27</f>
        <v>4697.5133008087851</v>
      </c>
      <c r="H27" s="416">
        <f>DIST_TOT!H27*TAX_TOT!H27*COMB_TOT!H27/FRO_TOT!H27</f>
        <v>10609.782634030878</v>
      </c>
      <c r="I27" s="416">
        <f>DIST_TOT!I27*TAX_TOT!I27*COMB_TOT!I27/FRO_TOT!I27</f>
        <v>10609.782634030877</v>
      </c>
      <c r="J27" s="416">
        <f>DIST_TOT!J27*TAX_TOT!J27*COMB_TOT!J27/FRO_TOT!J27</f>
        <v>19462.58644094941</v>
      </c>
      <c r="K27" s="416">
        <f>DIST_TOT!K27*TAX_TOT!K27*COMB_TOT!K27/FRO_TOT!K27</f>
        <v>29193.879661424115</v>
      </c>
      <c r="L27" s="416">
        <f>DIST_TOT!L27*TAX_TOT!L27*COMB_TOT!L27/FRO_TOT!L27</f>
        <v>38925.172881898827</v>
      </c>
      <c r="M27" s="416">
        <f>DIST_TOT!M27*TAX_TOT!M27*COMB_TOT!M27/FRO_TOT!M27</f>
        <v>43192.281070144301</v>
      </c>
      <c r="N27" s="416">
        <f>DIST_TOT!N27*TAX_TOT!N27*COMB_TOT!N27/FRO_TOT!N27</f>
        <v>127064.99938330967</v>
      </c>
      <c r="O27" s="416">
        <f>DIST_TOT!O27*TAX_TOT!O27*COMB_TOT!O27/FRO_TOT!O27</f>
        <v>85288.362558438297</v>
      </c>
      <c r="P27" s="416">
        <f>DIST_TOT!P27*TAX_TOT!P27*COMB_TOT!P27/FRO_TOT!P27</f>
        <v>16812.877022243789</v>
      </c>
      <c r="Q27" s="416">
        <f>DIST_TOT!Q27*TAX_TOT!Q27*COMB_TOT!Q27/FRO_TOT!Q27</f>
        <v>16812.877022243792</v>
      </c>
      <c r="R27" s="423">
        <f>DIST_TOT!R27*TAX_TOT!R27*COMB_TOT!R27/FRO_TOT!R27</f>
        <v>18058.715973623421</v>
      </c>
      <c r="T27" s="130" t="s">
        <v>33</v>
      </c>
      <c r="U27" s="700">
        <f>SUMPRODUCT(B27:R27,FRO_TOT!B27:R27)/SUM(FRO_TOT!B27:R27)</f>
        <v>12783.966037178778</v>
      </c>
      <c r="V27" s="719">
        <f>(B27*DIST_GAS_LEV!E33+C27*DIST_GAS_LEV!Z33+KMA!H27*DIST_ALC_LEV!D33+KMA!I27*DIST_ALC_LEV!U33+P27*DIST_DSL_LEV!B33+KMA!Q27*DIST_DSL_LEV!C33+KMA!R27*GNV!B26)/SUM(DEN!C25,DEN!F25,DEN!G25,DEN!L25)</f>
        <v>10504.011507807803</v>
      </c>
    </row>
    <row r="28" spans="1:22" s="1" customFormat="1" ht="15.75" thickBot="1">
      <c r="A28" s="131" t="s">
        <v>34</v>
      </c>
      <c r="B28" s="416">
        <f>DIST_TOT!B28*TAX_TOT!B28*COMB_TOT!B28/FRO_TOT!B28</f>
        <v>7222.7321259308173</v>
      </c>
      <c r="C28" s="416">
        <f>DIST_TOT!C28*TAX_TOT!C28*COMB_TOT!C28/FRO_TOT!C28</f>
        <v>6570.5286165792686</v>
      </c>
      <c r="D28" s="428">
        <f>DIST_TOT!D28*TAX_TOT!D28*COMB_TOT!D28/FRO_TOT!D28</f>
        <v>5863.0534948654986</v>
      </c>
      <c r="E28" s="422">
        <f>DIST_TOT!E28*TAX_TOT!E28*COMB_TOT!E28/FRO_TOT!E28</f>
        <v>13485.023038190649</v>
      </c>
      <c r="F28" s="416">
        <f>DIST_TOT!F28*TAX_TOT!F28*COMB_TOT!F28/FRO_TOT!F28</f>
        <v>5863.0534948655013</v>
      </c>
      <c r="G28" s="416">
        <f>DIST_TOT!G28*TAX_TOT!G28*COMB_TOT!G28/FRO_TOT!G28</f>
        <v>3908.702329910333</v>
      </c>
      <c r="H28" s="416">
        <f>DIST_TOT!H28*TAX_TOT!H28*COMB_TOT!H28/FRO_TOT!H28</f>
        <v>11639.105098891059</v>
      </c>
      <c r="I28" s="416">
        <f>DIST_TOT!I28*TAX_TOT!I28*COMB_TOT!I28/FRO_TOT!I28</f>
        <v>11639.105098891057</v>
      </c>
      <c r="J28" s="416">
        <f>DIST_TOT!J28*TAX_TOT!J28*COMB_TOT!J28/FRO_TOT!J28</f>
        <v>20935.984446473292</v>
      </c>
      <c r="K28" s="416">
        <f>DIST_TOT!K28*TAX_TOT!K28*COMB_TOT!K28/FRO_TOT!K28</f>
        <v>31403.97666970994</v>
      </c>
      <c r="L28" s="416">
        <f>DIST_TOT!L28*TAX_TOT!L28*COMB_TOT!L28/FRO_TOT!L28</f>
        <v>41871.968892946585</v>
      </c>
      <c r="M28" s="416">
        <f>DIST_TOT!M28*TAX_TOT!M28*COMB_TOT!M28/FRO_TOT!M28</f>
        <v>27505.0218792653</v>
      </c>
      <c r="N28" s="416">
        <f>DIST_TOT!N28*TAX_TOT!N28*COMB_TOT!N28/FRO_TOT!N28</f>
        <v>108920.92431344646</v>
      </c>
      <c r="O28" s="416">
        <f>DIST_TOT!O28*TAX_TOT!O28*COMB_TOT!O28/FRO_TOT!O28</f>
        <v>53555.381966334164</v>
      </c>
      <c r="P28" s="416">
        <f>DIST_TOT!P28*TAX_TOT!P28*COMB_TOT!P28/FRO_TOT!P28</f>
        <v>14412.104942501119</v>
      </c>
      <c r="Q28" s="416">
        <f>DIST_TOT!Q28*TAX_TOT!Q28*COMB_TOT!Q28/FRO_TOT!Q28</f>
        <v>14412.104942501121</v>
      </c>
      <c r="R28" s="423">
        <f>DIST_TOT!R28*TAX_TOT!R28*COMB_TOT!R28/FRO_TOT!R28</f>
        <v>14268.685844176203</v>
      </c>
      <c r="T28" s="210" t="s">
        <v>34</v>
      </c>
      <c r="U28" s="701">
        <f>SUMPRODUCT(B28:R28,FRO_TOT!B28:R28)/SUM(FRO_TOT!B28:R28)</f>
        <v>11047.790272699665</v>
      </c>
      <c r="V28" s="719">
        <f>(B28*DIST_GAS_LEV!E34+C28*DIST_GAS_LEV!Z34+KMA!H28*DIST_ALC_LEV!D34+KMA!I28*DIST_ALC_LEV!U34+P28*DIST_DSL_LEV!B34+KMA!Q28*DIST_DSL_LEV!C34+KMA!R28*GNV!B27)/SUM(DEN!C26,DEN!F26,DEN!G26,DEN!L26)</f>
        <v>9524.3106985423547</v>
      </c>
    </row>
    <row r="29" spans="1:22" ht="15.75" thickBot="1">
      <c r="A29" s="324" t="s">
        <v>69</v>
      </c>
      <c r="B29" s="415">
        <f>DIST_TOT!B29*TAX_TOT!B29*COMB_TOT!B29/FRO_TOT!B29</f>
        <v>6993.0228347068996</v>
      </c>
      <c r="C29" s="415">
        <f>DIST_TOT!C29*TAX_TOT!C29*COMB_TOT!C29/FRO_TOT!C29</f>
        <v>7231.1900612733507</v>
      </c>
      <c r="D29" s="427">
        <f>DIST_TOT!D29*TAX_TOT!D29*COMB_TOT!D29/FRO_TOT!D29</f>
        <v>5875.1950449084725</v>
      </c>
      <c r="E29" s="420">
        <f>DIST_TOT!E29*TAX_TOT!E29*COMB_TOT!E29/FRO_TOT!E29</f>
        <v>13512.948603289491</v>
      </c>
      <c r="F29" s="415">
        <f>DIST_TOT!F29*TAX_TOT!F29*COMB_TOT!F29/FRO_TOT!F29</f>
        <v>5875.1950449084743</v>
      </c>
      <c r="G29" s="415">
        <f>DIST_TOT!G29*TAX_TOT!G29*COMB_TOT!G29/FRO_TOT!G29</f>
        <v>3916.7966966056488</v>
      </c>
      <c r="H29" s="415">
        <f>DIST_TOT!H29*TAX_TOT!H29*COMB_TOT!H29/FRO_TOT!H29</f>
        <v>11320.750770861789</v>
      </c>
      <c r="I29" s="415">
        <f>DIST_TOT!I29*TAX_TOT!I29*COMB_TOT!I29/FRO_TOT!I29</f>
        <v>11320.750770861794</v>
      </c>
      <c r="J29" s="415">
        <f>DIST_TOT!J29*TAX_TOT!J29*COMB_TOT!J29/FRO_TOT!J29</f>
        <v>22561.325952624986</v>
      </c>
      <c r="K29" s="415">
        <f>DIST_TOT!K29*TAX_TOT!K29*COMB_TOT!K29/FRO_TOT!K29</f>
        <v>33842.45950556756</v>
      </c>
      <c r="L29" s="415">
        <f>DIST_TOT!L29*TAX_TOT!L29*COMB_TOT!L29/FRO_TOT!L29</f>
        <v>45123.593058510123</v>
      </c>
      <c r="M29" s="415">
        <f>DIST_TOT!M29*TAX_TOT!M29*COMB_TOT!M29/FRO_TOT!M29</f>
        <v>28296.713920057678</v>
      </c>
      <c r="N29" s="415">
        <f>DIST_TOT!N29*TAX_TOT!N29*COMB_TOT!N29/FRO_TOT!N29</f>
        <v>106692.89818510672</v>
      </c>
      <c r="O29" s="415">
        <f>DIST_TOT!O29*TAX_TOT!O29*COMB_TOT!O29/FRO_TOT!O29</f>
        <v>55240.990605261286</v>
      </c>
      <c r="P29" s="415">
        <f>DIST_TOT!P29*TAX_TOT!P29*COMB_TOT!P29/FRO_TOT!P29</f>
        <v>14117.298902443465</v>
      </c>
      <c r="Q29" s="415">
        <f>DIST_TOT!Q29*TAX_TOT!Q29*COMB_TOT!Q29/FRO_TOT!Q29</f>
        <v>14117.298902443466</v>
      </c>
      <c r="R29" s="421">
        <f>DIST_TOT!R29*TAX_TOT!R29*COMB_TOT!R29/FRO_TOT!R29</f>
        <v>23761.895304800481</v>
      </c>
      <c r="T29" s="268" t="s">
        <v>69</v>
      </c>
      <c r="U29" s="697">
        <f>SUMPRODUCT(B29:R29,FRO_TOT!B29:R29)/SUM(FRO_TOT!B29:R29)</f>
        <v>10818.584614494439</v>
      </c>
      <c r="V29" s="719">
        <f>(B29*DIST_GAS_LEV!E35+C29*DIST_GAS_LEV!Z35+KMA!H29*DIST_ALC_LEV!D35+KMA!I29*DIST_ALC_LEV!U35+P29*DIST_DSL_LEV!B35+KMA!Q29*DIST_DSL_LEV!C35+KMA!R29*GNV!B28)/SUM(DEN!C27,DEN!F27,DEN!G27,DEN!L27)</f>
        <v>8071.2457811136346</v>
      </c>
    </row>
    <row r="30" spans="1:22" s="1" customFormat="1">
      <c r="A30" s="130" t="s">
        <v>36</v>
      </c>
      <c r="B30" s="416">
        <f>DIST_TOT!B30*TAX_TOT!B30*COMB_TOT!B30/FRO_TOT!B30</f>
        <v>6149.0495466786115</v>
      </c>
      <c r="C30" s="416">
        <f>DIST_TOT!C30*TAX_TOT!C30*COMB_TOT!C30/FRO_TOT!C30</f>
        <v>6278.3185708024057</v>
      </c>
      <c r="D30" s="428">
        <f>DIST_TOT!D30*TAX_TOT!D30*COMB_TOT!D30/FRO_TOT!D30</f>
        <v>5101.0063136191147</v>
      </c>
      <c r="E30" s="422">
        <f>DIST_TOT!E30*TAX_TOT!E30*COMB_TOT!E30/FRO_TOT!E30</f>
        <v>11732.314521323964</v>
      </c>
      <c r="F30" s="416">
        <f>DIST_TOT!F30*TAX_TOT!F30*COMB_TOT!F30/FRO_TOT!F30</f>
        <v>5101.0063136191156</v>
      </c>
      <c r="G30" s="416">
        <f>DIST_TOT!G30*TAX_TOT!G30*COMB_TOT!G30/FRO_TOT!G30</f>
        <v>3400.6708757460765</v>
      </c>
      <c r="H30" s="416">
        <f>DIST_TOT!H30*TAX_TOT!H30*COMB_TOT!H30/FRO_TOT!H30</f>
        <v>10200.092867835185</v>
      </c>
      <c r="I30" s="416">
        <f>DIST_TOT!I30*TAX_TOT!I30*COMB_TOT!I30/FRO_TOT!I30</f>
        <v>10200.092867835188</v>
      </c>
      <c r="J30" s="416">
        <f>DIST_TOT!J30*TAX_TOT!J30*COMB_TOT!J30/FRO_TOT!J30</f>
        <v>21774.630700017955</v>
      </c>
      <c r="K30" s="416">
        <f>DIST_TOT!K30*TAX_TOT!K30*COMB_TOT!K30/FRO_TOT!K30</f>
        <v>32662.400218029179</v>
      </c>
      <c r="L30" s="416">
        <f>DIST_TOT!L30*TAX_TOT!L30*COMB_TOT!L30/FRO_TOT!L30</f>
        <v>43550.169736040414</v>
      </c>
      <c r="M30" s="416">
        <f>DIST_TOT!M30*TAX_TOT!M30*COMB_TOT!M30/FRO_TOT!M30</f>
        <v>27310.030311477549</v>
      </c>
      <c r="N30" s="416">
        <f>DIST_TOT!N30*TAX_TOT!N30*COMB_TOT!N30/FRO_TOT!N30</f>
        <v>102972.60281481876</v>
      </c>
      <c r="O30" s="416">
        <f>DIST_TOT!O30*TAX_TOT!O30*COMB_TOT!O30/FRO_TOT!O30</f>
        <v>53314.781784479972</v>
      </c>
      <c r="P30" s="416">
        <f>DIST_TOT!P30*TAX_TOT!P30*COMB_TOT!P30/FRO_TOT!P30</f>
        <v>13625.040067590073</v>
      </c>
      <c r="Q30" s="416">
        <f>DIST_TOT!Q30*TAX_TOT!Q30*COMB_TOT!Q30/FRO_TOT!Q30</f>
        <v>13625.040067590075</v>
      </c>
      <c r="R30" s="423">
        <f>DIST_TOT!R30*TAX_TOT!R30*COMB_TOT!R30/FRO_TOT!R30</f>
        <v>14747.184110510159</v>
      </c>
      <c r="T30" s="190" t="s">
        <v>36</v>
      </c>
      <c r="U30" s="699">
        <f>SUMPRODUCT(B30:R30,FRO_TOT!B30:R30)/SUM(FRO_TOT!B30:R30)</f>
        <v>10026.619902941502</v>
      </c>
      <c r="V30" s="719">
        <f>(B30*DIST_GAS_LEV!E36+C30*DIST_GAS_LEV!Z36+KMA!H30*DIST_ALC_LEV!D36+KMA!I30*DIST_ALC_LEV!U36+P30*DIST_DSL_LEV!B36+KMA!Q30*DIST_DSL_LEV!C36+KMA!R30*GNV!B29)/SUM(DEN!C28,DEN!F28,DEN!G28,DEN!L28)</f>
        <v>7494.2137846241867</v>
      </c>
    </row>
    <row r="31" spans="1:22" s="1" customFormat="1">
      <c r="A31" s="130" t="s">
        <v>37</v>
      </c>
      <c r="B31" s="416">
        <f>DIST_TOT!B31*TAX_TOT!B31*COMB_TOT!B31/FRO_TOT!B31</f>
        <v>7320.4503204704206</v>
      </c>
      <c r="C31" s="416">
        <f>DIST_TOT!C31*TAX_TOT!C31*COMB_TOT!C31/FRO_TOT!C31</f>
        <v>7656.0582359234022</v>
      </c>
      <c r="D31" s="428">
        <f>DIST_TOT!D31*TAX_TOT!D31*COMB_TOT!D31/FRO_TOT!D31</f>
        <v>6220.3918068925923</v>
      </c>
      <c r="E31" s="422">
        <f>DIST_TOT!E31*TAX_TOT!E31*COMB_TOT!E31/FRO_TOT!E31</f>
        <v>14306.901155852962</v>
      </c>
      <c r="F31" s="416">
        <f>DIST_TOT!F31*TAX_TOT!F31*COMB_TOT!F31/FRO_TOT!F31</f>
        <v>6220.3918068925932</v>
      </c>
      <c r="G31" s="416">
        <f>DIST_TOT!G31*TAX_TOT!G31*COMB_TOT!G31/FRO_TOT!G31</f>
        <v>4146.9278712617288</v>
      </c>
      <c r="H31" s="416">
        <f>DIST_TOT!H31*TAX_TOT!H31*COMB_TOT!H31/FRO_TOT!H31</f>
        <v>14559.193854997036</v>
      </c>
      <c r="I31" s="416">
        <f>DIST_TOT!I31*TAX_TOT!I31*COMB_TOT!I31/FRO_TOT!I31</f>
        <v>14559.193854997036</v>
      </c>
      <c r="J31" s="416">
        <f>DIST_TOT!J31*TAX_TOT!J31*COMB_TOT!J31/FRO_TOT!J31</f>
        <v>23454.791992302336</v>
      </c>
      <c r="K31" s="416">
        <f>DIST_TOT!K31*TAX_TOT!K31*COMB_TOT!K31/FRO_TOT!K31</f>
        <v>35182.677200700957</v>
      </c>
      <c r="L31" s="416">
        <f>DIST_TOT!L31*TAX_TOT!L31*COMB_TOT!L31/FRO_TOT!L31</f>
        <v>46910.562409099584</v>
      </c>
      <c r="M31" s="416">
        <f>DIST_TOT!M31*TAX_TOT!M31*COMB_TOT!M31/FRO_TOT!M31</f>
        <v>29417.310864365169</v>
      </c>
      <c r="N31" s="416">
        <f>DIST_TOT!N31*TAX_TOT!N31*COMB_TOT!N31/FRO_TOT!N31</f>
        <v>110918.11444248965</v>
      </c>
      <c r="O31" s="416">
        <f>DIST_TOT!O31*TAX_TOT!O31*COMB_TOT!O31/FRO_TOT!O31</f>
        <v>57428.625729525513</v>
      </c>
      <c r="P31" s="416">
        <f>DIST_TOT!P31*TAX_TOT!P31*COMB_TOT!P31/FRO_TOT!P31</f>
        <v>14676.367423850119</v>
      </c>
      <c r="Q31" s="416">
        <f>DIST_TOT!Q31*TAX_TOT!Q31*COMB_TOT!Q31/FRO_TOT!Q31</f>
        <v>14676.367423850117</v>
      </c>
      <c r="R31" s="423">
        <f>DIST_TOT!R31*TAX_TOT!R31*COMB_TOT!R31/FRO_TOT!R31</f>
        <v>26335.396729647546</v>
      </c>
      <c r="T31" s="130" t="s">
        <v>37</v>
      </c>
      <c r="U31" s="700">
        <f>SUMPRODUCT(B31:R31,FRO_TOT!B31:R31)/SUM(FRO_TOT!B31:R31)</f>
        <v>11077.663888567384</v>
      </c>
      <c r="V31" s="719">
        <f>(B31*DIST_GAS_LEV!E37+C31*DIST_GAS_LEV!Z37+KMA!H31*DIST_ALC_LEV!D37+KMA!I31*DIST_ALC_LEV!U37+P31*DIST_DSL_LEV!B37+KMA!Q31*DIST_DSL_LEV!C37+KMA!R31*GNV!B30)/SUM(DEN!C29,DEN!F29,DEN!G29,DEN!L29)</f>
        <v>8058.0498679547736</v>
      </c>
    </row>
    <row r="32" spans="1:22" s="1" customFormat="1" ht="15.75" thickBot="1">
      <c r="A32" s="131" t="s">
        <v>38</v>
      </c>
      <c r="B32" s="416">
        <f>DIST_TOT!B32*TAX_TOT!B32*COMB_TOT!B32/FRO_TOT!B32</f>
        <v>7630.096258826301</v>
      </c>
      <c r="C32" s="416">
        <f>DIST_TOT!C32*TAX_TOT!C32*COMB_TOT!C32/FRO_TOT!C32</f>
        <v>7875.9224222641169</v>
      </c>
      <c r="D32" s="428">
        <f>DIST_TOT!D32*TAX_TOT!D32*COMB_TOT!D32/FRO_TOT!D32</f>
        <v>6399.0269924147842</v>
      </c>
      <c r="E32" s="422">
        <f>DIST_TOT!E32*TAX_TOT!E32*COMB_TOT!E32/FRO_TOT!E32</f>
        <v>14717.762082554003</v>
      </c>
      <c r="F32" s="416">
        <f>DIST_TOT!F32*TAX_TOT!F32*COMB_TOT!F32/FRO_TOT!F32</f>
        <v>6399.0269924147851</v>
      </c>
      <c r="G32" s="416">
        <f>DIST_TOT!G32*TAX_TOT!G32*COMB_TOT!G32/FRO_TOT!G32</f>
        <v>4266.0179949431886</v>
      </c>
      <c r="H32" s="416">
        <f>DIST_TOT!H32*TAX_TOT!H32*COMB_TOT!H32/FRO_TOT!H32</f>
        <v>12346.512615902362</v>
      </c>
      <c r="I32" s="416">
        <f>DIST_TOT!I32*TAX_TOT!I32*COMB_TOT!I32/FRO_TOT!I32</f>
        <v>12346.512615902364</v>
      </c>
      <c r="J32" s="416">
        <f>DIST_TOT!J32*TAX_TOT!J32*COMB_TOT!J32/FRO_TOT!J32</f>
        <v>22620.757981016683</v>
      </c>
      <c r="K32" s="416">
        <f>DIST_TOT!K32*TAX_TOT!K32*COMB_TOT!K32/FRO_TOT!K32</f>
        <v>33931.608787768571</v>
      </c>
      <c r="L32" s="416">
        <f>DIST_TOT!L32*TAX_TOT!L32*COMB_TOT!L32/FRO_TOT!L32</f>
        <v>45242.459594520471</v>
      </c>
      <c r="M32" s="416">
        <f>DIST_TOT!M32*TAX_TOT!M32*COMB_TOT!M32/FRO_TOT!M32</f>
        <v>28371.254357469028</v>
      </c>
      <c r="N32" s="416">
        <f>DIST_TOT!N32*TAX_TOT!N32*COMB_TOT!N32/FRO_TOT!N32</f>
        <v>106973.95326881258</v>
      </c>
      <c r="O32" s="416">
        <f>DIST_TOT!O32*TAX_TOT!O32*COMB_TOT!O32/FRO_TOT!O32</f>
        <v>55386.508830960047</v>
      </c>
      <c r="P32" s="416">
        <f>DIST_TOT!P32*TAX_TOT!P32*COMB_TOT!P32/FRO_TOT!P32</f>
        <v>14154.487306659859</v>
      </c>
      <c r="Q32" s="416">
        <f>DIST_TOT!Q32*TAX_TOT!Q32*COMB_TOT!Q32/FRO_TOT!Q32</f>
        <v>14154.487306659863</v>
      </c>
      <c r="R32" s="423">
        <f>DIST_TOT!R32*TAX_TOT!R32*COMB_TOT!R32/FRO_TOT!R32</f>
        <v>25831.781401523898</v>
      </c>
      <c r="T32" s="210" t="s">
        <v>38</v>
      </c>
      <c r="U32" s="701">
        <f>SUMPRODUCT(B32:R32,FRO_TOT!B32:R32)/SUM(FRO_TOT!B32:R32)</f>
        <v>11634.621418371933</v>
      </c>
      <c r="V32" s="719">
        <f>(B32*DIST_GAS_LEV!E38+C32*DIST_GAS_LEV!Z38+KMA!H32*DIST_ALC_LEV!D38+KMA!I32*DIST_ALC_LEV!U38+P32*DIST_DSL_LEV!B38+KMA!Q32*DIST_DSL_LEV!C38+KMA!R32*GNV!B31)/SUM(DEN!C30,DEN!F30,DEN!G30,DEN!L30)</f>
        <v>9006.0263359326473</v>
      </c>
    </row>
    <row r="33" spans="1:22" ht="15.75" thickBot="1">
      <c r="A33" s="325" t="s">
        <v>73</v>
      </c>
      <c r="B33" s="415">
        <f>DIST_TOT!B33*TAX_TOT!B33*COMB_TOT!B33/FRO_TOT!B33</f>
        <v>10014.043665315137</v>
      </c>
      <c r="C33" s="415">
        <f>DIST_TOT!C33*TAX_TOT!C33*COMB_TOT!C33/FRO_TOT!C33</f>
        <v>9678.0375965431904</v>
      </c>
      <c r="D33" s="427">
        <f>DIST_TOT!D33*TAX_TOT!D33*COMB_TOT!D33/FRO_TOT!D33</f>
        <v>6162.2618196853664</v>
      </c>
      <c r="E33" s="420">
        <f>DIST_TOT!E33*TAX_TOT!E33*COMB_TOT!E33/FRO_TOT!E33</f>
        <v>14173.202185276339</v>
      </c>
      <c r="F33" s="415">
        <f>DIST_TOT!F33*TAX_TOT!F33*COMB_TOT!F33/FRO_TOT!F33</f>
        <v>6162.2618196853682</v>
      </c>
      <c r="G33" s="415">
        <f>DIST_TOT!G33*TAX_TOT!G33*COMB_TOT!G33/FRO_TOT!G33</f>
        <v>4108.1745464569112</v>
      </c>
      <c r="H33" s="415">
        <f>DIST_TOT!H33*TAX_TOT!H33*COMB_TOT!H33/FRO_TOT!H33</f>
        <v>12419.605017691318</v>
      </c>
      <c r="I33" s="415">
        <f>DIST_TOT!I33*TAX_TOT!I33*COMB_TOT!I33/FRO_TOT!I33</f>
        <v>12419.60501769132</v>
      </c>
      <c r="J33" s="415">
        <f>DIST_TOT!J33*TAX_TOT!J33*COMB_TOT!J33/FRO_TOT!J33</f>
        <v>40629.815031724655</v>
      </c>
      <c r="K33" s="415">
        <f>DIST_TOT!K33*TAX_TOT!K33*COMB_TOT!K33/FRO_TOT!K33</f>
        <v>60944.722547586978</v>
      </c>
      <c r="L33" s="415">
        <f>DIST_TOT!L33*TAX_TOT!L33*COMB_TOT!L33/FRO_TOT!L33</f>
        <v>81259.630063449309</v>
      </c>
      <c r="M33" s="415">
        <f>DIST_TOT!M33*TAX_TOT!M33*COMB_TOT!M33/FRO_TOT!M33</f>
        <v>24081.134157736342</v>
      </c>
      <c r="N33" s="415">
        <f>DIST_TOT!N33*TAX_TOT!N33*COMB_TOT!N33/FRO_TOT!N33</f>
        <v>102191.1242291541</v>
      </c>
      <c r="O33" s="415">
        <f>DIST_TOT!O33*TAX_TOT!O33*COMB_TOT!O33/FRO_TOT!O33</f>
        <v>46703.734398155284</v>
      </c>
      <c r="P33" s="415">
        <f>DIST_TOT!P33*TAX_TOT!P33*COMB_TOT!P33/FRO_TOT!P33</f>
        <v>13521.637057948834</v>
      </c>
      <c r="Q33" s="415">
        <f>DIST_TOT!Q33*TAX_TOT!Q33*COMB_TOT!Q33/FRO_TOT!Q33</f>
        <v>13521.637057948836</v>
      </c>
      <c r="R33" s="421">
        <f>DIST_TOT!R33*TAX_TOT!R33*COMB_TOT!R33/FRO_TOT!R33</f>
        <v>26227.164858242912</v>
      </c>
      <c r="T33" s="268" t="s">
        <v>73</v>
      </c>
      <c r="U33" s="697">
        <f>SUMPRODUCT(B33:R33,FRO_TOT!B33:R33)/SUM(FRO_TOT!B33:R33)</f>
        <v>13912.336427357468</v>
      </c>
      <c r="V33" s="719">
        <f>(B33*DIST_GAS_LEV!E39+C33*DIST_GAS_LEV!Z39+KMA!H33*DIST_ALC_LEV!D39+KMA!I33*DIST_ALC_LEV!U39+P33*DIST_DSL_LEV!B39+KMA!Q33*DIST_DSL_LEV!C39+KMA!R33*GNV!B32)/SUM(DEN!C31,DEN!F31,DEN!G31,DEN!L31)</f>
        <v>11157.637405340292</v>
      </c>
    </row>
    <row r="34" spans="1:22" s="1" customFormat="1">
      <c r="A34" s="130" t="s">
        <v>40</v>
      </c>
      <c r="B34" s="416">
        <f>DIST_TOT!B34*TAX_TOT!B34*COMB_TOT!B34/FRO_TOT!B34</f>
        <v>9687.6890835741979</v>
      </c>
      <c r="C34" s="416">
        <f>DIST_TOT!C34*TAX_TOT!C34*COMB_TOT!C34/FRO_TOT!C34</f>
        <v>9949.2837564663514</v>
      </c>
      <c r="D34" s="428">
        <f>DIST_TOT!D34*TAX_TOT!D34*COMB_TOT!D34/FRO_TOT!D34</f>
        <v>6334.9714044908442</v>
      </c>
      <c r="E34" s="422">
        <f>DIST_TOT!E34*TAX_TOT!E34*COMB_TOT!E34/FRO_TOT!E34</f>
        <v>14570.434230328941</v>
      </c>
      <c r="F34" s="416">
        <f>DIST_TOT!F34*TAX_TOT!F34*COMB_TOT!F34/FRO_TOT!F34</f>
        <v>6334.9714044908442</v>
      </c>
      <c r="G34" s="416">
        <f>DIST_TOT!G34*TAX_TOT!G34*COMB_TOT!G34/FRO_TOT!G34</f>
        <v>4223.3142696605628</v>
      </c>
      <c r="H34" s="416">
        <f>DIST_TOT!H34*TAX_TOT!H34*COMB_TOT!H34/FRO_TOT!H34</f>
        <v>13076.370158128191</v>
      </c>
      <c r="I34" s="416">
        <f>DIST_TOT!I34*TAX_TOT!I34*COMB_TOT!I34/FRO_TOT!I34</f>
        <v>13076.370158128188</v>
      </c>
      <c r="J34" s="416">
        <f>DIST_TOT!J34*TAX_TOT!J34*COMB_TOT!J34/FRO_TOT!J34</f>
        <v>40189.596199555162</v>
      </c>
      <c r="K34" s="416">
        <f>DIST_TOT!K34*TAX_TOT!K34*COMB_TOT!K34/FRO_TOT!K34</f>
        <v>60284.394299332744</v>
      </c>
      <c r="L34" s="416">
        <f>DIST_TOT!L34*TAX_TOT!L34*COMB_TOT!L34/FRO_TOT!L34</f>
        <v>80379.192399110339</v>
      </c>
      <c r="M34" s="416">
        <f>DIST_TOT!M34*TAX_TOT!M34*COMB_TOT!M34/FRO_TOT!M34</f>
        <v>23820.218159276636</v>
      </c>
      <c r="N34" s="416">
        <f>DIST_TOT!N34*TAX_TOT!N34*COMB_TOT!N34/FRO_TOT!N34</f>
        <v>101083.89651150098</v>
      </c>
      <c r="O34" s="416">
        <f>DIST_TOT!O34*TAX_TOT!O34*COMB_TOT!O34/FRO_TOT!O34</f>
        <v>46197.705429068017</v>
      </c>
      <c r="P34" s="416">
        <f>DIST_TOT!P34*TAX_TOT!P34*COMB_TOT!P34/FRO_TOT!P34</f>
        <v>13375.131855549509</v>
      </c>
      <c r="Q34" s="416">
        <f>DIST_TOT!Q34*TAX_TOT!Q34*COMB_TOT!Q34/FRO_TOT!Q34</f>
        <v>13375.131855549513</v>
      </c>
      <c r="R34" s="423">
        <v>0</v>
      </c>
      <c r="T34" s="190" t="s">
        <v>40</v>
      </c>
      <c r="U34" s="699">
        <f>SUMPRODUCT(B34:R34,FRO_TOT!B34:R34)/SUM(FRO_TOT!B34:R34)</f>
        <v>12003.649606224526</v>
      </c>
      <c r="V34" s="719">
        <f>(B34*DIST_GAS_LEV!E40+C34*DIST_GAS_LEV!Z40+KMA!H34*DIST_ALC_LEV!D40+KMA!I34*DIST_ALC_LEV!U40+P34*DIST_DSL_LEV!B40+KMA!Q34*DIST_DSL_LEV!C40+KMA!R34*GNV!B33)/SUM(DEN!C32,DEN!F32,DEN!G32,DEN!L32)</f>
        <v>10078.608338500853</v>
      </c>
    </row>
    <row r="35" spans="1:22" s="1" customFormat="1">
      <c r="A35" s="130" t="s">
        <v>41</v>
      </c>
      <c r="B35" s="416">
        <f>DIST_TOT!B35*TAX_TOT!B35*COMB_TOT!B35/FRO_TOT!B35</f>
        <v>10351.985271042933</v>
      </c>
      <c r="C35" s="416">
        <f>DIST_TOT!C35*TAX_TOT!C35*COMB_TOT!C35/FRO_TOT!C35</f>
        <v>9583.3001432339188</v>
      </c>
      <c r="D35" s="428">
        <f>DIST_TOT!D35*TAX_TOT!D35*COMB_TOT!D35/FRO_TOT!D35</f>
        <v>6101.9399842307839</v>
      </c>
      <c r="E35" s="422">
        <f>DIST_TOT!E35*TAX_TOT!E35*COMB_TOT!E35/FRO_TOT!E35</f>
        <v>14034.461963730804</v>
      </c>
      <c r="F35" s="416">
        <f>DIST_TOT!F35*TAX_TOT!F35*COMB_TOT!F35/FRO_TOT!F35</f>
        <v>6101.9399842307839</v>
      </c>
      <c r="G35" s="416">
        <f>DIST_TOT!G35*TAX_TOT!G35*COMB_TOT!G35/FRO_TOT!G35</f>
        <v>4067.9599894871894</v>
      </c>
      <c r="H35" s="416">
        <f>DIST_TOT!H35*TAX_TOT!H35*COMB_TOT!H35/FRO_TOT!H35</f>
        <v>12522.814330736112</v>
      </c>
      <c r="I35" s="416">
        <f>DIST_TOT!I35*TAX_TOT!I35*COMB_TOT!I35/FRO_TOT!I35</f>
        <v>12522.81433073611</v>
      </c>
      <c r="J35" s="416">
        <f>DIST_TOT!J35*TAX_TOT!J35*COMB_TOT!J35/FRO_TOT!J35</f>
        <v>36028.18253162496</v>
      </c>
      <c r="K35" s="416">
        <f>DIST_TOT!K35*TAX_TOT!K35*COMB_TOT!K35/FRO_TOT!K35</f>
        <v>54042.273797437425</v>
      </c>
      <c r="L35" s="416">
        <f>DIST_TOT!L35*TAX_TOT!L35*COMB_TOT!L35/FRO_TOT!L35</f>
        <v>72056.36506324989</v>
      </c>
      <c r="M35" s="416">
        <f>DIST_TOT!M35*TAX_TOT!M35*COMB_TOT!M35/FRO_TOT!M35</f>
        <v>21353.764380321016</v>
      </c>
      <c r="N35" s="416">
        <f>DIST_TOT!N35*TAX_TOT!N35*COMB_TOT!N35/FRO_TOT!N35</f>
        <v>90617.209897833047</v>
      </c>
      <c r="O35" s="416">
        <f>DIST_TOT!O35*TAX_TOT!O35*COMB_TOT!O35/FRO_TOT!O35</f>
        <v>41414.184792409666</v>
      </c>
      <c r="P35" s="416">
        <f>DIST_TOT!P35*TAX_TOT!P35*COMB_TOT!P35/FRO_TOT!P35</f>
        <v>11990.209841461976</v>
      </c>
      <c r="Q35" s="416">
        <f>DIST_TOT!Q35*TAX_TOT!Q35*COMB_TOT!Q35/FRO_TOT!Q35</f>
        <v>11990.209841461978</v>
      </c>
      <c r="R35" s="423">
        <v>0</v>
      </c>
      <c r="T35" s="130" t="s">
        <v>41</v>
      </c>
      <c r="U35" s="700">
        <f>SUMPRODUCT(B35:R35,FRO_TOT!B35:R35)/SUM(FRO_TOT!B35:R35)</f>
        <v>13672.128039183075</v>
      </c>
      <c r="V35" s="719">
        <f>(B35*DIST_GAS_LEV!E41+C35*DIST_GAS_LEV!Z41+KMA!H35*DIST_ALC_LEV!D41+KMA!I35*DIST_ALC_LEV!U41+P35*DIST_DSL_LEV!B41+KMA!Q35*DIST_DSL_LEV!C41+KMA!R35*GNV!B34)/SUM(DEN!C33,DEN!F33,DEN!G33,DEN!L33)</f>
        <v>11542.960508080698</v>
      </c>
    </row>
    <row r="36" spans="1:22" s="1" customFormat="1">
      <c r="A36" s="130" t="s">
        <v>42</v>
      </c>
      <c r="B36" s="416">
        <f>DIST_TOT!B36*TAX_TOT!B36*COMB_TOT!B36/FRO_TOT!B36</f>
        <v>12133.095355670641</v>
      </c>
      <c r="C36" s="416">
        <f>DIST_TOT!C36*TAX_TOT!C36*COMB_TOT!C36/FRO_TOT!C36</f>
        <v>9993.7762442229086</v>
      </c>
      <c r="D36" s="428">
        <f>DIST_TOT!D36*TAX_TOT!D36*COMB_TOT!D36/FRO_TOT!D36</f>
        <v>6363.3009450438758</v>
      </c>
      <c r="E36" s="422">
        <f>DIST_TOT!E36*TAX_TOT!E36*COMB_TOT!E36/FRO_TOT!E36</f>
        <v>14635.592173600917</v>
      </c>
      <c r="F36" s="416">
        <f>DIST_TOT!F36*TAX_TOT!F36*COMB_TOT!F36/FRO_TOT!F36</f>
        <v>6363.300945043874</v>
      </c>
      <c r="G36" s="416">
        <f>DIST_TOT!G36*TAX_TOT!G36*COMB_TOT!G36/FRO_TOT!G36</f>
        <v>4242.2006300292505</v>
      </c>
      <c r="H36" s="416">
        <f>DIST_TOT!H36*TAX_TOT!H36*COMB_TOT!H36/FRO_TOT!H36</f>
        <v>12110.210369129845</v>
      </c>
      <c r="I36" s="416">
        <f>DIST_TOT!I36*TAX_TOT!I36*COMB_TOT!I36/FRO_TOT!I36</f>
        <v>12110.210369129849</v>
      </c>
      <c r="J36" s="416">
        <f>DIST_TOT!J36*TAX_TOT!J36*COMB_TOT!J36/FRO_TOT!J36</f>
        <v>46543.113571473237</v>
      </c>
      <c r="K36" s="416">
        <f>DIST_TOT!K36*TAX_TOT!K36*COMB_TOT!K36/FRO_TOT!K36</f>
        <v>69814.670357209878</v>
      </c>
      <c r="L36" s="416">
        <f>DIST_TOT!L36*TAX_TOT!L36*COMB_TOT!L36/FRO_TOT!L36</f>
        <v>93086.227142946504</v>
      </c>
      <c r="M36" s="416">
        <f>DIST_TOT!M36*TAX_TOT!M36*COMB_TOT!M36/FRO_TOT!M36</f>
        <v>27585.923321537459</v>
      </c>
      <c r="N36" s="416">
        <f>DIST_TOT!N36*TAX_TOT!N36*COMB_TOT!N36/FRO_TOT!N36</f>
        <v>117064.10913463996</v>
      </c>
      <c r="O36" s="416">
        <f>DIST_TOT!O36*TAX_TOT!O36*COMB_TOT!O36/FRO_TOT!O36</f>
        <v>53501.036433662339</v>
      </c>
      <c r="P36" s="416">
        <f>DIST_TOT!P36*TAX_TOT!P36*COMB_TOT!P36/FRO_TOT!P36</f>
        <v>15489.587849931189</v>
      </c>
      <c r="Q36" s="416">
        <f>DIST_TOT!Q36*TAX_TOT!Q36*COMB_TOT!Q36/FRO_TOT!Q36</f>
        <v>15489.587849931193</v>
      </c>
      <c r="R36" s="423">
        <v>0</v>
      </c>
      <c r="T36" s="130" t="s">
        <v>42</v>
      </c>
      <c r="U36" s="700">
        <f>SUMPRODUCT(B36:R36,FRO_TOT!B36:R36)/SUM(FRO_TOT!B36:R36)</f>
        <v>16421.085364774524</v>
      </c>
      <c r="V36" s="719">
        <f>(B36*DIST_GAS_LEV!E42+C36*DIST_GAS_LEV!Z42+KMA!H36*DIST_ALC_LEV!D42+KMA!I36*DIST_ALC_LEV!U42+P36*DIST_DSL_LEV!B42+KMA!Q36*DIST_DSL_LEV!C42+KMA!R36*GNV!B35)/SUM(DEN!C34,DEN!F34,DEN!G34,DEN!L34)</f>
        <v>13150.980434008872</v>
      </c>
    </row>
    <row r="37" spans="1:22" s="1" customFormat="1" ht="15.75" thickBot="1">
      <c r="A37" s="131" t="s">
        <v>43</v>
      </c>
      <c r="B37" s="416">
        <f>DIST_TOT!B37*TAX_TOT!B37*COMB_TOT!B37/FRO_TOT!B37</f>
        <v>9114.2919996890159</v>
      </c>
      <c r="C37" s="416">
        <f>DIST_TOT!C37*TAX_TOT!C37*COMB_TOT!C37/FRO_TOT!C37</f>
        <v>9125.0676120788448</v>
      </c>
      <c r="D37" s="428">
        <f>DIST_TOT!D37*TAX_TOT!D37*COMB_TOT!D37/FRO_TOT!D37</f>
        <v>5810.1712446380297</v>
      </c>
      <c r="E37" s="424">
        <f>DIST_TOT!E37*TAX_TOT!E37*COMB_TOT!E37/FRO_TOT!E37</f>
        <v>13363.393862667466</v>
      </c>
      <c r="F37" s="425">
        <f>DIST_TOT!F37*TAX_TOT!F37*COMB_TOT!F37/FRO_TOT!F37</f>
        <v>5810.1712446380288</v>
      </c>
      <c r="G37" s="425">
        <f>DIST_TOT!G37*TAX_TOT!G37*COMB_TOT!G37/FRO_TOT!G37</f>
        <v>3873.4474964253513</v>
      </c>
      <c r="H37" s="425">
        <f>DIST_TOT!H37*TAX_TOT!H37*COMB_TOT!H37/FRO_TOT!H37</f>
        <v>11941.125759030401</v>
      </c>
      <c r="I37" s="425">
        <f>DIST_TOT!I37*TAX_TOT!I37*COMB_TOT!I37/FRO_TOT!I37</f>
        <v>11941.125759030401</v>
      </c>
      <c r="J37" s="425">
        <f>DIST_TOT!J37*TAX_TOT!J37*COMB_TOT!J37/FRO_TOT!J37</f>
        <v>42496.226190790119</v>
      </c>
      <c r="K37" s="425">
        <f>DIST_TOT!K37*TAX_TOT!K37*COMB_TOT!K37/FRO_TOT!K37</f>
        <v>63744.339286185175</v>
      </c>
      <c r="L37" s="425">
        <f>DIST_TOT!L37*TAX_TOT!L37*COMB_TOT!L37/FRO_TOT!L37</f>
        <v>84992.452381580253</v>
      </c>
      <c r="M37" s="425">
        <f>DIST_TOT!M37*TAX_TOT!M37*COMB_TOT!M37/FRO_TOT!M37</f>
        <v>25187.34882988923</v>
      </c>
      <c r="N37" s="425">
        <f>DIST_TOT!N37*TAX_TOT!N37*COMB_TOT!N37/FRO_TOT!N37</f>
        <v>106885.47625782594</v>
      </c>
      <c r="O37" s="425">
        <f>DIST_TOT!O37*TAX_TOT!O37*COMB_TOT!O37/FRO_TOT!O37</f>
        <v>48849.163093380288</v>
      </c>
      <c r="P37" s="425">
        <f>DIST_TOT!P37*TAX_TOT!P37*COMB_TOT!P37/FRO_TOT!P37</f>
        <v>14142.780281812471</v>
      </c>
      <c r="Q37" s="425">
        <f>DIST_TOT!Q37*TAX_TOT!Q37*COMB_TOT!Q37/FRO_TOT!Q37</f>
        <v>14142.780281812473</v>
      </c>
      <c r="R37" s="426">
        <f>DIST_TOT!R37*TAX_TOT!R37*COMB_TOT!R37/FRO_TOT!R37</f>
        <v>22752.592531120332</v>
      </c>
      <c r="T37" s="131" t="s">
        <v>43</v>
      </c>
      <c r="U37" s="702">
        <f>SUMPRODUCT(B37:R37,FRO_TOT!B37:R37)/SUM(FRO_TOT!B37:R37)</f>
        <v>13981.259425474238</v>
      </c>
      <c r="V37" s="719">
        <f>(B37*DIST_GAS_LEV!E43+C37*DIST_GAS_LEV!Z43+KMA!H37*DIST_ALC_LEV!D43+KMA!I37*DIST_ALC_LEV!U43+P37*DIST_DSL_LEV!B43+KMA!Q37*DIST_DSL_LEV!C43+KMA!R37*GNV!B36)/SUM(DEN!C35,DEN!F35,DEN!G35,DEN!L35)</f>
        <v>10446.001107067268</v>
      </c>
    </row>
    <row r="38" spans="1:22" s="1" customFormat="1" ht="15.75" thickBot="1"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U38" s="703"/>
    </row>
    <row r="39" spans="1:22" ht="15.75" customHeight="1" thickBot="1">
      <c r="A39" s="1051" t="s">
        <v>127</v>
      </c>
      <c r="B39" s="1054">
        <v>2010</v>
      </c>
      <c r="C39" s="1055"/>
      <c r="D39" s="1055"/>
      <c r="E39" s="1055"/>
      <c r="F39" s="1055"/>
      <c r="G39" s="1055"/>
      <c r="H39" s="1055"/>
      <c r="I39" s="1055"/>
      <c r="J39" s="1055"/>
      <c r="K39" s="1055"/>
      <c r="L39" s="1055"/>
      <c r="M39" s="1055"/>
      <c r="N39" s="1055"/>
      <c r="O39" s="1055"/>
      <c r="P39" s="1055"/>
      <c r="Q39" s="1055"/>
      <c r="R39" s="1078"/>
      <c r="T39" s="1091" t="s">
        <v>127</v>
      </c>
      <c r="U39" s="1092"/>
    </row>
    <row r="40" spans="1:22">
      <c r="A40" s="1052"/>
      <c r="B40" s="1060" t="s">
        <v>97</v>
      </c>
      <c r="C40" s="1061"/>
      <c r="D40" s="1061"/>
      <c r="E40" s="1061"/>
      <c r="F40" s="1061"/>
      <c r="G40" s="1061"/>
      <c r="H40" s="1061" t="s">
        <v>98</v>
      </c>
      <c r="I40" s="1061"/>
      <c r="J40" s="1061" t="s">
        <v>99</v>
      </c>
      <c r="K40" s="1061"/>
      <c r="L40" s="1061"/>
      <c r="M40" s="1061"/>
      <c r="N40" s="1061"/>
      <c r="O40" s="1061"/>
      <c r="P40" s="1061"/>
      <c r="Q40" s="1061"/>
      <c r="R40" s="289" t="s">
        <v>100</v>
      </c>
      <c r="T40" s="1093"/>
      <c r="U40" s="1094"/>
    </row>
    <row r="41" spans="1:22">
      <c r="A41" s="1052"/>
      <c r="B41" s="1062" t="s">
        <v>101</v>
      </c>
      <c r="C41" s="1064" t="s">
        <v>102</v>
      </c>
      <c r="D41" s="1064" t="s">
        <v>103</v>
      </c>
      <c r="E41" s="1064"/>
      <c r="F41" s="1064"/>
      <c r="G41" s="1064"/>
      <c r="H41" s="1062" t="s">
        <v>101</v>
      </c>
      <c r="I41" s="1064" t="s">
        <v>102</v>
      </c>
      <c r="J41" s="1064" t="s">
        <v>104</v>
      </c>
      <c r="K41" s="1064"/>
      <c r="L41" s="1064"/>
      <c r="M41" s="1064" t="s">
        <v>105</v>
      </c>
      <c r="N41" s="1064"/>
      <c r="O41" s="1064"/>
      <c r="P41" s="1062" t="s">
        <v>101</v>
      </c>
      <c r="Q41" s="1064" t="s">
        <v>102</v>
      </c>
      <c r="R41" s="1062" t="s">
        <v>101</v>
      </c>
      <c r="T41" s="1093"/>
      <c r="U41" s="1094"/>
    </row>
    <row r="42" spans="1:22" ht="15.75" thickBot="1">
      <c r="A42" s="1053"/>
      <c r="B42" s="1086"/>
      <c r="C42" s="1087"/>
      <c r="D42" s="414" t="s">
        <v>106</v>
      </c>
      <c r="E42" s="414" t="s">
        <v>107</v>
      </c>
      <c r="F42" s="414" t="s">
        <v>108</v>
      </c>
      <c r="G42" s="414" t="s">
        <v>109</v>
      </c>
      <c r="H42" s="1086"/>
      <c r="I42" s="1087"/>
      <c r="J42" s="414" t="s">
        <v>110</v>
      </c>
      <c r="K42" s="414" t="s">
        <v>111</v>
      </c>
      <c r="L42" s="414" t="s">
        <v>112</v>
      </c>
      <c r="M42" s="414" t="s">
        <v>113</v>
      </c>
      <c r="N42" s="414" t="s">
        <v>114</v>
      </c>
      <c r="O42" s="414" t="s">
        <v>115</v>
      </c>
      <c r="P42" s="1086"/>
      <c r="Q42" s="1087"/>
      <c r="R42" s="1086"/>
      <c r="T42" s="1095"/>
      <c r="U42" s="1096"/>
    </row>
    <row r="43" spans="1:22" ht="15.75" thickBot="1">
      <c r="A43" s="268" t="s">
        <v>11</v>
      </c>
      <c r="B43" s="415">
        <f>DIST_TOT!B43*COMB_TOT!B43*TAX_TOT!B43/FRO_TOT!B43</f>
        <v>8650.0325787080965</v>
      </c>
      <c r="C43" s="415">
        <f>DIST_TOT!C43*COMB_TOT!C43*TAX_TOT!C43/FRO_TOT!C43</f>
        <v>8610.3103165519115</v>
      </c>
      <c r="D43" s="427">
        <f>DIST_TOT!D43*COMB_TOT!D43*TAX_TOT!D43/FRO_TOT!D43</f>
        <v>6479.3369650305895</v>
      </c>
      <c r="E43" s="417">
        <f>DIST_TOT!E43*COMB_TOT!E43*TAX_TOT!E43/FRO_TOT!E43</f>
        <v>14902.47501957036</v>
      </c>
      <c r="F43" s="418">
        <f>DIST_TOT!F43*COMB_TOT!F43*TAX_TOT!F43/FRO_TOT!F43</f>
        <v>6479.3369650305876</v>
      </c>
      <c r="G43" s="418">
        <f>DIST_TOT!G43*COMB_TOT!G43*TAX_TOT!G43/FRO_TOT!G43</f>
        <v>4319.5579766870596</v>
      </c>
      <c r="H43" s="418">
        <f>DIST_TOT!H43*COMB_TOT!H43*TAX_TOT!H43/FRO_TOT!H43</f>
        <v>11289.290953897471</v>
      </c>
      <c r="I43" s="418">
        <f>DIST_TOT!I43*COMB_TOT!I43*TAX_TOT!I43/FRO_TOT!I43</f>
        <v>11467.577434902016</v>
      </c>
      <c r="J43" s="418">
        <f>DIST_TOT!J43*COMB_TOT!J43*TAX_TOT!J43/FRO_TOT!J43</f>
        <v>28697.91814511222</v>
      </c>
      <c r="K43" s="418">
        <f>DIST_TOT!K43*COMB_TOT!K43*TAX_TOT!K43/FRO_TOT!K43</f>
        <v>43046.884901020465</v>
      </c>
      <c r="L43" s="418">
        <f>DIST_TOT!L43*COMB_TOT!L43*TAX_TOT!L43/FRO_TOT!L43</f>
        <v>57021.866274511267</v>
      </c>
      <c r="M43" s="418">
        <f>DIST_TOT!M43*COMB_TOT!M43*TAX_TOT!M43/FRO_TOT!M43</f>
        <v>33070.074714657996</v>
      </c>
      <c r="N43" s="418">
        <f>DIST_TOT!N43*COMB_TOT!N43*TAX_TOT!N43/FRO_TOT!N43</f>
        <v>116554.71838161966</v>
      </c>
      <c r="O43" s="418">
        <f>DIST_TOT!O43*COMB_TOT!O43*TAX_TOT!O43/FRO_TOT!O43</f>
        <v>64379.790034095357</v>
      </c>
      <c r="P43" s="418">
        <f>DIST_TOT!P43*COMB_TOT!P43*TAX_TOT!P43/FRO_TOT!P43</f>
        <v>15422.186723512712</v>
      </c>
      <c r="Q43" s="418">
        <f>DIST_TOT!Q43*COMB_TOT!Q43*TAX_TOT!Q43/FRO_TOT!Q43</f>
        <v>15422.186723512714</v>
      </c>
      <c r="R43" s="419">
        <f>DIST_TOT!R43*COMB_TOT!R43*TAX_TOT!R43/FRO_TOT!R43</f>
        <v>17036.317288384103</v>
      </c>
      <c r="T43" s="268" t="s">
        <v>11</v>
      </c>
      <c r="U43" s="697">
        <f>SUMPRODUCT(B43:R43,FRO_TOT!B43:R43)/SUM(FRO_TOT!B43:R43)</f>
        <v>12699.373400244056</v>
      </c>
    </row>
    <row r="44" spans="1:22" ht="15.75" thickBot="1">
      <c r="A44" s="324" t="s">
        <v>46</v>
      </c>
      <c r="B44" s="415">
        <f>DIST_TOT!B44*COMB_TOT!B44*TAX_TOT!B44/FRO_TOT!B44</f>
        <v>14873.441698254086</v>
      </c>
      <c r="C44" s="415">
        <f>DIST_TOT!C44*COMB_TOT!C44*TAX_TOT!C44/FRO_TOT!C44</f>
        <v>15324.849819645797</v>
      </c>
      <c r="D44" s="427">
        <f>DIST_TOT!D44*COMB_TOT!D44*TAX_TOT!D44/FRO_TOT!D44</f>
        <v>6925.5467370055121</v>
      </c>
      <c r="E44" s="420">
        <f>DIST_TOT!E44*COMB_TOT!E44*TAX_TOT!E44/FRO_TOT!E44</f>
        <v>15928.757495112677</v>
      </c>
      <c r="F44" s="415">
        <f>DIST_TOT!F44*COMB_TOT!F44*TAX_TOT!F44/FRO_TOT!F44</f>
        <v>6925.5467370055139</v>
      </c>
      <c r="G44" s="415">
        <f>DIST_TOT!G44*COMB_TOT!G44*TAX_TOT!G44/FRO_TOT!G44</f>
        <v>4617.0311580036741</v>
      </c>
      <c r="H44" s="415">
        <f>DIST_TOT!H44*COMB_TOT!H44*TAX_TOT!H44/FRO_TOT!H44</f>
        <v>13497.713480784361</v>
      </c>
      <c r="I44" s="415">
        <f>DIST_TOT!I44*COMB_TOT!I44*TAX_TOT!I44/FRO_TOT!I44</f>
        <v>13497.713480784358</v>
      </c>
      <c r="J44" s="415">
        <f>DIST_TOT!J44*COMB_TOT!J44*TAX_TOT!J44/FRO_TOT!J44</f>
        <v>72865.134203674505</v>
      </c>
      <c r="K44" s="415">
        <f>DIST_TOT!K44*COMB_TOT!K44*TAX_TOT!K44/FRO_TOT!K44</f>
        <v>109297.70130551177</v>
      </c>
      <c r="L44" s="415">
        <f>DIST_TOT!L44*COMB_TOT!L44*TAX_TOT!L44/FRO_TOT!L44</f>
        <v>145730.26840734901</v>
      </c>
      <c r="M44" s="415">
        <f>DIST_TOT!M44*COMB_TOT!M44*TAX_TOT!M44/FRO_TOT!M44</f>
        <v>51922.592058106813</v>
      </c>
      <c r="N44" s="415">
        <f>DIST_TOT!N44*COMB_TOT!N44*TAX_TOT!N44/FRO_TOT!N44</f>
        <v>134169.55907262707</v>
      </c>
      <c r="O44" s="415">
        <f>DIST_TOT!O44*COMB_TOT!O44*TAX_TOT!O44/FRO_TOT!O44</f>
        <v>103027.36571425898</v>
      </c>
      <c r="P44" s="415">
        <f>DIST_TOT!P44*COMB_TOT!P44*TAX_TOT!P44/FRO_TOT!P44</f>
        <v>17752.932025064441</v>
      </c>
      <c r="Q44" s="415">
        <f>DIST_TOT!Q44*COMB_TOT!Q44*TAX_TOT!Q44/FRO_TOT!Q44</f>
        <v>17752.932025064438</v>
      </c>
      <c r="R44" s="421">
        <v>0</v>
      </c>
      <c r="T44" s="268" t="s">
        <v>46</v>
      </c>
      <c r="U44" s="697">
        <f>SUMPRODUCT(B44:R44,FRO_TOT!B44:R44)/SUM(FRO_TOT!B44:R44)</f>
        <v>19238.642411937966</v>
      </c>
    </row>
    <row r="45" spans="1:22" s="1" customFormat="1">
      <c r="A45" s="130" t="s">
        <v>13</v>
      </c>
      <c r="B45" s="416">
        <f>DIST_TOT!B45*COMB_TOT!B45*TAX_TOT!B45/FRO_TOT!B45</f>
        <v>14015.146179382205</v>
      </c>
      <c r="C45" s="416">
        <f>DIST_TOT!C45*COMB_TOT!C45*TAX_TOT!C45/FRO_TOT!C45</f>
        <v>14574.34233045729</v>
      </c>
      <c r="D45" s="428">
        <f>DIST_TOT!D45*COMB_TOT!D45*TAX_TOT!D45/FRO_TOT!D45</f>
        <v>6586.3803011827977</v>
      </c>
      <c r="E45" s="422">
        <f>DIST_TOT!E45*COMB_TOT!E45*TAX_TOT!E45/FRO_TOT!E45</f>
        <v>15148.674692720433</v>
      </c>
      <c r="F45" s="416">
        <f>DIST_TOT!F45*COMB_TOT!F45*TAX_TOT!F45/FRO_TOT!F45</f>
        <v>6586.3803011827968</v>
      </c>
      <c r="G45" s="416">
        <f>DIST_TOT!G45*COMB_TOT!G45*TAX_TOT!G45/FRO_TOT!G45</f>
        <v>4390.9202007885306</v>
      </c>
      <c r="H45" s="416">
        <f>DIST_TOT!H45*COMB_TOT!H45*TAX_TOT!H45/FRO_TOT!H45</f>
        <v>13474.769755839154</v>
      </c>
      <c r="I45" s="416">
        <f>DIST_TOT!I45*COMB_TOT!I45*TAX_TOT!I45/FRO_TOT!I45</f>
        <v>13474.769755839156</v>
      </c>
      <c r="J45" s="416">
        <f>DIST_TOT!J45*COMB_TOT!J45*TAX_TOT!J45/FRO_TOT!J45</f>
        <v>74524.520902759657</v>
      </c>
      <c r="K45" s="416">
        <f>DIST_TOT!K45*COMB_TOT!K45*TAX_TOT!K45/FRO_TOT!K45</f>
        <v>111786.7813541395</v>
      </c>
      <c r="L45" s="416">
        <f>DIST_TOT!L45*COMB_TOT!L45*TAX_TOT!L45/FRO_TOT!L45</f>
        <v>149049.04180551931</v>
      </c>
      <c r="M45" s="416">
        <f>DIST_TOT!M45*COMB_TOT!M45*TAX_TOT!M45/FRO_TOT!M45</f>
        <v>53105.045910485802</v>
      </c>
      <c r="N45" s="416">
        <f>DIST_TOT!N45*COMB_TOT!N45*TAX_TOT!N45/FRO_TOT!N45</f>
        <v>137225.05583634548</v>
      </c>
      <c r="O45" s="416">
        <f>DIST_TOT!O45*COMB_TOT!O45*TAX_TOT!O45/FRO_TOT!O45</f>
        <v>105373.64891508513</v>
      </c>
      <c r="P45" s="416">
        <f>DIST_TOT!P45*COMB_TOT!P45*TAX_TOT!P45/FRO_TOT!P45</f>
        <v>18157.226611139187</v>
      </c>
      <c r="Q45" s="416">
        <f>DIST_TOT!Q45*COMB_TOT!Q45*TAX_TOT!Q45/FRO_TOT!Q45</f>
        <v>18157.226611139176</v>
      </c>
      <c r="R45" s="423">
        <v>0</v>
      </c>
      <c r="T45" s="190" t="s">
        <v>13</v>
      </c>
      <c r="U45" s="699">
        <f>SUMPRODUCT(B45:R45,FRO_TOT!B45:R45)/SUM(FRO_TOT!B45:R45)</f>
        <v>17531.809632944849</v>
      </c>
    </row>
    <row r="46" spans="1:22" s="1" customFormat="1">
      <c r="A46" s="130" t="s">
        <v>14</v>
      </c>
      <c r="B46" s="416">
        <f>DIST_TOT!B46*COMB_TOT!B46*TAX_TOT!B46/FRO_TOT!B46</f>
        <v>15902.324793506396</v>
      </c>
      <c r="C46" s="416">
        <f>DIST_TOT!C46*COMB_TOT!C46*TAX_TOT!C46/FRO_TOT!C46</f>
        <v>16182.328685979994</v>
      </c>
      <c r="D46" s="428">
        <f>DIST_TOT!D46*COMB_TOT!D46*TAX_TOT!D46/FRO_TOT!D46</f>
        <v>7313.0552630061447</v>
      </c>
      <c r="E46" s="422">
        <f>DIST_TOT!E46*COMB_TOT!E46*TAX_TOT!E46/FRO_TOT!E46</f>
        <v>16820.027104914134</v>
      </c>
      <c r="F46" s="416">
        <f>DIST_TOT!F46*COMB_TOT!F46*TAX_TOT!F46/FRO_TOT!F46</f>
        <v>7313.0552630061457</v>
      </c>
      <c r="G46" s="416">
        <f>DIST_TOT!G46*COMB_TOT!G46*TAX_TOT!G46/FRO_TOT!G46</f>
        <v>4875.3701753374307</v>
      </c>
      <c r="H46" s="416">
        <f>DIST_TOT!H46*COMB_TOT!H46*TAX_TOT!H46/FRO_TOT!H46</f>
        <v>17274.946249285789</v>
      </c>
      <c r="I46" s="416">
        <f>DIST_TOT!I46*COMB_TOT!I46*TAX_TOT!I46/FRO_TOT!I46</f>
        <v>17274.946249285786</v>
      </c>
      <c r="J46" s="416">
        <f>DIST_TOT!J46*COMB_TOT!J46*TAX_TOT!J46/FRO_TOT!J46</f>
        <v>118676.69922273402</v>
      </c>
      <c r="K46" s="416">
        <f>DIST_TOT!K46*COMB_TOT!K46*TAX_TOT!K46/FRO_TOT!K46</f>
        <v>178015.04883410106</v>
      </c>
      <c r="L46" s="416">
        <f>DIST_TOT!L46*COMB_TOT!L46*TAX_TOT!L46/FRO_TOT!L46</f>
        <v>237353.39844546808</v>
      </c>
      <c r="M46" s="416">
        <f>DIST_TOT!M46*COMB_TOT!M46*TAX_TOT!M46/FRO_TOT!M46</f>
        <v>84567.220082522239</v>
      </c>
      <c r="N46" s="416">
        <f>DIST_TOT!N46*COMB_TOT!N46*TAX_TOT!N46/FRO_TOT!N46</f>
        <v>218524.27201192253</v>
      </c>
      <c r="O46" s="416">
        <f>DIST_TOT!O46*COMB_TOT!O46*TAX_TOT!O46/FRO_TOT!O46</f>
        <v>167802.44524637333</v>
      </c>
      <c r="P46" s="416">
        <f>DIST_TOT!P46*COMB_TOT!P46*TAX_TOT!P46/FRO_TOT!P46</f>
        <v>28914.506194019599</v>
      </c>
      <c r="Q46" s="416">
        <f>DIST_TOT!Q46*COMB_TOT!Q46*TAX_TOT!Q46/FRO_TOT!Q46</f>
        <v>28914.506194019599</v>
      </c>
      <c r="R46" s="423">
        <v>0</v>
      </c>
      <c r="T46" s="130" t="s">
        <v>14</v>
      </c>
      <c r="U46" s="700">
        <f>SUMPRODUCT(B46:R46,FRO_TOT!B46:R46)/SUM(FRO_TOT!B46:R46)</f>
        <v>21591.562046141953</v>
      </c>
    </row>
    <row r="47" spans="1:22" s="1" customFormat="1">
      <c r="A47" s="130" t="s">
        <v>15</v>
      </c>
      <c r="B47" s="416">
        <f>DIST_TOT!B47*COMB_TOT!B47*TAX_TOT!B47/FRO_TOT!B47</f>
        <v>15562.043704314514</v>
      </c>
      <c r="C47" s="416">
        <f>DIST_TOT!C47*COMB_TOT!C47*TAX_TOT!C47/FRO_TOT!C47</f>
        <v>16037.777985632138</v>
      </c>
      <c r="D47" s="428">
        <f>DIST_TOT!D47*COMB_TOT!D47*TAX_TOT!D47/FRO_TOT!D47</f>
        <v>7247.730470730362</v>
      </c>
      <c r="E47" s="422">
        <f>DIST_TOT!E47*COMB_TOT!E47*TAX_TOT!E47/FRO_TOT!E47</f>
        <v>16669.780082679834</v>
      </c>
      <c r="F47" s="416">
        <f>DIST_TOT!F47*COMB_TOT!F47*TAX_TOT!F47/FRO_TOT!F47</f>
        <v>7247.7304707303601</v>
      </c>
      <c r="G47" s="416">
        <f>DIST_TOT!G47*COMB_TOT!G47*TAX_TOT!G47/FRO_TOT!G47</f>
        <v>4831.8203138202407</v>
      </c>
      <c r="H47" s="416">
        <f>DIST_TOT!H47*COMB_TOT!H47*TAX_TOT!H47/FRO_TOT!H47</f>
        <v>17407.16939820569</v>
      </c>
      <c r="I47" s="416">
        <f>DIST_TOT!I47*COMB_TOT!I47*TAX_TOT!I47/FRO_TOT!I47</f>
        <v>17407.169398205693</v>
      </c>
      <c r="J47" s="416">
        <f>DIST_TOT!J47*COMB_TOT!J47*TAX_TOT!J47/FRO_TOT!J47</f>
        <v>62545.127405509957</v>
      </c>
      <c r="K47" s="416">
        <f>DIST_TOT!K47*COMB_TOT!K47*TAX_TOT!K47/FRO_TOT!K47</f>
        <v>93817.691108264931</v>
      </c>
      <c r="L47" s="416">
        <f>DIST_TOT!L47*COMB_TOT!L47*TAX_TOT!L47/FRO_TOT!L47</f>
        <v>125090.25481101988</v>
      </c>
      <c r="M47" s="416">
        <f>DIST_TOT!M47*COMB_TOT!M47*TAX_TOT!M47/FRO_TOT!M47</f>
        <v>44568.711373276281</v>
      </c>
      <c r="N47" s="416">
        <f>DIST_TOT!N47*COMB_TOT!N47*TAX_TOT!N47/FRO_TOT!N47</f>
        <v>115166.90743589368</v>
      </c>
      <c r="O47" s="416">
        <f>DIST_TOT!O47*COMB_TOT!O47*TAX_TOT!O47/FRO_TOT!O47</f>
        <v>88435.433287480861</v>
      </c>
      <c r="P47" s="416">
        <f>DIST_TOT!P47*COMB_TOT!P47*TAX_TOT!P47/FRO_TOT!P47</f>
        <v>15238.555551483762</v>
      </c>
      <c r="Q47" s="416">
        <f>DIST_TOT!Q47*COMB_TOT!Q47*TAX_TOT!Q47/FRO_TOT!Q47</f>
        <v>15238.555551483763</v>
      </c>
      <c r="R47" s="423">
        <v>0</v>
      </c>
      <c r="T47" s="130" t="s">
        <v>15</v>
      </c>
      <c r="U47" s="700">
        <f>SUMPRODUCT(B47:R47,FRO_TOT!B47:R47)/SUM(FRO_TOT!B47:R47)</f>
        <v>19042.740613466485</v>
      </c>
    </row>
    <row r="48" spans="1:22" s="1" customFormat="1">
      <c r="A48" s="130" t="s">
        <v>16</v>
      </c>
      <c r="B48" s="416">
        <f>DIST_TOT!B48*COMB_TOT!B48*TAX_TOT!B48/FRO_TOT!B48</f>
        <v>14994.730546793644</v>
      </c>
      <c r="C48" s="416">
        <f>DIST_TOT!C48*COMB_TOT!C48*TAX_TOT!C48/FRO_TOT!C48</f>
        <v>15641.62714825442</v>
      </c>
      <c r="D48" s="428">
        <f>DIST_TOT!D48*COMB_TOT!D48*TAX_TOT!D48/FRO_TOT!D48</f>
        <v>7068.7035196377537</v>
      </c>
      <c r="E48" s="422">
        <f>DIST_TOT!E48*COMB_TOT!E48*TAX_TOT!E48/FRO_TOT!E48</f>
        <v>16258.018095166832</v>
      </c>
      <c r="F48" s="416">
        <f>DIST_TOT!F48*COMB_TOT!F48*TAX_TOT!F48/FRO_TOT!F48</f>
        <v>7068.7035196377528</v>
      </c>
      <c r="G48" s="416">
        <f>DIST_TOT!G48*COMB_TOT!G48*TAX_TOT!G48/FRO_TOT!G48</f>
        <v>4712.4690130918361</v>
      </c>
      <c r="H48" s="416">
        <f>DIST_TOT!H48*COMB_TOT!H48*TAX_TOT!H48/FRO_TOT!H48</f>
        <v>12784.668375392646</v>
      </c>
      <c r="I48" s="416">
        <f>DIST_TOT!I48*COMB_TOT!I48*TAX_TOT!I48/FRO_TOT!I48</f>
        <v>12784.668375392643</v>
      </c>
      <c r="J48" s="416">
        <f>DIST_TOT!J48*COMB_TOT!J48*TAX_TOT!J48/FRO_TOT!J48</f>
        <v>77340.941505398267</v>
      </c>
      <c r="K48" s="416">
        <f>DIST_TOT!K48*COMB_TOT!K48*TAX_TOT!K48/FRO_TOT!K48</f>
        <v>116011.41225809738</v>
      </c>
      <c r="L48" s="416">
        <f>DIST_TOT!L48*COMB_TOT!L48*TAX_TOT!L48/FRO_TOT!L48</f>
        <v>154681.88301079653</v>
      </c>
      <c r="M48" s="416">
        <f>DIST_TOT!M48*COMB_TOT!M48*TAX_TOT!M48/FRO_TOT!M48</f>
        <v>55111.984614614026</v>
      </c>
      <c r="N48" s="416">
        <f>DIST_TOT!N48*COMB_TOT!N48*TAX_TOT!N48/FRO_TOT!N48</f>
        <v>142411.04656495419</v>
      </c>
      <c r="O48" s="416">
        <f>DIST_TOT!O48*COMB_TOT!O48*TAX_TOT!O48/FRO_TOT!O48</f>
        <v>109355.91558630452</v>
      </c>
      <c r="P48" s="416">
        <f>DIST_TOT!P48*COMB_TOT!P48*TAX_TOT!P48/FRO_TOT!P48</f>
        <v>18843.422060568722</v>
      </c>
      <c r="Q48" s="416">
        <f>DIST_TOT!Q48*COMB_TOT!Q48*TAX_TOT!Q48/FRO_TOT!Q48</f>
        <v>18843.422060568726</v>
      </c>
      <c r="R48" s="423">
        <v>0</v>
      </c>
      <c r="T48" s="130" t="s">
        <v>16</v>
      </c>
      <c r="U48" s="700">
        <f>SUMPRODUCT(B48:R48,FRO_TOT!B48:R48)/SUM(FRO_TOT!B48:R48)</f>
        <v>20341.866183244831</v>
      </c>
    </row>
    <row r="49" spans="1:21" s="1" customFormat="1">
      <c r="A49" s="130" t="s">
        <v>17</v>
      </c>
      <c r="B49" s="416">
        <f>DIST_TOT!B49*COMB_TOT!B49*TAX_TOT!B49/FRO_TOT!B49</f>
        <v>13297.686303270428</v>
      </c>
      <c r="C49" s="416">
        <f>DIST_TOT!C49*COMB_TOT!C49*TAX_TOT!C49/FRO_TOT!C49</f>
        <v>13678.742172899441</v>
      </c>
      <c r="D49" s="428">
        <f>DIST_TOT!D49*COMB_TOT!D49*TAX_TOT!D49/FRO_TOT!D49</f>
        <v>6181.6441489964927</v>
      </c>
      <c r="E49" s="422">
        <f>DIST_TOT!E49*COMB_TOT!E49*TAX_TOT!E49/FRO_TOT!E49</f>
        <v>14217.781542691935</v>
      </c>
      <c r="F49" s="416">
        <f>DIST_TOT!F49*COMB_TOT!F49*TAX_TOT!F49/FRO_TOT!F49</f>
        <v>6181.6441489964927</v>
      </c>
      <c r="G49" s="416">
        <f>DIST_TOT!G49*COMB_TOT!G49*TAX_TOT!G49/FRO_TOT!G49</f>
        <v>4121.0960993309955</v>
      </c>
      <c r="H49" s="416">
        <f>DIST_TOT!H49*COMB_TOT!H49*TAX_TOT!H49/FRO_TOT!H49</f>
        <v>10457.351861353311</v>
      </c>
      <c r="I49" s="416">
        <f>DIST_TOT!I49*COMB_TOT!I49*TAX_TOT!I49/FRO_TOT!I49</f>
        <v>10457.351861353311</v>
      </c>
      <c r="J49" s="416">
        <f>DIST_TOT!J49*COMB_TOT!J49*TAX_TOT!J49/FRO_TOT!J49</f>
        <v>70266.225436909415</v>
      </c>
      <c r="K49" s="416">
        <f>DIST_TOT!K49*COMB_TOT!K49*TAX_TOT!K49/FRO_TOT!K49</f>
        <v>105399.33815536414</v>
      </c>
      <c r="L49" s="416">
        <f>DIST_TOT!L49*COMB_TOT!L49*TAX_TOT!L49/FRO_TOT!L49</f>
        <v>140532.45087381889</v>
      </c>
      <c r="M49" s="416">
        <f>DIST_TOT!M49*COMB_TOT!M49*TAX_TOT!M49/FRO_TOT!M49</f>
        <v>50070.648996892014</v>
      </c>
      <c r="N49" s="416">
        <f>DIST_TOT!N49*COMB_TOT!N49*TAX_TOT!N49/FRO_TOT!N49</f>
        <v>129384.08180537635</v>
      </c>
      <c r="O49" s="416">
        <f>DIST_TOT!O49*COMB_TOT!O49*TAX_TOT!O49/FRO_TOT!O49</f>
        <v>99352.649035318245</v>
      </c>
      <c r="P49" s="416">
        <f>DIST_TOT!P49*COMB_TOT!P49*TAX_TOT!P49/FRO_TOT!P49</f>
        <v>17119.731370458394</v>
      </c>
      <c r="Q49" s="416">
        <f>DIST_TOT!Q49*COMB_TOT!Q49*TAX_TOT!Q49/FRO_TOT!Q49</f>
        <v>17119.731370458394</v>
      </c>
      <c r="R49" s="423">
        <v>0</v>
      </c>
      <c r="T49" s="130" t="s">
        <v>17</v>
      </c>
      <c r="U49" s="700">
        <f>SUMPRODUCT(B49:R49,FRO_TOT!B49:R49)/SUM(FRO_TOT!B49:R49)</f>
        <v>17450.392043235024</v>
      </c>
    </row>
    <row r="50" spans="1:21" s="1" customFormat="1">
      <c r="A50" s="130" t="s">
        <v>18</v>
      </c>
      <c r="B50" s="416">
        <f>DIST_TOT!B50*COMB_TOT!B50*TAX_TOT!B50/FRO_TOT!B50</f>
        <v>14400.60490222656</v>
      </c>
      <c r="C50" s="416">
        <f>DIST_TOT!C50*COMB_TOT!C50*TAX_TOT!C50/FRO_TOT!C50</f>
        <v>14761.646208619284</v>
      </c>
      <c r="D50" s="428">
        <f>DIST_TOT!D50*COMB_TOT!D50*TAX_TOT!D50/FRO_TOT!D50</f>
        <v>6671.0259438807325</v>
      </c>
      <c r="E50" s="422">
        <f>DIST_TOT!E50*COMB_TOT!E50*TAX_TOT!E50/FRO_TOT!E50</f>
        <v>15343.35967092568</v>
      </c>
      <c r="F50" s="416">
        <f>DIST_TOT!F50*COMB_TOT!F50*TAX_TOT!F50/FRO_TOT!F50</f>
        <v>6671.0259438807316</v>
      </c>
      <c r="G50" s="416">
        <f>DIST_TOT!G50*COMB_TOT!G50*TAX_TOT!G50/FRO_TOT!G50</f>
        <v>4447.3506292538214</v>
      </c>
      <c r="H50" s="416">
        <f>DIST_TOT!H50*COMB_TOT!H50*TAX_TOT!H50/FRO_TOT!H50</f>
        <v>16613.585970632532</v>
      </c>
      <c r="I50" s="416">
        <f>DIST_TOT!I50*COMB_TOT!I50*TAX_TOT!I50/FRO_TOT!I50</f>
        <v>16613.585970632532</v>
      </c>
      <c r="J50" s="416">
        <f>DIST_TOT!J50*COMB_TOT!J50*TAX_TOT!J50/FRO_TOT!J50</f>
        <v>85304.057527675715</v>
      </c>
      <c r="K50" s="416">
        <f>DIST_TOT!K50*COMB_TOT!K50*TAX_TOT!K50/FRO_TOT!K50</f>
        <v>127956.08629151358</v>
      </c>
      <c r="L50" s="416">
        <f>DIST_TOT!L50*COMB_TOT!L50*TAX_TOT!L50/FRO_TOT!L50</f>
        <v>170608.11505535143</v>
      </c>
      <c r="M50" s="416">
        <f>DIST_TOT!M50*COMB_TOT!M50*TAX_TOT!M50/FRO_TOT!M50</f>
        <v>60786.380596378876</v>
      </c>
      <c r="N50" s="416">
        <f>DIST_TOT!N50*COMB_TOT!N50*TAX_TOT!N50/FRO_TOT!N50</f>
        <v>157073.85858375451</v>
      </c>
      <c r="O50" s="416">
        <f>DIST_TOT!O50*COMB_TOT!O50*TAX_TOT!O50/FRO_TOT!O50</f>
        <v>120615.33170648897</v>
      </c>
      <c r="P50" s="416">
        <f>DIST_TOT!P50*COMB_TOT!P50*TAX_TOT!P50/FRO_TOT!P50</f>
        <v>20783.563377759412</v>
      </c>
      <c r="Q50" s="416">
        <f>DIST_TOT!Q50*COMB_TOT!Q50*TAX_TOT!Q50/FRO_TOT!Q50</f>
        <v>20783.563377759416</v>
      </c>
      <c r="R50" s="423">
        <v>0</v>
      </c>
      <c r="T50" s="130" t="s">
        <v>18</v>
      </c>
      <c r="U50" s="700">
        <f>SUMPRODUCT(B50:R50,FRO_TOT!B50:R50)/SUM(FRO_TOT!B50:R50)</f>
        <v>17942.180439905005</v>
      </c>
    </row>
    <row r="51" spans="1:21" s="1" customFormat="1" ht="15.75" thickBot="1">
      <c r="A51" s="131" t="s">
        <v>19</v>
      </c>
      <c r="B51" s="416">
        <f>DIST_TOT!B51*COMB_TOT!B51*TAX_TOT!B51/FRO_TOT!B51</f>
        <v>15665.877503049247</v>
      </c>
      <c r="C51" s="416">
        <f>DIST_TOT!C51*COMB_TOT!C51*TAX_TOT!C51/FRO_TOT!C51</f>
        <v>15526.955754820692</v>
      </c>
      <c r="D51" s="428">
        <f>DIST_TOT!D51*COMB_TOT!D51*TAX_TOT!D51/FRO_TOT!D51</f>
        <v>7016.8816679413821</v>
      </c>
      <c r="E51" s="422">
        <f>DIST_TOT!E51*COMB_TOT!E51*TAX_TOT!E51/FRO_TOT!E51</f>
        <v>16138.82783626518</v>
      </c>
      <c r="F51" s="416">
        <f>DIST_TOT!F51*COMB_TOT!F51*TAX_TOT!F51/FRO_TOT!F51</f>
        <v>7016.8816679413812</v>
      </c>
      <c r="G51" s="416">
        <f>DIST_TOT!G51*COMB_TOT!G51*TAX_TOT!G51/FRO_TOT!G51</f>
        <v>4677.9211119609208</v>
      </c>
      <c r="H51" s="416">
        <f>DIST_TOT!H51*COMB_TOT!H51*TAX_TOT!H51/FRO_TOT!H51</f>
        <v>13492.706233180672</v>
      </c>
      <c r="I51" s="416">
        <f>DIST_TOT!I51*COMB_TOT!I51*TAX_TOT!I51/FRO_TOT!I51</f>
        <v>13492.706233180672</v>
      </c>
      <c r="J51" s="416">
        <f>DIST_TOT!J51*COMB_TOT!J51*TAX_TOT!J51/FRO_TOT!J51</f>
        <v>67797.479433661239</v>
      </c>
      <c r="K51" s="416">
        <f>DIST_TOT!K51*COMB_TOT!K51*TAX_TOT!K51/FRO_TOT!K51</f>
        <v>101696.21915049186</v>
      </c>
      <c r="L51" s="416">
        <f>DIST_TOT!L51*COMB_TOT!L51*TAX_TOT!L51/FRO_TOT!L51</f>
        <v>135594.95886732248</v>
      </c>
      <c r="M51" s="416">
        <f>DIST_TOT!M51*COMB_TOT!M51*TAX_TOT!M51/FRO_TOT!M51</f>
        <v>48311.457951371725</v>
      </c>
      <c r="N51" s="416">
        <f>DIST_TOT!N51*COMB_TOT!N51*TAX_TOT!N51/FRO_TOT!N51</f>
        <v>124838.27857124993</v>
      </c>
      <c r="O51" s="416">
        <f>DIST_TOT!O51*COMB_TOT!O51*TAX_TOT!O51/FRO_TOT!O51</f>
        <v>95861.975476393549</v>
      </c>
      <c r="P51" s="416">
        <f>DIST_TOT!P51*COMB_TOT!P51*TAX_TOT!P51/FRO_TOT!P51</f>
        <v>16518.243697900114</v>
      </c>
      <c r="Q51" s="416">
        <f>DIST_TOT!Q51*COMB_TOT!Q51*TAX_TOT!Q51/FRO_TOT!Q51</f>
        <v>16518.243697900114</v>
      </c>
      <c r="R51" s="423">
        <v>0</v>
      </c>
      <c r="T51" s="210" t="s">
        <v>19</v>
      </c>
      <c r="U51" s="701">
        <f>SUMPRODUCT(B51:R51,FRO_TOT!B51:R51)/SUM(FRO_TOT!B51:R51)</f>
        <v>19460.406295164736</v>
      </c>
    </row>
    <row r="52" spans="1:21" ht="15.75" thickBot="1">
      <c r="A52" s="324" t="s">
        <v>54</v>
      </c>
      <c r="B52" s="415">
        <f>DIST_TOT!B52*COMB_TOT!B52*TAX_TOT!B52/FRO_TOT!B52</f>
        <v>11507.364787893817</v>
      </c>
      <c r="C52" s="415">
        <f>DIST_TOT!C52*COMB_TOT!C52*TAX_TOT!C52/FRO_TOT!C52</f>
        <v>11789.782771815728</v>
      </c>
      <c r="D52" s="427">
        <f>DIST_TOT!D52*COMB_TOT!D52*TAX_TOT!D52/FRO_TOT!D52</f>
        <v>7005.496021915541</v>
      </c>
      <c r="E52" s="420">
        <f>DIST_TOT!E52*COMB_TOT!E52*TAX_TOT!E52/FRO_TOT!E52</f>
        <v>16112.640850405749</v>
      </c>
      <c r="F52" s="415">
        <f>DIST_TOT!F52*COMB_TOT!F52*TAX_TOT!F52/FRO_TOT!F52</f>
        <v>7005.49602191554</v>
      </c>
      <c r="G52" s="415">
        <f>DIST_TOT!G52*COMB_TOT!G52*TAX_TOT!G52/FRO_TOT!G52</f>
        <v>4670.3306812770279</v>
      </c>
      <c r="H52" s="415">
        <f>DIST_TOT!H52*COMB_TOT!H52*TAX_TOT!H52/FRO_TOT!H52</f>
        <v>11097.577835362965</v>
      </c>
      <c r="I52" s="415">
        <f>DIST_TOT!I52*COMB_TOT!I52*TAX_TOT!I52/FRO_TOT!I52</f>
        <v>11097.577835362974</v>
      </c>
      <c r="J52" s="415">
        <f>DIST_TOT!J52*COMB_TOT!J52*TAX_TOT!J52/FRO_TOT!J52</f>
        <v>27803.608433434249</v>
      </c>
      <c r="K52" s="415">
        <f>DIST_TOT!K52*COMB_TOT!K52*TAX_TOT!K52/FRO_TOT!K52</f>
        <v>41705.412650151382</v>
      </c>
      <c r="L52" s="415">
        <f>DIST_TOT!L52*COMB_TOT!L52*TAX_TOT!L52/FRO_TOT!L52</f>
        <v>55607.216866868512</v>
      </c>
      <c r="M52" s="415">
        <f>DIST_TOT!M52*COMB_TOT!M52*TAX_TOT!M52/FRO_TOT!M52</f>
        <v>40608.429776553901</v>
      </c>
      <c r="N52" s="415">
        <f>DIST_TOT!N52*COMB_TOT!N52*TAX_TOT!N52/FRO_TOT!N52</f>
        <v>122944.50467870038</v>
      </c>
      <c r="O52" s="415">
        <f>DIST_TOT!O52*COMB_TOT!O52*TAX_TOT!O52/FRO_TOT!O52</f>
        <v>80091.137138086357</v>
      </c>
      <c r="P52" s="415">
        <f>DIST_TOT!P52*COMB_TOT!P52*TAX_TOT!P52/FRO_TOT!P52</f>
        <v>16267.664956957278</v>
      </c>
      <c r="Q52" s="415">
        <f>DIST_TOT!Q52*COMB_TOT!Q52*TAX_TOT!Q52/FRO_TOT!Q52</f>
        <v>16267.664956957282</v>
      </c>
      <c r="R52" s="421">
        <f>DIST_TOT!R52*COMB_TOT!R52*TAX_TOT!R52/FRO_TOT!R52</f>
        <v>20136.066157149391</v>
      </c>
      <c r="T52" s="268" t="s">
        <v>54</v>
      </c>
      <c r="U52" s="697">
        <f>SUMPRODUCT(B52:R52,FRO_TOT!B52:R52)/SUM(FRO_TOT!B52:R52)</f>
        <v>15149.808238916552</v>
      </c>
    </row>
    <row r="53" spans="1:21" s="1" customFormat="1">
      <c r="A53" s="130" t="s">
        <v>21</v>
      </c>
      <c r="B53" s="416">
        <f>DIST_TOT!B53*COMB_TOT!B53*TAX_TOT!B53/FRO_TOT!B53</f>
        <v>12352.817789962815</v>
      </c>
      <c r="C53" s="416">
        <f>DIST_TOT!C53*COMB_TOT!C53*TAX_TOT!C53/FRO_TOT!C53</f>
        <v>12602.131064522286</v>
      </c>
      <c r="D53" s="428">
        <f>DIST_TOT!D53*COMB_TOT!D53*TAX_TOT!D53/FRO_TOT!D53</f>
        <v>7488.1938665755933</v>
      </c>
      <c r="E53" s="422">
        <f>DIST_TOT!E53*COMB_TOT!E53*TAX_TOT!E53/FRO_TOT!E53</f>
        <v>17222.84589312386</v>
      </c>
      <c r="F53" s="416">
        <f>DIST_TOT!F53*COMB_TOT!F53*TAX_TOT!F53/FRO_TOT!F53</f>
        <v>7488.1938665755933</v>
      </c>
      <c r="G53" s="416">
        <f>DIST_TOT!G53*COMB_TOT!G53*TAX_TOT!G53/FRO_TOT!G53</f>
        <v>4992.1292443837283</v>
      </c>
      <c r="H53" s="416">
        <f>DIST_TOT!H53*COMB_TOT!H53*TAX_TOT!H53/FRO_TOT!H53</f>
        <v>10285.986292441556</v>
      </c>
      <c r="I53" s="416">
        <f>DIST_TOT!I53*COMB_TOT!I53*TAX_TOT!I53/FRO_TOT!I53</f>
        <v>10285.986292441556</v>
      </c>
      <c r="J53" s="416">
        <f>DIST_TOT!J53*COMB_TOT!J53*TAX_TOT!J53/FRO_TOT!J53</f>
        <v>21207.605233982165</v>
      </c>
      <c r="K53" s="416">
        <f>DIST_TOT!K53*COMB_TOT!K53*TAX_TOT!K53/FRO_TOT!K53</f>
        <v>31811.407850973254</v>
      </c>
      <c r="L53" s="416">
        <f>DIST_TOT!L53*COMB_TOT!L53*TAX_TOT!L53/FRO_TOT!L53</f>
        <v>42415.210467964331</v>
      </c>
      <c r="M53" s="416">
        <f>DIST_TOT!M53*COMB_TOT!M53*TAX_TOT!M53/FRO_TOT!M53</f>
        <v>30974.668267785946</v>
      </c>
      <c r="N53" s="416">
        <f>DIST_TOT!N53*COMB_TOT!N53*TAX_TOT!N53/FRO_TOT!N53</f>
        <v>93777.702529358139</v>
      </c>
      <c r="O53" s="416">
        <f>DIST_TOT!O53*COMB_TOT!O53*TAX_TOT!O53/FRO_TOT!O53</f>
        <v>61090.675450699498</v>
      </c>
      <c r="P53" s="416">
        <f>DIST_TOT!P53*COMB_TOT!P53*TAX_TOT!P53/FRO_TOT!P53</f>
        <v>12408.397180236867</v>
      </c>
      <c r="Q53" s="416">
        <f>DIST_TOT!Q53*COMB_TOT!Q53*TAX_TOT!Q53/FRO_TOT!Q53</f>
        <v>12408.397180236867</v>
      </c>
      <c r="R53" s="423">
        <f>DIST_TOT!R53*COMB_TOT!R53*TAX_TOT!R53/FRO_TOT!R53</f>
        <v>26973.082723874533</v>
      </c>
      <c r="T53" s="190" t="s">
        <v>21</v>
      </c>
      <c r="U53" s="699">
        <f>SUMPRODUCT(B53:R53,FRO_TOT!B53:R53)/SUM(FRO_TOT!B53:R53)</f>
        <v>15412.432084525606</v>
      </c>
    </row>
    <row r="54" spans="1:21" s="1" customFormat="1">
      <c r="A54" s="130" t="s">
        <v>22</v>
      </c>
      <c r="B54" s="416">
        <f>DIST_TOT!B54*COMB_TOT!B54*TAX_TOT!B54/FRO_TOT!B54</f>
        <v>12034.242098904509</v>
      </c>
      <c r="C54" s="416">
        <f>DIST_TOT!C54*COMB_TOT!C54*TAX_TOT!C54/FRO_TOT!C54</f>
        <v>11931.127494104589</v>
      </c>
      <c r="D54" s="428">
        <f>DIST_TOT!D54*COMB_TOT!D54*TAX_TOT!D54/FRO_TOT!D54</f>
        <v>7089.483141006529</v>
      </c>
      <c r="E54" s="422">
        <f>DIST_TOT!E54*COMB_TOT!E54*TAX_TOT!E54/FRO_TOT!E54</f>
        <v>16305.811224315015</v>
      </c>
      <c r="F54" s="416">
        <f>DIST_TOT!F54*COMB_TOT!F54*TAX_TOT!F54/FRO_TOT!F54</f>
        <v>7089.483141006529</v>
      </c>
      <c r="G54" s="416">
        <f>DIST_TOT!G54*COMB_TOT!G54*TAX_TOT!G54/FRO_TOT!G54</f>
        <v>4726.322094004352</v>
      </c>
      <c r="H54" s="416">
        <f>DIST_TOT!H54*COMB_TOT!H54*TAX_TOT!H54/FRO_TOT!H54</f>
        <v>12355.208941468114</v>
      </c>
      <c r="I54" s="416">
        <f>DIST_TOT!I54*COMB_TOT!I54*TAX_TOT!I54/FRO_TOT!I54</f>
        <v>12355.208941468114</v>
      </c>
      <c r="J54" s="416">
        <f>DIST_TOT!J54*COMB_TOT!J54*TAX_TOT!J54/FRO_TOT!J54</f>
        <v>33058.757455036422</v>
      </c>
      <c r="K54" s="416">
        <f>DIST_TOT!K54*COMB_TOT!K54*TAX_TOT!K54/FRO_TOT!K54</f>
        <v>49588.136182554641</v>
      </c>
      <c r="L54" s="416">
        <f>DIST_TOT!L54*COMB_TOT!L54*TAX_TOT!L54/FRO_TOT!L54</f>
        <v>66117.514910072859</v>
      </c>
      <c r="M54" s="416">
        <f>DIST_TOT!M54*COMB_TOT!M54*TAX_TOT!M54/FRO_TOT!M54</f>
        <v>48283.813010351609</v>
      </c>
      <c r="N54" s="416">
        <f>DIST_TOT!N54*COMB_TOT!N54*TAX_TOT!N54/FRO_TOT!N54</f>
        <v>146182.1968300796</v>
      </c>
      <c r="O54" s="416">
        <f>DIST_TOT!O54*COMB_TOT!O54*TAX_TOT!O54/FRO_TOT!O54</f>
        <v>95229.131257730653</v>
      </c>
      <c r="P54" s="416">
        <f>DIST_TOT!P54*COMB_TOT!P54*TAX_TOT!P54/FRO_TOT!P54</f>
        <v>19342.409869545827</v>
      </c>
      <c r="Q54" s="416">
        <f>DIST_TOT!Q54*COMB_TOT!Q54*TAX_TOT!Q54/FRO_TOT!Q54</f>
        <v>19342.409869545827</v>
      </c>
      <c r="R54" s="423">
        <f>DIST_TOT!R54*COMB_TOT!R54*TAX_TOT!R54/FRO_TOT!R54</f>
        <v>14483.641651903697</v>
      </c>
      <c r="T54" s="130" t="s">
        <v>22</v>
      </c>
      <c r="U54" s="700">
        <f>SUMPRODUCT(B54:R54,FRO_TOT!B54:R54)/SUM(FRO_TOT!B54:R54)</f>
        <v>16524.352883052339</v>
      </c>
    </row>
    <row r="55" spans="1:21" s="1" customFormat="1">
      <c r="A55" s="130" t="s">
        <v>23</v>
      </c>
      <c r="B55" s="416">
        <f>DIST_TOT!B55*COMB_TOT!B55*TAX_TOT!B55/FRO_TOT!B55</f>
        <v>9993.0946717892857</v>
      </c>
      <c r="C55" s="416">
        <f>DIST_TOT!C55*COMB_TOT!C55*TAX_TOT!C55/FRO_TOT!C55</f>
        <v>10507.734422544401</v>
      </c>
      <c r="D55" s="428">
        <f>DIST_TOT!D55*COMB_TOT!D55*TAX_TOT!D55/FRO_TOT!D55</f>
        <v>6243.7021208273663</v>
      </c>
      <c r="E55" s="422">
        <f>DIST_TOT!E55*COMB_TOT!E55*TAX_TOT!E55/FRO_TOT!E55</f>
        <v>14360.514877902939</v>
      </c>
      <c r="F55" s="416">
        <f>DIST_TOT!F55*COMB_TOT!F55*TAX_TOT!F55/FRO_TOT!F55</f>
        <v>6243.7021208273663</v>
      </c>
      <c r="G55" s="416">
        <f>DIST_TOT!G55*COMB_TOT!G55*TAX_TOT!G55/FRO_TOT!G55</f>
        <v>4162.4680805515773</v>
      </c>
      <c r="H55" s="416">
        <f>DIST_TOT!H55*COMB_TOT!H55*TAX_TOT!H55/FRO_TOT!H55</f>
        <v>8705.1780002493288</v>
      </c>
      <c r="I55" s="416">
        <f>DIST_TOT!I55*COMB_TOT!I55*TAX_TOT!I55/FRO_TOT!I55</f>
        <v>8705.1780002493269</v>
      </c>
      <c r="J55" s="416">
        <f>DIST_TOT!J55*COMB_TOT!J55*TAX_TOT!J55/FRO_TOT!J55</f>
        <v>23311.679592336903</v>
      </c>
      <c r="K55" s="416">
        <f>DIST_TOT!K55*COMB_TOT!K55*TAX_TOT!K55/FRO_TOT!K55</f>
        <v>34967.519388505352</v>
      </c>
      <c r="L55" s="416">
        <f>DIST_TOT!L55*COMB_TOT!L55*TAX_TOT!L55/FRO_TOT!L55</f>
        <v>46623.359184673791</v>
      </c>
      <c r="M55" s="416">
        <f>DIST_TOT!M55*COMB_TOT!M55*TAX_TOT!M55/FRO_TOT!M55</f>
        <v>34047.764194541589</v>
      </c>
      <c r="N55" s="416">
        <f>DIST_TOT!N55*COMB_TOT!N55*TAX_TOT!N55/FRO_TOT!N55</f>
        <v>103081.68839199909</v>
      </c>
      <c r="O55" s="416">
        <f>DIST_TOT!O55*COMB_TOT!O55*TAX_TOT!O55/FRO_TOT!O55</f>
        <v>67151.676791125312</v>
      </c>
      <c r="P55" s="416">
        <f>DIST_TOT!P55*COMB_TOT!P55*TAX_TOT!P55/FRO_TOT!P55</f>
        <v>13639.473958928636</v>
      </c>
      <c r="Q55" s="416">
        <f>DIST_TOT!Q55*COMB_TOT!Q55*TAX_TOT!Q55/FRO_TOT!Q55</f>
        <v>13639.473958928638</v>
      </c>
      <c r="R55" s="423">
        <f>DIST_TOT!R55*COMB_TOT!R55*TAX_TOT!R55/FRO_TOT!R55</f>
        <v>19467.293512237655</v>
      </c>
      <c r="T55" s="130" t="s">
        <v>23</v>
      </c>
      <c r="U55" s="700">
        <f>SUMPRODUCT(B55:R55,FRO_TOT!B55:R55)/SUM(FRO_TOT!B55:R55)</f>
        <v>13109.496212543363</v>
      </c>
    </row>
    <row r="56" spans="1:21" s="1" customFormat="1">
      <c r="A56" s="130" t="s">
        <v>24</v>
      </c>
      <c r="B56" s="416">
        <f>DIST_TOT!B56*COMB_TOT!B56*TAX_TOT!B56/FRO_TOT!B56</f>
        <v>13758.917561591004</v>
      </c>
      <c r="C56" s="416">
        <f>DIST_TOT!C56*COMB_TOT!C56*TAX_TOT!C56/FRO_TOT!C56</f>
        <v>13843.324724027188</v>
      </c>
      <c r="D56" s="428">
        <f>DIST_TOT!D56*COMB_TOT!D56*TAX_TOT!D56/FRO_TOT!D56</f>
        <v>8225.7118864049989</v>
      </c>
      <c r="E56" s="422">
        <f>DIST_TOT!E56*COMB_TOT!E56*TAX_TOT!E56/FRO_TOT!E56</f>
        <v>18919.137338731492</v>
      </c>
      <c r="F56" s="416">
        <f>DIST_TOT!F56*COMB_TOT!F56*TAX_TOT!F56/FRO_TOT!F56</f>
        <v>8225.7118864049989</v>
      </c>
      <c r="G56" s="416">
        <f>DIST_TOT!G56*COMB_TOT!G56*TAX_TOT!G56/FRO_TOT!G56</f>
        <v>5483.8079242699996</v>
      </c>
      <c r="H56" s="416">
        <f>DIST_TOT!H56*COMB_TOT!H56*TAX_TOT!H56/FRO_TOT!H56</f>
        <v>19515.998416927621</v>
      </c>
      <c r="I56" s="416">
        <f>DIST_TOT!I56*COMB_TOT!I56*TAX_TOT!I56/FRO_TOT!I56</f>
        <v>19515.998416927629</v>
      </c>
      <c r="J56" s="416">
        <f>DIST_TOT!J56*COMB_TOT!J56*TAX_TOT!J56/FRO_TOT!J56</f>
        <v>28089.881533475163</v>
      </c>
      <c r="K56" s="416">
        <f>DIST_TOT!K56*COMB_TOT!K56*TAX_TOT!K56/FRO_TOT!K56</f>
        <v>42134.822300212727</v>
      </c>
      <c r="L56" s="416">
        <f>DIST_TOT!L56*COMB_TOT!L56*TAX_TOT!L56/FRO_TOT!L56</f>
        <v>56179.76306695032</v>
      </c>
      <c r="M56" s="416">
        <f>DIST_TOT!M56*COMB_TOT!M56*TAX_TOT!M56/FRO_TOT!M56</f>
        <v>41026.544608941913</v>
      </c>
      <c r="N56" s="416">
        <f>DIST_TOT!N56*COMB_TOT!N56*TAX_TOT!N56/FRO_TOT!N56</f>
        <v>124210.37290482029</v>
      </c>
      <c r="O56" s="416">
        <f>DIST_TOT!O56*COMB_TOT!O56*TAX_TOT!O56/FRO_TOT!O56</f>
        <v>80915.776075482339</v>
      </c>
      <c r="P56" s="416">
        <f>DIST_TOT!P56*COMB_TOT!P56*TAX_TOT!P56/FRO_TOT!P56</f>
        <v>16435.161017362694</v>
      </c>
      <c r="Q56" s="416">
        <f>DIST_TOT!Q56*COMB_TOT!Q56*TAX_TOT!Q56/FRO_TOT!Q56</f>
        <v>16435.16101736269</v>
      </c>
      <c r="R56" s="423">
        <v>0</v>
      </c>
      <c r="T56" s="130" t="s">
        <v>24</v>
      </c>
      <c r="U56" s="700">
        <f>SUMPRODUCT(B56:R56,FRO_TOT!B56:R56)/SUM(FRO_TOT!B56:R56)</f>
        <v>17337.900952666907</v>
      </c>
    </row>
    <row r="57" spans="1:21" s="1" customFormat="1">
      <c r="A57" s="130" t="s">
        <v>25</v>
      </c>
      <c r="B57" s="416">
        <f>DIST_TOT!B57*COMB_TOT!B57*TAX_TOT!B57/FRO_TOT!B57</f>
        <v>12452.540147352733</v>
      </c>
      <c r="C57" s="416">
        <f>DIST_TOT!C57*COMB_TOT!C57*TAX_TOT!C57/FRO_TOT!C57</f>
        <v>12919.127535430409</v>
      </c>
      <c r="D57" s="428">
        <f>DIST_TOT!D57*COMB_TOT!D57*TAX_TOT!D57/FRO_TOT!D57</f>
        <v>7676.5533604601533</v>
      </c>
      <c r="E57" s="422">
        <f>DIST_TOT!E57*COMB_TOT!E57*TAX_TOT!E57/FRO_TOT!E57</f>
        <v>17656.07272905836</v>
      </c>
      <c r="F57" s="416">
        <f>DIST_TOT!F57*COMB_TOT!F57*TAX_TOT!F57/FRO_TOT!F57</f>
        <v>7676.5533604601542</v>
      </c>
      <c r="G57" s="416">
        <f>DIST_TOT!G57*COMB_TOT!G57*TAX_TOT!G57/FRO_TOT!G57</f>
        <v>5117.7022403067695</v>
      </c>
      <c r="H57" s="416">
        <f>DIST_TOT!H57*COMB_TOT!H57*TAX_TOT!H57/FRO_TOT!H57</f>
        <v>11526.164190763086</v>
      </c>
      <c r="I57" s="416">
        <f>DIST_TOT!I57*COMB_TOT!I57*TAX_TOT!I57/FRO_TOT!I57</f>
        <v>11526.164190763089</v>
      </c>
      <c r="J57" s="416">
        <f>DIST_TOT!J57*COMB_TOT!J57*TAX_TOT!J57/FRO_TOT!J57</f>
        <v>25531.522370023074</v>
      </c>
      <c r="K57" s="416">
        <f>DIST_TOT!K57*COMB_TOT!K57*TAX_TOT!K57/FRO_TOT!K57</f>
        <v>38297.283555034606</v>
      </c>
      <c r="L57" s="416">
        <f>DIST_TOT!L57*COMB_TOT!L57*TAX_TOT!L57/FRO_TOT!L57</f>
        <v>51063.044740046156</v>
      </c>
      <c r="M57" s="416">
        <f>DIST_TOT!M57*COMB_TOT!M57*TAX_TOT!M57/FRO_TOT!M57</f>
        <v>37289.945142690012</v>
      </c>
      <c r="N57" s="416">
        <f>DIST_TOT!N57*COMB_TOT!N57*TAX_TOT!N57/FRO_TOT!N57</f>
        <v>112897.5894978077</v>
      </c>
      <c r="O57" s="416">
        <f>DIST_TOT!O57*COMB_TOT!O57*TAX_TOT!O57/FRO_TOT!O57</f>
        <v>73546.160901283467</v>
      </c>
      <c r="P57" s="416">
        <f>DIST_TOT!P57*COMB_TOT!P57*TAX_TOT!P57/FRO_TOT!P57</f>
        <v>14938.28589734938</v>
      </c>
      <c r="Q57" s="416">
        <f>DIST_TOT!Q57*COMB_TOT!Q57*TAX_TOT!Q57/FRO_TOT!Q57</f>
        <v>14938.285897349382</v>
      </c>
      <c r="R57" s="423">
        <f>DIST_TOT!R57*COMB_TOT!R57*TAX_TOT!R57/FRO_TOT!R57</f>
        <v>27396.652964158315</v>
      </c>
      <c r="T57" s="130" t="s">
        <v>25</v>
      </c>
      <c r="U57" s="700">
        <f>SUMPRODUCT(B57:R57,FRO_TOT!B57:R57)/SUM(FRO_TOT!B57:R57)</f>
        <v>15693.336286175505</v>
      </c>
    </row>
    <row r="58" spans="1:21" s="1" customFormat="1">
      <c r="A58" s="130" t="s">
        <v>26</v>
      </c>
      <c r="B58" s="416">
        <f>DIST_TOT!B58*COMB_TOT!B58*TAX_TOT!B58/FRO_TOT!B58</f>
        <v>10768.829885976378</v>
      </c>
      <c r="C58" s="416">
        <f>DIST_TOT!C58*COMB_TOT!C58*TAX_TOT!C58/FRO_TOT!C58</f>
        <v>10919.433785171674</v>
      </c>
      <c r="D58" s="428">
        <f>DIST_TOT!D58*COMB_TOT!D58*TAX_TOT!D58/FRO_TOT!D58</f>
        <v>6488.3341299942622</v>
      </c>
      <c r="E58" s="422">
        <f>DIST_TOT!E58*COMB_TOT!E58*TAX_TOT!E58/FRO_TOT!E58</f>
        <v>14923.168498986803</v>
      </c>
      <c r="F58" s="416">
        <f>DIST_TOT!F58*COMB_TOT!F58*TAX_TOT!F58/FRO_TOT!F58</f>
        <v>6488.3341299942613</v>
      </c>
      <c r="G58" s="416">
        <f>DIST_TOT!G58*COMB_TOT!G58*TAX_TOT!G58/FRO_TOT!G58</f>
        <v>4325.5560866628393</v>
      </c>
      <c r="H58" s="416">
        <f>DIST_TOT!H58*COMB_TOT!H58*TAX_TOT!H58/FRO_TOT!H58</f>
        <v>9877.3152967640781</v>
      </c>
      <c r="I58" s="416">
        <f>DIST_TOT!I58*COMB_TOT!I58*TAX_TOT!I58/FRO_TOT!I58</f>
        <v>9877.3152967640763</v>
      </c>
      <c r="J58" s="416">
        <f>DIST_TOT!J58*COMB_TOT!J58*TAX_TOT!J58/FRO_TOT!J58</f>
        <v>25138.357247571374</v>
      </c>
      <c r="K58" s="416">
        <f>DIST_TOT!K58*COMB_TOT!K58*TAX_TOT!K58/FRO_TOT!K58</f>
        <v>37707.535871357053</v>
      </c>
      <c r="L58" s="416">
        <f>DIST_TOT!L58*COMB_TOT!L58*TAX_TOT!L58/FRO_TOT!L58</f>
        <v>50276.714495142747</v>
      </c>
      <c r="M58" s="416">
        <f>DIST_TOT!M58*COMB_TOT!M58*TAX_TOT!M58/FRO_TOT!M58</f>
        <v>36715.709668762429</v>
      </c>
      <c r="N58" s="416">
        <f>DIST_TOT!N58*COMB_TOT!N58*TAX_TOT!N58/FRO_TOT!N58</f>
        <v>111159.05648140114</v>
      </c>
      <c r="O58" s="416">
        <f>DIST_TOT!O58*COMB_TOT!O58*TAX_TOT!O58/FRO_TOT!O58</f>
        <v>72413.60856313711</v>
      </c>
      <c r="P58" s="416">
        <f>DIST_TOT!P58*COMB_TOT!P58*TAX_TOT!P58/FRO_TOT!P58</f>
        <v>14708.248184794265</v>
      </c>
      <c r="Q58" s="416">
        <f>DIST_TOT!Q58*COMB_TOT!Q58*TAX_TOT!Q58/FRO_TOT!Q58</f>
        <v>14708.248184794265</v>
      </c>
      <c r="R58" s="423">
        <f>DIST_TOT!R58*COMB_TOT!R58*TAX_TOT!R58/FRO_TOT!R58</f>
        <v>19661.61577948408</v>
      </c>
      <c r="T58" s="130" t="s">
        <v>26</v>
      </c>
      <c r="U58" s="700">
        <f>SUMPRODUCT(B58:R58,FRO_TOT!B58:R58)/SUM(FRO_TOT!B58:R58)</f>
        <v>13935.429664479869</v>
      </c>
    </row>
    <row r="59" spans="1:21" s="1" customFormat="1">
      <c r="A59" s="130" t="s">
        <v>27</v>
      </c>
      <c r="B59" s="416">
        <f>DIST_TOT!B59*COMB_TOT!B59*TAX_TOT!B59/FRO_TOT!B59</f>
        <v>11604.51567310473</v>
      </c>
      <c r="C59" s="416">
        <f>DIST_TOT!C59*COMB_TOT!C59*TAX_TOT!C59/FRO_TOT!C59</f>
        <v>12381.864087746948</v>
      </c>
      <c r="D59" s="428">
        <f>DIST_TOT!D59*COMB_TOT!D59*TAX_TOT!D59/FRO_TOT!D59</f>
        <v>7357.3110963478139</v>
      </c>
      <c r="E59" s="422">
        <f>DIST_TOT!E59*COMB_TOT!E59*TAX_TOT!E59/FRO_TOT!E59</f>
        <v>16921.815521599972</v>
      </c>
      <c r="F59" s="416">
        <f>DIST_TOT!F59*COMB_TOT!F59*TAX_TOT!F59/FRO_TOT!F59</f>
        <v>7357.3110963478139</v>
      </c>
      <c r="G59" s="416">
        <f>DIST_TOT!G59*COMB_TOT!G59*TAX_TOT!G59/FRO_TOT!G59</f>
        <v>4904.8740642318753</v>
      </c>
      <c r="H59" s="416">
        <f>DIST_TOT!H59*COMB_TOT!H59*TAX_TOT!H59/FRO_TOT!H59</f>
        <v>10274.435971010094</v>
      </c>
      <c r="I59" s="416">
        <f>DIST_TOT!I59*COMB_TOT!I59*TAX_TOT!I59/FRO_TOT!I59</f>
        <v>10274.435971010093</v>
      </c>
      <c r="J59" s="416">
        <f>DIST_TOT!J59*COMB_TOT!J59*TAX_TOT!J59/FRO_TOT!J59</f>
        <v>33787.16136056809</v>
      </c>
      <c r="K59" s="416">
        <f>DIST_TOT!K59*COMB_TOT!K59*TAX_TOT!K59/FRO_TOT!K59</f>
        <v>50680.74204085215</v>
      </c>
      <c r="L59" s="416">
        <f>DIST_TOT!L59*COMB_TOT!L59*TAX_TOT!L59/FRO_TOT!L59</f>
        <v>67574.322721136181</v>
      </c>
      <c r="M59" s="416">
        <f>DIST_TOT!M59*COMB_TOT!M59*TAX_TOT!M59/FRO_TOT!M59</f>
        <v>49347.679915166038</v>
      </c>
      <c r="N59" s="416">
        <f>DIST_TOT!N59*COMB_TOT!N59*TAX_TOT!N59/FRO_TOT!N59</f>
        <v>149403.11894837313</v>
      </c>
      <c r="O59" s="416">
        <f>DIST_TOT!O59*COMB_TOT!O59*TAX_TOT!O59/FRO_TOT!O59</f>
        <v>97327.373190231054</v>
      </c>
      <c r="P59" s="416">
        <f>DIST_TOT!P59*COMB_TOT!P59*TAX_TOT!P59/FRO_TOT!P59</f>
        <v>19768.593065043544</v>
      </c>
      <c r="Q59" s="416">
        <f>DIST_TOT!Q59*COMB_TOT!Q59*TAX_TOT!Q59/FRO_TOT!Q59</f>
        <v>19768.593065043548</v>
      </c>
      <c r="R59" s="423">
        <f>DIST_TOT!R59*COMB_TOT!R59*TAX_TOT!R59/FRO_TOT!R59</f>
        <v>0</v>
      </c>
      <c r="T59" s="130" t="s">
        <v>27</v>
      </c>
      <c r="U59" s="700">
        <f>SUMPRODUCT(B59:R59,FRO_TOT!B59:R59)/SUM(FRO_TOT!B59:R59)</f>
        <v>15802.248298857157</v>
      </c>
    </row>
    <row r="60" spans="1:21" s="1" customFormat="1">
      <c r="A60" s="130" t="s">
        <v>28</v>
      </c>
      <c r="B60" s="416">
        <f>DIST_TOT!B60*COMB_TOT!B60*TAX_TOT!B60/FRO_TOT!B60</f>
        <v>10960.989447274029</v>
      </c>
      <c r="C60" s="416">
        <f>DIST_TOT!C60*COMB_TOT!C60*TAX_TOT!C60/FRO_TOT!C60</f>
        <v>11561.248253898015</v>
      </c>
      <c r="D60" s="428">
        <f>DIST_TOT!D60*COMB_TOT!D60*TAX_TOT!D60/FRO_TOT!D60</f>
        <v>6869.7006737628835</v>
      </c>
      <c r="E60" s="422">
        <f>DIST_TOT!E60*COMB_TOT!E60*TAX_TOT!E60/FRO_TOT!E60</f>
        <v>15800.311549654631</v>
      </c>
      <c r="F60" s="416">
        <f>DIST_TOT!F60*COMB_TOT!F60*TAX_TOT!F60/FRO_TOT!F60</f>
        <v>6869.7006737628808</v>
      </c>
      <c r="G60" s="416">
        <f>DIST_TOT!G60*COMB_TOT!G60*TAX_TOT!G60/FRO_TOT!G60</f>
        <v>4579.8004491752554</v>
      </c>
      <c r="H60" s="416">
        <f>DIST_TOT!H60*COMB_TOT!H60*TAX_TOT!H60/FRO_TOT!H60</f>
        <v>10934.552061444439</v>
      </c>
      <c r="I60" s="416">
        <f>DIST_TOT!I60*COMB_TOT!I60*TAX_TOT!I60/FRO_TOT!I60</f>
        <v>10934.552061444439</v>
      </c>
      <c r="J60" s="416">
        <f>DIST_TOT!J60*COMB_TOT!J60*TAX_TOT!J60/FRO_TOT!J60</f>
        <v>24994.167973528456</v>
      </c>
      <c r="K60" s="416">
        <f>DIST_TOT!K60*COMB_TOT!K60*TAX_TOT!K60/FRO_TOT!K60</f>
        <v>37491.251960292684</v>
      </c>
      <c r="L60" s="416">
        <f>DIST_TOT!L60*COMB_TOT!L60*TAX_TOT!L60/FRO_TOT!L60</f>
        <v>49988.335947056905</v>
      </c>
      <c r="M60" s="416">
        <f>DIST_TOT!M60*COMB_TOT!M60*TAX_TOT!M60/FRO_TOT!M60</f>
        <v>36505.114701439306</v>
      </c>
      <c r="N60" s="416">
        <f>DIST_TOT!N60*COMB_TOT!N60*TAX_TOT!N60/FRO_TOT!N60</f>
        <v>110521.46733826421</v>
      </c>
      <c r="O60" s="416">
        <f>DIST_TOT!O60*COMB_TOT!O60*TAX_TOT!O60/FRO_TOT!O60</f>
        <v>71998.256615246559</v>
      </c>
      <c r="P60" s="416">
        <f>DIST_TOT!P60*COMB_TOT!P60*TAX_TOT!P60/FRO_TOT!P60</f>
        <v>14623.884214335796</v>
      </c>
      <c r="Q60" s="416">
        <f>DIST_TOT!Q60*COMB_TOT!Q60*TAX_TOT!Q60/FRO_TOT!Q60</f>
        <v>14623.884214335796</v>
      </c>
      <c r="R60" s="423">
        <f>DIST_TOT!R60*COMB_TOT!R60*TAX_TOT!R60/FRO_TOT!R60</f>
        <v>23565.980755727771</v>
      </c>
      <c r="T60" s="130" t="s">
        <v>28</v>
      </c>
      <c r="U60" s="700">
        <f>SUMPRODUCT(B60:R60,FRO_TOT!B60:R60)/SUM(FRO_TOT!B60:R60)</f>
        <v>14567.406140976442</v>
      </c>
    </row>
    <row r="61" spans="1:21" s="1" customFormat="1" ht="15.75" thickBot="1">
      <c r="A61" s="131" t="s">
        <v>29</v>
      </c>
      <c r="B61" s="416">
        <f>DIST_TOT!B61*COMB_TOT!B61*TAX_TOT!B61/FRO_TOT!B61</f>
        <v>11860.827607006189</v>
      </c>
      <c r="C61" s="416">
        <f>DIST_TOT!C61*COMB_TOT!C61*TAX_TOT!C61/FRO_TOT!C61</f>
        <v>12561.634046493886</v>
      </c>
      <c r="D61" s="428">
        <f>DIST_TOT!D61*COMB_TOT!D61*TAX_TOT!D61/FRO_TOT!D61</f>
        <v>7464.1305140789218</v>
      </c>
      <c r="E61" s="422">
        <f>DIST_TOT!E61*COMB_TOT!E61*TAX_TOT!E61/FRO_TOT!E61</f>
        <v>17167.500182381518</v>
      </c>
      <c r="F61" s="416">
        <f>DIST_TOT!F61*COMB_TOT!F61*TAX_TOT!F61/FRO_TOT!F61</f>
        <v>7464.1305140789227</v>
      </c>
      <c r="G61" s="416">
        <f>DIST_TOT!G61*COMB_TOT!G61*TAX_TOT!G61/FRO_TOT!G61</f>
        <v>4976.0870093859485</v>
      </c>
      <c r="H61" s="416">
        <f>DIST_TOT!H61*COMB_TOT!H61*TAX_TOT!H61/FRO_TOT!H61</f>
        <v>10788.496112054147</v>
      </c>
      <c r="I61" s="416">
        <f>DIST_TOT!I61*COMB_TOT!I61*TAX_TOT!I61/FRO_TOT!I61</f>
        <v>10788.496112054148</v>
      </c>
      <c r="J61" s="416">
        <f>DIST_TOT!J61*COMB_TOT!J61*TAX_TOT!J61/FRO_TOT!J61</f>
        <v>25379.687111850406</v>
      </c>
      <c r="K61" s="416">
        <f>DIST_TOT!K61*COMB_TOT!K61*TAX_TOT!K61/FRO_TOT!K61</f>
        <v>38069.530667775594</v>
      </c>
      <c r="L61" s="416">
        <f>DIST_TOT!L61*COMB_TOT!L61*TAX_TOT!L61/FRO_TOT!L61</f>
        <v>50759.374223700797</v>
      </c>
      <c r="M61" s="416">
        <f>DIST_TOT!M61*COMB_TOT!M61*TAX_TOT!M61/FRO_TOT!M61</f>
        <v>37068.182869139382</v>
      </c>
      <c r="N61" s="416">
        <f>DIST_TOT!N61*COMB_TOT!N61*TAX_TOT!N61/FRO_TOT!N61</f>
        <v>112226.19065209694</v>
      </c>
      <c r="O61" s="416">
        <f>DIST_TOT!O61*COMB_TOT!O61*TAX_TOT!O61/FRO_TOT!O61</f>
        <v>73108.783914270491</v>
      </c>
      <c r="P61" s="416">
        <f>DIST_TOT!P61*COMB_TOT!P61*TAX_TOT!P61/FRO_TOT!P61</f>
        <v>14849.448323819322</v>
      </c>
      <c r="Q61" s="416">
        <f>DIST_TOT!Q61*COMB_TOT!Q61*TAX_TOT!Q61/FRO_TOT!Q61</f>
        <v>14849.448323819324</v>
      </c>
      <c r="R61" s="423">
        <f>DIST_TOT!R61*COMB_TOT!R61*TAX_TOT!R61/FRO_TOT!R61</f>
        <v>23033.610660818154</v>
      </c>
      <c r="T61" s="210" t="s">
        <v>29</v>
      </c>
      <c r="U61" s="701">
        <f>SUMPRODUCT(B61:R61,FRO_TOT!B61:R61)/SUM(FRO_TOT!B61:R61)</f>
        <v>15784.117744887282</v>
      </c>
    </row>
    <row r="62" spans="1:21" ht="15.75" thickBot="1">
      <c r="A62" s="324" t="s">
        <v>64</v>
      </c>
      <c r="B62" s="415">
        <f>DIST_TOT!B62*COMB_TOT!B62*TAX_TOT!B62/FRO_TOT!B62</f>
        <v>7837.14808662628</v>
      </c>
      <c r="C62" s="415">
        <f>DIST_TOT!C62*COMB_TOT!C62*TAX_TOT!C62/FRO_TOT!C62</f>
        <v>7503.0186583641125</v>
      </c>
      <c r="D62" s="427">
        <f>DIST_TOT!D62*COMB_TOT!D62*TAX_TOT!D62/FRO_TOT!D62</f>
        <v>6335.0902253445456</v>
      </c>
      <c r="E62" s="420">
        <f>DIST_TOT!E62*COMB_TOT!E62*TAX_TOT!E62/FRO_TOT!E62</f>
        <v>14570.707518292453</v>
      </c>
      <c r="F62" s="415">
        <f>DIST_TOT!F62*COMB_TOT!F62*TAX_TOT!F62/FRO_TOT!F62</f>
        <v>6335.0902253445456</v>
      </c>
      <c r="G62" s="415">
        <f>DIST_TOT!G62*COMB_TOT!G62*TAX_TOT!G62/FRO_TOT!G62</f>
        <v>4223.3934835630307</v>
      </c>
      <c r="H62" s="415">
        <f>DIST_TOT!H62*COMB_TOT!H62*TAX_TOT!H62/FRO_TOT!H62</f>
        <v>11161.821434063511</v>
      </c>
      <c r="I62" s="415">
        <f>DIST_TOT!I62*COMB_TOT!I62*TAX_TOT!I62/FRO_TOT!I62</f>
        <v>11178.82428665157</v>
      </c>
      <c r="J62" s="415">
        <f>DIST_TOT!J62*COMB_TOT!J62*TAX_TOT!J62/FRO_TOT!J62</f>
        <v>24747.651729589954</v>
      </c>
      <c r="K62" s="415">
        <f>DIST_TOT!K62*COMB_TOT!K62*TAX_TOT!K62/FRO_TOT!K62</f>
        <v>37121.35620784534</v>
      </c>
      <c r="L62" s="415">
        <f>DIST_TOT!L62*COMB_TOT!L62*TAX_TOT!L62/FRO_TOT!L62</f>
        <v>49519.198254076669</v>
      </c>
      <c r="M62" s="415">
        <f>DIST_TOT!M62*COMB_TOT!M62*TAX_TOT!M62/FRO_TOT!M62</f>
        <v>31964.761125498822</v>
      </c>
      <c r="N62" s="415">
        <f>DIST_TOT!N62*COMB_TOT!N62*TAX_TOT!N62/FRO_TOT!N62</f>
        <v>118082.97239505626</v>
      </c>
      <c r="O62" s="415">
        <f>DIST_TOT!O62*COMB_TOT!O62*TAX_TOT!O62/FRO_TOT!O62</f>
        <v>61961.45861959282</v>
      </c>
      <c r="P62" s="415">
        <f>DIST_TOT!P62*COMB_TOT!P62*TAX_TOT!P62/FRO_TOT!P62</f>
        <v>15624.400920273139</v>
      </c>
      <c r="Q62" s="415">
        <f>DIST_TOT!Q62*COMB_TOT!Q62*TAX_TOT!Q62/FRO_TOT!Q62</f>
        <v>15624.400920273138</v>
      </c>
      <c r="R62" s="421">
        <f>DIST_TOT!R62*COMB_TOT!R62*TAX_TOT!R62/FRO_TOT!R62</f>
        <v>15515.073809876631</v>
      </c>
      <c r="T62" s="268" t="s">
        <v>64</v>
      </c>
      <c r="U62" s="697">
        <f>SUMPRODUCT(B62:R62,FRO_TOT!B62:R62)/SUM(FRO_TOT!B62:R62)</f>
        <v>11807.155999184224</v>
      </c>
    </row>
    <row r="63" spans="1:21" s="1" customFormat="1">
      <c r="A63" s="130" t="s">
        <v>31</v>
      </c>
      <c r="B63" s="416">
        <f>DIST_TOT!B63*COMB_TOT!B63*TAX_TOT!B63/FRO_TOT!B63</f>
        <v>8495.2656720034356</v>
      </c>
      <c r="C63" s="416">
        <f>DIST_TOT!C63*COMB_TOT!C63*TAX_TOT!C63/FRO_TOT!C63</f>
        <v>9009.2839627231278</v>
      </c>
      <c r="D63" s="428">
        <f>DIST_TOT!D63*COMB_TOT!D63*TAX_TOT!D63/FRO_TOT!D63</f>
        <v>6509.5982389617966</v>
      </c>
      <c r="E63" s="422">
        <f>DIST_TOT!E63*COMB_TOT!E63*TAX_TOT!E63/FRO_TOT!E63</f>
        <v>14972.075949612134</v>
      </c>
      <c r="F63" s="416">
        <f>DIST_TOT!F63*COMB_TOT!F63*TAX_TOT!F63/FRO_TOT!F63</f>
        <v>6509.5982389617984</v>
      </c>
      <c r="G63" s="416">
        <f>DIST_TOT!G63*COMB_TOT!G63*TAX_TOT!G63/FRO_TOT!G63</f>
        <v>4339.732159307865</v>
      </c>
      <c r="H63" s="416">
        <f>DIST_TOT!H63*COMB_TOT!H63*TAX_TOT!H63/FRO_TOT!H63</f>
        <v>10200.795899637738</v>
      </c>
      <c r="I63" s="416">
        <f>DIST_TOT!I63*COMB_TOT!I63*TAX_TOT!I63/FRO_TOT!I63</f>
        <v>10200.795899637738</v>
      </c>
      <c r="J63" s="416">
        <f>DIST_TOT!J63*COMB_TOT!J63*TAX_TOT!J63/FRO_TOT!J63</f>
        <v>13953.643623530028</v>
      </c>
      <c r="K63" s="416">
        <f>DIST_TOT!K63*COMB_TOT!K63*TAX_TOT!K63/FRO_TOT!K63</f>
        <v>20930.911666303145</v>
      </c>
      <c r="L63" s="416">
        <f>DIST_TOT!L63*COMB_TOT!L63*TAX_TOT!L63/FRO_TOT!L63</f>
        <v>27908.17970907627</v>
      </c>
      <c r="M63" s="416">
        <f>DIST_TOT!M63*COMB_TOT!M63*TAX_TOT!M63/FRO_TOT!M63</f>
        <v>31619.929234516712</v>
      </c>
      <c r="N63" s="416">
        <f>DIST_TOT!N63*COMB_TOT!N63*TAX_TOT!N63/FRO_TOT!N63</f>
        <v>101173.06400625889</v>
      </c>
      <c r="O63" s="416">
        <f>DIST_TOT!O63*COMB_TOT!O63*TAX_TOT!O63/FRO_TOT!O63</f>
        <v>62217.096998450404</v>
      </c>
      <c r="P63" s="416">
        <f>DIST_TOT!P63*COMB_TOT!P63*TAX_TOT!P63/FRO_TOT!P63</f>
        <v>13386.930243233155</v>
      </c>
      <c r="Q63" s="416">
        <f>DIST_TOT!Q63*COMB_TOT!Q63*TAX_TOT!Q63/FRO_TOT!Q63</f>
        <v>13386.930243233159</v>
      </c>
      <c r="R63" s="423">
        <f>DIST_TOT!R63*COMB_TOT!R63*TAX_TOT!R63/FRO_TOT!R63</f>
        <v>12530.8559609277</v>
      </c>
      <c r="T63" s="190" t="s">
        <v>31</v>
      </c>
      <c r="U63" s="699">
        <f>SUMPRODUCT(B63:R63,FRO_TOT!B63:R63)/SUM(FRO_TOT!B63:R63)</f>
        <v>11795.990710375925</v>
      </c>
    </row>
    <row r="64" spans="1:21" s="1" customFormat="1">
      <c r="A64" s="130" t="s">
        <v>32</v>
      </c>
      <c r="B64" s="416">
        <f>DIST_TOT!B64*COMB_TOT!B64*TAX_TOT!B64/FRO_TOT!B64</f>
        <v>8389.7679836729603</v>
      </c>
      <c r="C64" s="416">
        <f>DIST_TOT!C64*COMB_TOT!C64*TAX_TOT!C64/FRO_TOT!C64</f>
        <v>8848.2475675791557</v>
      </c>
      <c r="D64" s="428">
        <f>DIST_TOT!D64*COMB_TOT!D64*TAX_TOT!D64/FRO_TOT!D64</f>
        <v>6669.5333423963484</v>
      </c>
      <c r="E64" s="422">
        <f>DIST_TOT!E64*COMB_TOT!E64*TAX_TOT!E64/FRO_TOT!E64</f>
        <v>15339.926687511603</v>
      </c>
      <c r="F64" s="416">
        <f>DIST_TOT!F64*COMB_TOT!F64*TAX_TOT!F64/FRO_TOT!F64</f>
        <v>6669.5333423963484</v>
      </c>
      <c r="G64" s="416">
        <f>DIST_TOT!G64*COMB_TOT!G64*TAX_TOT!G64/FRO_TOT!G64</f>
        <v>4446.3555615975665</v>
      </c>
      <c r="H64" s="416">
        <f>DIST_TOT!H64*COMB_TOT!H64*TAX_TOT!H64/FRO_TOT!H64</f>
        <v>11323.835175273412</v>
      </c>
      <c r="I64" s="416">
        <f>DIST_TOT!I64*COMB_TOT!I64*TAX_TOT!I64/FRO_TOT!I64</f>
        <v>11323.835175273411</v>
      </c>
      <c r="J64" s="416">
        <f>DIST_TOT!J64*COMB_TOT!J64*TAX_TOT!J64/FRO_TOT!J64</f>
        <v>36759.393115374631</v>
      </c>
      <c r="K64" s="416">
        <f>DIST_TOT!K64*COMB_TOT!K64*TAX_TOT!K64/FRO_TOT!K64</f>
        <v>55138.53006715043</v>
      </c>
      <c r="L64" s="416">
        <f>DIST_TOT!L64*COMB_TOT!L64*TAX_TOT!L64/FRO_TOT!L64</f>
        <v>73517.667018926222</v>
      </c>
      <c r="M64" s="416">
        <f>DIST_TOT!M64*COMB_TOT!M64*TAX_TOT!M64/FRO_TOT!M64</f>
        <v>31546.104443732474</v>
      </c>
      <c r="N64" s="416">
        <f>DIST_TOT!N64*COMB_TOT!N64*TAX_TOT!N64/FRO_TOT!N64</f>
        <v>126878.32910520428</v>
      </c>
      <c r="O64" s="416">
        <f>DIST_TOT!O64*COMB_TOT!O64*TAX_TOT!O64/FRO_TOT!O64</f>
        <v>61370.861103655232</v>
      </c>
      <c r="P64" s="416">
        <f>DIST_TOT!P64*COMB_TOT!P64*TAX_TOT!P64/FRO_TOT!P64</f>
        <v>16788.177345348293</v>
      </c>
      <c r="Q64" s="416">
        <f>DIST_TOT!Q64*COMB_TOT!Q64*TAX_TOT!Q64/FRO_TOT!Q64</f>
        <v>16788.177345348297</v>
      </c>
      <c r="R64" s="423">
        <f>DIST_TOT!R64*COMB_TOT!R64*TAX_TOT!R64/FRO_TOT!R64</f>
        <v>9592.1743894950614</v>
      </c>
      <c r="T64" s="130" t="s">
        <v>32</v>
      </c>
      <c r="U64" s="700">
        <f>SUMPRODUCT(B64:R64,FRO_TOT!B64:R64)/SUM(FRO_TOT!B64:R64)</f>
        <v>13191.426917063589</v>
      </c>
    </row>
    <row r="65" spans="1:21" s="1" customFormat="1">
      <c r="A65" s="130" t="s">
        <v>33</v>
      </c>
      <c r="B65" s="416">
        <f>DIST_TOT!B65*COMB_TOT!B65*TAX_TOT!B65/FRO_TOT!B65</f>
        <v>7775.201605389736</v>
      </c>
      <c r="C65" s="416">
        <f>DIST_TOT!C65*COMB_TOT!C65*TAX_TOT!C65/FRO_TOT!C65</f>
        <v>8317.103933658138</v>
      </c>
      <c r="D65" s="428">
        <f>DIST_TOT!D65*COMB_TOT!D65*TAX_TOT!D65/FRO_TOT!D65</f>
        <v>7131.3912772877593</v>
      </c>
      <c r="E65" s="422">
        <f>DIST_TOT!E65*COMB_TOT!E65*TAX_TOT!E65/FRO_TOT!E65</f>
        <v>16402.199937761845</v>
      </c>
      <c r="F65" s="416">
        <f>DIST_TOT!F65*COMB_TOT!F65*TAX_TOT!F65/FRO_TOT!F65</f>
        <v>7131.3912772877575</v>
      </c>
      <c r="G65" s="416">
        <f>DIST_TOT!G65*COMB_TOT!G65*TAX_TOT!G65/FRO_TOT!G65</f>
        <v>4754.2608515251723</v>
      </c>
      <c r="H65" s="416">
        <f>DIST_TOT!H65*COMB_TOT!H65*TAX_TOT!H65/FRO_TOT!H65</f>
        <v>10335.436581725055</v>
      </c>
      <c r="I65" s="416">
        <f>DIST_TOT!I65*COMB_TOT!I65*TAX_TOT!I65/FRO_TOT!I65</f>
        <v>10335.436581725053</v>
      </c>
      <c r="J65" s="416">
        <f>DIST_TOT!J65*COMB_TOT!J65*TAX_TOT!J65/FRO_TOT!J65</f>
        <v>19533.435782618406</v>
      </c>
      <c r="K65" s="416">
        <f>DIST_TOT!K65*COMB_TOT!K65*TAX_TOT!K65/FRO_TOT!K65</f>
        <v>29300.153673927605</v>
      </c>
      <c r="L65" s="416">
        <f>DIST_TOT!L65*COMB_TOT!L65*TAX_TOT!L65/FRO_TOT!L65</f>
        <v>39066.871565236805</v>
      </c>
      <c r="M65" s="416">
        <f>DIST_TOT!M65*COMB_TOT!M65*TAX_TOT!M65/FRO_TOT!M65</f>
        <v>43349.513239069354</v>
      </c>
      <c r="N65" s="416">
        <f>DIST_TOT!N65*COMB_TOT!N65*TAX_TOT!N65/FRO_TOT!N65</f>
        <v>127527.55206523569</v>
      </c>
      <c r="O65" s="416">
        <f>DIST_TOT!O65*COMB_TOT!O65*TAX_TOT!O65/FRO_TOT!O65</f>
        <v>85598.836418509542</v>
      </c>
      <c r="P65" s="416">
        <f>DIST_TOT!P65*COMB_TOT!P65*TAX_TOT!P65/FRO_TOT!P65</f>
        <v>16874.080669158957</v>
      </c>
      <c r="Q65" s="416">
        <f>DIST_TOT!Q65*COMB_TOT!Q65*TAX_TOT!Q65/FRO_TOT!Q65</f>
        <v>16874.080669158953</v>
      </c>
      <c r="R65" s="423">
        <f>DIST_TOT!R65*COMB_TOT!R65*TAX_TOT!R65/FRO_TOT!R65</f>
        <v>17828.299987391041</v>
      </c>
      <c r="T65" s="130" t="s">
        <v>33</v>
      </c>
      <c r="U65" s="700">
        <f>SUMPRODUCT(B65:R65,FRO_TOT!B65:R65)/SUM(FRO_TOT!B65:R65)</f>
        <v>12630.632873891749</v>
      </c>
    </row>
    <row r="66" spans="1:21" s="1" customFormat="1" ht="15.75" thickBot="1">
      <c r="A66" s="131" t="s">
        <v>34</v>
      </c>
      <c r="B66" s="416">
        <f>DIST_TOT!B66*COMB_TOT!B66*TAX_TOT!B66/FRO_TOT!B66</f>
        <v>7564.8238521043959</v>
      </c>
      <c r="C66" s="416">
        <f>DIST_TOT!C66*COMB_TOT!C66*TAX_TOT!C66/FRO_TOT!C66</f>
        <v>6728.5102847488952</v>
      </c>
      <c r="D66" s="428">
        <f>DIST_TOT!D66*COMB_TOT!D66*TAX_TOT!D66/FRO_TOT!D66</f>
        <v>6004.0246443327442</v>
      </c>
      <c r="E66" s="422">
        <f>DIST_TOT!E66*COMB_TOT!E66*TAX_TOT!E66/FRO_TOT!E66</f>
        <v>13809.256681965311</v>
      </c>
      <c r="F66" s="416">
        <f>DIST_TOT!F66*COMB_TOT!F66*TAX_TOT!F66/FRO_TOT!F66</f>
        <v>6004.0246443327442</v>
      </c>
      <c r="G66" s="416">
        <f>DIST_TOT!G66*COMB_TOT!G66*TAX_TOT!G66/FRO_TOT!G66</f>
        <v>4002.6830962218301</v>
      </c>
      <c r="H66" s="416">
        <f>DIST_TOT!H66*COMB_TOT!H66*TAX_TOT!H66/FRO_TOT!H66</f>
        <v>11238.835985490627</v>
      </c>
      <c r="I66" s="416">
        <f>DIST_TOT!I66*COMB_TOT!I66*TAX_TOT!I66/FRO_TOT!I66</f>
        <v>11238.835985490627</v>
      </c>
      <c r="J66" s="416">
        <f>DIST_TOT!J66*COMB_TOT!J66*TAX_TOT!J66/FRO_TOT!J66</f>
        <v>21707.233379962803</v>
      </c>
      <c r="K66" s="416">
        <f>DIST_TOT!K66*COMB_TOT!K66*TAX_TOT!K66/FRO_TOT!K66</f>
        <v>32560.850069944194</v>
      </c>
      <c r="L66" s="416">
        <f>DIST_TOT!L66*COMB_TOT!L66*TAX_TOT!L66/FRO_TOT!L66</f>
        <v>43414.466759925599</v>
      </c>
      <c r="M66" s="416">
        <f>DIST_TOT!M66*COMB_TOT!M66*TAX_TOT!M66/FRO_TOT!M66</f>
        <v>28518.263881055304</v>
      </c>
      <c r="N66" s="416">
        <f>DIST_TOT!N66*COMB_TOT!N66*TAX_TOT!N66/FRO_TOT!N66</f>
        <v>112933.40086673257</v>
      </c>
      <c r="O66" s="416">
        <f>DIST_TOT!O66*COMB_TOT!O66*TAX_TOT!O66/FRO_TOT!O66</f>
        <v>55528.278503860784</v>
      </c>
      <c r="P66" s="416">
        <f>DIST_TOT!P66*COMB_TOT!P66*TAX_TOT!P66/FRO_TOT!P66</f>
        <v>14943.024355183203</v>
      </c>
      <c r="Q66" s="416">
        <f>DIST_TOT!Q66*COMB_TOT!Q66*TAX_TOT!Q66/FRO_TOT!Q66</f>
        <v>14943.024355183203</v>
      </c>
      <c r="R66" s="423">
        <f>DIST_TOT!R66*COMB_TOT!R66*TAX_TOT!R66/FRO_TOT!R66</f>
        <v>12333.604754293594</v>
      </c>
      <c r="T66" s="210" t="s">
        <v>34</v>
      </c>
      <c r="U66" s="701">
        <f>SUMPRODUCT(B66:R66,FRO_TOT!B66:R66)/SUM(FRO_TOT!B66:R66)</f>
        <v>11156.196569282873</v>
      </c>
    </row>
    <row r="67" spans="1:21" ht="15.75" thickBot="1">
      <c r="A67" s="324" t="s">
        <v>69</v>
      </c>
      <c r="B67" s="415">
        <f>DIST_TOT!B67*COMB_TOT!B67*TAX_TOT!B67/FRO_TOT!B67</f>
        <v>7560.6429835896288</v>
      </c>
      <c r="C67" s="415">
        <f>DIST_TOT!C67*COMB_TOT!C67*TAX_TOT!C67/FRO_TOT!C67</f>
        <v>7774.8640762879413</v>
      </c>
      <c r="D67" s="427">
        <f>DIST_TOT!D67*COMB_TOT!D67*TAX_TOT!D67/FRO_TOT!D67</f>
        <v>6316.9191390054775</v>
      </c>
      <c r="E67" s="420">
        <f>DIST_TOT!E67*COMB_TOT!E67*TAX_TOT!E67/FRO_TOT!E67</f>
        <v>14528.914019712598</v>
      </c>
      <c r="F67" s="415">
        <f>DIST_TOT!F67*COMB_TOT!F67*TAX_TOT!F67/FRO_TOT!F67</f>
        <v>6316.9191390054784</v>
      </c>
      <c r="G67" s="415">
        <f>DIST_TOT!G67*COMB_TOT!G67*TAX_TOT!G67/FRO_TOT!G67</f>
        <v>4211.2794260036526</v>
      </c>
      <c r="H67" s="415">
        <f>DIST_TOT!H67*COMB_TOT!H67*TAX_TOT!H67/FRO_TOT!H67</f>
        <v>11291.461373030172</v>
      </c>
      <c r="I67" s="415">
        <f>DIST_TOT!I67*COMB_TOT!I67*TAX_TOT!I67/FRO_TOT!I67</f>
        <v>11291.461373030173</v>
      </c>
      <c r="J67" s="415">
        <f>DIST_TOT!J67*COMB_TOT!J67*TAX_TOT!J67/FRO_TOT!J67</f>
        <v>23099.862086832349</v>
      </c>
      <c r="K67" s="415">
        <f>DIST_TOT!K67*COMB_TOT!K67*TAX_TOT!K67/FRO_TOT!K67</f>
        <v>34650.274939486109</v>
      </c>
      <c r="L67" s="415">
        <f>DIST_TOT!L67*COMB_TOT!L67*TAX_TOT!L67/FRO_TOT!L67</f>
        <v>46200.68779213987</v>
      </c>
      <c r="M67" s="415">
        <f>DIST_TOT!M67*COMB_TOT!M67*TAX_TOT!M67/FRO_TOT!M67</f>
        <v>28972.153074532838</v>
      </c>
      <c r="N67" s="415">
        <f>DIST_TOT!N67*COMB_TOT!N67*TAX_TOT!N67/FRO_TOT!N67</f>
        <v>109239.64481944192</v>
      </c>
      <c r="O67" s="415">
        <f>DIST_TOT!O67*COMB_TOT!O67*TAX_TOT!O67/FRO_TOT!O67</f>
        <v>56559.586400242952</v>
      </c>
      <c r="P67" s="415">
        <f>DIST_TOT!P67*COMB_TOT!P67*TAX_TOT!P67/FRO_TOT!P67</f>
        <v>14454.277127585736</v>
      </c>
      <c r="Q67" s="415">
        <f>DIST_TOT!Q67*COMB_TOT!Q67*TAX_TOT!Q67/FRO_TOT!Q67</f>
        <v>14454.277127585732</v>
      </c>
      <c r="R67" s="421">
        <f>DIST_TOT!R67*COMB_TOT!R67*TAX_TOT!R67/FRO_TOT!R67</f>
        <v>24198.996883105559</v>
      </c>
      <c r="T67" s="268" t="s">
        <v>69</v>
      </c>
      <c r="U67" s="697">
        <f>SUMPRODUCT(B67:R67,FRO_TOT!B67:R67)/SUM(FRO_TOT!B67:R67)</f>
        <v>11316.092736110455</v>
      </c>
    </row>
    <row r="68" spans="1:21" s="1" customFormat="1">
      <c r="A68" s="130" t="s">
        <v>36</v>
      </c>
      <c r="B68" s="416">
        <f>DIST_TOT!B68*COMB_TOT!B68*TAX_TOT!B68/FRO_TOT!B68</f>
        <v>6941.8291049361997</v>
      </c>
      <c r="C68" s="416">
        <f>DIST_TOT!C68*COMB_TOT!C68*TAX_TOT!C68/FRO_TOT!C68</f>
        <v>6846.643860386278</v>
      </c>
      <c r="D68" s="428">
        <f>DIST_TOT!D68*COMB_TOT!D68*TAX_TOT!D68/FRO_TOT!D68</f>
        <v>5562.7590675871597</v>
      </c>
      <c r="E68" s="422">
        <f>DIST_TOT!E68*COMB_TOT!E68*TAX_TOT!E68/FRO_TOT!E68</f>
        <v>12794.345855450472</v>
      </c>
      <c r="F68" s="416">
        <f>DIST_TOT!F68*COMB_TOT!F68*TAX_TOT!F68/FRO_TOT!F68</f>
        <v>5562.7590675871606</v>
      </c>
      <c r="G68" s="416">
        <f>DIST_TOT!G68*COMB_TOT!G68*TAX_TOT!G68/FRO_TOT!G68</f>
        <v>3708.5060450581068</v>
      </c>
      <c r="H68" s="416">
        <f>DIST_TOT!H68*COMB_TOT!H68*TAX_TOT!H68/FRO_TOT!H68</f>
        <v>10664.411548999386</v>
      </c>
      <c r="I68" s="416">
        <f>DIST_TOT!I68*COMB_TOT!I68*TAX_TOT!I68/FRO_TOT!I68</f>
        <v>10664.411548999386</v>
      </c>
      <c r="J68" s="416">
        <f>DIST_TOT!J68*COMB_TOT!J68*TAX_TOT!J68/FRO_TOT!J68</f>
        <v>22541.688679870043</v>
      </c>
      <c r="K68" s="416">
        <f>DIST_TOT!K68*COMB_TOT!K68*TAX_TOT!K68/FRO_TOT!K68</f>
        <v>33813.003186847433</v>
      </c>
      <c r="L68" s="416">
        <f>DIST_TOT!L68*COMB_TOT!L68*TAX_TOT!L68/FRO_TOT!L68</f>
        <v>45084.317693824843</v>
      </c>
      <c r="M68" s="416">
        <f>DIST_TOT!M68*COMB_TOT!M68*TAX_TOT!M68/FRO_TOT!M68</f>
        <v>28272.084592398325</v>
      </c>
      <c r="N68" s="416">
        <f>DIST_TOT!N68*COMB_TOT!N68*TAX_TOT!N68/FRO_TOT!N68</f>
        <v>106600.03318474835</v>
      </c>
      <c r="O68" s="416">
        <f>DIST_TOT!O68*COMB_TOT!O68*TAX_TOT!O68/FRO_TOT!O68</f>
        <v>55192.909104996324</v>
      </c>
      <c r="P68" s="416">
        <f>DIST_TOT!P68*COMB_TOT!P68*TAX_TOT!P68/FRO_TOT!P68</f>
        <v>14105.011271402078</v>
      </c>
      <c r="Q68" s="416">
        <f>DIST_TOT!Q68*COMB_TOT!Q68*TAX_TOT!Q68/FRO_TOT!Q68</f>
        <v>14105.011271402076</v>
      </c>
      <c r="R68" s="423">
        <f>DIST_TOT!R68*COMB_TOT!R68*TAX_TOT!R68/FRO_TOT!R68</f>
        <v>15117.965291732124</v>
      </c>
      <c r="T68" s="190" t="s">
        <v>36</v>
      </c>
      <c r="U68" s="699">
        <f>SUMPRODUCT(B68:R68,FRO_TOT!B68:R68)/SUM(FRO_TOT!B68:R68)</f>
        <v>10816.072547324993</v>
      </c>
    </row>
    <row r="69" spans="1:21" s="1" customFormat="1">
      <c r="A69" s="130" t="s">
        <v>37</v>
      </c>
      <c r="B69" s="416">
        <f>DIST_TOT!B69*COMB_TOT!B69*TAX_TOT!B69/FRO_TOT!B69</f>
        <v>7690.4687073680489</v>
      </c>
      <c r="C69" s="416">
        <f>DIST_TOT!C69*COMB_TOT!C69*TAX_TOT!C69/FRO_TOT!C69</f>
        <v>8088.7828364555726</v>
      </c>
      <c r="D69" s="428">
        <f>DIST_TOT!D69*COMB_TOT!D69*TAX_TOT!D69/FRO_TOT!D69</f>
        <v>6571.9717553262699</v>
      </c>
      <c r="E69" s="422">
        <f>DIST_TOT!E69*COMB_TOT!E69*TAX_TOT!E69/FRO_TOT!E69</f>
        <v>15115.535037250424</v>
      </c>
      <c r="F69" s="416">
        <f>DIST_TOT!F69*COMB_TOT!F69*TAX_TOT!F69/FRO_TOT!F69</f>
        <v>6571.9717553262708</v>
      </c>
      <c r="G69" s="416">
        <f>DIST_TOT!G69*COMB_TOT!G69*TAX_TOT!G69/FRO_TOT!G69</f>
        <v>4381.3145035508478</v>
      </c>
      <c r="H69" s="416">
        <f>DIST_TOT!H69*COMB_TOT!H69*TAX_TOT!H69/FRO_TOT!H69</f>
        <v>14513.373722782848</v>
      </c>
      <c r="I69" s="416">
        <f>DIST_TOT!I69*COMB_TOT!I69*TAX_TOT!I69/FRO_TOT!I69</f>
        <v>14513.37372278285</v>
      </c>
      <c r="J69" s="416">
        <f>DIST_TOT!J69*COMB_TOT!J69*TAX_TOT!J69/FRO_TOT!J69</f>
        <v>23797.240503297548</v>
      </c>
      <c r="K69" s="416">
        <f>DIST_TOT!K69*COMB_TOT!K69*TAX_TOT!K69/FRO_TOT!K69</f>
        <v>35696.357109870893</v>
      </c>
      <c r="L69" s="416">
        <f>DIST_TOT!L69*COMB_TOT!L69*TAX_TOT!L69/FRO_TOT!L69</f>
        <v>47595.473716444234</v>
      </c>
      <c r="M69" s="416">
        <f>DIST_TOT!M69*COMB_TOT!M69*TAX_TOT!M69/FRO_TOT!M69</f>
        <v>29846.814323883875</v>
      </c>
      <c r="N69" s="416">
        <f>DIST_TOT!N69*COMB_TOT!N69*TAX_TOT!N69/FRO_TOT!N69</f>
        <v>112537.55933655193</v>
      </c>
      <c r="O69" s="416">
        <f>DIST_TOT!O69*COMB_TOT!O69*TAX_TOT!O69/FRO_TOT!O69</f>
        <v>58267.104594570737</v>
      </c>
      <c r="P69" s="416">
        <f>DIST_TOT!P69*COMB_TOT!P69*TAX_TOT!P69/FRO_TOT!P69</f>
        <v>14890.647736920708</v>
      </c>
      <c r="Q69" s="416">
        <f>DIST_TOT!Q69*COMB_TOT!Q69*TAX_TOT!Q69/FRO_TOT!Q69</f>
        <v>14890.64773692071</v>
      </c>
      <c r="R69" s="423">
        <f>DIST_TOT!R69*COMB_TOT!R69*TAX_TOT!R69/FRO_TOT!R69</f>
        <v>27155.203773956742</v>
      </c>
      <c r="T69" s="130" t="s">
        <v>37</v>
      </c>
      <c r="U69" s="700">
        <f>SUMPRODUCT(B69:R69,FRO_TOT!B69:R69)/SUM(FRO_TOT!B69:R69)</f>
        <v>11359.764950542567</v>
      </c>
    </row>
    <row r="70" spans="1:21" s="1" customFormat="1" ht="15.75" thickBot="1">
      <c r="A70" s="131" t="s">
        <v>38</v>
      </c>
      <c r="B70" s="416">
        <f>DIST_TOT!B70*COMB_TOT!B70*TAX_TOT!B70/FRO_TOT!B70</f>
        <v>8144.4252160813285</v>
      </c>
      <c r="C70" s="416">
        <f>DIST_TOT!C70*COMB_TOT!C70*TAX_TOT!C70/FRO_TOT!C70</f>
        <v>8515.3152185555755</v>
      </c>
      <c r="D70" s="428">
        <f>DIST_TOT!D70*COMB_TOT!D70*TAX_TOT!D70/FRO_TOT!D70</f>
        <v>6918.5206520601014</v>
      </c>
      <c r="E70" s="422">
        <f>DIST_TOT!E70*COMB_TOT!E70*TAX_TOT!E70/FRO_TOT!E70</f>
        <v>15912.597499738238</v>
      </c>
      <c r="F70" s="416">
        <f>DIST_TOT!F70*COMB_TOT!F70*TAX_TOT!F70/FRO_TOT!F70</f>
        <v>6918.5206520601014</v>
      </c>
      <c r="G70" s="416">
        <f>DIST_TOT!G70*COMB_TOT!G70*TAX_TOT!G70/FRO_TOT!G70</f>
        <v>4612.3471013734015</v>
      </c>
      <c r="H70" s="416">
        <f>DIST_TOT!H70*COMB_TOT!H70*TAX_TOT!H70/FRO_TOT!H70</f>
        <v>12388.084741444169</v>
      </c>
      <c r="I70" s="416">
        <f>DIST_TOT!I70*COMB_TOT!I70*TAX_TOT!I70/FRO_TOT!I70</f>
        <v>12388.084741444167</v>
      </c>
      <c r="J70" s="416">
        <f>DIST_TOT!J70*COMB_TOT!J70*TAX_TOT!J70/FRO_TOT!J70</f>
        <v>23051.298909038116</v>
      </c>
      <c r="K70" s="416">
        <f>DIST_TOT!K70*COMB_TOT!K70*TAX_TOT!K70/FRO_TOT!K70</f>
        <v>34577.429159880157</v>
      </c>
      <c r="L70" s="416">
        <f>DIST_TOT!L70*COMB_TOT!L70*TAX_TOT!L70/FRO_TOT!L70</f>
        <v>46103.559410722191</v>
      </c>
      <c r="M70" s="416">
        <f>DIST_TOT!M70*COMB_TOT!M70*TAX_TOT!M70/FRO_TOT!M70</f>
        <v>28911.244493539969</v>
      </c>
      <c r="N70" s="416">
        <f>DIST_TOT!N70*COMB_TOT!N70*TAX_TOT!N70/FRO_TOT!N70</f>
        <v>109009.98871701138</v>
      </c>
      <c r="O70" s="416">
        <f>DIST_TOT!O70*COMB_TOT!O70*TAX_TOT!O70/FRO_TOT!O70</f>
        <v>56440.680354830321</v>
      </c>
      <c r="P70" s="416">
        <f>DIST_TOT!P70*COMB_TOT!P70*TAX_TOT!P70/FRO_TOT!P70</f>
        <v>14423.889689453184</v>
      </c>
      <c r="Q70" s="416">
        <f>DIST_TOT!Q70*COMB_TOT!Q70*TAX_TOT!Q70/FRO_TOT!Q70</f>
        <v>14423.889689453188</v>
      </c>
      <c r="R70" s="423">
        <f>DIST_TOT!R70*COMB_TOT!R70*TAX_TOT!R70/FRO_TOT!R70</f>
        <v>26044.109025146401</v>
      </c>
      <c r="T70" s="210" t="s">
        <v>38</v>
      </c>
      <c r="U70" s="701">
        <f>SUMPRODUCT(B70:R70,FRO_TOT!B70:R70)/SUM(FRO_TOT!B70:R70)</f>
        <v>11988.862334609939</v>
      </c>
    </row>
    <row r="71" spans="1:21" ht="15.75" thickBot="1">
      <c r="A71" s="325" t="s">
        <v>73</v>
      </c>
      <c r="B71" s="415">
        <f>DIST_TOT!B71*COMB_TOT!B71*TAX_TOT!B71/FRO_TOT!B71</f>
        <v>10490.012463319901</v>
      </c>
      <c r="C71" s="415">
        <f>DIST_TOT!C71*COMB_TOT!C71*TAX_TOT!C71/FRO_TOT!C71</f>
        <v>10017.550862635337</v>
      </c>
      <c r="D71" s="427">
        <f>DIST_TOT!D71*COMB_TOT!D71*TAX_TOT!D71/FRO_TOT!D71</f>
        <v>6378.4388717009106</v>
      </c>
      <c r="E71" s="420">
        <f>DIST_TOT!E71*COMB_TOT!E71*TAX_TOT!E71/FRO_TOT!E71</f>
        <v>14670.409404912092</v>
      </c>
      <c r="F71" s="415">
        <f>DIST_TOT!F71*COMB_TOT!F71*TAX_TOT!F71/FRO_TOT!F71</f>
        <v>6378.4388717009087</v>
      </c>
      <c r="G71" s="415">
        <f>DIST_TOT!G71*COMB_TOT!G71*TAX_TOT!G71/FRO_TOT!G71</f>
        <v>4252.2925811339401</v>
      </c>
      <c r="H71" s="415">
        <f>DIST_TOT!H71*COMB_TOT!H71*TAX_TOT!H71/FRO_TOT!H71</f>
        <v>12274.948617148137</v>
      </c>
      <c r="I71" s="415">
        <f>DIST_TOT!I71*COMB_TOT!I71*TAX_TOT!I71/FRO_TOT!I71</f>
        <v>12274.948617148139</v>
      </c>
      <c r="J71" s="415">
        <f>DIST_TOT!J71*COMB_TOT!J71*TAX_TOT!J71/FRO_TOT!J71</f>
        <v>41475.374262741323</v>
      </c>
      <c r="K71" s="415">
        <f>DIST_TOT!K71*COMB_TOT!K71*TAX_TOT!K71/FRO_TOT!K71</f>
        <v>62213.061394111981</v>
      </c>
      <c r="L71" s="415">
        <f>DIST_TOT!L71*COMB_TOT!L71*TAX_TOT!L71/FRO_TOT!L71</f>
        <v>82950.748525482661</v>
      </c>
      <c r="M71" s="415">
        <f>DIST_TOT!M71*COMB_TOT!M71*TAX_TOT!M71/FRO_TOT!M71</f>
        <v>24582.293842182989</v>
      </c>
      <c r="N71" s="415">
        <f>DIST_TOT!N71*COMB_TOT!N71*TAX_TOT!N71/FRO_TOT!N71</f>
        <v>104317.85427585656</v>
      </c>
      <c r="O71" s="415">
        <f>DIST_TOT!O71*COMB_TOT!O71*TAX_TOT!O71/FRO_TOT!O71</f>
        <v>47675.699781519077</v>
      </c>
      <c r="P71" s="415">
        <f>DIST_TOT!P71*COMB_TOT!P71*TAX_TOT!P71/FRO_TOT!P71</f>
        <v>13803.039890422433</v>
      </c>
      <c r="Q71" s="415">
        <f>DIST_TOT!Q71*COMB_TOT!Q71*TAX_TOT!Q71/FRO_TOT!Q71</f>
        <v>13803.039890422431</v>
      </c>
      <c r="R71" s="421">
        <f>DIST_TOT!R71*COMB_TOT!R71*TAX_TOT!R71/FRO_TOT!R71</f>
        <v>24458.816682156135</v>
      </c>
      <c r="T71" s="268" t="s">
        <v>73</v>
      </c>
      <c r="U71" s="697">
        <f>SUMPRODUCT(B71:R71,FRO_TOT!B71:R71)/SUM(FRO_TOT!B71:R71)</f>
        <v>14211.518796879074</v>
      </c>
    </row>
    <row r="72" spans="1:21" s="1" customFormat="1">
      <c r="A72" s="130" t="s">
        <v>40</v>
      </c>
      <c r="B72" s="416">
        <f>DIST_TOT!B72*COMB_TOT!B72*TAX_TOT!B72/FRO_TOT!B72</f>
        <v>9936.2934253362309</v>
      </c>
      <c r="C72" s="416">
        <f>DIST_TOT!C72*COMB_TOT!C72*TAX_TOT!C72/FRO_TOT!C72</f>
        <v>10341.186183444785</v>
      </c>
      <c r="D72" s="428">
        <f>DIST_TOT!D72*COMB_TOT!D72*TAX_TOT!D72/FRO_TOT!D72</f>
        <v>6584.5060171352325</v>
      </c>
      <c r="E72" s="422">
        <f>DIST_TOT!E72*COMB_TOT!E72*TAX_TOT!E72/FRO_TOT!E72</f>
        <v>15144.363839411033</v>
      </c>
      <c r="F72" s="416">
        <f>DIST_TOT!F72*COMB_TOT!F72*TAX_TOT!F72/FRO_TOT!F72</f>
        <v>6584.5060171352306</v>
      </c>
      <c r="G72" s="416">
        <f>DIST_TOT!G72*COMB_TOT!G72*TAX_TOT!G72/FRO_TOT!G72</f>
        <v>4389.6706780901541</v>
      </c>
      <c r="H72" s="416">
        <f>DIST_TOT!H72*COMB_TOT!H72*TAX_TOT!H72/FRO_TOT!H72</f>
        <v>12760.897524338305</v>
      </c>
      <c r="I72" s="416">
        <f>DIST_TOT!I72*COMB_TOT!I72*TAX_TOT!I72/FRO_TOT!I72</f>
        <v>12760.897524338305</v>
      </c>
      <c r="J72" s="416">
        <f>DIST_TOT!J72*COMB_TOT!J72*TAX_TOT!J72/FRO_TOT!J72</f>
        <v>38679.149170932549</v>
      </c>
      <c r="K72" s="416">
        <f>DIST_TOT!K72*COMB_TOT!K72*TAX_TOT!K72/FRO_TOT!K72</f>
        <v>58018.723756398824</v>
      </c>
      <c r="L72" s="416">
        <f>DIST_TOT!L72*COMB_TOT!L72*TAX_TOT!L72/FRO_TOT!L72</f>
        <v>77358.298341865113</v>
      </c>
      <c r="M72" s="416">
        <f>DIST_TOT!M72*COMB_TOT!M72*TAX_TOT!M72/FRO_TOT!M72</f>
        <v>22924.982049882237</v>
      </c>
      <c r="N72" s="416">
        <f>DIST_TOT!N72*COMB_TOT!N72*TAX_TOT!N72/FRO_TOT!N72</f>
        <v>97284.856820500499</v>
      </c>
      <c r="O72" s="416">
        <f>DIST_TOT!O72*COMB_TOT!O72*TAX_TOT!O72/FRO_TOT!O72</f>
        <v>44461.455416800127</v>
      </c>
      <c r="P72" s="416">
        <f>DIST_TOT!P72*COMB_TOT!P72*TAX_TOT!P72/FRO_TOT!P72</f>
        <v>12872.453797568076</v>
      </c>
      <c r="Q72" s="416">
        <f>DIST_TOT!Q72*COMB_TOT!Q72*TAX_TOT!Q72/FRO_TOT!Q72</f>
        <v>12872.453797568078</v>
      </c>
      <c r="R72" s="423">
        <v>0</v>
      </c>
      <c r="T72" s="190" t="s">
        <v>40</v>
      </c>
      <c r="U72" s="699">
        <f>SUMPRODUCT(B72:R72,FRO_TOT!B72:R72)/SUM(FRO_TOT!B72:R72)</f>
        <v>11999.18995757738</v>
      </c>
    </row>
    <row r="73" spans="1:21" s="1" customFormat="1">
      <c r="A73" s="130" t="s">
        <v>41</v>
      </c>
      <c r="B73" s="416">
        <f>DIST_TOT!B73*COMB_TOT!B73*TAX_TOT!B73/FRO_TOT!B73</f>
        <v>11280.662134721986</v>
      </c>
      <c r="C73" s="416">
        <f>DIST_TOT!C73*COMB_TOT!C73*TAX_TOT!C73/FRO_TOT!C73</f>
        <v>9944.4048562625103</v>
      </c>
      <c r="D73" s="428">
        <f>DIST_TOT!D73*COMB_TOT!D73*TAX_TOT!D73/FRO_TOT!D73</f>
        <v>6331.8648800381061</v>
      </c>
      <c r="E73" s="422">
        <f>DIST_TOT!E73*COMB_TOT!E73*TAX_TOT!E73/FRO_TOT!E73</f>
        <v>14563.289224087644</v>
      </c>
      <c r="F73" s="416">
        <f>DIST_TOT!F73*COMB_TOT!F73*TAX_TOT!F73/FRO_TOT!F73</f>
        <v>6331.8648800381052</v>
      </c>
      <c r="G73" s="416">
        <f>DIST_TOT!G73*COMB_TOT!G73*TAX_TOT!G73/FRO_TOT!G73</f>
        <v>4221.2432533587371</v>
      </c>
      <c r="H73" s="416">
        <f>DIST_TOT!H73*COMB_TOT!H73*TAX_TOT!H73/FRO_TOT!H73</f>
        <v>12564.255920842548</v>
      </c>
      <c r="I73" s="416">
        <f>DIST_TOT!I73*COMB_TOT!I73*TAX_TOT!I73/FRO_TOT!I73</f>
        <v>12564.255920842548</v>
      </c>
      <c r="J73" s="416">
        <f>DIST_TOT!J73*COMB_TOT!J73*TAX_TOT!J73/FRO_TOT!J73</f>
        <v>37981.009022565631</v>
      </c>
      <c r="K73" s="416">
        <f>DIST_TOT!K73*COMB_TOT!K73*TAX_TOT!K73/FRO_TOT!K73</f>
        <v>56971.51353384844</v>
      </c>
      <c r="L73" s="416">
        <f>DIST_TOT!L73*COMB_TOT!L73*TAX_TOT!L73/FRO_TOT!L73</f>
        <v>75962.018045131263</v>
      </c>
      <c r="M73" s="416">
        <f>DIST_TOT!M73*COMB_TOT!M73*TAX_TOT!M73/FRO_TOT!M73</f>
        <v>22511.197085303913</v>
      </c>
      <c r="N73" s="416">
        <f>DIST_TOT!N73*COMB_TOT!N73*TAX_TOT!N73/FRO_TOT!N73</f>
        <v>95528.911670973786</v>
      </c>
      <c r="O73" s="416">
        <f>DIST_TOT!O73*COMB_TOT!O73*TAX_TOT!O73/FRO_TOT!O73</f>
        <v>43658.947405465144</v>
      </c>
      <c r="P73" s="416">
        <f>DIST_TOT!P73*COMB_TOT!P73*TAX_TOT!P73/FRO_TOT!P73</f>
        <v>12640.112161396975</v>
      </c>
      <c r="Q73" s="416">
        <f>DIST_TOT!Q73*COMB_TOT!Q73*TAX_TOT!Q73/FRO_TOT!Q73</f>
        <v>12640.112161396974</v>
      </c>
      <c r="R73" s="423">
        <v>0</v>
      </c>
      <c r="T73" s="130" t="s">
        <v>41</v>
      </c>
      <c r="U73" s="700">
        <f>SUMPRODUCT(B73:R73,FRO_TOT!B73:R73)/SUM(FRO_TOT!B73:R73)</f>
        <v>14290.234688068007</v>
      </c>
    </row>
    <row r="74" spans="1:21" s="1" customFormat="1">
      <c r="A74" s="130" t="s">
        <v>42</v>
      </c>
      <c r="B74" s="416">
        <f>DIST_TOT!B74*COMB_TOT!B74*TAX_TOT!B74/FRO_TOT!B74</f>
        <v>12757.223235722215</v>
      </c>
      <c r="C74" s="416">
        <f>DIST_TOT!C74*COMB_TOT!C74*TAX_TOT!C74/FRO_TOT!C74</f>
        <v>9924.7808956651807</v>
      </c>
      <c r="D74" s="428">
        <f>DIST_TOT!D74*COMB_TOT!D74*TAX_TOT!D74/FRO_TOT!D74</f>
        <v>6319.3697866957182</v>
      </c>
      <c r="E74" s="422">
        <f>DIST_TOT!E74*COMB_TOT!E74*TAX_TOT!E74/FRO_TOT!E74</f>
        <v>14534.550509400155</v>
      </c>
      <c r="F74" s="416">
        <f>DIST_TOT!F74*COMB_TOT!F74*TAX_TOT!F74/FRO_TOT!F74</f>
        <v>6319.3697866957191</v>
      </c>
      <c r="G74" s="416">
        <f>DIST_TOT!G74*COMB_TOT!G74*TAX_TOT!G74/FRO_TOT!G74</f>
        <v>4212.9131911304794</v>
      </c>
      <c r="H74" s="416">
        <f>DIST_TOT!H74*COMB_TOT!H74*TAX_TOT!H74/FRO_TOT!H74</f>
        <v>11780.333952930692</v>
      </c>
      <c r="I74" s="416">
        <f>DIST_TOT!I74*COMB_TOT!I74*TAX_TOT!I74/FRO_TOT!I74</f>
        <v>11780.333952930692</v>
      </c>
      <c r="J74" s="416">
        <f>DIST_TOT!J74*COMB_TOT!J74*TAX_TOT!J74/FRO_TOT!J74</f>
        <v>46158.868652388701</v>
      </c>
      <c r="K74" s="416">
        <f>DIST_TOT!K74*COMB_TOT!K74*TAX_TOT!K74/FRO_TOT!K74</f>
        <v>69238.302978583059</v>
      </c>
      <c r="L74" s="416">
        <f>DIST_TOT!L74*COMB_TOT!L74*TAX_TOT!L74/FRO_TOT!L74</f>
        <v>92317.737304777416</v>
      </c>
      <c r="M74" s="416">
        <f>DIST_TOT!M74*COMB_TOT!M74*TAX_TOT!M74/FRO_TOT!M74</f>
        <v>27358.182844779731</v>
      </c>
      <c r="N74" s="416">
        <f>DIST_TOT!N74*COMB_TOT!N74*TAX_TOT!N74/FRO_TOT!N74</f>
        <v>116097.66564406714</v>
      </c>
      <c r="O74" s="416">
        <f>DIST_TOT!O74*COMB_TOT!O74*TAX_TOT!O74/FRO_TOT!O74</f>
        <v>53059.3491498105</v>
      </c>
      <c r="P74" s="416">
        <f>DIST_TOT!P74*COMB_TOT!P74*TAX_TOT!P74/FRO_TOT!P74</f>
        <v>15361.710813494647</v>
      </c>
      <c r="Q74" s="416">
        <f>DIST_TOT!Q74*COMB_TOT!Q74*TAX_TOT!Q74/FRO_TOT!Q74</f>
        <v>15361.710813494648</v>
      </c>
      <c r="R74" s="423">
        <f>DIST_TOT!R74*COMB_TOT!R74*TAX_TOT!R74/FRO_TOT!R74</f>
        <v>14428.028933092224</v>
      </c>
      <c r="T74" s="130" t="s">
        <v>42</v>
      </c>
      <c r="U74" s="700">
        <f>SUMPRODUCT(B74:R74,FRO_TOT!B74:R74)/SUM(FRO_TOT!B74:R74)</f>
        <v>16228.483152866371</v>
      </c>
    </row>
    <row r="75" spans="1:21" s="1" customFormat="1" ht="15.75" thickBot="1">
      <c r="A75" s="131" t="s">
        <v>43</v>
      </c>
      <c r="B75" s="416">
        <f>DIST_TOT!B75*COMB_TOT!B75*TAX_TOT!B75/FRO_TOT!B75</f>
        <v>9496.5756880846438</v>
      </c>
      <c r="C75" s="416">
        <f>DIST_TOT!C75*COMB_TOT!C75*TAX_TOT!C75/FRO_TOT!C75</f>
        <v>9664.1565930604011</v>
      </c>
      <c r="D75" s="428">
        <f>DIST_TOT!D75*COMB_TOT!D75*TAX_TOT!D75/FRO_TOT!D75</f>
        <v>6153.4234186223784</v>
      </c>
      <c r="E75" s="424">
        <f>DIST_TOT!E75*COMB_TOT!E75*TAX_TOT!E75/FRO_TOT!E75</f>
        <v>14152.873862831473</v>
      </c>
      <c r="F75" s="425">
        <f>DIST_TOT!F75*COMB_TOT!F75*TAX_TOT!F75/FRO_TOT!F75</f>
        <v>6153.4234186223794</v>
      </c>
      <c r="G75" s="425">
        <f>DIST_TOT!G75*COMB_TOT!G75*TAX_TOT!G75/FRO_TOT!G75</f>
        <v>4102.2822790815862</v>
      </c>
      <c r="H75" s="425">
        <f>DIST_TOT!H75*COMB_TOT!H75*TAX_TOT!H75/FRO_TOT!H75</f>
        <v>11769.559877145542</v>
      </c>
      <c r="I75" s="425">
        <f>DIST_TOT!I75*COMB_TOT!I75*TAX_TOT!I75/FRO_TOT!I75</f>
        <v>11769.559877145546</v>
      </c>
      <c r="J75" s="425">
        <f>DIST_TOT!J75*COMB_TOT!J75*TAX_TOT!J75/FRO_TOT!J75</f>
        <v>44313.249557506599</v>
      </c>
      <c r="K75" s="425">
        <f>DIST_TOT!K75*COMB_TOT!K75*TAX_TOT!K75/FRO_TOT!K75</f>
        <v>66469.874336259905</v>
      </c>
      <c r="L75" s="425">
        <f>DIST_TOT!L75*COMB_TOT!L75*TAX_TOT!L75/FRO_TOT!L75</f>
        <v>88626.499115013212</v>
      </c>
      <c r="M75" s="425">
        <f>DIST_TOT!M75*COMB_TOT!M75*TAX_TOT!M75/FRO_TOT!M75</f>
        <v>26264.291548616246</v>
      </c>
      <c r="N75" s="425">
        <f>DIST_TOT!N75*COMB_TOT!N75*TAX_TOT!N75/FRO_TOT!N75</f>
        <v>111455.60931037401</v>
      </c>
      <c r="O75" s="425">
        <f>DIST_TOT!O75*COMB_TOT!O75*TAX_TOT!O75/FRO_TOT!O75</f>
        <v>50937.820810579004</v>
      </c>
      <c r="P75" s="425">
        <f>DIST_TOT!P75*COMB_TOT!P75*TAX_TOT!P75/FRO_TOT!P75</f>
        <v>14747.487206305444</v>
      </c>
      <c r="Q75" s="425">
        <f>DIST_TOT!Q75*COMB_TOT!Q75*TAX_TOT!Q75/FRO_TOT!Q75</f>
        <v>14747.487206305441</v>
      </c>
      <c r="R75" s="426">
        <f>DIST_TOT!R75*COMB_TOT!R75*TAX_TOT!R75/FRO_TOT!R75</f>
        <v>19832.146058091283</v>
      </c>
      <c r="T75" s="131" t="s">
        <v>43</v>
      </c>
      <c r="U75" s="702">
        <f>SUMPRODUCT(B75:R75,FRO_TOT!B75:R75)/SUM(FRO_TOT!B75:R75)</f>
        <v>14344.675641818085</v>
      </c>
    </row>
    <row r="76" spans="1:21" s="1" customFormat="1" ht="15.75" thickBot="1"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U76" s="703"/>
    </row>
    <row r="77" spans="1:21" ht="15.75" customHeight="1" thickBot="1">
      <c r="A77" s="1051" t="s">
        <v>128</v>
      </c>
      <c r="B77" s="1054">
        <v>2011</v>
      </c>
      <c r="C77" s="1055"/>
      <c r="D77" s="1055"/>
      <c r="E77" s="1055"/>
      <c r="F77" s="1055"/>
      <c r="G77" s="1055"/>
      <c r="H77" s="1055"/>
      <c r="I77" s="1055"/>
      <c r="J77" s="1055"/>
      <c r="K77" s="1055"/>
      <c r="L77" s="1055"/>
      <c r="M77" s="1055"/>
      <c r="N77" s="1055"/>
      <c r="O77" s="1055"/>
      <c r="P77" s="1055"/>
      <c r="Q77" s="1055"/>
      <c r="R77" s="1078"/>
      <c r="T77" s="1091" t="s">
        <v>128</v>
      </c>
      <c r="U77" s="1092"/>
    </row>
    <row r="78" spans="1:21">
      <c r="A78" s="1052"/>
      <c r="B78" s="1060" t="s">
        <v>97</v>
      </c>
      <c r="C78" s="1061"/>
      <c r="D78" s="1061"/>
      <c r="E78" s="1061"/>
      <c r="F78" s="1061"/>
      <c r="G78" s="1061"/>
      <c r="H78" s="1061" t="s">
        <v>98</v>
      </c>
      <c r="I78" s="1061"/>
      <c r="J78" s="1061" t="s">
        <v>99</v>
      </c>
      <c r="K78" s="1061"/>
      <c r="L78" s="1061"/>
      <c r="M78" s="1061"/>
      <c r="N78" s="1061"/>
      <c r="O78" s="1061"/>
      <c r="P78" s="1061"/>
      <c r="Q78" s="1061"/>
      <c r="R78" s="289" t="s">
        <v>100</v>
      </c>
      <c r="T78" s="1093"/>
      <c r="U78" s="1094"/>
    </row>
    <row r="79" spans="1:21">
      <c r="A79" s="1052"/>
      <c r="B79" s="1062" t="s">
        <v>101</v>
      </c>
      <c r="C79" s="1064" t="s">
        <v>102</v>
      </c>
      <c r="D79" s="1064" t="s">
        <v>103</v>
      </c>
      <c r="E79" s="1064"/>
      <c r="F79" s="1064"/>
      <c r="G79" s="1064"/>
      <c r="H79" s="1062" t="s">
        <v>101</v>
      </c>
      <c r="I79" s="1064" t="s">
        <v>102</v>
      </c>
      <c r="J79" s="1064" t="s">
        <v>104</v>
      </c>
      <c r="K79" s="1064"/>
      <c r="L79" s="1064"/>
      <c r="M79" s="1064" t="s">
        <v>105</v>
      </c>
      <c r="N79" s="1064"/>
      <c r="O79" s="1064"/>
      <c r="P79" s="1062" t="s">
        <v>101</v>
      </c>
      <c r="Q79" s="1064" t="s">
        <v>102</v>
      </c>
      <c r="R79" s="1062" t="s">
        <v>101</v>
      </c>
      <c r="T79" s="1093"/>
      <c r="U79" s="1094"/>
    </row>
    <row r="80" spans="1:21" ht="15.75" thickBot="1">
      <c r="A80" s="1053"/>
      <c r="B80" s="1086"/>
      <c r="C80" s="1087"/>
      <c r="D80" s="414" t="s">
        <v>106</v>
      </c>
      <c r="E80" s="414" t="s">
        <v>107</v>
      </c>
      <c r="F80" s="414" t="s">
        <v>108</v>
      </c>
      <c r="G80" s="414" t="s">
        <v>109</v>
      </c>
      <c r="H80" s="1086"/>
      <c r="I80" s="1087"/>
      <c r="J80" s="414" t="s">
        <v>110</v>
      </c>
      <c r="K80" s="414" t="s">
        <v>111</v>
      </c>
      <c r="L80" s="414" t="s">
        <v>112</v>
      </c>
      <c r="M80" s="414" t="s">
        <v>113</v>
      </c>
      <c r="N80" s="414" t="s">
        <v>114</v>
      </c>
      <c r="O80" s="414" t="s">
        <v>115</v>
      </c>
      <c r="P80" s="1086"/>
      <c r="Q80" s="1087"/>
      <c r="R80" s="1086"/>
      <c r="T80" s="1095"/>
      <c r="U80" s="1096"/>
    </row>
    <row r="81" spans="1:21" ht="15.75" thickBot="1">
      <c r="A81" s="268" t="s">
        <v>11</v>
      </c>
      <c r="B81" s="417">
        <f>DIST_TOT!B81*COMB_TOT!B81*TAX_TOT!B81/FRO_TOT!B81</f>
        <v>9013.3033183752614</v>
      </c>
      <c r="C81" s="418">
        <f>DIST_TOT!C81*COMB_TOT!C81*TAX_TOT!C81/FRO_TOT!C81</f>
        <v>8944.2009769744454</v>
      </c>
      <c r="D81" s="418">
        <f>DIST_TOT!D81*COMB_TOT!D81*TAX_TOT!D81/FRO_TOT!D81</f>
        <v>6725.1179755319454</v>
      </c>
      <c r="E81" s="418">
        <f>DIST_TOT!E81*COMB_TOT!E81*TAX_TOT!E81/FRO_TOT!E81</f>
        <v>15467.771343723472</v>
      </c>
      <c r="F81" s="418">
        <f>DIST_TOT!F81*COMB_TOT!F81*TAX_TOT!F81/FRO_TOT!F81</f>
        <v>6725.1179755319436</v>
      </c>
      <c r="G81" s="418">
        <f>DIST_TOT!G81*COMB_TOT!G81*TAX_TOT!G81/FRO_TOT!G81</f>
        <v>4483.4119836879645</v>
      </c>
      <c r="H81" s="418">
        <f>DIST_TOT!H81*COMB_TOT!H81*TAX_TOT!H81/FRO_TOT!H81</f>
        <v>9517.9929694400798</v>
      </c>
      <c r="I81" s="418">
        <f>DIST_TOT!I81*COMB_TOT!I81*TAX_TOT!I81/FRO_TOT!I81</f>
        <v>9644.9810403704487</v>
      </c>
      <c r="J81" s="418">
        <f>DIST_TOT!J81*COMB_TOT!J81*TAX_TOT!J81/FRO_TOT!J81</f>
        <v>28072.594826896009</v>
      </c>
      <c r="K81" s="418">
        <f>DIST_TOT!K81*COMB_TOT!K81*TAX_TOT!K81/FRO_TOT!K81</f>
        <v>42108.898398618636</v>
      </c>
      <c r="L81" s="418">
        <f>DIST_TOT!L81*COMB_TOT!L81*TAX_TOT!L81/FRO_TOT!L81</f>
        <v>55640.127901633845</v>
      </c>
      <c r="M81" s="418">
        <f>DIST_TOT!M81*COMB_TOT!M81*TAX_TOT!M81/FRO_TOT!M81</f>
        <v>32332.371913132029</v>
      </c>
      <c r="N81" s="418">
        <f>DIST_TOT!N81*COMB_TOT!N81*TAX_TOT!N81/FRO_TOT!N81</f>
        <v>113821.55441450501</v>
      </c>
      <c r="O81" s="418">
        <f>DIST_TOT!O81*COMB_TOT!O81*TAX_TOT!O81/FRO_TOT!O81</f>
        <v>63026.700165385228</v>
      </c>
      <c r="P81" s="418">
        <f>DIST_TOT!P81*COMB_TOT!P81*TAX_TOT!P81/FRO_TOT!P81</f>
        <v>15060.542290476478</v>
      </c>
      <c r="Q81" s="418">
        <f>DIST_TOT!Q81*COMB_TOT!Q81*TAX_TOT!Q81/FRO_TOT!Q81</f>
        <v>15060.542290476473</v>
      </c>
      <c r="R81" s="419">
        <f>DIST_TOT!R81*COMB_TOT!R81*TAX_TOT!R81/FRO_TOT!R81</f>
        <v>16312.957142447409</v>
      </c>
      <c r="T81" s="268" t="s">
        <v>11</v>
      </c>
      <c r="U81" s="697">
        <f>SUMPRODUCT(B81:R81,FRO_TOT!B81:R81)/SUM(FRO_TOT!B81:R81)</f>
        <v>12600.846233770917</v>
      </c>
    </row>
    <row r="82" spans="1:21" ht="15.75" thickBot="1">
      <c r="A82" s="324" t="s">
        <v>46</v>
      </c>
      <c r="B82" s="420">
        <f>DIST_TOT!B82*COMB_TOT!B82*TAX_TOT!B82/FRO_TOT!B82</f>
        <v>14484.052100028308</v>
      </c>
      <c r="C82" s="415">
        <f>DIST_TOT!C82*COMB_TOT!C82*TAX_TOT!C82/FRO_TOT!C82</f>
        <v>14935.724872452423</v>
      </c>
      <c r="D82" s="415">
        <f>DIST_TOT!D82*COMB_TOT!D82*TAX_TOT!D82/FRO_TOT!D82</f>
        <v>6749.6948989752445</v>
      </c>
      <c r="E82" s="415">
        <f>DIST_TOT!E82*COMB_TOT!E82*TAX_TOT!E82/FRO_TOT!E82</f>
        <v>15524.298267643062</v>
      </c>
      <c r="F82" s="415">
        <f>DIST_TOT!F82*COMB_TOT!F82*TAX_TOT!F82/FRO_TOT!F82</f>
        <v>6749.6948989752455</v>
      </c>
      <c r="G82" s="415">
        <f>DIST_TOT!G82*COMB_TOT!G82*TAX_TOT!G82/FRO_TOT!G82</f>
        <v>4499.79659931683</v>
      </c>
      <c r="H82" s="415">
        <f>DIST_TOT!H82*COMB_TOT!H82*TAX_TOT!H82/FRO_TOT!H82</f>
        <v>11977.278252958755</v>
      </c>
      <c r="I82" s="415">
        <f>DIST_TOT!I82*COMB_TOT!I82*TAX_TOT!I82/FRO_TOT!I82</f>
        <v>11977.278252958755</v>
      </c>
      <c r="J82" s="415">
        <f>DIST_TOT!J82*COMB_TOT!J82*TAX_TOT!J82/FRO_TOT!J82</f>
        <v>71419.150139539212</v>
      </c>
      <c r="K82" s="415">
        <f>DIST_TOT!K82*COMB_TOT!K82*TAX_TOT!K82/FRO_TOT!K82</f>
        <v>107128.7252093088</v>
      </c>
      <c r="L82" s="415">
        <f>DIST_TOT!L82*COMB_TOT!L82*TAX_TOT!L82/FRO_TOT!L82</f>
        <v>142838.30027907842</v>
      </c>
      <c r="M82" s="415">
        <f>DIST_TOT!M82*COMB_TOT!M82*TAX_TOT!M82/FRO_TOT!M82</f>
        <v>50892.205694242366</v>
      </c>
      <c r="N82" s="415">
        <f>DIST_TOT!N82*COMB_TOT!N82*TAX_TOT!N82/FRO_TOT!N82</f>
        <v>131507.00933012905</v>
      </c>
      <c r="O82" s="415">
        <f>DIST_TOT!O82*COMB_TOT!O82*TAX_TOT!O82/FRO_TOT!O82</f>
        <v>100982.82231746464</v>
      </c>
      <c r="P82" s="415">
        <f>DIST_TOT!P82*COMB_TOT!P82*TAX_TOT!P82/FRO_TOT!P82</f>
        <v>17400.631064111487</v>
      </c>
      <c r="Q82" s="415">
        <f>DIST_TOT!Q82*COMB_TOT!Q82*TAX_TOT!Q82/FRO_TOT!Q82</f>
        <v>17400.631064111494</v>
      </c>
      <c r="R82" s="421">
        <f>DIST_TOT!R82*COMB_TOT!R82*TAX_TOT!R82/FRO_TOT!R82</f>
        <v>27235.346496646347</v>
      </c>
      <c r="T82" s="268" t="s">
        <v>46</v>
      </c>
      <c r="U82" s="697">
        <f>SUMPRODUCT(B82:R82,FRO_TOT!B82:R82)/SUM(FRO_TOT!B82:R82)</f>
        <v>18587.388698852381</v>
      </c>
    </row>
    <row r="83" spans="1:21" s="1" customFormat="1">
      <c r="A83" s="130" t="s">
        <v>13</v>
      </c>
      <c r="B83" s="422">
        <f>DIST_TOT!B83*COMB_TOT!B83*TAX_TOT!B83/FRO_TOT!B83</f>
        <v>13817.027061866906</v>
      </c>
      <c r="C83" s="416">
        <f>DIST_TOT!C83*COMB_TOT!C83*TAX_TOT!C83/FRO_TOT!C83</f>
        <v>14270.767813371674</v>
      </c>
      <c r="D83" s="416">
        <f>DIST_TOT!D83*COMB_TOT!D83*TAX_TOT!D83/FRO_TOT!D83</f>
        <v>6449.1900819647844</v>
      </c>
      <c r="E83" s="416">
        <f>DIST_TOT!E83*COMB_TOT!E83*TAX_TOT!E83/FRO_TOT!E83</f>
        <v>14833.137188519</v>
      </c>
      <c r="F83" s="416">
        <f>DIST_TOT!F83*COMB_TOT!F83*TAX_TOT!F83/FRO_TOT!F83</f>
        <v>6449.1900819647844</v>
      </c>
      <c r="G83" s="416">
        <f>DIST_TOT!G83*COMB_TOT!G83*TAX_TOT!G83/FRO_TOT!G83</f>
        <v>4299.4600546431893</v>
      </c>
      <c r="H83" s="416">
        <f>DIST_TOT!H83*COMB_TOT!H83*TAX_TOT!H83/FRO_TOT!H83</f>
        <v>12002.838300940324</v>
      </c>
      <c r="I83" s="416">
        <f>DIST_TOT!I83*COMB_TOT!I83*TAX_TOT!I83/FRO_TOT!I83</f>
        <v>12002.838300940324</v>
      </c>
      <c r="J83" s="416">
        <f>DIST_TOT!J83*COMB_TOT!J83*TAX_TOT!J83/FRO_TOT!J83</f>
        <v>67504.036798677873</v>
      </c>
      <c r="K83" s="416">
        <f>DIST_TOT!K83*COMB_TOT!K83*TAX_TOT!K83/FRO_TOT!K83</f>
        <v>101256.05519801679</v>
      </c>
      <c r="L83" s="416">
        <f>DIST_TOT!L83*COMB_TOT!L83*TAX_TOT!L83/FRO_TOT!L83</f>
        <v>135008.07359735572</v>
      </c>
      <c r="M83" s="416">
        <f>DIST_TOT!M83*COMB_TOT!M83*TAX_TOT!M83/FRO_TOT!M83</f>
        <v>48102.35516997688</v>
      </c>
      <c r="N83" s="416">
        <f>DIST_TOT!N83*COMB_TOT!N83*TAX_TOT!N83/FRO_TOT!N83</f>
        <v>124297.95061633561</v>
      </c>
      <c r="O83" s="416">
        <f>DIST_TOT!O83*COMB_TOT!O83*TAX_TOT!O83/FRO_TOT!O83</f>
        <v>95447.063433741132</v>
      </c>
      <c r="P83" s="416">
        <f>DIST_TOT!P83*COMB_TOT!P83*TAX_TOT!P83/FRO_TOT!P83</f>
        <v>16446.749049478087</v>
      </c>
      <c r="Q83" s="416">
        <f>DIST_TOT!Q83*COMB_TOT!Q83*TAX_TOT!Q83/FRO_TOT!Q83</f>
        <v>16446.749049478087</v>
      </c>
      <c r="R83" s="423">
        <v>0</v>
      </c>
      <c r="T83" s="190" t="s">
        <v>13</v>
      </c>
      <c r="U83" s="699">
        <f>SUMPRODUCT(B83:R83,FRO_TOT!B83:R83)/SUM(FRO_TOT!B83:R83)</f>
        <v>16704.679427233812</v>
      </c>
    </row>
    <row r="84" spans="1:21" s="1" customFormat="1">
      <c r="A84" s="130" t="s">
        <v>14</v>
      </c>
      <c r="B84" s="422">
        <f>DIST_TOT!B84*COMB_TOT!B84*TAX_TOT!B84/FRO_TOT!B84</f>
        <v>15232.567204129367</v>
      </c>
      <c r="C84" s="416">
        <f>DIST_TOT!C84*COMB_TOT!C84*TAX_TOT!C84/FRO_TOT!C84</f>
        <v>15486.841214068303</v>
      </c>
      <c r="D84" s="416">
        <f>DIST_TOT!D84*COMB_TOT!D84*TAX_TOT!D84/FRO_TOT!D84</f>
        <v>6998.7532601537878</v>
      </c>
      <c r="E84" s="416">
        <f>DIST_TOT!E84*COMB_TOT!E84*TAX_TOT!E84/FRO_TOT!E84</f>
        <v>16097.132498353714</v>
      </c>
      <c r="F84" s="416">
        <f>DIST_TOT!F84*COMB_TOT!F84*TAX_TOT!F84/FRO_TOT!F84</f>
        <v>6998.7532601537869</v>
      </c>
      <c r="G84" s="416">
        <f>DIST_TOT!G84*COMB_TOT!G84*TAX_TOT!G84/FRO_TOT!G84</f>
        <v>4665.8355067691928</v>
      </c>
      <c r="H84" s="416">
        <f>DIST_TOT!H84*COMB_TOT!H84*TAX_TOT!H84/FRO_TOT!H84</f>
        <v>15624.287907362179</v>
      </c>
      <c r="I84" s="416">
        <f>DIST_TOT!I84*COMB_TOT!I84*TAX_TOT!I84/FRO_TOT!I84</f>
        <v>15624.287907362179</v>
      </c>
      <c r="J84" s="416">
        <f>DIST_TOT!J84*COMB_TOT!J84*TAX_TOT!J84/FRO_TOT!J84</f>
        <v>124567.57722796159</v>
      </c>
      <c r="K84" s="416">
        <f>DIST_TOT!K84*COMB_TOT!K84*TAX_TOT!K84/FRO_TOT!K84</f>
        <v>186851.36584194234</v>
      </c>
      <c r="L84" s="416">
        <f>DIST_TOT!L84*COMB_TOT!L84*TAX_TOT!L84/FRO_TOT!L84</f>
        <v>249135.15445592321</v>
      </c>
      <c r="M84" s="416">
        <f>DIST_TOT!M84*COMB_TOT!M84*TAX_TOT!M84/FRO_TOT!M84</f>
        <v>88764.970609880504</v>
      </c>
      <c r="N84" s="416">
        <f>DIST_TOT!N84*COMB_TOT!N84*TAX_TOT!N84/FRO_TOT!N84</f>
        <v>229371.38720837212</v>
      </c>
      <c r="O84" s="416">
        <f>DIST_TOT!O84*COMB_TOT!O84*TAX_TOT!O84/FRO_TOT!O84</f>
        <v>176131.82869231855</v>
      </c>
      <c r="P84" s="416">
        <f>DIST_TOT!P84*COMB_TOT!P84*TAX_TOT!P84/FRO_TOT!P84</f>
        <v>30349.765429286028</v>
      </c>
      <c r="Q84" s="416">
        <f>DIST_TOT!Q84*COMB_TOT!Q84*TAX_TOT!Q84/FRO_TOT!Q84</f>
        <v>30349.765429286028</v>
      </c>
      <c r="R84" s="423">
        <v>0</v>
      </c>
      <c r="T84" s="130" t="s">
        <v>14</v>
      </c>
      <c r="U84" s="700">
        <f>SUMPRODUCT(B84:R84,FRO_TOT!B84:R84)/SUM(FRO_TOT!B84:R84)</f>
        <v>20973.963528808701</v>
      </c>
    </row>
    <row r="85" spans="1:21" s="1" customFormat="1">
      <c r="A85" s="130" t="s">
        <v>15</v>
      </c>
      <c r="B85" s="422">
        <f>DIST_TOT!B85*COMB_TOT!B85*TAX_TOT!B85/FRO_TOT!B85</f>
        <v>15390.595453454058</v>
      </c>
      <c r="C85" s="416">
        <f>DIST_TOT!C85*COMB_TOT!C85*TAX_TOT!C85/FRO_TOT!C85</f>
        <v>15845.434157248395</v>
      </c>
      <c r="D85" s="416">
        <f>DIST_TOT!D85*COMB_TOT!D85*TAX_TOT!D85/FRO_TOT!D85</f>
        <v>7160.8071932612047</v>
      </c>
      <c r="E85" s="416">
        <f>DIST_TOT!E85*COMB_TOT!E85*TAX_TOT!E85/FRO_TOT!E85</f>
        <v>16469.856544500773</v>
      </c>
      <c r="F85" s="416">
        <f>DIST_TOT!F85*COMB_TOT!F85*TAX_TOT!F85/FRO_TOT!F85</f>
        <v>7160.8071932612038</v>
      </c>
      <c r="G85" s="416">
        <f>DIST_TOT!G85*COMB_TOT!G85*TAX_TOT!G85/FRO_TOT!G85</f>
        <v>4773.8714621741365</v>
      </c>
      <c r="H85" s="416">
        <f>DIST_TOT!H85*COMB_TOT!H85*TAX_TOT!H85/FRO_TOT!H85</f>
        <v>15442.957558026426</v>
      </c>
      <c r="I85" s="416">
        <f>DIST_TOT!I85*COMB_TOT!I85*TAX_TOT!I85/FRO_TOT!I85</f>
        <v>15442.957558026426</v>
      </c>
      <c r="J85" s="416">
        <f>DIST_TOT!J85*COMB_TOT!J85*TAX_TOT!J85/FRO_TOT!J85</f>
        <v>67540.823242691433</v>
      </c>
      <c r="K85" s="416">
        <f>DIST_TOT!K85*COMB_TOT!K85*TAX_TOT!K85/FRO_TOT!K85</f>
        <v>101311.23486403715</v>
      </c>
      <c r="L85" s="416">
        <f>DIST_TOT!L85*COMB_TOT!L85*TAX_TOT!L85/FRO_TOT!L85</f>
        <v>135081.64648538284</v>
      </c>
      <c r="M85" s="416">
        <f>DIST_TOT!M85*COMB_TOT!M85*TAX_TOT!M85/FRO_TOT!M85</f>
        <v>48128.568633338466</v>
      </c>
      <c r="N85" s="416">
        <f>DIST_TOT!N85*COMB_TOT!N85*TAX_TOT!N85/FRO_TOT!N85</f>
        <v>124365.68700393839</v>
      </c>
      <c r="O85" s="416">
        <f>DIST_TOT!O85*COMB_TOT!O85*TAX_TOT!O85/FRO_TOT!O85</f>
        <v>95499.077479445332</v>
      </c>
      <c r="P85" s="416">
        <f>DIST_TOT!P85*COMB_TOT!P85*TAX_TOT!P85/FRO_TOT!P85</f>
        <v>16455.711734404886</v>
      </c>
      <c r="Q85" s="416">
        <f>DIST_TOT!Q85*COMB_TOT!Q85*TAX_TOT!Q85/FRO_TOT!Q85</f>
        <v>16455.711734404889</v>
      </c>
      <c r="R85" s="423">
        <f>DIST_TOT!R85*COMB_TOT!R85*TAX_TOT!R85/FRO_TOT!R85</f>
        <v>71091.974696664402</v>
      </c>
      <c r="T85" s="130" t="s">
        <v>15</v>
      </c>
      <c r="U85" s="700">
        <f>SUMPRODUCT(B85:R85,FRO_TOT!B85:R85)/SUM(FRO_TOT!B85:R85)</f>
        <v>19136.644961735936</v>
      </c>
    </row>
    <row r="86" spans="1:21" s="1" customFormat="1">
      <c r="A86" s="130" t="s">
        <v>16</v>
      </c>
      <c r="B86" s="422">
        <f>DIST_TOT!B86*COMB_TOT!B86*TAX_TOT!B86/FRO_TOT!B86</f>
        <v>14830.446000733244</v>
      </c>
      <c r="C86" s="416">
        <f>DIST_TOT!C86*COMB_TOT!C86*TAX_TOT!C86/FRO_TOT!C86</f>
        <v>15462.21312222598</v>
      </c>
      <c r="D86" s="416">
        <f>DIST_TOT!D86*COMB_TOT!D86*TAX_TOT!D86/FRO_TOT!D86</f>
        <v>6987.6234283378417</v>
      </c>
      <c r="E86" s="416">
        <f>DIST_TOT!E86*COMB_TOT!E86*TAX_TOT!E86/FRO_TOT!E86</f>
        <v>16071.533885177036</v>
      </c>
      <c r="F86" s="416">
        <f>DIST_TOT!F86*COMB_TOT!F86*TAX_TOT!F86/FRO_TOT!F86</f>
        <v>6987.6234283378417</v>
      </c>
      <c r="G86" s="416">
        <f>DIST_TOT!G86*COMB_TOT!G86*TAX_TOT!G86/FRO_TOT!G86</f>
        <v>4658.4156188918942</v>
      </c>
      <c r="H86" s="416">
        <f>DIST_TOT!H86*COMB_TOT!H86*TAX_TOT!H86/FRO_TOT!H86</f>
        <v>11609.498599765335</v>
      </c>
      <c r="I86" s="416">
        <f>DIST_TOT!I86*COMB_TOT!I86*TAX_TOT!I86/FRO_TOT!I86</f>
        <v>11609.498599765335</v>
      </c>
      <c r="J86" s="416">
        <f>DIST_TOT!J86*COMB_TOT!J86*TAX_TOT!J86/FRO_TOT!J86</f>
        <v>77477.108133347108</v>
      </c>
      <c r="K86" s="416">
        <f>DIST_TOT!K86*COMB_TOT!K86*TAX_TOT!K86/FRO_TOT!K86</f>
        <v>116215.6622000207</v>
      </c>
      <c r="L86" s="416">
        <f>DIST_TOT!L86*COMB_TOT!L86*TAX_TOT!L86/FRO_TOT!L86</f>
        <v>154954.21626669425</v>
      </c>
      <c r="M86" s="416">
        <f>DIST_TOT!M86*COMB_TOT!M86*TAX_TOT!M86/FRO_TOT!M86</f>
        <v>55209.014893253945</v>
      </c>
      <c r="N86" s="416">
        <f>DIST_TOT!N86*COMB_TOT!N86*TAX_TOT!N86/FRO_TOT!N86</f>
        <v>142661.77575981492</v>
      </c>
      <c r="O86" s="416">
        <f>DIST_TOT!O86*COMB_TOT!O86*TAX_TOT!O86/FRO_TOT!O86</f>
        <v>109548.44784647373</v>
      </c>
      <c r="P86" s="416">
        <f>DIST_TOT!P86*COMB_TOT!P86*TAX_TOT!P86/FRO_TOT!P86</f>
        <v>18876.597829974449</v>
      </c>
      <c r="Q86" s="416">
        <f>DIST_TOT!Q86*COMB_TOT!Q86*TAX_TOT!Q86/FRO_TOT!Q86</f>
        <v>18876.597829974449</v>
      </c>
      <c r="R86" s="423">
        <v>0</v>
      </c>
      <c r="T86" s="130" t="s">
        <v>16</v>
      </c>
      <c r="U86" s="700">
        <f>SUMPRODUCT(B86:R86,FRO_TOT!B86:R86)/SUM(FRO_TOT!B86:R86)</f>
        <v>19961.375778601345</v>
      </c>
    </row>
    <row r="87" spans="1:21" s="1" customFormat="1">
      <c r="A87" s="130" t="s">
        <v>17</v>
      </c>
      <c r="B87" s="422">
        <f>DIST_TOT!B87*COMB_TOT!B87*TAX_TOT!B87/FRO_TOT!B87</f>
        <v>12661.489040940725</v>
      </c>
      <c r="C87" s="416">
        <f>DIST_TOT!C87*COMB_TOT!C87*TAX_TOT!C87/FRO_TOT!C87</f>
        <v>13054.859612659897</v>
      </c>
      <c r="D87" s="416">
        <f>DIST_TOT!D87*COMB_TOT!D87*TAX_TOT!D87/FRO_TOT!D87</f>
        <v>5899.7015603126783</v>
      </c>
      <c r="E87" s="416">
        <f>DIST_TOT!E87*COMB_TOT!E87*TAX_TOT!E87/FRO_TOT!E87</f>
        <v>13569.31358871916</v>
      </c>
      <c r="F87" s="416">
        <f>DIST_TOT!F87*COMB_TOT!F87*TAX_TOT!F87/FRO_TOT!F87</f>
        <v>5899.7015603126783</v>
      </c>
      <c r="G87" s="416">
        <f>DIST_TOT!G87*COMB_TOT!G87*TAX_TOT!G87/FRO_TOT!G87</f>
        <v>3933.1343735417863</v>
      </c>
      <c r="H87" s="416">
        <f>DIST_TOT!H87*COMB_TOT!H87*TAX_TOT!H87/FRO_TOT!H87</f>
        <v>9166.2838851597735</v>
      </c>
      <c r="I87" s="416">
        <f>DIST_TOT!I87*COMB_TOT!I87*TAX_TOT!I87/FRO_TOT!I87</f>
        <v>9166.2838851597771</v>
      </c>
      <c r="J87" s="416">
        <f>DIST_TOT!J87*COMB_TOT!J87*TAX_TOT!J87/FRO_TOT!J87</f>
        <v>63949.00493306655</v>
      </c>
      <c r="K87" s="416">
        <f>DIST_TOT!K87*COMB_TOT!K87*TAX_TOT!K87/FRO_TOT!K87</f>
        <v>95923.507399599825</v>
      </c>
      <c r="L87" s="416">
        <f>DIST_TOT!L87*COMB_TOT!L87*TAX_TOT!L87/FRO_TOT!L87</f>
        <v>127898.00986613311</v>
      </c>
      <c r="M87" s="416">
        <f>DIST_TOT!M87*COMB_TOT!M87*TAX_TOT!M87/FRO_TOT!M87</f>
        <v>45569.093256319436</v>
      </c>
      <c r="N87" s="416">
        <f>DIST_TOT!N87*COMB_TOT!N87*TAX_TOT!N87/FRO_TOT!N87</f>
        <v>117751.92468622548</v>
      </c>
      <c r="O87" s="416">
        <f>DIST_TOT!O87*COMB_TOT!O87*TAX_TOT!O87/FRO_TOT!O87</f>
        <v>90420.440314920197</v>
      </c>
      <c r="P87" s="416">
        <f>DIST_TOT!P87*COMB_TOT!P87*TAX_TOT!P87/FRO_TOT!P87</f>
        <v>15580.597634993315</v>
      </c>
      <c r="Q87" s="416">
        <f>DIST_TOT!Q87*COMB_TOT!Q87*TAX_TOT!Q87/FRO_TOT!Q87</f>
        <v>15580.597634993312</v>
      </c>
      <c r="R87" s="423">
        <v>0</v>
      </c>
      <c r="T87" s="130" t="s">
        <v>17</v>
      </c>
      <c r="U87" s="700">
        <f>SUMPRODUCT(B87:R87,FRO_TOT!B87:R87)/SUM(FRO_TOT!B87:R87)</f>
        <v>16226.686873644907</v>
      </c>
    </row>
    <row r="88" spans="1:21" s="1" customFormat="1">
      <c r="A88" s="130" t="s">
        <v>18</v>
      </c>
      <c r="B88" s="422">
        <f>DIST_TOT!B88*COMB_TOT!B88*TAX_TOT!B88/FRO_TOT!B88</f>
        <v>13111.249220937751</v>
      </c>
      <c r="C88" s="416">
        <f>DIST_TOT!C88*COMB_TOT!C88*TAX_TOT!C88/FRO_TOT!C88</f>
        <v>13418.141507378879</v>
      </c>
      <c r="D88" s="416">
        <f>DIST_TOT!D88*COMB_TOT!D88*TAX_TOT!D88/FRO_TOT!D88</f>
        <v>6063.8745062268981</v>
      </c>
      <c r="E88" s="416">
        <f>DIST_TOT!E88*COMB_TOT!E88*TAX_TOT!E88/FRO_TOT!E88</f>
        <v>13946.911364321866</v>
      </c>
      <c r="F88" s="416">
        <f>DIST_TOT!F88*COMB_TOT!F88*TAX_TOT!F88/FRO_TOT!F88</f>
        <v>6063.8745062268999</v>
      </c>
      <c r="G88" s="416">
        <f>DIST_TOT!G88*COMB_TOT!G88*TAX_TOT!G88/FRO_TOT!G88</f>
        <v>4042.5830041512659</v>
      </c>
      <c r="H88" s="416">
        <f>DIST_TOT!H88*COMB_TOT!H88*TAX_TOT!H88/FRO_TOT!H88</f>
        <v>13970.092456796998</v>
      </c>
      <c r="I88" s="416">
        <f>DIST_TOT!I88*COMB_TOT!I88*TAX_TOT!I88/FRO_TOT!I88</f>
        <v>13970.092456796994</v>
      </c>
      <c r="J88" s="416">
        <f>DIST_TOT!J88*COMB_TOT!J88*TAX_TOT!J88/FRO_TOT!J88</f>
        <v>60513.338372676</v>
      </c>
      <c r="K88" s="416">
        <f>DIST_TOT!K88*COMB_TOT!K88*TAX_TOT!K88/FRO_TOT!K88</f>
        <v>90770.007559014033</v>
      </c>
      <c r="L88" s="416">
        <f>DIST_TOT!L88*COMB_TOT!L88*TAX_TOT!L88/FRO_TOT!L88</f>
        <v>121026.67674535203</v>
      </c>
      <c r="M88" s="416">
        <f>DIST_TOT!M88*COMB_TOT!M88*TAX_TOT!M88/FRO_TOT!M88</f>
        <v>43120.889252958921</v>
      </c>
      <c r="N88" s="416">
        <f>DIST_TOT!N88*COMB_TOT!N88*TAX_TOT!N88/FRO_TOT!N88</f>
        <v>111425.69098658422</v>
      </c>
      <c r="O88" s="416">
        <f>DIST_TOT!O88*COMB_TOT!O88*TAX_TOT!O88/FRO_TOT!O88</f>
        <v>85562.593293048412</v>
      </c>
      <c r="P88" s="416">
        <f>DIST_TOT!P88*COMB_TOT!P88*TAX_TOT!P88/FRO_TOT!P88</f>
        <v>14743.528499336324</v>
      </c>
      <c r="Q88" s="416">
        <f>DIST_TOT!Q88*COMB_TOT!Q88*TAX_TOT!Q88/FRO_TOT!Q88</f>
        <v>14743.528499336326</v>
      </c>
      <c r="R88" s="423">
        <v>0</v>
      </c>
      <c r="T88" s="130" t="s">
        <v>18</v>
      </c>
      <c r="U88" s="700">
        <f>SUMPRODUCT(B88:R88,FRO_TOT!B88:R88)/SUM(FRO_TOT!B88:R88)</f>
        <v>15114.683399780657</v>
      </c>
    </row>
    <row r="89" spans="1:21" s="1" customFormat="1" ht="15.75" thickBot="1">
      <c r="A89" s="131" t="s">
        <v>19</v>
      </c>
      <c r="B89" s="422">
        <f>DIST_TOT!B89*COMB_TOT!B89*TAX_TOT!B89/FRO_TOT!B89</f>
        <v>14931.755057865206</v>
      </c>
      <c r="C89" s="416">
        <f>DIST_TOT!C89*COMB_TOT!C89*TAX_TOT!C89/FRO_TOT!C89</f>
        <v>15045.505189675949</v>
      </c>
      <c r="D89" s="416">
        <f>DIST_TOT!D89*COMB_TOT!D89*TAX_TOT!D89/FRO_TOT!D89</f>
        <v>6799.3063944667165</v>
      </c>
      <c r="E89" s="416">
        <f>DIST_TOT!E89*COMB_TOT!E89*TAX_TOT!E89/FRO_TOT!E89</f>
        <v>15638.404707273448</v>
      </c>
      <c r="F89" s="416">
        <f>DIST_TOT!F89*COMB_TOT!F89*TAX_TOT!F89/FRO_TOT!F89</f>
        <v>6799.3063944667147</v>
      </c>
      <c r="G89" s="416">
        <f>DIST_TOT!G89*COMB_TOT!G89*TAX_TOT!G89/FRO_TOT!G89</f>
        <v>4532.8709296444758</v>
      </c>
      <c r="H89" s="416">
        <f>DIST_TOT!H89*COMB_TOT!H89*TAX_TOT!H89/FRO_TOT!H89</f>
        <v>11538.613324373424</v>
      </c>
      <c r="I89" s="416">
        <f>DIST_TOT!I89*COMB_TOT!I89*TAX_TOT!I89/FRO_TOT!I89</f>
        <v>11538.613324373424</v>
      </c>
      <c r="J89" s="416">
        <f>DIST_TOT!J89*COMB_TOT!J89*TAX_TOT!J89/FRO_TOT!J89</f>
        <v>65407.026761907138</v>
      </c>
      <c r="K89" s="416">
        <f>DIST_TOT!K89*COMB_TOT!K89*TAX_TOT!K89/FRO_TOT!K89</f>
        <v>98110.540142860715</v>
      </c>
      <c r="L89" s="416">
        <f>DIST_TOT!L89*COMB_TOT!L89*TAX_TOT!L89/FRO_TOT!L89</f>
        <v>130814.05352381429</v>
      </c>
      <c r="M89" s="416">
        <f>DIST_TOT!M89*COMB_TOT!M89*TAX_TOT!M89/FRO_TOT!M89</f>
        <v>46608.057549160716</v>
      </c>
      <c r="N89" s="416">
        <f>DIST_TOT!N89*COMB_TOT!N89*TAX_TOT!N89/FRO_TOT!N89</f>
        <v>120436.64005842253</v>
      </c>
      <c r="O89" s="416">
        <f>DIST_TOT!O89*COMB_TOT!O89*TAX_TOT!O89/FRO_TOT!O89</f>
        <v>92482.004461078832</v>
      </c>
      <c r="P89" s="416">
        <f>DIST_TOT!P89*COMB_TOT!P89*TAX_TOT!P89/FRO_TOT!P89</f>
        <v>15935.831488623709</v>
      </c>
      <c r="Q89" s="416">
        <f>DIST_TOT!Q89*COMB_TOT!Q89*TAX_TOT!Q89/FRO_TOT!Q89</f>
        <v>15935.831488623708</v>
      </c>
      <c r="R89" s="423">
        <v>0</v>
      </c>
      <c r="T89" s="210" t="s">
        <v>19</v>
      </c>
      <c r="U89" s="701">
        <f>SUMPRODUCT(B89:R89,FRO_TOT!B89:R89)/SUM(FRO_TOT!B89:R89)</f>
        <v>18533.875488904632</v>
      </c>
    </row>
    <row r="90" spans="1:21" ht="15.75" thickBot="1">
      <c r="A90" s="324" t="s">
        <v>54</v>
      </c>
      <c r="B90" s="420">
        <f>DIST_TOT!B90*COMB_TOT!B90*TAX_TOT!B90/FRO_TOT!B90</f>
        <v>11293.456661787097</v>
      </c>
      <c r="C90" s="415">
        <f>DIST_TOT!C90*COMB_TOT!C90*TAX_TOT!C90/FRO_TOT!C90</f>
        <v>11714.318062980661</v>
      </c>
      <c r="D90" s="415">
        <f>DIST_TOT!D90*COMB_TOT!D90*TAX_TOT!D90/FRO_TOT!D90</f>
        <v>6960.6548464866883</v>
      </c>
      <c r="E90" s="415">
        <f>DIST_TOT!E90*COMB_TOT!E90*TAX_TOT!E90/FRO_TOT!E90</f>
        <v>16009.506146919381</v>
      </c>
      <c r="F90" s="415">
        <f>DIST_TOT!F90*COMB_TOT!F90*TAX_TOT!F90/FRO_TOT!F90</f>
        <v>6960.6548464866892</v>
      </c>
      <c r="G90" s="415">
        <f>DIST_TOT!G90*COMB_TOT!G90*TAX_TOT!G90/FRO_TOT!G90</f>
        <v>4640.4365643244582</v>
      </c>
      <c r="H90" s="415">
        <f>DIST_TOT!H90*COMB_TOT!H90*TAX_TOT!H90/FRO_TOT!H90</f>
        <v>9505.3932666137443</v>
      </c>
      <c r="I90" s="415">
        <f>DIST_TOT!I90*COMB_TOT!I90*TAX_TOT!I90/FRO_TOT!I90</f>
        <v>9505.3932666137425</v>
      </c>
      <c r="J90" s="415">
        <f>DIST_TOT!J90*COMB_TOT!J90*TAX_TOT!J90/FRO_TOT!J90</f>
        <v>26615.04755400851</v>
      </c>
      <c r="K90" s="415">
        <f>DIST_TOT!K90*COMB_TOT!K90*TAX_TOT!K90/FRO_TOT!K90</f>
        <v>39922.571331012768</v>
      </c>
      <c r="L90" s="415">
        <f>DIST_TOT!L90*COMB_TOT!L90*TAX_TOT!L90/FRO_TOT!L90</f>
        <v>53230.095108017027</v>
      </c>
      <c r="M90" s="415">
        <f>DIST_TOT!M90*COMB_TOT!M90*TAX_TOT!M90/FRO_TOT!M90</f>
        <v>38872.482763673404</v>
      </c>
      <c r="N90" s="415">
        <f>DIST_TOT!N90*COMB_TOT!N90*TAX_TOT!N90/FRO_TOT!N90</f>
        <v>117688.81893016429</v>
      </c>
      <c r="O90" s="415">
        <f>DIST_TOT!O90*COMB_TOT!O90*TAX_TOT!O90/FRO_TOT!O90</f>
        <v>76667.365989137907</v>
      </c>
      <c r="P90" s="415">
        <f>DIST_TOT!P90*COMB_TOT!P90*TAX_TOT!P90/FRO_TOT!P90</f>
        <v>15572.247661977908</v>
      </c>
      <c r="Q90" s="415">
        <f>DIST_TOT!Q90*COMB_TOT!Q90*TAX_TOT!Q90/FRO_TOT!Q90</f>
        <v>15572.24766197791</v>
      </c>
      <c r="R90" s="421">
        <f>DIST_TOT!R90*COMB_TOT!R90*TAX_TOT!R90/FRO_TOT!R90</f>
        <v>18765.313780000786</v>
      </c>
      <c r="T90" s="268" t="s">
        <v>54</v>
      </c>
      <c r="U90" s="697">
        <f>SUMPRODUCT(B90:R90,FRO_TOT!B90:R90)/SUM(FRO_TOT!B90:R90)</f>
        <v>14739.084805374545</v>
      </c>
    </row>
    <row r="91" spans="1:21" s="1" customFormat="1">
      <c r="A91" s="130" t="s">
        <v>21</v>
      </c>
      <c r="B91" s="422">
        <f>DIST_TOT!B91*COMB_TOT!B91*TAX_TOT!B91/FRO_TOT!B91</f>
        <v>12559.273904810607</v>
      </c>
      <c r="C91" s="416">
        <f>DIST_TOT!C91*COMB_TOT!C91*TAX_TOT!C91/FRO_TOT!C91</f>
        <v>12864.947048852093</v>
      </c>
      <c r="D91" s="416">
        <f>DIST_TOT!D91*COMB_TOT!D91*TAX_TOT!D91/FRO_TOT!D91</f>
        <v>7644.3592827119865</v>
      </c>
      <c r="E91" s="416">
        <f>DIST_TOT!E91*COMB_TOT!E91*TAX_TOT!E91/FRO_TOT!E91</f>
        <v>17582.026350237571</v>
      </c>
      <c r="F91" s="416">
        <f>DIST_TOT!F91*COMB_TOT!F91*TAX_TOT!F91/FRO_TOT!F91</f>
        <v>7644.3592827119865</v>
      </c>
      <c r="G91" s="416">
        <f>DIST_TOT!G91*COMB_TOT!G91*TAX_TOT!G91/FRO_TOT!G91</f>
        <v>5096.239521807991</v>
      </c>
      <c r="H91" s="416">
        <f>DIST_TOT!H91*COMB_TOT!H91*TAX_TOT!H91/FRO_TOT!H91</f>
        <v>9211.772533068317</v>
      </c>
      <c r="I91" s="416">
        <f>DIST_TOT!I91*COMB_TOT!I91*TAX_TOT!I91/FRO_TOT!I91</f>
        <v>9211.772533068317</v>
      </c>
      <c r="J91" s="416">
        <f>DIST_TOT!J91*COMB_TOT!J91*TAX_TOT!J91/FRO_TOT!J91</f>
        <v>21511.398195439986</v>
      </c>
      <c r="K91" s="416">
        <f>DIST_TOT!K91*COMB_TOT!K91*TAX_TOT!K91/FRO_TOT!K91</f>
        <v>32267.097293159979</v>
      </c>
      <c r="L91" s="416">
        <f>DIST_TOT!L91*COMB_TOT!L91*TAX_TOT!L91/FRO_TOT!L91</f>
        <v>43022.796390879979</v>
      </c>
      <c r="M91" s="416">
        <f>DIST_TOT!M91*COMB_TOT!M91*TAX_TOT!M91/FRO_TOT!M91</f>
        <v>31418.371651521433</v>
      </c>
      <c r="N91" s="416">
        <f>DIST_TOT!N91*COMB_TOT!N91*TAX_TOT!N91/FRO_TOT!N91</f>
        <v>95121.041659627081</v>
      </c>
      <c r="O91" s="416">
        <f>DIST_TOT!O91*COMB_TOT!O91*TAX_TOT!O91/FRO_TOT!O91</f>
        <v>61965.782140392526</v>
      </c>
      <c r="P91" s="416">
        <f>DIST_TOT!P91*COMB_TOT!P91*TAX_TOT!P91/FRO_TOT!P91</f>
        <v>12586.143968935519</v>
      </c>
      <c r="Q91" s="416">
        <f>DIST_TOT!Q91*COMB_TOT!Q91*TAX_TOT!Q91/FRO_TOT!Q91</f>
        <v>12586.143968935517</v>
      </c>
      <c r="R91" s="423">
        <f>DIST_TOT!R91*COMB_TOT!R91*TAX_TOT!R91/FRO_TOT!R91</f>
        <v>27031.193948486201</v>
      </c>
      <c r="T91" s="190" t="s">
        <v>21</v>
      </c>
      <c r="U91" s="699">
        <f>SUMPRODUCT(B91:R91,FRO_TOT!B91:R91)/SUM(FRO_TOT!B91:R91)</f>
        <v>15582.379504282417</v>
      </c>
    </row>
    <row r="92" spans="1:21" s="1" customFormat="1">
      <c r="A92" s="130" t="s">
        <v>22</v>
      </c>
      <c r="B92" s="422">
        <f>DIST_TOT!B92*COMB_TOT!B92*TAX_TOT!B92/FRO_TOT!B92</f>
        <v>11751.105392371222</v>
      </c>
      <c r="C92" s="416">
        <f>DIST_TOT!C92*COMB_TOT!C92*TAX_TOT!C92/FRO_TOT!C92</f>
        <v>12027.480871195248</v>
      </c>
      <c r="D92" s="416">
        <f>DIST_TOT!D92*COMB_TOT!D92*TAX_TOT!D92/FRO_TOT!D92</f>
        <v>7146.7363756904097</v>
      </c>
      <c r="E92" s="416">
        <f>DIST_TOT!E92*COMB_TOT!E92*TAX_TOT!E92/FRO_TOT!E92</f>
        <v>16437.493664087946</v>
      </c>
      <c r="F92" s="416">
        <f>DIST_TOT!F92*COMB_TOT!F92*TAX_TOT!F92/FRO_TOT!F92</f>
        <v>7146.7363756904097</v>
      </c>
      <c r="G92" s="416">
        <f>DIST_TOT!G92*COMB_TOT!G92*TAX_TOT!G92/FRO_TOT!G92</f>
        <v>4764.4909171269401</v>
      </c>
      <c r="H92" s="416">
        <f>DIST_TOT!H92*COMB_TOT!H92*TAX_TOT!H92/FRO_TOT!H92</f>
        <v>10726.424209028082</v>
      </c>
      <c r="I92" s="416">
        <f>DIST_TOT!I92*COMB_TOT!I92*TAX_TOT!I92/FRO_TOT!I92</f>
        <v>10726.424209028082</v>
      </c>
      <c r="J92" s="416">
        <f>DIST_TOT!J92*COMB_TOT!J92*TAX_TOT!J92/FRO_TOT!J92</f>
        <v>31671.24926374108</v>
      </c>
      <c r="K92" s="416">
        <f>DIST_TOT!K92*COMB_TOT!K92*TAX_TOT!K92/FRO_TOT!K92</f>
        <v>47506.873895611621</v>
      </c>
      <c r="L92" s="416">
        <f>DIST_TOT!L92*COMB_TOT!L92*TAX_TOT!L92/FRO_TOT!L92</f>
        <v>63342.498527482159</v>
      </c>
      <c r="M92" s="416">
        <f>DIST_TOT!M92*COMB_TOT!M92*TAX_TOT!M92/FRO_TOT!M92</f>
        <v>46257.294435055628</v>
      </c>
      <c r="N92" s="416">
        <f>DIST_TOT!N92*COMB_TOT!N92*TAX_TOT!N92/FRO_TOT!N92</f>
        <v>140046.78790555621</v>
      </c>
      <c r="O92" s="416">
        <f>DIST_TOT!O92*COMB_TOT!O92*TAX_TOT!O92/FRO_TOT!O92</f>
        <v>91232.272033673158</v>
      </c>
      <c r="P92" s="416">
        <f>DIST_TOT!P92*COMB_TOT!P92*TAX_TOT!P92/FRO_TOT!P92</f>
        <v>18530.590121937679</v>
      </c>
      <c r="Q92" s="416">
        <f>DIST_TOT!Q92*COMB_TOT!Q92*TAX_TOT!Q92/FRO_TOT!Q92</f>
        <v>18530.590121937676</v>
      </c>
      <c r="R92" s="423">
        <f>DIST_TOT!R92*COMB_TOT!R92*TAX_TOT!R92/FRO_TOT!R92</f>
        <v>13967.359401076805</v>
      </c>
      <c r="T92" s="130" t="s">
        <v>22</v>
      </c>
      <c r="U92" s="700">
        <f>SUMPRODUCT(B92:R92,FRO_TOT!B92:R92)/SUM(FRO_TOT!B92:R92)</f>
        <v>16076.00228190252</v>
      </c>
    </row>
    <row r="93" spans="1:21" s="1" customFormat="1">
      <c r="A93" s="130" t="s">
        <v>23</v>
      </c>
      <c r="B93" s="422">
        <f>DIST_TOT!B93*COMB_TOT!B93*TAX_TOT!B93/FRO_TOT!B93</f>
        <v>9766.5919584341827</v>
      </c>
      <c r="C93" s="416">
        <f>DIST_TOT!C93*COMB_TOT!C93*TAX_TOT!C93/FRO_TOT!C93</f>
        <v>10248.633155149515</v>
      </c>
      <c r="D93" s="416">
        <f>DIST_TOT!D93*COMB_TOT!D93*TAX_TOT!D93/FRO_TOT!D93</f>
        <v>6089.74399173042</v>
      </c>
      <c r="E93" s="416">
        <f>DIST_TOT!E93*COMB_TOT!E93*TAX_TOT!E93/FRO_TOT!E93</f>
        <v>14006.411180979967</v>
      </c>
      <c r="F93" s="416">
        <f>DIST_TOT!F93*COMB_TOT!F93*TAX_TOT!F93/FRO_TOT!F93</f>
        <v>6089.74399173042</v>
      </c>
      <c r="G93" s="416">
        <f>DIST_TOT!G93*COMB_TOT!G93*TAX_TOT!G93/FRO_TOT!G93</f>
        <v>4059.8293278202805</v>
      </c>
      <c r="H93" s="416">
        <f>DIST_TOT!H93*COMB_TOT!H93*TAX_TOT!H93/FRO_TOT!H93</f>
        <v>7641.6811557943356</v>
      </c>
      <c r="I93" s="416">
        <f>DIST_TOT!I93*COMB_TOT!I93*TAX_TOT!I93/FRO_TOT!I93</f>
        <v>7641.6811557943356</v>
      </c>
      <c r="J93" s="416">
        <f>DIST_TOT!J93*COMB_TOT!J93*TAX_TOT!J93/FRO_TOT!J93</f>
        <v>22326.283002613316</v>
      </c>
      <c r="K93" s="416">
        <f>DIST_TOT!K93*COMB_TOT!K93*TAX_TOT!K93/FRO_TOT!K93</f>
        <v>33489.424503919974</v>
      </c>
      <c r="L93" s="416">
        <f>DIST_TOT!L93*COMB_TOT!L93*TAX_TOT!L93/FRO_TOT!L93</f>
        <v>44652.566005226625</v>
      </c>
      <c r="M93" s="416">
        <f>DIST_TOT!M93*COMB_TOT!M93*TAX_TOT!M93/FRO_TOT!M93</f>
        <v>32608.547831253771</v>
      </c>
      <c r="N93" s="416">
        <f>DIST_TOT!N93*COMB_TOT!N93*TAX_TOT!N93/FRO_TOT!N93</f>
        <v>98724.372832556692</v>
      </c>
      <c r="O93" s="416">
        <f>DIST_TOT!O93*COMB_TOT!O93*TAX_TOT!O93/FRO_TOT!O93</f>
        <v>64313.141153137774</v>
      </c>
      <c r="P93" s="416">
        <f>DIST_TOT!P93*COMB_TOT!P93*TAX_TOT!P93/FRO_TOT!P93</f>
        <v>13062.92643597924</v>
      </c>
      <c r="Q93" s="416">
        <f>DIST_TOT!Q93*COMB_TOT!Q93*TAX_TOT!Q93/FRO_TOT!Q93</f>
        <v>13062.926435979238</v>
      </c>
      <c r="R93" s="423">
        <f>DIST_TOT!R93*COMB_TOT!R93*TAX_TOT!R93/FRO_TOT!R93</f>
        <v>17608.942263163528</v>
      </c>
      <c r="T93" s="130" t="s">
        <v>23</v>
      </c>
      <c r="U93" s="700">
        <f>SUMPRODUCT(B93:R93,FRO_TOT!B93:R93)/SUM(FRO_TOT!B93:R93)</f>
        <v>12676.874205882474</v>
      </c>
    </row>
    <row r="94" spans="1:21" s="1" customFormat="1">
      <c r="A94" s="130" t="s">
        <v>24</v>
      </c>
      <c r="B94" s="422">
        <f>DIST_TOT!B94*COMB_TOT!B94*TAX_TOT!B94/FRO_TOT!B94</f>
        <v>13216.33833951933</v>
      </c>
      <c r="C94" s="416">
        <f>DIST_TOT!C94*COMB_TOT!C94*TAX_TOT!C94/FRO_TOT!C94</f>
        <v>13430.306600307278</v>
      </c>
      <c r="D94" s="416">
        <f>DIST_TOT!D94*COMB_TOT!D94*TAX_TOT!D94/FRO_TOT!D94</f>
        <v>7980.296268602805</v>
      </c>
      <c r="E94" s="416">
        <f>DIST_TOT!E94*COMB_TOT!E94*TAX_TOT!E94/FRO_TOT!E94</f>
        <v>18354.681417786447</v>
      </c>
      <c r="F94" s="416">
        <f>DIST_TOT!F94*COMB_TOT!F94*TAX_TOT!F94/FRO_TOT!F94</f>
        <v>7980.296268602804</v>
      </c>
      <c r="G94" s="416">
        <f>DIST_TOT!G94*COMB_TOT!G94*TAX_TOT!G94/FRO_TOT!G94</f>
        <v>5320.19751240187</v>
      </c>
      <c r="H94" s="416">
        <f>DIST_TOT!H94*COMB_TOT!H94*TAX_TOT!H94/FRO_TOT!H94</f>
        <v>16958.774484387704</v>
      </c>
      <c r="I94" s="416">
        <f>DIST_TOT!I94*COMB_TOT!I94*TAX_TOT!I94/FRO_TOT!I94</f>
        <v>16958.774484387704</v>
      </c>
      <c r="J94" s="416">
        <f>DIST_TOT!J94*COMB_TOT!J94*TAX_TOT!J94/FRO_TOT!J94</f>
        <v>26550.231557750634</v>
      </c>
      <c r="K94" s="416">
        <f>DIST_TOT!K94*COMB_TOT!K94*TAX_TOT!K94/FRO_TOT!K94</f>
        <v>39825.347336625942</v>
      </c>
      <c r="L94" s="416">
        <f>DIST_TOT!L94*COMB_TOT!L94*TAX_TOT!L94/FRO_TOT!L94</f>
        <v>53100.463115501254</v>
      </c>
      <c r="M94" s="416">
        <f>DIST_TOT!M94*COMB_TOT!M94*TAX_TOT!M94/FRO_TOT!M94</f>
        <v>38777.816064610306</v>
      </c>
      <c r="N94" s="416">
        <f>DIST_TOT!N94*COMB_TOT!N94*TAX_TOT!N94/FRO_TOT!N94</f>
        <v>117402.20970912518</v>
      </c>
      <c r="O94" s="416">
        <f>DIST_TOT!O94*COMB_TOT!O94*TAX_TOT!O94/FRO_TOT!O94</f>
        <v>76480.656884186275</v>
      </c>
      <c r="P94" s="416">
        <f>DIST_TOT!P94*COMB_TOT!P94*TAX_TOT!P94/FRO_TOT!P94</f>
        <v>15534.324350207102</v>
      </c>
      <c r="Q94" s="416">
        <f>DIST_TOT!Q94*COMB_TOT!Q94*TAX_TOT!Q94/FRO_TOT!Q94</f>
        <v>15534.324350207102</v>
      </c>
      <c r="R94" s="423">
        <v>0</v>
      </c>
      <c r="T94" s="130" t="s">
        <v>24</v>
      </c>
      <c r="U94" s="700">
        <f>SUMPRODUCT(B94:R94,FRO_TOT!B94:R94)/SUM(FRO_TOT!B94:R94)</f>
        <v>16490.060244119337</v>
      </c>
    </row>
    <row r="95" spans="1:21" s="1" customFormat="1">
      <c r="A95" s="130" t="s">
        <v>25</v>
      </c>
      <c r="B95" s="422">
        <f>DIST_TOT!B95*COMB_TOT!B95*TAX_TOT!B95/FRO_TOT!B95</f>
        <v>12084.76856652893</v>
      </c>
      <c r="C95" s="416">
        <f>DIST_TOT!C95*COMB_TOT!C95*TAX_TOT!C95/FRO_TOT!C95</f>
        <v>12582.914607440729</v>
      </c>
      <c r="D95" s="416">
        <f>DIST_TOT!D95*COMB_TOT!D95*TAX_TOT!D95/FRO_TOT!D95</f>
        <v>7476.7754362070555</v>
      </c>
      <c r="E95" s="416">
        <f>DIST_TOT!E95*COMB_TOT!E95*TAX_TOT!E95/FRO_TOT!E95</f>
        <v>17196.583503276226</v>
      </c>
      <c r="F95" s="416">
        <f>DIST_TOT!F95*COMB_TOT!F95*TAX_TOT!F95/FRO_TOT!F95</f>
        <v>7476.7754362070564</v>
      </c>
      <c r="G95" s="416">
        <f>DIST_TOT!G95*COMB_TOT!G95*TAX_TOT!G95/FRO_TOT!G95</f>
        <v>4984.5169574713709</v>
      </c>
      <c r="H95" s="416">
        <f>DIST_TOT!H95*COMB_TOT!H95*TAX_TOT!H95/FRO_TOT!H95</f>
        <v>9938.7264499258563</v>
      </c>
      <c r="I95" s="416">
        <f>DIST_TOT!I95*COMB_TOT!I95*TAX_TOT!I95/FRO_TOT!I95</f>
        <v>9938.7264499258545</v>
      </c>
      <c r="J95" s="416">
        <f>DIST_TOT!J95*COMB_TOT!J95*TAX_TOT!J95/FRO_TOT!J95</f>
        <v>24532.414804057986</v>
      </c>
      <c r="K95" s="416">
        <f>DIST_TOT!K95*COMB_TOT!K95*TAX_TOT!K95/FRO_TOT!K95</f>
        <v>36798.622206086977</v>
      </c>
      <c r="L95" s="416">
        <f>DIST_TOT!L95*COMB_TOT!L95*TAX_TOT!L95/FRO_TOT!L95</f>
        <v>49064.829608115957</v>
      </c>
      <c r="M95" s="416">
        <f>DIST_TOT!M95*COMB_TOT!M95*TAX_TOT!M95/FRO_TOT!M95</f>
        <v>35830.703277417291</v>
      </c>
      <c r="N95" s="416">
        <f>DIST_TOT!N95*COMB_TOT!N95*TAX_TOT!N95/FRO_TOT!N95</f>
        <v>108479.64550638646</v>
      </c>
      <c r="O95" s="416">
        <f>DIST_TOT!O95*COMB_TOT!O95*TAX_TOT!O95/FRO_TOT!O95</f>
        <v>70668.129394222502</v>
      </c>
      <c r="P95" s="416">
        <f>DIST_TOT!P95*COMB_TOT!P95*TAX_TOT!P95/FRO_TOT!P95</f>
        <v>14353.71619381635</v>
      </c>
      <c r="Q95" s="416">
        <f>DIST_TOT!Q95*COMB_TOT!Q95*TAX_TOT!Q95/FRO_TOT!Q95</f>
        <v>14353.716193816348</v>
      </c>
      <c r="R95" s="423">
        <f>DIST_TOT!R95*COMB_TOT!R95*TAX_TOT!R95/FRO_TOT!R95</f>
        <v>26303.311024290811</v>
      </c>
      <c r="T95" s="130" t="s">
        <v>25</v>
      </c>
      <c r="U95" s="700">
        <f>SUMPRODUCT(B95:R95,FRO_TOT!B95:R95)/SUM(FRO_TOT!B95:R95)</f>
        <v>15134.524263540068</v>
      </c>
    </row>
    <row r="96" spans="1:21" s="1" customFormat="1">
      <c r="A96" s="130" t="s">
        <v>26</v>
      </c>
      <c r="B96" s="422">
        <f>DIST_TOT!B96*COMB_TOT!B96*TAX_TOT!B96/FRO_TOT!B96</f>
        <v>10646.814571468611</v>
      </c>
      <c r="C96" s="416">
        <f>DIST_TOT!C96*COMB_TOT!C96*TAX_TOT!C96/FRO_TOT!C96</f>
        <v>11022.314300920454</v>
      </c>
      <c r="D96" s="416">
        <f>DIST_TOT!D96*COMB_TOT!D96*TAX_TOT!D96/FRO_TOT!D96</f>
        <v>6549.4657943989396</v>
      </c>
      <c r="E96" s="416">
        <f>DIST_TOT!E96*COMB_TOT!E96*TAX_TOT!E96/FRO_TOT!E96</f>
        <v>15063.771327117563</v>
      </c>
      <c r="F96" s="416">
        <f>DIST_TOT!F96*COMB_TOT!F96*TAX_TOT!F96/FRO_TOT!F96</f>
        <v>6549.4657943989396</v>
      </c>
      <c r="G96" s="416">
        <f>DIST_TOT!G96*COMB_TOT!G96*TAX_TOT!G96/FRO_TOT!G96</f>
        <v>4366.3105295992927</v>
      </c>
      <c r="H96" s="416">
        <f>DIST_TOT!H96*COMB_TOT!H96*TAX_TOT!H96/FRO_TOT!H96</f>
        <v>8638.9729069796558</v>
      </c>
      <c r="I96" s="416">
        <f>DIST_TOT!I96*COMB_TOT!I96*TAX_TOT!I96/FRO_TOT!I96</f>
        <v>8638.9729069796558</v>
      </c>
      <c r="J96" s="416">
        <f>DIST_TOT!J96*COMB_TOT!J96*TAX_TOT!J96/FRO_TOT!J96</f>
        <v>24013.964947393892</v>
      </c>
      <c r="K96" s="416">
        <f>DIST_TOT!K96*COMB_TOT!K96*TAX_TOT!K96/FRO_TOT!K96</f>
        <v>36020.947421090823</v>
      </c>
      <c r="L96" s="416">
        <f>DIST_TOT!L96*COMB_TOT!L96*TAX_TOT!L96/FRO_TOT!L96</f>
        <v>48027.929894787776</v>
      </c>
      <c r="M96" s="416">
        <f>DIST_TOT!M96*COMB_TOT!M96*TAX_TOT!M96/FRO_TOT!M96</f>
        <v>35073.483773070824</v>
      </c>
      <c r="N96" s="416">
        <f>DIST_TOT!N96*COMB_TOT!N96*TAX_TOT!N96/FRO_TOT!N96</f>
        <v>106187.11714695013</v>
      </c>
      <c r="O96" s="416">
        <f>DIST_TOT!O96*COMB_TOT!O96*TAX_TOT!O96/FRO_TOT!O96</f>
        <v>69174.681568242711</v>
      </c>
      <c r="P96" s="416">
        <f>DIST_TOT!P96*COMB_TOT!P96*TAX_TOT!P96/FRO_TOT!P96</f>
        <v>14050.37540316372</v>
      </c>
      <c r="Q96" s="416">
        <f>DIST_TOT!Q96*COMB_TOT!Q96*TAX_TOT!Q96/FRO_TOT!Q96</f>
        <v>14050.375403163718</v>
      </c>
      <c r="R96" s="423">
        <f>DIST_TOT!R96*COMB_TOT!R96*TAX_TOT!R96/FRO_TOT!R96</f>
        <v>18401.970454958679</v>
      </c>
      <c r="T96" s="130" t="s">
        <v>26</v>
      </c>
      <c r="U96" s="700">
        <f>SUMPRODUCT(B96:R96,FRO_TOT!B96:R96)/SUM(FRO_TOT!B96:R96)</f>
        <v>13712.655919963243</v>
      </c>
    </row>
    <row r="97" spans="1:21" s="1" customFormat="1">
      <c r="A97" s="130" t="s">
        <v>27</v>
      </c>
      <c r="B97" s="422">
        <f>DIST_TOT!B97*COMB_TOT!B97*TAX_TOT!B97/FRO_TOT!B97</f>
        <v>10844.799062908747</v>
      </c>
      <c r="C97" s="416">
        <f>DIST_TOT!C97*COMB_TOT!C97*TAX_TOT!C97/FRO_TOT!C97</f>
        <v>11561.904113801651</v>
      </c>
      <c r="D97" s="416">
        <f>DIST_TOT!D97*COMB_TOT!D97*TAX_TOT!D97/FRO_TOT!D97</f>
        <v>6870.0903861125325</v>
      </c>
      <c r="E97" s="416">
        <f>DIST_TOT!E97*COMB_TOT!E97*TAX_TOT!E97/FRO_TOT!E97</f>
        <v>15801.207888058827</v>
      </c>
      <c r="F97" s="416">
        <f>DIST_TOT!F97*COMB_TOT!F97*TAX_TOT!F97/FRO_TOT!F97</f>
        <v>6870.0903861125335</v>
      </c>
      <c r="G97" s="416">
        <f>DIST_TOT!G97*COMB_TOT!G97*TAX_TOT!G97/FRO_TOT!G97</f>
        <v>4580.0602574083559</v>
      </c>
      <c r="H97" s="416">
        <f>DIST_TOT!H97*COMB_TOT!H97*TAX_TOT!H97/FRO_TOT!H97</f>
        <v>8556.4143193368673</v>
      </c>
      <c r="I97" s="416">
        <f>DIST_TOT!I97*COMB_TOT!I97*TAX_TOT!I97/FRO_TOT!I97</f>
        <v>8556.4143193368654</v>
      </c>
      <c r="J97" s="416">
        <f>DIST_TOT!J97*COMB_TOT!J97*TAX_TOT!J97/FRO_TOT!J97</f>
        <v>30862.814392853234</v>
      </c>
      <c r="K97" s="416">
        <f>DIST_TOT!K97*COMB_TOT!K97*TAX_TOT!K97/FRO_TOT!K97</f>
        <v>46294.221589279834</v>
      </c>
      <c r="L97" s="416">
        <f>DIST_TOT!L97*COMB_TOT!L97*TAX_TOT!L97/FRO_TOT!L97</f>
        <v>61725.628785706445</v>
      </c>
      <c r="M97" s="416">
        <f>DIST_TOT!M97*COMB_TOT!M97*TAX_TOT!M97/FRO_TOT!M97</f>
        <v>45076.538679486534</v>
      </c>
      <c r="N97" s="416">
        <f>DIST_TOT!N97*COMB_TOT!N97*TAX_TOT!N97/FRO_TOT!N97</f>
        <v>136471.97764291507</v>
      </c>
      <c r="O97" s="416">
        <f>DIST_TOT!O97*COMB_TOT!O97*TAX_TOT!O97/FRO_TOT!O97</f>
        <v>88903.492721933551</v>
      </c>
      <c r="P97" s="416">
        <f>DIST_TOT!P97*COMB_TOT!P97*TAX_TOT!P97/FRO_TOT!P97</f>
        <v>18057.581460108373</v>
      </c>
      <c r="Q97" s="416">
        <f>DIST_TOT!Q97*COMB_TOT!Q97*TAX_TOT!Q97/FRO_TOT!Q97</f>
        <v>18057.581460108369</v>
      </c>
      <c r="R97" s="423">
        <f>DIST_TOT!R97*COMB_TOT!R97*TAX_TOT!R97/FRO_TOT!R97</f>
        <v>0</v>
      </c>
      <c r="T97" s="130" t="s">
        <v>27</v>
      </c>
      <c r="U97" s="700">
        <f>SUMPRODUCT(B97:R97,FRO_TOT!B97:R97)/SUM(FRO_TOT!B97:R97)</f>
        <v>14630.867018737283</v>
      </c>
    </row>
    <row r="98" spans="1:21" s="1" customFormat="1">
      <c r="A98" s="130" t="s">
        <v>28</v>
      </c>
      <c r="B98" s="422">
        <f>DIST_TOT!B98*COMB_TOT!B98*TAX_TOT!B98/FRO_TOT!B98</f>
        <v>11367.69554843621</v>
      </c>
      <c r="C98" s="416">
        <f>DIST_TOT!C98*COMB_TOT!C98*TAX_TOT!C98/FRO_TOT!C98</f>
        <v>11976.995378733056</v>
      </c>
      <c r="D98" s="416">
        <f>DIST_TOT!D98*COMB_TOT!D98*TAX_TOT!D98/FRO_TOT!D98</f>
        <v>7116.7378656708843</v>
      </c>
      <c r="E98" s="416">
        <f>DIST_TOT!E98*COMB_TOT!E98*TAX_TOT!E98/FRO_TOT!E98</f>
        <v>16368.497091043031</v>
      </c>
      <c r="F98" s="416">
        <f>DIST_TOT!F98*COMB_TOT!F98*TAX_TOT!F98/FRO_TOT!F98</f>
        <v>7116.7378656708843</v>
      </c>
      <c r="G98" s="416">
        <f>DIST_TOT!G98*COMB_TOT!G98*TAX_TOT!G98/FRO_TOT!G98</f>
        <v>4744.4919104472547</v>
      </c>
      <c r="H98" s="416">
        <f>DIST_TOT!H98*COMB_TOT!H98*TAX_TOT!H98/FRO_TOT!H98</f>
        <v>9984.7126486765246</v>
      </c>
      <c r="I98" s="416">
        <f>DIST_TOT!I98*COMB_TOT!I98*TAX_TOT!I98/FRO_TOT!I98</f>
        <v>9984.7126486765264</v>
      </c>
      <c r="J98" s="416">
        <f>DIST_TOT!J98*COMB_TOT!J98*TAX_TOT!J98/FRO_TOT!J98</f>
        <v>24707.541163530663</v>
      </c>
      <c r="K98" s="416">
        <f>DIST_TOT!K98*COMB_TOT!K98*TAX_TOT!K98/FRO_TOT!K98</f>
        <v>37061.311745295992</v>
      </c>
      <c r="L98" s="416">
        <f>DIST_TOT!L98*COMB_TOT!L98*TAX_TOT!L98/FRO_TOT!L98</f>
        <v>49415.082327061333</v>
      </c>
      <c r="M98" s="416">
        <f>DIST_TOT!M98*COMB_TOT!M98*TAX_TOT!M98/FRO_TOT!M98</f>
        <v>36086.483259634209</v>
      </c>
      <c r="N98" s="416">
        <f>DIST_TOT!N98*COMB_TOT!N98*TAX_TOT!N98/FRO_TOT!N98</f>
        <v>109254.03504553926</v>
      </c>
      <c r="O98" s="416">
        <f>DIST_TOT!O98*COMB_TOT!O98*TAX_TOT!O98/FRO_TOT!O98</f>
        <v>71172.598780151297</v>
      </c>
      <c r="P98" s="416">
        <f>DIST_TOT!P98*COMB_TOT!P98*TAX_TOT!P98/FRO_TOT!P98</f>
        <v>14456.181201114014</v>
      </c>
      <c r="Q98" s="416">
        <f>DIST_TOT!Q98*COMB_TOT!Q98*TAX_TOT!Q98/FRO_TOT!Q98</f>
        <v>14456.18120111401</v>
      </c>
      <c r="R98" s="423">
        <f>DIST_TOT!R98*COMB_TOT!R98*TAX_TOT!R98/FRO_TOT!R98</f>
        <v>20745.000713139641</v>
      </c>
      <c r="T98" s="130" t="s">
        <v>28</v>
      </c>
      <c r="U98" s="700">
        <f>SUMPRODUCT(B98:R98,FRO_TOT!B98:R98)/SUM(FRO_TOT!B98:R98)</f>
        <v>14636.881095445566</v>
      </c>
    </row>
    <row r="99" spans="1:21" s="1" customFormat="1" ht="15.75" thickBot="1">
      <c r="A99" s="131" t="s">
        <v>29</v>
      </c>
      <c r="B99" s="422">
        <f>DIST_TOT!B99*COMB_TOT!B99*TAX_TOT!B99/FRO_TOT!B99</f>
        <v>11598.311732468286</v>
      </c>
      <c r="C99" s="416">
        <f>DIST_TOT!C99*COMB_TOT!C99*TAX_TOT!C99/FRO_TOT!C99</f>
        <v>12314.815803959029</v>
      </c>
      <c r="D99" s="416">
        <f>DIST_TOT!D99*COMB_TOT!D99*TAX_TOT!D99/FRO_TOT!D99</f>
        <v>7317.4709657497015</v>
      </c>
      <c r="E99" s="416">
        <f>DIST_TOT!E99*COMB_TOT!E99*TAX_TOT!E99/FRO_TOT!E99</f>
        <v>16830.183221224313</v>
      </c>
      <c r="F99" s="416">
        <f>DIST_TOT!F99*COMB_TOT!F99*TAX_TOT!F99/FRO_TOT!F99</f>
        <v>7317.4709657497024</v>
      </c>
      <c r="G99" s="416">
        <f>DIST_TOT!G99*COMB_TOT!G99*TAX_TOT!G99/FRO_TOT!G99</f>
        <v>4878.3139771664682</v>
      </c>
      <c r="H99" s="416">
        <f>DIST_TOT!H99*COMB_TOT!H99*TAX_TOT!H99/FRO_TOT!H99</f>
        <v>9461.7797242310553</v>
      </c>
      <c r="I99" s="416">
        <f>DIST_TOT!I99*COMB_TOT!I99*TAX_TOT!I99/FRO_TOT!I99</f>
        <v>9461.7797242310553</v>
      </c>
      <c r="J99" s="416">
        <f>DIST_TOT!J99*COMB_TOT!J99*TAX_TOT!J99/FRO_TOT!J99</f>
        <v>23715.148506614012</v>
      </c>
      <c r="K99" s="416">
        <f>DIST_TOT!K99*COMB_TOT!K99*TAX_TOT!K99/FRO_TOT!K99</f>
        <v>35572.722759921016</v>
      </c>
      <c r="L99" s="416">
        <f>DIST_TOT!L99*COMB_TOT!L99*TAX_TOT!L99/FRO_TOT!L99</f>
        <v>47430.297013228032</v>
      </c>
      <c r="M99" s="416">
        <f>DIST_TOT!M99*COMB_TOT!M99*TAX_TOT!M99/FRO_TOT!M99</f>
        <v>34637.048823249796</v>
      </c>
      <c r="N99" s="416">
        <f>DIST_TOT!N99*COMB_TOT!N99*TAX_TOT!N99/FRO_TOT!N99</f>
        <v>104865.78364488007</v>
      </c>
      <c r="O99" s="416">
        <f>DIST_TOT!O99*COMB_TOT!O99*TAX_TOT!O99/FRO_TOT!O99</f>
        <v>68313.910255234412</v>
      </c>
      <c r="P99" s="416">
        <f>DIST_TOT!P99*COMB_TOT!P99*TAX_TOT!P99/FRO_TOT!P99</f>
        <v>13875.540336201982</v>
      </c>
      <c r="Q99" s="416">
        <f>DIST_TOT!Q99*COMB_TOT!Q99*TAX_TOT!Q99/FRO_TOT!Q99</f>
        <v>13875.540336201981</v>
      </c>
      <c r="R99" s="423">
        <f>DIST_TOT!R99*COMB_TOT!R99*TAX_TOT!R99/FRO_TOT!R99</f>
        <v>20958.175932106416</v>
      </c>
      <c r="T99" s="210" t="s">
        <v>29</v>
      </c>
      <c r="U99" s="701">
        <f>SUMPRODUCT(B99:R99,FRO_TOT!B99:R99)/SUM(FRO_TOT!B99:R99)</f>
        <v>15143.199553648057</v>
      </c>
    </row>
    <row r="100" spans="1:21" ht="15.75" thickBot="1">
      <c r="A100" s="324" t="s">
        <v>64</v>
      </c>
      <c r="B100" s="420">
        <f>DIST_TOT!B100*COMB_TOT!B100*TAX_TOT!B100/FRO_TOT!B100</f>
        <v>8478.4676180679471</v>
      </c>
      <c r="C100" s="415">
        <f>DIST_TOT!C100*COMB_TOT!C100*TAX_TOT!C100/FRO_TOT!C100</f>
        <v>8027.797573965212</v>
      </c>
      <c r="D100" s="415">
        <f>DIST_TOT!D100*COMB_TOT!D100*TAX_TOT!D100/FRO_TOT!D100</f>
        <v>6784.5744041575244</v>
      </c>
      <c r="E100" s="415">
        <f>DIST_TOT!E100*COMB_TOT!E100*TAX_TOT!E100/FRO_TOT!E100</f>
        <v>15604.521129562305</v>
      </c>
      <c r="F100" s="415">
        <f>DIST_TOT!F100*COMB_TOT!F100*TAX_TOT!F100/FRO_TOT!F100</f>
        <v>6784.5744041575235</v>
      </c>
      <c r="G100" s="415">
        <f>DIST_TOT!G100*COMB_TOT!G100*TAX_TOT!G100/FRO_TOT!G100</f>
        <v>4523.0496027716827</v>
      </c>
      <c r="H100" s="415">
        <f>DIST_TOT!H100*COMB_TOT!H100*TAX_TOT!H100/FRO_TOT!H100</f>
        <v>9385.797441008448</v>
      </c>
      <c r="I100" s="415">
        <f>DIST_TOT!I100*COMB_TOT!I100*TAX_TOT!I100/FRO_TOT!I100</f>
        <v>9396.418781841714</v>
      </c>
      <c r="J100" s="415">
        <f>DIST_TOT!J100*COMB_TOT!J100*TAX_TOT!J100/FRO_TOT!J100</f>
        <v>24292.722671940039</v>
      </c>
      <c r="K100" s="415">
        <f>DIST_TOT!K100*COMB_TOT!K100*TAX_TOT!K100/FRO_TOT!K100</f>
        <v>36438.963152096498</v>
      </c>
      <c r="L100" s="415">
        <f>DIST_TOT!L100*COMB_TOT!L100*TAX_TOT!L100/FRO_TOT!L100</f>
        <v>48499.388112025146</v>
      </c>
      <c r="M100" s="415">
        <f>DIST_TOT!M100*COMB_TOT!M100*TAX_TOT!M100/FRO_TOT!M100</f>
        <v>31323.972979255246</v>
      </c>
      <c r="N100" s="415">
        <f>DIST_TOT!N100*COMB_TOT!N100*TAX_TOT!N100/FRO_TOT!N100</f>
        <v>115771.26142348342</v>
      </c>
      <c r="O100" s="415">
        <f>DIST_TOT!O100*COMB_TOT!O100*TAX_TOT!O100/FRO_TOT!O100</f>
        <v>60733.10877239913</v>
      </c>
      <c r="P100" s="415">
        <f>DIST_TOT!P100*COMB_TOT!P100*TAX_TOT!P100/FRO_TOT!P100</f>
        <v>15318.521941288691</v>
      </c>
      <c r="Q100" s="415">
        <f>DIST_TOT!Q100*COMB_TOT!Q100*TAX_TOT!Q100/FRO_TOT!Q100</f>
        <v>15318.521941288691</v>
      </c>
      <c r="R100" s="421">
        <f>DIST_TOT!R100*COMB_TOT!R100*TAX_TOT!R100/FRO_TOT!R100</f>
        <v>14852.302569294623</v>
      </c>
      <c r="T100" s="268" t="s">
        <v>64</v>
      </c>
      <c r="U100" s="697">
        <f>SUMPRODUCT(B100:R100,FRO_TOT!B100:R100)/SUM(FRO_TOT!B100:R100)</f>
        <v>11814.114307411388</v>
      </c>
    </row>
    <row r="101" spans="1:21" s="1" customFormat="1">
      <c r="A101" s="130" t="s">
        <v>31</v>
      </c>
      <c r="B101" s="422">
        <f>DIST_TOT!B101*COMB_TOT!B101*TAX_TOT!B101/FRO_TOT!B101</f>
        <v>8584.1119371747773</v>
      </c>
      <c r="C101" s="416">
        <f>DIST_TOT!C101*COMB_TOT!C101*TAX_TOT!C101/FRO_TOT!C101</f>
        <v>9107.2291268221888</v>
      </c>
      <c r="D101" s="416">
        <f>DIST_TOT!D101*COMB_TOT!D101*TAX_TOT!D101/FRO_TOT!D101</f>
        <v>6580.3678662010025</v>
      </c>
      <c r="E101" s="416">
        <f>DIST_TOT!E101*COMB_TOT!E101*TAX_TOT!E101/FRO_TOT!E101</f>
        <v>15134.846092262302</v>
      </c>
      <c r="F101" s="416">
        <f>DIST_TOT!F101*COMB_TOT!F101*TAX_TOT!F101/FRO_TOT!F101</f>
        <v>6580.3678662010043</v>
      </c>
      <c r="G101" s="416">
        <f>DIST_TOT!G101*COMB_TOT!G101*TAX_TOT!G101/FRO_TOT!G101</f>
        <v>4386.911910800668</v>
      </c>
      <c r="H101" s="416">
        <f>DIST_TOT!H101*COMB_TOT!H101*TAX_TOT!H101/FRO_TOT!H101</f>
        <v>9312.1897681464579</v>
      </c>
      <c r="I101" s="416">
        <f>DIST_TOT!I101*COMB_TOT!I101*TAX_TOT!I101/FRO_TOT!I101</f>
        <v>9312.1897681464598</v>
      </c>
      <c r="J101" s="416">
        <f>DIST_TOT!J101*COMB_TOT!J101*TAX_TOT!J101/FRO_TOT!J101</f>
        <v>14548.265227394009</v>
      </c>
      <c r="K101" s="416">
        <f>DIST_TOT!K101*COMB_TOT!K101*TAX_TOT!K101/FRO_TOT!K101</f>
        <v>21822.863087820388</v>
      </c>
      <c r="L101" s="416">
        <f>DIST_TOT!L101*COMB_TOT!L101*TAX_TOT!L101/FRO_TOT!L101</f>
        <v>29097.460948246757</v>
      </c>
      <c r="M101" s="416">
        <f>DIST_TOT!M101*COMB_TOT!M101*TAX_TOT!M101/FRO_TOT!M101</f>
        <v>32967.383243144846</v>
      </c>
      <c r="N101" s="416">
        <f>DIST_TOT!N101*COMB_TOT!N101*TAX_TOT!N101/FRO_TOT!N101</f>
        <v>105484.46045655863</v>
      </c>
      <c r="O101" s="416">
        <f>DIST_TOT!O101*COMB_TOT!O101*TAX_TOT!O101/FRO_TOT!O101</f>
        <v>64868.420982574084</v>
      </c>
      <c r="P101" s="416">
        <f>DIST_TOT!P101*COMB_TOT!P101*TAX_TOT!P101/FRO_TOT!P101</f>
        <v>13957.401881094351</v>
      </c>
      <c r="Q101" s="416">
        <f>DIST_TOT!Q101*COMB_TOT!Q101*TAX_TOT!Q101/FRO_TOT!Q101</f>
        <v>13957.401881094351</v>
      </c>
      <c r="R101" s="423">
        <f>DIST_TOT!R101*COMB_TOT!R101*TAX_TOT!R101/FRO_TOT!R101</f>
        <v>13982.811604259521</v>
      </c>
      <c r="T101" s="190" t="s">
        <v>31</v>
      </c>
      <c r="U101" s="699">
        <f>SUMPRODUCT(B101:R101,FRO_TOT!B101:R101)/SUM(FRO_TOT!B101:R101)</f>
        <v>11982.018739474475</v>
      </c>
    </row>
    <row r="102" spans="1:21" s="1" customFormat="1">
      <c r="A102" s="130" t="s">
        <v>32</v>
      </c>
      <c r="B102" s="422">
        <f>DIST_TOT!B102*COMB_TOT!B102*TAX_TOT!B102/FRO_TOT!B102</f>
        <v>8260.3857896939862</v>
      </c>
      <c r="C102" s="416">
        <f>DIST_TOT!C102*COMB_TOT!C102*TAX_TOT!C102/FRO_TOT!C102</f>
        <v>8728.6107214236345</v>
      </c>
      <c r="D102" s="416">
        <f>DIST_TOT!D102*COMB_TOT!D102*TAX_TOT!D102/FRO_TOT!D102</f>
        <v>6579.3548151434443</v>
      </c>
      <c r="E102" s="416">
        <f>DIST_TOT!E102*COMB_TOT!E102*TAX_TOT!E102/FRO_TOT!E102</f>
        <v>15132.516074829924</v>
      </c>
      <c r="F102" s="416">
        <f>DIST_TOT!F102*COMB_TOT!F102*TAX_TOT!F102/FRO_TOT!F102</f>
        <v>6579.3548151434443</v>
      </c>
      <c r="G102" s="416">
        <f>DIST_TOT!G102*COMB_TOT!G102*TAX_TOT!G102/FRO_TOT!G102</f>
        <v>4386.2365434289632</v>
      </c>
      <c r="H102" s="416">
        <f>DIST_TOT!H102*COMB_TOT!H102*TAX_TOT!H102/FRO_TOT!H102</f>
        <v>9623.3204109629405</v>
      </c>
      <c r="I102" s="416">
        <f>DIST_TOT!I102*COMB_TOT!I102*TAX_TOT!I102/FRO_TOT!I102</f>
        <v>9623.3204109629405</v>
      </c>
      <c r="J102" s="416">
        <f>DIST_TOT!J102*COMB_TOT!J102*TAX_TOT!J102/FRO_TOT!J102</f>
        <v>36025.129095770615</v>
      </c>
      <c r="K102" s="416">
        <f>DIST_TOT!K102*COMB_TOT!K102*TAX_TOT!K102/FRO_TOT!K102</f>
        <v>54037.145215798533</v>
      </c>
      <c r="L102" s="416">
        <f>DIST_TOT!L102*COMB_TOT!L102*TAX_TOT!L102/FRO_TOT!L102</f>
        <v>72049.161335826473</v>
      </c>
      <c r="M102" s="416">
        <f>DIST_TOT!M102*COMB_TOT!M102*TAX_TOT!M102/FRO_TOT!M102</f>
        <v>30915.975176391137</v>
      </c>
      <c r="N102" s="416">
        <f>DIST_TOT!N102*COMB_TOT!N102*TAX_TOT!N102/FRO_TOT!N102</f>
        <v>124343.9512487194</v>
      </c>
      <c r="O102" s="416">
        <f>DIST_TOT!O102*COMB_TOT!O102*TAX_TOT!O102/FRO_TOT!O102</f>
        <v>60144.986263472354</v>
      </c>
      <c r="P102" s="416">
        <f>DIST_TOT!P102*COMB_TOT!P102*TAX_TOT!P102/FRO_TOT!P102</f>
        <v>16452.835721488223</v>
      </c>
      <c r="Q102" s="416">
        <f>DIST_TOT!Q102*COMB_TOT!Q102*TAX_TOT!Q102/FRO_TOT!Q102</f>
        <v>16452.835721488223</v>
      </c>
      <c r="R102" s="423">
        <f>DIST_TOT!R102*COMB_TOT!R102*TAX_TOT!R102/FRO_TOT!R102</f>
        <v>8809.3987057767699</v>
      </c>
      <c r="T102" s="130" t="s">
        <v>32</v>
      </c>
      <c r="U102" s="700">
        <f>SUMPRODUCT(B102:R102,FRO_TOT!B102:R102)/SUM(FRO_TOT!B102:R102)</f>
        <v>12786.436720099509</v>
      </c>
    </row>
    <row r="103" spans="1:21" s="1" customFormat="1">
      <c r="A103" s="130" t="s">
        <v>33</v>
      </c>
      <c r="B103" s="422">
        <f>DIST_TOT!B103*COMB_TOT!B103*TAX_TOT!B103/FRO_TOT!B103</f>
        <v>8342.8668129004927</v>
      </c>
      <c r="C103" s="416">
        <f>DIST_TOT!C103*COMB_TOT!C103*TAX_TOT!C103/FRO_TOT!C103</f>
        <v>8895.3596407384211</v>
      </c>
      <c r="D103" s="416">
        <f>DIST_TOT!D103*COMB_TOT!D103*TAX_TOT!D103/FRO_TOT!D103</f>
        <v>7627.2090208686595</v>
      </c>
      <c r="E103" s="416">
        <f>DIST_TOT!E103*COMB_TOT!E103*TAX_TOT!E103/FRO_TOT!E103</f>
        <v>17542.580747997923</v>
      </c>
      <c r="F103" s="416">
        <f>DIST_TOT!F103*COMB_TOT!F103*TAX_TOT!F103/FRO_TOT!F103</f>
        <v>7627.2090208686595</v>
      </c>
      <c r="G103" s="416">
        <f>DIST_TOT!G103*COMB_TOT!G103*TAX_TOT!G103/FRO_TOT!G103</f>
        <v>5084.80601391244</v>
      </c>
      <c r="H103" s="416">
        <f>DIST_TOT!H103*COMB_TOT!H103*TAX_TOT!H103/FRO_TOT!H103</f>
        <v>9219.1129363312957</v>
      </c>
      <c r="I103" s="416">
        <f>DIST_TOT!I103*COMB_TOT!I103*TAX_TOT!I103/FRO_TOT!I103</f>
        <v>9219.1129363312957</v>
      </c>
      <c r="J103" s="416">
        <f>DIST_TOT!J103*COMB_TOT!J103*TAX_TOT!J103/FRO_TOT!J103</f>
        <v>19734.798158770336</v>
      </c>
      <c r="K103" s="416">
        <f>DIST_TOT!K103*COMB_TOT!K103*TAX_TOT!K103/FRO_TOT!K103</f>
        <v>29602.19723815551</v>
      </c>
      <c r="L103" s="416">
        <f>DIST_TOT!L103*COMB_TOT!L103*TAX_TOT!L103/FRO_TOT!L103</f>
        <v>39469.596317540687</v>
      </c>
      <c r="M103" s="416">
        <f>DIST_TOT!M103*COMB_TOT!M103*TAX_TOT!M103/FRO_TOT!M103</f>
        <v>43796.386031341579</v>
      </c>
      <c r="N103" s="416">
        <f>DIST_TOT!N103*COMB_TOT!N103*TAX_TOT!N103/FRO_TOT!N103</f>
        <v>128842.18258873766</v>
      </c>
      <c r="O103" s="416">
        <f>DIST_TOT!O103*COMB_TOT!O103*TAX_TOT!O103/FRO_TOT!O103</f>
        <v>86481.24058380285</v>
      </c>
      <c r="P103" s="416">
        <f>DIST_TOT!P103*COMB_TOT!P103*TAX_TOT!P103/FRO_TOT!P103</f>
        <v>17048.028817182392</v>
      </c>
      <c r="Q103" s="416">
        <f>DIST_TOT!Q103*COMB_TOT!Q103*TAX_TOT!Q103/FRO_TOT!Q103</f>
        <v>17048.028817182396</v>
      </c>
      <c r="R103" s="423">
        <f>DIST_TOT!R103*COMB_TOT!R103*TAX_TOT!R103/FRO_TOT!R103</f>
        <v>17140.964941761427</v>
      </c>
      <c r="T103" s="130" t="s">
        <v>33</v>
      </c>
      <c r="U103" s="700">
        <f>SUMPRODUCT(B103:R103,FRO_TOT!B103:R103)/SUM(FRO_TOT!B103:R103)</f>
        <v>12779.875839519405</v>
      </c>
    </row>
    <row r="104" spans="1:21" s="1" customFormat="1" ht="15.75" thickBot="1">
      <c r="A104" s="131" t="s">
        <v>34</v>
      </c>
      <c r="B104" s="422">
        <f>DIST_TOT!B104*COMB_TOT!B104*TAX_TOT!B104/FRO_TOT!B104</f>
        <v>8610.2210196439064</v>
      </c>
      <c r="C104" s="416">
        <f>DIST_TOT!C104*COMB_TOT!C104*TAX_TOT!C104/FRO_TOT!C104</f>
        <v>7522.3116394127901</v>
      </c>
      <c r="D104" s="416">
        <f>DIST_TOT!D104*COMB_TOT!D104*TAX_TOT!D104/FRO_TOT!D104</f>
        <v>6712.3542291012418</v>
      </c>
      <c r="E104" s="416">
        <f>DIST_TOT!E104*COMB_TOT!E104*TAX_TOT!E104/FRO_TOT!E104</f>
        <v>15438.414726932855</v>
      </c>
      <c r="F104" s="416">
        <f>DIST_TOT!F104*COMB_TOT!F104*TAX_TOT!F104/FRO_TOT!F104</f>
        <v>6712.3542291012409</v>
      </c>
      <c r="G104" s="416">
        <f>DIST_TOT!G104*COMB_TOT!G104*TAX_TOT!G104/FRO_TOT!G104</f>
        <v>4474.9028194008279</v>
      </c>
      <c r="H104" s="416">
        <f>DIST_TOT!H104*COMB_TOT!H104*TAX_TOT!H104/FRO_TOT!H104</f>
        <v>9381.3937459655681</v>
      </c>
      <c r="I104" s="416">
        <f>DIST_TOT!I104*COMB_TOT!I104*TAX_TOT!I104/FRO_TOT!I104</f>
        <v>9381.3937459655663</v>
      </c>
      <c r="J104" s="416">
        <f>DIST_TOT!J104*COMB_TOT!J104*TAX_TOT!J104/FRO_TOT!J104</f>
        <v>21005.853947102805</v>
      </c>
      <c r="K104" s="416">
        <f>DIST_TOT!K104*COMB_TOT!K104*TAX_TOT!K104/FRO_TOT!K104</f>
        <v>31508.780920654215</v>
      </c>
      <c r="L104" s="416">
        <f>DIST_TOT!L104*COMB_TOT!L104*TAX_TOT!L104/FRO_TOT!L104</f>
        <v>42011.707894205618</v>
      </c>
      <c r="M104" s="416">
        <f>DIST_TOT!M104*COMB_TOT!M104*TAX_TOT!M104/FRO_TOT!M104</f>
        <v>27596.81417823369</v>
      </c>
      <c r="N104" s="416">
        <f>DIST_TOT!N104*COMB_TOT!N104*TAX_TOT!N104/FRO_TOT!N104</f>
        <v>109284.42528037463</v>
      </c>
      <c r="O104" s="416">
        <f>DIST_TOT!O104*COMB_TOT!O104*TAX_TOT!O104/FRO_TOT!O104</f>
        <v>53734.111932607186</v>
      </c>
      <c r="P104" s="416">
        <f>DIST_TOT!P104*COMB_TOT!P104*TAX_TOT!P104/FRO_TOT!P104</f>
        <v>14460.202350001935</v>
      </c>
      <c r="Q104" s="416">
        <f>DIST_TOT!Q104*COMB_TOT!Q104*TAX_TOT!Q104/FRO_TOT!Q104</f>
        <v>14460.202350001931</v>
      </c>
      <c r="R104" s="423">
        <f>DIST_TOT!R104*COMB_TOT!R104*TAX_TOT!R104/FRO_TOT!R104</f>
        <v>11347.985197012986</v>
      </c>
      <c r="T104" s="210" t="s">
        <v>34</v>
      </c>
      <c r="U104" s="701">
        <f>SUMPRODUCT(B104:R104,FRO_TOT!B104:R104)/SUM(FRO_TOT!B104:R104)</f>
        <v>11241.053279578307</v>
      </c>
    </row>
    <row r="105" spans="1:21" ht="15.75" thickBot="1">
      <c r="A105" s="324" t="s">
        <v>69</v>
      </c>
      <c r="B105" s="420">
        <f>DIST_TOT!B105*COMB_TOT!B105*TAX_TOT!B105/FRO_TOT!B105</f>
        <v>7703.5220479419995</v>
      </c>
      <c r="C105" s="415">
        <f>DIST_TOT!C105*COMB_TOT!C105*TAX_TOT!C105/FRO_TOT!C105</f>
        <v>8014.2090690423083</v>
      </c>
      <c r="D105" s="415">
        <f>DIST_TOT!D105*COMB_TOT!D105*TAX_TOT!D105/FRO_TOT!D105</f>
        <v>6511.3820840447761</v>
      </c>
      <c r="E105" s="415">
        <f>DIST_TOT!E105*COMB_TOT!E105*TAX_TOT!E105/FRO_TOT!E105</f>
        <v>14976.178793302983</v>
      </c>
      <c r="F105" s="415">
        <f>DIST_TOT!F105*COMB_TOT!F105*TAX_TOT!F105/FRO_TOT!F105</f>
        <v>6511.3820840447752</v>
      </c>
      <c r="G105" s="415">
        <f>DIST_TOT!G105*COMB_TOT!G105*TAX_TOT!G105/FRO_TOT!G105</f>
        <v>4340.9213893631841</v>
      </c>
      <c r="H105" s="415">
        <f>DIST_TOT!H105*COMB_TOT!H105*TAX_TOT!H105/FRO_TOT!H105</f>
        <v>9502.6939036761796</v>
      </c>
      <c r="I105" s="415">
        <f>DIST_TOT!I105*COMB_TOT!I105*TAX_TOT!I105/FRO_TOT!I105</f>
        <v>9502.6939036761796</v>
      </c>
      <c r="J105" s="415">
        <f>DIST_TOT!J105*COMB_TOT!J105*TAX_TOT!J105/FRO_TOT!J105</f>
        <v>22467.297810181502</v>
      </c>
      <c r="K105" s="415">
        <f>DIST_TOT!K105*COMB_TOT!K105*TAX_TOT!K105/FRO_TOT!K105</f>
        <v>33701.41533069461</v>
      </c>
      <c r="L105" s="415">
        <f>DIST_TOT!L105*COMB_TOT!L105*TAX_TOT!L105/FRO_TOT!L105</f>
        <v>44935.532851207732</v>
      </c>
      <c r="M105" s="415">
        <f>DIST_TOT!M105*COMB_TOT!M105*TAX_TOT!M105/FRO_TOT!M105</f>
        <v>28178.782578045924</v>
      </c>
      <c r="N105" s="415">
        <f>DIST_TOT!N105*COMB_TOT!N105*TAX_TOT!N105/FRO_TOT!N105</f>
        <v>106248.23748345632</v>
      </c>
      <c r="O105" s="415">
        <f>DIST_TOT!O105*COMB_TOT!O105*TAX_TOT!O105/FRO_TOT!O105</f>
        <v>55010.764432196032</v>
      </c>
      <c r="P105" s="415">
        <f>DIST_TOT!P105*COMB_TOT!P105*TAX_TOT!P105/FRO_TOT!P105</f>
        <v>14058.462671146443</v>
      </c>
      <c r="Q105" s="415">
        <f>DIST_TOT!Q105*COMB_TOT!Q105*TAX_TOT!Q105/FRO_TOT!Q105</f>
        <v>14058.462671146441</v>
      </c>
      <c r="R105" s="421">
        <f>DIST_TOT!R105*COMB_TOT!R105*TAX_TOT!R105/FRO_TOT!R105</f>
        <v>24101.964809258072</v>
      </c>
      <c r="T105" s="268" t="s">
        <v>69</v>
      </c>
      <c r="U105" s="697">
        <f>SUMPRODUCT(B105:R105,FRO_TOT!B105:R105)/SUM(FRO_TOT!B105:R105)</f>
        <v>11148.179536403884</v>
      </c>
    </row>
    <row r="106" spans="1:21" s="1" customFormat="1">
      <c r="A106" s="130" t="s">
        <v>36</v>
      </c>
      <c r="B106" s="422">
        <f>DIST_TOT!B106*COMB_TOT!B106*TAX_TOT!B106/FRO_TOT!B106</f>
        <v>7392.2435451424653</v>
      </c>
      <c r="C106" s="416">
        <f>DIST_TOT!C106*COMB_TOT!C106*TAX_TOT!C106/FRO_TOT!C106</f>
        <v>7502.9097603700056</v>
      </c>
      <c r="D106" s="416">
        <f>DIST_TOT!D106*COMB_TOT!D106*TAX_TOT!D106/FRO_TOT!D106</f>
        <v>6095.9617812560982</v>
      </c>
      <c r="E106" s="416">
        <f>DIST_TOT!E106*COMB_TOT!E106*TAX_TOT!E106/FRO_TOT!E106</f>
        <v>14020.712096889025</v>
      </c>
      <c r="F106" s="416">
        <f>DIST_TOT!F106*COMB_TOT!F106*TAX_TOT!F106/FRO_TOT!F106</f>
        <v>6095.9617812560982</v>
      </c>
      <c r="G106" s="416">
        <f>DIST_TOT!G106*COMB_TOT!G106*TAX_TOT!G106/FRO_TOT!G106</f>
        <v>4063.9745208373993</v>
      </c>
      <c r="H106" s="416">
        <f>DIST_TOT!H106*COMB_TOT!H106*TAX_TOT!H106/FRO_TOT!H106</f>
        <v>8929.9617171576938</v>
      </c>
      <c r="I106" s="416">
        <f>DIST_TOT!I106*COMB_TOT!I106*TAX_TOT!I106/FRO_TOT!I106</f>
        <v>8929.9617171576938</v>
      </c>
      <c r="J106" s="416">
        <f>DIST_TOT!J106*COMB_TOT!J106*TAX_TOT!J106/FRO_TOT!J106</f>
        <v>22442.107591003452</v>
      </c>
      <c r="K106" s="416">
        <f>DIST_TOT!K106*COMB_TOT!K106*TAX_TOT!K106/FRO_TOT!K106</f>
        <v>33663.629476518341</v>
      </c>
      <c r="L106" s="416">
        <f>DIST_TOT!L106*COMB_TOT!L106*TAX_TOT!L106/FRO_TOT!L106</f>
        <v>44885.151362033226</v>
      </c>
      <c r="M106" s="416">
        <f>DIST_TOT!M106*COMB_TOT!M106*TAX_TOT!M106/FRO_TOT!M106</f>
        <v>28147.188671412892</v>
      </c>
      <c r="N106" s="416">
        <f>DIST_TOT!N106*COMB_TOT!N106*TAX_TOT!N106/FRO_TOT!N106</f>
        <v>106129.1125040262</v>
      </c>
      <c r="O106" s="416">
        <f>DIST_TOT!O106*COMB_TOT!O106*TAX_TOT!O106/FRO_TOT!O106</f>
        <v>54949.086645000316</v>
      </c>
      <c r="P106" s="416">
        <f>DIST_TOT!P106*COMB_TOT!P106*TAX_TOT!P106/FRO_TOT!P106</f>
        <v>14042.700394837802</v>
      </c>
      <c r="Q106" s="416">
        <f>DIST_TOT!Q106*COMB_TOT!Q106*TAX_TOT!Q106/FRO_TOT!Q106</f>
        <v>14042.700394837802</v>
      </c>
      <c r="R106" s="423">
        <f>DIST_TOT!R106*COMB_TOT!R106*TAX_TOT!R106/FRO_TOT!R106</f>
        <v>16311.569864618627</v>
      </c>
      <c r="T106" s="190" t="s">
        <v>36</v>
      </c>
      <c r="U106" s="699">
        <f>SUMPRODUCT(B106:R106,FRO_TOT!B106:R106)/SUM(FRO_TOT!B106:R106)</f>
        <v>10815.527918835705</v>
      </c>
    </row>
    <row r="107" spans="1:21" s="1" customFormat="1">
      <c r="A107" s="130" t="s">
        <v>37</v>
      </c>
      <c r="B107" s="422">
        <f>DIST_TOT!B107*COMB_TOT!B107*TAX_TOT!B107/FRO_TOT!B107</f>
        <v>7719.4094043981813</v>
      </c>
      <c r="C107" s="416">
        <f>DIST_TOT!C107*COMB_TOT!C107*TAX_TOT!C107/FRO_TOT!C107</f>
        <v>8136.3907310916702</v>
      </c>
      <c r="D107" s="416">
        <f>DIST_TOT!D107*COMB_TOT!D107*TAX_TOT!D107/FRO_TOT!D107</f>
        <v>6610.6522027069132</v>
      </c>
      <c r="E107" s="416">
        <f>DIST_TOT!E107*COMB_TOT!E107*TAX_TOT!E107/FRO_TOT!E107</f>
        <v>15204.500066225901</v>
      </c>
      <c r="F107" s="416">
        <f>DIST_TOT!F107*COMB_TOT!F107*TAX_TOT!F107/FRO_TOT!F107</f>
        <v>6610.6522027069132</v>
      </c>
      <c r="G107" s="416">
        <f>DIST_TOT!G107*COMB_TOT!G107*TAX_TOT!G107/FRO_TOT!G107</f>
        <v>4407.1014684712754</v>
      </c>
      <c r="H107" s="416">
        <f>DIST_TOT!H107*COMB_TOT!H107*TAX_TOT!H107/FRO_TOT!H107</f>
        <v>12888.215713068257</v>
      </c>
      <c r="I107" s="416">
        <f>DIST_TOT!I107*COMB_TOT!I107*TAX_TOT!I107/FRO_TOT!I107</f>
        <v>12888.215713068255</v>
      </c>
      <c r="J107" s="416">
        <f>DIST_TOT!J107*COMB_TOT!J107*TAX_TOT!J107/FRO_TOT!J107</f>
        <v>22359.539934147262</v>
      </c>
      <c r="K107" s="416">
        <f>DIST_TOT!K107*COMB_TOT!K107*TAX_TOT!K107/FRO_TOT!K107</f>
        <v>33539.77626906534</v>
      </c>
      <c r="L107" s="416">
        <f>DIST_TOT!L107*COMB_TOT!L107*TAX_TOT!L107/FRO_TOT!L107</f>
        <v>44720.012603983414</v>
      </c>
      <c r="M107" s="416">
        <f>DIST_TOT!M107*COMB_TOT!M107*TAX_TOT!M107/FRO_TOT!M107</f>
        <v>28043.63122226228</v>
      </c>
      <c r="N107" s="416">
        <f>DIST_TOT!N107*COMB_TOT!N107*TAX_TOT!N107/FRO_TOT!N107</f>
        <v>105738.64863568622</v>
      </c>
      <c r="O107" s="416">
        <f>DIST_TOT!O107*COMB_TOT!O107*TAX_TOT!O107/FRO_TOT!O107</f>
        <v>54746.921259585084</v>
      </c>
      <c r="P107" s="416">
        <f>DIST_TOT!P107*COMB_TOT!P107*TAX_TOT!P107/FRO_TOT!P107</f>
        <v>13991.035333397665</v>
      </c>
      <c r="Q107" s="416">
        <f>DIST_TOT!Q107*COMB_TOT!Q107*TAX_TOT!Q107/FRO_TOT!Q107</f>
        <v>13991.035333397667</v>
      </c>
      <c r="R107" s="423">
        <f>DIST_TOT!R107*COMB_TOT!R107*TAX_TOT!R107/FRO_TOT!R107</f>
        <v>26139.171837164031</v>
      </c>
      <c r="T107" s="130" t="s">
        <v>37</v>
      </c>
      <c r="U107" s="700">
        <f>SUMPRODUCT(B107:R107,FRO_TOT!B107:R107)/SUM(FRO_TOT!B107:R107)</f>
        <v>11112.800133384479</v>
      </c>
    </row>
    <row r="108" spans="1:21" s="1" customFormat="1" ht="15.75" thickBot="1">
      <c r="A108" s="131" t="s">
        <v>38</v>
      </c>
      <c r="B108" s="422">
        <f>DIST_TOT!B108*COMB_TOT!B108*TAX_TOT!B108/FRO_TOT!B108</f>
        <v>8094.100168885353</v>
      </c>
      <c r="C108" s="416">
        <f>DIST_TOT!C108*COMB_TOT!C108*TAX_TOT!C108/FRO_TOT!C108</f>
        <v>8530.2025115367614</v>
      </c>
      <c r="D108" s="416">
        <f>DIST_TOT!D108*COMB_TOT!D108*TAX_TOT!D108/FRO_TOT!D108</f>
        <v>6930.6162752167374</v>
      </c>
      <c r="E108" s="416">
        <f>DIST_TOT!E108*COMB_TOT!E108*TAX_TOT!E108/FRO_TOT!E108</f>
        <v>15940.4174329985</v>
      </c>
      <c r="F108" s="416">
        <f>DIST_TOT!F108*COMB_TOT!F108*TAX_TOT!F108/FRO_TOT!F108</f>
        <v>6930.6162752167393</v>
      </c>
      <c r="G108" s="416">
        <f>DIST_TOT!G108*COMB_TOT!G108*TAX_TOT!G108/FRO_TOT!G108</f>
        <v>4620.4108501444907</v>
      </c>
      <c r="H108" s="416">
        <f>DIST_TOT!H108*COMB_TOT!H108*TAX_TOT!H108/FRO_TOT!H108</f>
        <v>10924.45370369486</v>
      </c>
      <c r="I108" s="416">
        <f>DIST_TOT!I108*COMB_TOT!I108*TAX_TOT!I108/FRO_TOT!I108</f>
        <v>10924.453703694862</v>
      </c>
      <c r="J108" s="416">
        <f>DIST_TOT!J108*COMB_TOT!J108*TAX_TOT!J108/FRO_TOT!J108</f>
        <v>22678.92016796086</v>
      </c>
      <c r="K108" s="416">
        <f>DIST_TOT!K108*COMB_TOT!K108*TAX_TOT!K108/FRO_TOT!K108</f>
        <v>34018.853281312389</v>
      </c>
      <c r="L108" s="416">
        <f>DIST_TOT!L108*COMB_TOT!L108*TAX_TOT!L108/FRO_TOT!L108</f>
        <v>45358.786394663934</v>
      </c>
      <c r="M108" s="416">
        <f>DIST_TOT!M108*COMB_TOT!M108*TAX_TOT!M108/FRO_TOT!M108</f>
        <v>28444.202142913033</v>
      </c>
      <c r="N108" s="416">
        <f>DIST_TOT!N108*COMB_TOT!N108*TAX_TOT!N108/FRO_TOT!N108</f>
        <v>107249.00325048871</v>
      </c>
      <c r="O108" s="416">
        <f>DIST_TOT!O108*COMB_TOT!O108*TAX_TOT!O108/FRO_TOT!O108</f>
        <v>55528.917873288112</v>
      </c>
      <c r="P108" s="416">
        <f>DIST_TOT!P108*COMB_TOT!P108*TAX_TOT!P108/FRO_TOT!P108</f>
        <v>14190.881132963996</v>
      </c>
      <c r="Q108" s="416">
        <f>DIST_TOT!Q108*COMB_TOT!Q108*TAX_TOT!Q108/FRO_TOT!Q108</f>
        <v>14190.881132963998</v>
      </c>
      <c r="R108" s="423">
        <f>DIST_TOT!R108*COMB_TOT!R108*TAX_TOT!R108/FRO_TOT!R108</f>
        <v>25845.632294212824</v>
      </c>
      <c r="T108" s="210" t="s">
        <v>38</v>
      </c>
      <c r="U108" s="701">
        <f>SUMPRODUCT(B108:R108,FRO_TOT!B108:R108)/SUM(FRO_TOT!B108:R108)</f>
        <v>11698.706457674278</v>
      </c>
    </row>
    <row r="109" spans="1:21" ht="15.75" thickBot="1">
      <c r="A109" s="325" t="s">
        <v>73</v>
      </c>
      <c r="B109" s="420">
        <f>DIST_TOT!B109*COMB_TOT!B109*TAX_TOT!B109/FRO_TOT!B109</f>
        <v>10772.520316872758</v>
      </c>
      <c r="C109" s="415">
        <f>DIST_TOT!C109*COMB_TOT!C109*TAX_TOT!C109/FRO_TOT!C109</f>
        <v>10170.600954696314</v>
      </c>
      <c r="D109" s="415">
        <f>DIST_TOT!D109*COMB_TOT!D109*TAX_TOT!D109/FRO_TOT!D109</f>
        <v>6475.8899023874974</v>
      </c>
      <c r="E109" s="415">
        <f>DIST_TOT!E109*COMB_TOT!E109*TAX_TOT!E109/FRO_TOT!E109</f>
        <v>14894.546775491248</v>
      </c>
      <c r="F109" s="415">
        <f>DIST_TOT!F109*COMB_TOT!F109*TAX_TOT!F109/FRO_TOT!F109</f>
        <v>6475.8899023874965</v>
      </c>
      <c r="G109" s="415">
        <f>DIST_TOT!G109*COMB_TOT!G109*TAX_TOT!G109/FRO_TOT!G109</f>
        <v>4317.2599349249977</v>
      </c>
      <c r="H109" s="415">
        <f>DIST_TOT!H109*COMB_TOT!H109*TAX_TOT!H109/FRO_TOT!H109</f>
        <v>10304.182150713312</v>
      </c>
      <c r="I109" s="415">
        <f>DIST_TOT!I109*COMB_TOT!I109*TAX_TOT!I109/FRO_TOT!I109</f>
        <v>10304.182150713314</v>
      </c>
      <c r="J109" s="415">
        <f>DIST_TOT!J109*COMB_TOT!J109*TAX_TOT!J109/FRO_TOT!J109</f>
        <v>40977.366647427421</v>
      </c>
      <c r="K109" s="415">
        <f>DIST_TOT!K109*COMB_TOT!K109*TAX_TOT!K109/FRO_TOT!K109</f>
        <v>61466.049971141125</v>
      </c>
      <c r="L109" s="415">
        <f>DIST_TOT!L109*COMB_TOT!L109*TAX_TOT!L109/FRO_TOT!L109</f>
        <v>81954.733294854857</v>
      </c>
      <c r="M109" s="415">
        <f>DIST_TOT!M109*COMB_TOT!M109*TAX_TOT!M109/FRO_TOT!M109</f>
        <v>24287.126655559456</v>
      </c>
      <c r="N109" s="415">
        <f>DIST_TOT!N109*COMB_TOT!N109*TAX_TOT!N109/FRO_TOT!N109</f>
        <v>103065.27761401674</v>
      </c>
      <c r="O109" s="415">
        <f>DIST_TOT!O109*COMB_TOT!O109*TAX_TOT!O109/FRO_TOT!O109</f>
        <v>47103.242944693258</v>
      </c>
      <c r="P109" s="415">
        <f>DIST_TOT!P109*COMB_TOT!P109*TAX_TOT!P109/FRO_TOT!P109</f>
        <v>13637.302531758329</v>
      </c>
      <c r="Q109" s="415">
        <f>DIST_TOT!Q109*COMB_TOT!Q109*TAX_TOT!Q109/FRO_TOT!Q109</f>
        <v>13637.302531758329</v>
      </c>
      <c r="R109" s="421">
        <f>DIST_TOT!R109*COMB_TOT!R109*TAX_TOT!R109/FRO_TOT!R109</f>
        <v>24565.281946338797</v>
      </c>
      <c r="T109" s="268" t="s">
        <v>73</v>
      </c>
      <c r="U109" s="697">
        <f>SUMPRODUCT(B109:R109,FRO_TOT!B109:R109)/SUM(FRO_TOT!B109:R109)</f>
        <v>13929.093755631071</v>
      </c>
    </row>
    <row r="110" spans="1:21" s="1" customFormat="1">
      <c r="A110" s="130" t="s">
        <v>40</v>
      </c>
      <c r="B110" s="422">
        <f>DIST_TOT!B110*COMB_TOT!B110*TAX_TOT!B110/FRO_TOT!B110</f>
        <v>9960.3637753075545</v>
      </c>
      <c r="C110" s="416">
        <f>DIST_TOT!C110*COMB_TOT!C110*TAX_TOT!C110/FRO_TOT!C110</f>
        <v>10380.932731579518</v>
      </c>
      <c r="D110" s="416">
        <f>DIST_TOT!D110*COMB_TOT!D110*TAX_TOT!D110/FRO_TOT!D110</f>
        <v>6609.8136927452551</v>
      </c>
      <c r="E110" s="416">
        <f>DIST_TOT!E110*COMB_TOT!E110*TAX_TOT!E110/FRO_TOT!E110</f>
        <v>15202.57149331409</v>
      </c>
      <c r="F110" s="416">
        <f>DIST_TOT!F110*COMB_TOT!F110*TAX_TOT!F110/FRO_TOT!F110</f>
        <v>6609.8136927452579</v>
      </c>
      <c r="G110" s="416">
        <f>DIST_TOT!G110*COMB_TOT!G110*TAX_TOT!G110/FRO_TOT!G110</f>
        <v>4406.5424618301704</v>
      </c>
      <c r="H110" s="416">
        <f>DIST_TOT!H110*COMB_TOT!H110*TAX_TOT!H110/FRO_TOT!H110</f>
        <v>11443.281268773353</v>
      </c>
      <c r="I110" s="416">
        <f>DIST_TOT!I110*COMB_TOT!I110*TAX_TOT!I110/FRO_TOT!I110</f>
        <v>11443.281268773353</v>
      </c>
      <c r="J110" s="416">
        <f>DIST_TOT!J110*COMB_TOT!J110*TAX_TOT!J110/FRO_TOT!J110</f>
        <v>37148.801836418344</v>
      </c>
      <c r="K110" s="416">
        <f>DIST_TOT!K110*COMB_TOT!K110*TAX_TOT!K110/FRO_TOT!K110</f>
        <v>55723.20275462752</v>
      </c>
      <c r="L110" s="416">
        <f>DIST_TOT!L110*COMB_TOT!L110*TAX_TOT!L110/FRO_TOT!L110</f>
        <v>74297.603672836703</v>
      </c>
      <c r="M110" s="416">
        <f>DIST_TOT!M110*COMB_TOT!M110*TAX_TOT!M110/FRO_TOT!M110</f>
        <v>22017.951106187436</v>
      </c>
      <c r="N110" s="416">
        <f>DIST_TOT!N110*COMB_TOT!N110*TAX_TOT!N110/FRO_TOT!N110</f>
        <v>93435.764363323789</v>
      </c>
      <c r="O110" s="416">
        <f>DIST_TOT!O110*COMB_TOT!O110*TAX_TOT!O110/FRO_TOT!O110</f>
        <v>42702.33011947183</v>
      </c>
      <c r="P110" s="416">
        <f>DIST_TOT!P110*COMB_TOT!P110*TAX_TOT!P110/FRO_TOT!P110</f>
        <v>12363.152900831456</v>
      </c>
      <c r="Q110" s="416">
        <f>DIST_TOT!Q110*COMB_TOT!Q110*TAX_TOT!Q110/FRO_TOT!Q110</f>
        <v>12363.152900831456</v>
      </c>
      <c r="R110" s="423">
        <f>DIST_TOT!R110*COMB_TOT!R110*TAX_TOT!R110/FRO_TOT!R110</f>
        <v>94439.551304050794</v>
      </c>
      <c r="T110" s="190" t="s">
        <v>40</v>
      </c>
      <c r="U110" s="699">
        <f>SUMPRODUCT(B110:R110,FRO_TOT!B110:R110)/SUM(FRO_TOT!B110:R110)</f>
        <v>11847.899587966882</v>
      </c>
    </row>
    <row r="111" spans="1:21" s="1" customFormat="1">
      <c r="A111" s="130" t="s">
        <v>41</v>
      </c>
      <c r="B111" s="422">
        <f>DIST_TOT!B111*COMB_TOT!B111*TAX_TOT!B111/FRO_TOT!B111</f>
        <v>11723.550940094965</v>
      </c>
      <c r="C111" s="416">
        <f>DIST_TOT!C111*COMB_TOT!C111*TAX_TOT!C111/FRO_TOT!C111</f>
        <v>10016.312520785727</v>
      </c>
      <c r="D111" s="416">
        <f>DIST_TOT!D111*COMB_TOT!D111*TAX_TOT!D111/FRO_TOT!D111</f>
        <v>6377.6503867809615</v>
      </c>
      <c r="E111" s="416">
        <f>DIST_TOT!E111*COMB_TOT!E111*TAX_TOT!E111/FRO_TOT!E111</f>
        <v>14668.595889596214</v>
      </c>
      <c r="F111" s="416">
        <f>DIST_TOT!F111*COMB_TOT!F111*TAX_TOT!F111/FRO_TOT!F111</f>
        <v>6377.6503867809606</v>
      </c>
      <c r="G111" s="416">
        <f>DIST_TOT!G111*COMB_TOT!G111*TAX_TOT!G111/FRO_TOT!G111</f>
        <v>4251.7669245206407</v>
      </c>
      <c r="H111" s="416">
        <f>DIST_TOT!H111*COMB_TOT!H111*TAX_TOT!H111/FRO_TOT!H111</f>
        <v>10335.331554201975</v>
      </c>
      <c r="I111" s="416">
        <f>DIST_TOT!I111*COMB_TOT!I111*TAX_TOT!I111/FRO_TOT!I111</f>
        <v>10335.331554201977</v>
      </c>
      <c r="J111" s="416">
        <f>DIST_TOT!J111*COMB_TOT!J111*TAX_TOT!J111/FRO_TOT!J111</f>
        <v>37660.499557761781</v>
      </c>
      <c r="K111" s="416">
        <f>DIST_TOT!K111*COMB_TOT!K111*TAX_TOT!K111/FRO_TOT!K111</f>
        <v>56490.749336642657</v>
      </c>
      <c r="L111" s="416">
        <f>DIST_TOT!L111*COMB_TOT!L111*TAX_TOT!L111/FRO_TOT!L111</f>
        <v>75320.999115523548</v>
      </c>
      <c r="M111" s="416">
        <f>DIST_TOT!M111*COMB_TOT!M111*TAX_TOT!M111/FRO_TOT!M111</f>
        <v>22321.232365682641</v>
      </c>
      <c r="N111" s="416">
        <f>DIST_TOT!N111*COMB_TOT!N111*TAX_TOT!N111/FRO_TOT!N111</f>
        <v>94722.774047437561</v>
      </c>
      <c r="O111" s="416">
        <f>DIST_TOT!O111*COMB_TOT!O111*TAX_TOT!O111/FRO_TOT!O111</f>
        <v>43290.523652991607</v>
      </c>
      <c r="P111" s="416">
        <f>DIST_TOT!P111*COMB_TOT!P111*TAX_TOT!P111/FRO_TOT!P111</f>
        <v>12533.446338445745</v>
      </c>
      <c r="Q111" s="416">
        <f>DIST_TOT!Q111*COMB_TOT!Q111*TAX_TOT!Q111/FRO_TOT!Q111</f>
        <v>12533.446338445743</v>
      </c>
      <c r="R111" s="423">
        <f>DIST_TOT!R111*COMB_TOT!R111*TAX_TOT!R111/FRO_TOT!R111</f>
        <v>32712.805110139474</v>
      </c>
      <c r="T111" s="130" t="s">
        <v>41</v>
      </c>
      <c r="U111" s="700">
        <f>SUMPRODUCT(B111:R111,FRO_TOT!B111:R111)/SUM(FRO_TOT!B111:R111)</f>
        <v>13864.190196290847</v>
      </c>
    </row>
    <row r="112" spans="1:21" s="1" customFormat="1">
      <c r="A112" s="130" t="s">
        <v>42</v>
      </c>
      <c r="B112" s="422">
        <f>DIST_TOT!B112*COMB_TOT!B112*TAX_TOT!B112/FRO_TOT!B112</f>
        <v>13131.789984110796</v>
      </c>
      <c r="C112" s="416">
        <f>DIST_TOT!C112*COMB_TOT!C112*TAX_TOT!C112/FRO_TOT!C112</f>
        <v>10185.513857917207</v>
      </c>
      <c r="D112" s="416">
        <f>DIST_TOT!D112*COMB_TOT!D112*TAX_TOT!D112/FRO_TOT!D112</f>
        <v>6485.3853412326198</v>
      </c>
      <c r="E112" s="416">
        <f>DIST_TOT!E112*COMB_TOT!E112*TAX_TOT!E112/FRO_TOT!E112</f>
        <v>14916.386284835025</v>
      </c>
      <c r="F112" s="416">
        <f>DIST_TOT!F112*COMB_TOT!F112*TAX_TOT!F112/FRO_TOT!F112</f>
        <v>6485.3853412326207</v>
      </c>
      <c r="G112" s="416">
        <f>DIST_TOT!G112*COMB_TOT!G112*TAX_TOT!G112/FRO_TOT!G112</f>
        <v>4323.5902274884138</v>
      </c>
      <c r="H112" s="416">
        <f>DIST_TOT!H112*COMB_TOT!H112*TAX_TOT!H112/FRO_TOT!H112</f>
        <v>10006.264673086936</v>
      </c>
      <c r="I112" s="416">
        <f>DIST_TOT!I112*COMB_TOT!I112*TAX_TOT!I112/FRO_TOT!I112</f>
        <v>10006.264673086935</v>
      </c>
      <c r="J112" s="416">
        <f>DIST_TOT!J112*COMB_TOT!J112*TAX_TOT!J112/FRO_TOT!J112</f>
        <v>46260.952097149566</v>
      </c>
      <c r="K112" s="416">
        <f>DIST_TOT!K112*COMB_TOT!K112*TAX_TOT!K112/FRO_TOT!K112</f>
        <v>69391.428145724349</v>
      </c>
      <c r="L112" s="416">
        <f>DIST_TOT!L112*COMB_TOT!L112*TAX_TOT!L112/FRO_TOT!L112</f>
        <v>92521.904194299146</v>
      </c>
      <c r="M112" s="416">
        <f>DIST_TOT!M112*COMB_TOT!M112*TAX_TOT!M112/FRO_TOT!M112</f>
        <v>27418.687307491437</v>
      </c>
      <c r="N112" s="416">
        <f>DIST_TOT!N112*COMB_TOT!N112*TAX_TOT!N112/FRO_TOT!N112</f>
        <v>116354.42344562622</v>
      </c>
      <c r="O112" s="416">
        <f>DIST_TOT!O112*COMB_TOT!O112*TAX_TOT!O112/FRO_TOT!O112</f>
        <v>53176.693471630264</v>
      </c>
      <c r="P112" s="416">
        <f>DIST_TOT!P112*COMB_TOT!P112*TAX_TOT!P112/FRO_TOT!P112</f>
        <v>15395.684270883112</v>
      </c>
      <c r="Q112" s="416">
        <f>DIST_TOT!Q112*COMB_TOT!Q112*TAX_TOT!Q112/FRO_TOT!Q112</f>
        <v>15395.684270883114</v>
      </c>
      <c r="R112" s="423">
        <f>DIST_TOT!R112*COMB_TOT!R112*TAX_TOT!R112/FRO_TOT!R112</f>
        <v>17187.696202531646</v>
      </c>
      <c r="T112" s="130" t="s">
        <v>42</v>
      </c>
      <c r="U112" s="700">
        <f>SUMPRODUCT(B112:R112,FRO_TOT!B112:R112)/SUM(FRO_TOT!B112:R112)</f>
        <v>15947.684267115997</v>
      </c>
    </row>
    <row r="113" spans="1:21" s="1" customFormat="1" ht="15.75" thickBot="1">
      <c r="A113" s="131" t="s">
        <v>43</v>
      </c>
      <c r="B113" s="424">
        <f>DIST_TOT!B113*COMB_TOT!B113*TAX_TOT!B113/FRO_TOT!B113</f>
        <v>9836.3149522522563</v>
      </c>
      <c r="C113" s="425">
        <f>DIST_TOT!C113*COMB_TOT!C113*TAX_TOT!C113/FRO_TOT!C113</f>
        <v>10140.079709384861</v>
      </c>
      <c r="D113" s="425">
        <f>DIST_TOT!D113*COMB_TOT!D113*TAX_TOT!D113/FRO_TOT!D113</f>
        <v>6456.4562204250342</v>
      </c>
      <c r="E113" s="425">
        <f>DIST_TOT!E113*COMB_TOT!E113*TAX_TOT!E113/FRO_TOT!E113</f>
        <v>14849.849306977576</v>
      </c>
      <c r="F113" s="425">
        <f>DIST_TOT!F113*COMB_TOT!F113*TAX_TOT!F113/FRO_TOT!F113</f>
        <v>6456.4562204250342</v>
      </c>
      <c r="G113" s="425">
        <f>DIST_TOT!G113*COMB_TOT!G113*TAX_TOT!G113/FRO_TOT!G113</f>
        <v>4304.3041469500222</v>
      </c>
      <c r="H113" s="425">
        <f>DIST_TOT!H113*COMB_TOT!H113*TAX_TOT!H113/FRO_TOT!H113</f>
        <v>10264.781191544827</v>
      </c>
      <c r="I113" s="425">
        <f>DIST_TOT!I113*COMB_TOT!I113*TAX_TOT!I113/FRO_TOT!I113</f>
        <v>10264.781191544829</v>
      </c>
      <c r="J113" s="425">
        <f>DIST_TOT!J113*COMB_TOT!J113*TAX_TOT!J113/FRO_TOT!J113</f>
        <v>43123.488769175921</v>
      </c>
      <c r="K113" s="425">
        <f>DIST_TOT!K113*COMB_TOT!K113*TAX_TOT!K113/FRO_TOT!K113</f>
        <v>64685.233153763882</v>
      </c>
      <c r="L113" s="425">
        <f>DIST_TOT!L113*COMB_TOT!L113*TAX_TOT!L113/FRO_TOT!L113</f>
        <v>86246.977538351828</v>
      </c>
      <c r="M113" s="425">
        <f>DIST_TOT!M113*COMB_TOT!M113*TAX_TOT!M113/FRO_TOT!M113</f>
        <v>25559.124932990893</v>
      </c>
      <c r="N113" s="425">
        <f>DIST_TOT!N113*COMB_TOT!N113*TAX_TOT!N113/FRO_TOT!N113</f>
        <v>108463.15186432507</v>
      </c>
      <c r="O113" s="425">
        <f>DIST_TOT!O113*COMB_TOT!O113*TAX_TOT!O113/FRO_TOT!O113</f>
        <v>49570.197753172797</v>
      </c>
      <c r="P113" s="425">
        <f>DIST_TOT!P113*COMB_TOT!P113*TAX_TOT!P113/FRO_TOT!P113</f>
        <v>14351.533802308282</v>
      </c>
      <c r="Q113" s="425">
        <f>DIST_TOT!Q113*COMB_TOT!Q113*TAX_TOT!Q113/FRO_TOT!Q113</f>
        <v>14351.533802308282</v>
      </c>
      <c r="R113" s="426">
        <f>DIST_TOT!R113*COMB_TOT!R113*TAX_TOT!R113/FRO_TOT!R113</f>
        <v>18580.434522821575</v>
      </c>
      <c r="T113" s="131" t="s">
        <v>43</v>
      </c>
      <c r="U113" s="702">
        <f>SUMPRODUCT(B113:R113,FRO_TOT!B113:R113)/SUM(FRO_TOT!B113:R113)</f>
        <v>14298.497652470338</v>
      </c>
    </row>
    <row r="114" spans="1:21" ht="15.75" thickBot="1">
      <c r="U114" s="703"/>
    </row>
    <row r="115" spans="1:21" ht="15.75" customHeight="1" thickBot="1">
      <c r="A115" s="1051" t="s">
        <v>129</v>
      </c>
      <c r="B115" s="1054">
        <v>2012</v>
      </c>
      <c r="C115" s="1055"/>
      <c r="D115" s="1055"/>
      <c r="E115" s="1055"/>
      <c r="F115" s="1055"/>
      <c r="G115" s="1055"/>
      <c r="H115" s="1055"/>
      <c r="I115" s="1055"/>
      <c r="J115" s="1055"/>
      <c r="K115" s="1055"/>
      <c r="L115" s="1055"/>
      <c r="M115" s="1055"/>
      <c r="N115" s="1055"/>
      <c r="O115" s="1055"/>
      <c r="P115" s="1055"/>
      <c r="Q115" s="1055"/>
      <c r="R115" s="1078"/>
      <c r="T115" s="1091" t="s">
        <v>129</v>
      </c>
      <c r="U115" s="1092"/>
    </row>
    <row r="116" spans="1:21">
      <c r="A116" s="1052"/>
      <c r="B116" s="1060" t="s">
        <v>97</v>
      </c>
      <c r="C116" s="1061"/>
      <c r="D116" s="1061"/>
      <c r="E116" s="1061"/>
      <c r="F116" s="1061"/>
      <c r="G116" s="1061"/>
      <c r="H116" s="1061" t="s">
        <v>98</v>
      </c>
      <c r="I116" s="1061"/>
      <c r="J116" s="1061" t="s">
        <v>99</v>
      </c>
      <c r="K116" s="1061"/>
      <c r="L116" s="1061"/>
      <c r="M116" s="1061"/>
      <c r="N116" s="1061"/>
      <c r="O116" s="1061"/>
      <c r="P116" s="1061"/>
      <c r="Q116" s="1061"/>
      <c r="R116" s="289" t="s">
        <v>100</v>
      </c>
      <c r="T116" s="1093"/>
      <c r="U116" s="1094"/>
    </row>
    <row r="117" spans="1:21">
      <c r="A117" s="1052"/>
      <c r="B117" s="1062" t="s">
        <v>101</v>
      </c>
      <c r="C117" s="1064" t="s">
        <v>102</v>
      </c>
      <c r="D117" s="1064" t="s">
        <v>103</v>
      </c>
      <c r="E117" s="1064"/>
      <c r="F117" s="1064"/>
      <c r="G117" s="1064"/>
      <c r="H117" s="1062" t="s">
        <v>101</v>
      </c>
      <c r="I117" s="1064" t="s">
        <v>102</v>
      </c>
      <c r="J117" s="1064" t="s">
        <v>104</v>
      </c>
      <c r="K117" s="1064"/>
      <c r="L117" s="1064"/>
      <c r="M117" s="1064" t="s">
        <v>105</v>
      </c>
      <c r="N117" s="1064"/>
      <c r="O117" s="1064"/>
      <c r="P117" s="1062" t="s">
        <v>101</v>
      </c>
      <c r="Q117" s="1064" t="s">
        <v>102</v>
      </c>
      <c r="R117" s="1062" t="s">
        <v>101</v>
      </c>
      <c r="T117" s="1093"/>
      <c r="U117" s="1094"/>
    </row>
    <row r="118" spans="1:21" ht="15.75" thickBot="1">
      <c r="A118" s="1053"/>
      <c r="B118" s="1086"/>
      <c r="C118" s="1087"/>
      <c r="D118" s="414" t="s">
        <v>106</v>
      </c>
      <c r="E118" s="414" t="s">
        <v>107</v>
      </c>
      <c r="F118" s="414" t="s">
        <v>108</v>
      </c>
      <c r="G118" s="414" t="s">
        <v>109</v>
      </c>
      <c r="H118" s="1086"/>
      <c r="I118" s="1087"/>
      <c r="J118" s="414" t="s">
        <v>110</v>
      </c>
      <c r="K118" s="414" t="s">
        <v>111</v>
      </c>
      <c r="L118" s="414" t="s">
        <v>112</v>
      </c>
      <c r="M118" s="414" t="s">
        <v>113</v>
      </c>
      <c r="N118" s="414" t="s">
        <v>114</v>
      </c>
      <c r="O118" s="414" t="s">
        <v>115</v>
      </c>
      <c r="P118" s="1086"/>
      <c r="Q118" s="1087"/>
      <c r="R118" s="1086"/>
      <c r="T118" s="1093"/>
      <c r="U118" s="1094"/>
    </row>
    <row r="119" spans="1:21" ht="15.75" thickBot="1">
      <c r="A119" s="268" t="s">
        <v>11</v>
      </c>
      <c r="B119" s="417">
        <f>DIST_TOT!B119*COMB_TOT!B119*TAX_TOT!B119/FRO_TOT!B119</f>
        <v>9183.3775643519675</v>
      </c>
      <c r="C119" s="418">
        <f>DIST_TOT!C119*COMB_TOT!C119*TAX_TOT!C119/FRO_TOT!C119</f>
        <v>9094.8173814613765</v>
      </c>
      <c r="D119" s="418">
        <f>DIST_TOT!D119*COMB_TOT!D119*TAX_TOT!D119/FRO_TOT!D119</f>
        <v>6832.6538771993983</v>
      </c>
      <c r="E119" s="418">
        <f>DIST_TOT!E119*COMB_TOT!E119*TAX_TOT!E119/FRO_TOT!E119</f>
        <v>15715.103917558614</v>
      </c>
      <c r="F119" s="418">
        <f>DIST_TOT!F119*COMB_TOT!F119*TAX_TOT!F119/FRO_TOT!F119</f>
        <v>6832.6538771993983</v>
      </c>
      <c r="G119" s="418">
        <f>DIST_TOT!G119*COMB_TOT!G119*TAX_TOT!G119/FRO_TOT!G119</f>
        <v>4555.1025847995979</v>
      </c>
      <c r="H119" s="418">
        <f>DIST_TOT!H119*COMB_TOT!H119*TAX_TOT!H119/FRO_TOT!H119</f>
        <v>8789.2405560585776</v>
      </c>
      <c r="I119" s="418">
        <f>DIST_TOT!I119*COMB_TOT!I119*TAX_TOT!I119/FRO_TOT!I119</f>
        <v>8886.1284712368215</v>
      </c>
      <c r="J119" s="418">
        <f>DIST_TOT!J119*COMB_TOT!J119*TAX_TOT!J119/FRO_TOT!J119</f>
        <v>27747.795525731301</v>
      </c>
      <c r="K119" s="418">
        <f>DIST_TOT!K119*COMB_TOT!K119*TAX_TOT!K119/FRO_TOT!K119</f>
        <v>41621.697616840014</v>
      </c>
      <c r="L119" s="418">
        <f>DIST_TOT!L119*COMB_TOT!L119*TAX_TOT!L119/FRO_TOT!L119</f>
        <v>54982.995192974857</v>
      </c>
      <c r="M119" s="418">
        <f>DIST_TOT!M119*COMB_TOT!M119*TAX_TOT!M119/FRO_TOT!M119</f>
        <v>31944.862434050607</v>
      </c>
      <c r="N119" s="418">
        <f>DIST_TOT!N119*COMB_TOT!N119*TAX_TOT!N119/FRO_TOT!N119</f>
        <v>112315.63038650951</v>
      </c>
      <c r="O119" s="418">
        <f>DIST_TOT!O119*COMB_TOT!O119*TAX_TOT!O119/FRO_TOT!O119</f>
        <v>62380.846201636239</v>
      </c>
      <c r="P119" s="418">
        <f>DIST_TOT!P119*COMB_TOT!P119*TAX_TOT!P119/FRO_TOT!P119</f>
        <v>14861.282733474849</v>
      </c>
      <c r="Q119" s="418">
        <f>DIST_TOT!Q119*COMB_TOT!Q119*TAX_TOT!Q119/FRO_TOT!Q119</f>
        <v>14861.282733474851</v>
      </c>
      <c r="R119" s="419">
        <f>DIST_TOT!R119*COMB_TOT!R119*TAX_TOT!R119/FRO_TOT!R119</f>
        <v>15861.196564653135</v>
      </c>
      <c r="T119" s="268" t="s">
        <v>11</v>
      </c>
      <c r="U119" s="697">
        <f>SUMPRODUCT(B119:R119,FRO_TOT!B119:R119)/SUM(FRO_TOT!B119:R119)</f>
        <v>12595.472716352204</v>
      </c>
    </row>
    <row r="120" spans="1:21" ht="15.75" thickBot="1">
      <c r="A120" s="324" t="s">
        <v>46</v>
      </c>
      <c r="B120" s="420">
        <f>DIST_TOT!B120*COMB_TOT!B120*TAX_TOT!B120/FRO_TOT!B120</f>
        <v>14766.503732197916</v>
      </c>
      <c r="C120" s="415">
        <f>DIST_TOT!C120*COMB_TOT!C120*TAX_TOT!C120/FRO_TOT!C120</f>
        <v>15261.761377929539</v>
      </c>
      <c r="D120" s="415">
        <f>DIST_TOT!D120*COMB_TOT!D120*TAX_TOT!D120/FRO_TOT!D120</f>
        <v>6897.0360529327281</v>
      </c>
      <c r="E120" s="415">
        <f>DIST_TOT!E120*COMB_TOT!E120*TAX_TOT!E120/FRO_TOT!E120</f>
        <v>15863.182921745269</v>
      </c>
      <c r="F120" s="415">
        <f>DIST_TOT!F120*COMB_TOT!F120*TAX_TOT!F120/FRO_TOT!F120</f>
        <v>6897.0360529327281</v>
      </c>
      <c r="G120" s="415">
        <f>DIST_TOT!G120*COMB_TOT!G120*TAX_TOT!G120/FRO_TOT!G120</f>
        <v>4598.0240352884857</v>
      </c>
      <c r="H120" s="415">
        <f>DIST_TOT!H120*COMB_TOT!H120*TAX_TOT!H120/FRO_TOT!H120</f>
        <v>11848.719486714319</v>
      </c>
      <c r="I120" s="415">
        <f>DIST_TOT!I120*COMB_TOT!I120*TAX_TOT!I120/FRO_TOT!I120</f>
        <v>11848.719486714324</v>
      </c>
      <c r="J120" s="415">
        <f>DIST_TOT!J120*COMB_TOT!J120*TAX_TOT!J120/FRO_TOT!J120</f>
        <v>70037.486285267689</v>
      </c>
      <c r="K120" s="415">
        <f>DIST_TOT!K120*COMB_TOT!K120*TAX_TOT!K120/FRO_TOT!K120</f>
        <v>105056.22942790156</v>
      </c>
      <c r="L120" s="415">
        <f>DIST_TOT!L120*COMB_TOT!L120*TAX_TOT!L120/FRO_TOT!L120</f>
        <v>140074.97257053538</v>
      </c>
      <c r="M120" s="415">
        <f>DIST_TOT!M120*COMB_TOT!M120*TAX_TOT!M120/FRO_TOT!M120</f>
        <v>49907.652938650877</v>
      </c>
      <c r="N120" s="415">
        <f>DIST_TOT!N120*COMB_TOT!N120*TAX_TOT!N120/FRO_TOT!N120</f>
        <v>128962.89502717552</v>
      </c>
      <c r="O120" s="415">
        <f>DIST_TOT!O120*COMB_TOT!O120*TAX_TOT!O120/FRO_TOT!O120</f>
        <v>99029.224224715595</v>
      </c>
      <c r="P120" s="415">
        <f>DIST_TOT!P120*COMB_TOT!P120*TAX_TOT!P120/FRO_TOT!P120</f>
        <v>17064.001141523167</v>
      </c>
      <c r="Q120" s="694">
        <f>DIST_TOT!Q120*COMB_TOT!Q120*TAX_TOT!Q120/FRO_TOT!Q120</f>
        <v>17064.001141523171</v>
      </c>
      <c r="R120" s="421">
        <f>DIST_TOT!R120*COMB_TOT!R120*TAX_TOT!R120/FRO_TOT!R120</f>
        <v>29611.703070695978</v>
      </c>
      <c r="T120" s="692" t="s">
        <v>46</v>
      </c>
      <c r="U120" s="698">
        <f>SUMPRODUCT(B120:R120,FRO_TOT!B120:R120)/SUM(FRO_TOT!B120:R120)</f>
        <v>18617.431829546917</v>
      </c>
    </row>
    <row r="121" spans="1:21" s="1" customFormat="1" ht="15.75" thickBot="1">
      <c r="A121" s="130" t="s">
        <v>13</v>
      </c>
      <c r="B121" s="422">
        <f>DIST_TOT!B121*COMB_TOT!B121*TAX_TOT!B121/FRO_TOT!B121</f>
        <v>13490.964600413992</v>
      </c>
      <c r="C121" s="416">
        <f>DIST_TOT!C121*COMB_TOT!C121*TAX_TOT!C121/FRO_TOT!C121</f>
        <v>14043.934855847461</v>
      </c>
      <c r="D121" s="416">
        <f>DIST_TOT!D121*COMB_TOT!D121*TAX_TOT!D121/FRO_TOT!D121</f>
        <v>6346.6806109216659</v>
      </c>
      <c r="E121" s="416">
        <f>DIST_TOT!E121*COMB_TOT!E121*TAX_TOT!E121/FRO_TOT!E121</f>
        <v>14597.365405119832</v>
      </c>
      <c r="F121" s="416">
        <f>DIST_TOT!F121*COMB_TOT!F121*TAX_TOT!F121/FRO_TOT!F121</f>
        <v>6346.6806109216668</v>
      </c>
      <c r="G121" s="416">
        <f>DIST_TOT!G121*COMB_TOT!G121*TAX_TOT!G121/FRO_TOT!G121</f>
        <v>4231.1204072811115</v>
      </c>
      <c r="H121" s="416">
        <f>DIST_TOT!H121*COMB_TOT!H121*TAX_TOT!H121/FRO_TOT!H121</f>
        <v>11244.836571356569</v>
      </c>
      <c r="I121" s="416">
        <f>DIST_TOT!I121*COMB_TOT!I121*TAX_TOT!I121/FRO_TOT!I121</f>
        <v>11244.836571356569</v>
      </c>
      <c r="J121" s="416">
        <f>DIST_TOT!J121*COMB_TOT!J121*TAX_TOT!J121/FRO_TOT!J121</f>
        <v>84314.867668323728</v>
      </c>
      <c r="K121" s="416">
        <f>DIST_TOT!K121*COMB_TOT!K121*TAX_TOT!K121/FRO_TOT!K121</f>
        <v>126472.30150248563</v>
      </c>
      <c r="L121" s="416">
        <f>DIST_TOT!L121*COMB_TOT!L121*TAX_TOT!L121/FRO_TOT!L121</f>
        <v>168629.73533664751</v>
      </c>
      <c r="M121" s="416">
        <f>DIST_TOT!M121*COMB_TOT!M121*TAX_TOT!M121/FRO_TOT!M121</f>
        <v>60081.498870757081</v>
      </c>
      <c r="N121" s="416">
        <f>DIST_TOT!N121*COMB_TOT!N121*TAX_TOT!N121/FRO_TOT!N121</f>
        <v>155252.42273904185</v>
      </c>
      <c r="O121" s="416">
        <f>DIST_TOT!O121*COMB_TOT!O121*TAX_TOT!O121/FRO_TOT!O121</f>
        <v>119216.6706525558</v>
      </c>
      <c r="P121" s="428">
        <f>DIST_TOT!P121*COMB_TOT!P121*TAX_TOT!P121/FRO_TOT!P121</f>
        <v>20542.556200254297</v>
      </c>
      <c r="Q121" s="696">
        <f>DIST_TOT!Q121*COMB_TOT!Q121*TAX_TOT!Q121/FRO_TOT!Q121</f>
        <v>20542.556200254301</v>
      </c>
      <c r="R121" s="693">
        <v>0</v>
      </c>
      <c r="T121" s="190" t="s">
        <v>13</v>
      </c>
      <c r="U121" s="699">
        <f>SUMPRODUCT(B121:R121,FRO_TOT!B121:R121)/SUM(FRO_TOT!B121:R121)</f>
        <v>17591.415609358133</v>
      </c>
    </row>
    <row r="122" spans="1:21" s="1" customFormat="1">
      <c r="A122" s="130" t="s">
        <v>14</v>
      </c>
      <c r="B122" s="422">
        <f>DIST_TOT!B122*COMB_TOT!B122*TAX_TOT!B122/FRO_TOT!B122</f>
        <v>16210.338721151897</v>
      </c>
      <c r="C122" s="416">
        <f>DIST_TOT!C122*COMB_TOT!C122*TAX_TOT!C122/FRO_TOT!C122</f>
        <v>16511.300211849746</v>
      </c>
      <c r="D122" s="416">
        <f>DIST_TOT!D122*COMB_TOT!D122*TAX_TOT!D122/FRO_TOT!D122</f>
        <v>7461.7228000044033</v>
      </c>
      <c r="E122" s="416">
        <f>DIST_TOT!E122*COMB_TOT!E122*TAX_TOT!E122/FRO_TOT!E122</f>
        <v>17161.962440010124</v>
      </c>
      <c r="F122" s="416">
        <f>DIST_TOT!F122*COMB_TOT!F122*TAX_TOT!F122/FRO_TOT!F122</f>
        <v>7461.7228000044024</v>
      </c>
      <c r="G122" s="416">
        <f>DIST_TOT!G122*COMB_TOT!G122*TAX_TOT!G122/FRO_TOT!G122</f>
        <v>4974.4818666696028</v>
      </c>
      <c r="H122" s="416">
        <f>DIST_TOT!H122*COMB_TOT!H122*TAX_TOT!H122/FRO_TOT!H122</f>
        <v>16321.344019019043</v>
      </c>
      <c r="I122" s="416">
        <f>DIST_TOT!I122*COMB_TOT!I122*TAX_TOT!I122/FRO_TOT!I122</f>
        <v>16321.344019019041</v>
      </c>
      <c r="J122" s="416">
        <f>DIST_TOT!J122*COMB_TOT!J122*TAX_TOT!J122/FRO_TOT!J122</f>
        <v>144064.90292255272</v>
      </c>
      <c r="K122" s="416">
        <f>DIST_TOT!K122*COMB_TOT!K122*TAX_TOT!K122/FRO_TOT!K122</f>
        <v>216097.35438382911</v>
      </c>
      <c r="L122" s="416">
        <f>DIST_TOT!L122*COMB_TOT!L122*TAX_TOT!L122/FRO_TOT!L122</f>
        <v>288129.80584510538</v>
      </c>
      <c r="M122" s="416">
        <f>DIST_TOT!M122*COMB_TOT!M122*TAX_TOT!M122/FRO_TOT!M122</f>
        <v>102658.46987160623</v>
      </c>
      <c r="N122" s="416">
        <f>DIST_TOT!N122*COMB_TOT!N122*TAX_TOT!N122/FRO_TOT!N122</f>
        <v>265272.61239827611</v>
      </c>
      <c r="O122" s="416">
        <f>DIST_TOT!O122*COMB_TOT!O122*TAX_TOT!O122/FRO_TOT!O122</f>
        <v>203699.994547496</v>
      </c>
      <c r="P122" s="416">
        <f>DIST_TOT!P122*COMB_TOT!P122*TAX_TOT!P122/FRO_TOT!P122</f>
        <v>35100.112786900085</v>
      </c>
      <c r="Q122" s="695">
        <f>DIST_TOT!Q122*COMB_TOT!Q122*TAX_TOT!Q122/FRO_TOT!Q122</f>
        <v>35100.112786900085</v>
      </c>
      <c r="R122" s="423">
        <v>0</v>
      </c>
      <c r="T122" s="130" t="s">
        <v>14</v>
      </c>
      <c r="U122" s="700">
        <f>SUMPRODUCT(B122:R122,FRO_TOT!B122:R122)/SUM(FRO_TOT!B122:R122)</f>
        <v>22877.913640228395</v>
      </c>
    </row>
    <row r="123" spans="1:21" s="1" customFormat="1">
      <c r="A123" s="130" t="s">
        <v>15</v>
      </c>
      <c r="B123" s="422">
        <f>DIST_TOT!B123*COMB_TOT!B123*TAX_TOT!B123/FRO_TOT!B123</f>
        <v>15496.05402465191</v>
      </c>
      <c r="C123" s="416">
        <f>DIST_TOT!C123*COMB_TOT!C123*TAX_TOT!C123/FRO_TOT!C123</f>
        <v>15917.0761777917</v>
      </c>
      <c r="D123" s="416">
        <f>DIST_TOT!D123*COMB_TOT!D123*TAX_TOT!D123/FRO_TOT!D123</f>
        <v>7193.1833775269788</v>
      </c>
      <c r="E123" s="416">
        <f>DIST_TOT!E123*COMB_TOT!E123*TAX_TOT!E123/FRO_TOT!E123</f>
        <v>16544.321768312049</v>
      </c>
      <c r="F123" s="416">
        <f>DIST_TOT!F123*COMB_TOT!F123*TAX_TOT!F123/FRO_TOT!F123</f>
        <v>7193.1833775269788</v>
      </c>
      <c r="G123" s="416">
        <f>DIST_TOT!G123*COMB_TOT!G123*TAX_TOT!G123/FRO_TOT!G123</f>
        <v>4795.4555850179859</v>
      </c>
      <c r="H123" s="416">
        <f>DIST_TOT!H123*COMB_TOT!H123*TAX_TOT!H123/FRO_TOT!H123</f>
        <v>14721.930913150385</v>
      </c>
      <c r="I123" s="416">
        <f>DIST_TOT!I123*COMB_TOT!I123*TAX_TOT!I123/FRO_TOT!I123</f>
        <v>14721.930913150383</v>
      </c>
      <c r="J123" s="416">
        <f>DIST_TOT!J123*COMB_TOT!J123*TAX_TOT!J123/FRO_TOT!J123</f>
        <v>59348.183518130121</v>
      </c>
      <c r="K123" s="416">
        <f>DIST_TOT!K123*COMB_TOT!K123*TAX_TOT!K123/FRO_TOT!K123</f>
        <v>89022.275277195193</v>
      </c>
      <c r="L123" s="416">
        <f>DIST_TOT!L123*COMB_TOT!L123*TAX_TOT!L123/FRO_TOT!L123</f>
        <v>118696.36703626027</v>
      </c>
      <c r="M123" s="416">
        <f>DIST_TOT!M123*COMB_TOT!M123*TAX_TOT!M123/FRO_TOT!M123</f>
        <v>42290.617534416517</v>
      </c>
      <c r="N123" s="416">
        <f>DIST_TOT!N123*COMB_TOT!N123*TAX_TOT!N123/FRO_TOT!N123</f>
        <v>109280.24358167341</v>
      </c>
      <c r="O123" s="416">
        <f>DIST_TOT!O123*COMB_TOT!O123*TAX_TOT!O123/FRO_TOT!O123</f>
        <v>83915.127236408836</v>
      </c>
      <c r="P123" s="416">
        <f>DIST_TOT!P123*COMB_TOT!P123*TAX_TOT!P123/FRO_TOT!P123</f>
        <v>14459.649039598999</v>
      </c>
      <c r="Q123" s="416">
        <f>DIST_TOT!Q123*COMB_TOT!Q123*TAX_TOT!Q123/FRO_TOT!Q123</f>
        <v>14459.649039599</v>
      </c>
      <c r="R123" s="423">
        <f>DIST_TOT!R123*COMB_TOT!R123*TAX_TOT!R123/FRO_TOT!R123</f>
        <v>48393.972416644625</v>
      </c>
      <c r="T123" s="130" t="s">
        <v>15</v>
      </c>
      <c r="U123" s="700">
        <f>SUMPRODUCT(B123:R123,FRO_TOT!B123:R123)/SUM(FRO_TOT!B123:R123)</f>
        <v>18549.307057767292</v>
      </c>
    </row>
    <row r="124" spans="1:21" s="1" customFormat="1">
      <c r="A124" s="130" t="s">
        <v>16</v>
      </c>
      <c r="B124" s="422">
        <f>DIST_TOT!B124*COMB_TOT!B124*TAX_TOT!B124/FRO_TOT!B124</f>
        <v>15485.253942706959</v>
      </c>
      <c r="C124" s="416">
        <f>DIST_TOT!C124*COMB_TOT!C124*TAX_TOT!C124/FRO_TOT!C124</f>
        <v>16151.570833253521</v>
      </c>
      <c r="D124" s="416">
        <f>DIST_TOT!D124*COMB_TOT!D124*TAX_TOT!D124/FRO_TOT!D124</f>
        <v>7299.1552934081346</v>
      </c>
      <c r="E124" s="416">
        <f>DIST_TOT!E124*COMB_TOT!E124*TAX_TOT!E124/FRO_TOT!E124</f>
        <v>16788.057174838708</v>
      </c>
      <c r="F124" s="416">
        <f>DIST_TOT!F124*COMB_TOT!F124*TAX_TOT!F124/FRO_TOT!F124</f>
        <v>7299.1552934081337</v>
      </c>
      <c r="G124" s="416">
        <f>DIST_TOT!G124*COMB_TOT!G124*TAX_TOT!G124/FRO_TOT!G124</f>
        <v>4866.1035289387573</v>
      </c>
      <c r="H124" s="416">
        <f>DIST_TOT!H124*COMB_TOT!H124*TAX_TOT!H124/FRO_TOT!H124</f>
        <v>11692.662737594301</v>
      </c>
      <c r="I124" s="416">
        <f>DIST_TOT!I124*COMB_TOT!I124*TAX_TOT!I124/FRO_TOT!I124</f>
        <v>11692.662737594303</v>
      </c>
      <c r="J124" s="416">
        <f>DIST_TOT!J124*COMB_TOT!J124*TAX_TOT!J124/FRO_TOT!J124</f>
        <v>77611.150560487251</v>
      </c>
      <c r="K124" s="416">
        <f>DIST_TOT!K124*COMB_TOT!K124*TAX_TOT!K124/FRO_TOT!K124</f>
        <v>116416.72584073088</v>
      </c>
      <c r="L124" s="416">
        <f>DIST_TOT!L124*COMB_TOT!L124*TAX_TOT!L124/FRO_TOT!L124</f>
        <v>155222.3011209745</v>
      </c>
      <c r="M124" s="416">
        <f>DIST_TOT!M124*COMB_TOT!M124*TAX_TOT!M124/FRO_TOT!M124</f>
        <v>55304.531498540367</v>
      </c>
      <c r="N124" s="416">
        <f>DIST_TOT!N124*COMB_TOT!N124*TAX_TOT!N124/FRO_TOT!N124</f>
        <v>142908.59357663445</v>
      </c>
      <c r="O124" s="416">
        <f>DIST_TOT!O124*COMB_TOT!O124*TAX_TOT!O124/FRO_TOT!O124</f>
        <v>109737.97660138673</v>
      </c>
      <c r="P124" s="416">
        <f>DIST_TOT!P124*COMB_TOT!P124*TAX_TOT!P124/FRO_TOT!P124</f>
        <v>18909.256057033246</v>
      </c>
      <c r="Q124" s="416">
        <f>DIST_TOT!Q124*COMB_TOT!Q124*TAX_TOT!Q124/FRO_TOT!Q124</f>
        <v>18909.256057033243</v>
      </c>
      <c r="R124" s="423">
        <v>0</v>
      </c>
      <c r="T124" s="130" t="s">
        <v>16</v>
      </c>
      <c r="U124" s="700">
        <f>SUMPRODUCT(B124:R124,FRO_TOT!B124:R124)/SUM(FRO_TOT!B124:R124)</f>
        <v>20338.544190005417</v>
      </c>
    </row>
    <row r="125" spans="1:21" s="1" customFormat="1">
      <c r="A125" s="130" t="s">
        <v>17</v>
      </c>
      <c r="B125" s="422">
        <f>DIST_TOT!B125*COMB_TOT!B125*TAX_TOT!B125/FRO_TOT!B125</f>
        <v>12416.246911027312</v>
      </c>
      <c r="C125" s="416">
        <f>DIST_TOT!C125*COMB_TOT!C125*TAX_TOT!C125/FRO_TOT!C125</f>
        <v>12860.731258078138</v>
      </c>
      <c r="D125" s="416">
        <f>DIST_TOT!D125*COMB_TOT!D125*TAX_TOT!D125/FRO_TOT!D125</f>
        <v>5811.9718266802856</v>
      </c>
      <c r="E125" s="416">
        <f>DIST_TOT!E125*COMB_TOT!E125*TAX_TOT!E125/FRO_TOT!E125</f>
        <v>13367.535201364659</v>
      </c>
      <c r="F125" s="416">
        <f>DIST_TOT!F125*COMB_TOT!F125*TAX_TOT!F125/FRO_TOT!F125</f>
        <v>5811.9718266802856</v>
      </c>
      <c r="G125" s="416">
        <f>DIST_TOT!G125*COMB_TOT!G125*TAX_TOT!G125/FRO_TOT!G125</f>
        <v>3874.6478844535241</v>
      </c>
      <c r="H125" s="416">
        <f>DIST_TOT!H125*COMB_TOT!H125*TAX_TOT!H125/FRO_TOT!H125</f>
        <v>8718.1931775816101</v>
      </c>
      <c r="I125" s="416">
        <f>DIST_TOT!I125*COMB_TOT!I125*TAX_TOT!I125/FRO_TOT!I125</f>
        <v>8718.1931775816101</v>
      </c>
      <c r="J125" s="416">
        <f>DIST_TOT!J125*COMB_TOT!J125*TAX_TOT!J125/FRO_TOT!J125</f>
        <v>57843.448433701538</v>
      </c>
      <c r="K125" s="416">
        <f>DIST_TOT!K125*COMB_TOT!K125*TAX_TOT!K125/FRO_TOT!K125</f>
        <v>86765.172650552311</v>
      </c>
      <c r="L125" s="416">
        <f>DIST_TOT!L125*COMB_TOT!L125*TAX_TOT!L125/FRO_TOT!L125</f>
        <v>115686.89686740311</v>
      </c>
      <c r="M125" s="416">
        <f>DIST_TOT!M125*COMB_TOT!M125*TAX_TOT!M125/FRO_TOT!M125</f>
        <v>41218.366082495537</v>
      </c>
      <c r="N125" s="416">
        <f>DIST_TOT!N125*COMB_TOT!N125*TAX_TOT!N125/FRO_TOT!N125</f>
        <v>106509.51317672322</v>
      </c>
      <c r="O125" s="416">
        <f>DIST_TOT!O125*COMB_TOT!O125*TAX_TOT!O125/FRO_TOT!O125</f>
        <v>81787.513068936649</v>
      </c>
      <c r="P125" s="416">
        <f>DIST_TOT!P125*COMB_TOT!P125*TAX_TOT!P125/FRO_TOT!P125</f>
        <v>14093.033923034192</v>
      </c>
      <c r="Q125" s="416">
        <f>DIST_TOT!Q125*COMB_TOT!Q125*TAX_TOT!Q125/FRO_TOT!Q125</f>
        <v>14093.033923034194</v>
      </c>
      <c r="R125" s="423">
        <v>0</v>
      </c>
      <c r="T125" s="130" t="s">
        <v>17</v>
      </c>
      <c r="U125" s="700">
        <f>SUMPRODUCT(B125:R125,FRO_TOT!B125:R125)/SUM(FRO_TOT!B125:R125)</f>
        <v>15415.623139433728</v>
      </c>
    </row>
    <row r="126" spans="1:21" s="1" customFormat="1">
      <c r="A126" s="130" t="s">
        <v>18</v>
      </c>
      <c r="B126" s="422">
        <f>DIST_TOT!B126*COMB_TOT!B126*TAX_TOT!B126/FRO_TOT!B126</f>
        <v>13353.159276321878</v>
      </c>
      <c r="C126" s="416">
        <f>DIST_TOT!C126*COMB_TOT!C126*TAX_TOT!C126/FRO_TOT!C126</f>
        <v>13674.207824886378</v>
      </c>
      <c r="D126" s="416">
        <f>DIST_TOT!D126*COMB_TOT!D126*TAX_TOT!D126/FRO_TOT!D126</f>
        <v>6179.5950040158968</v>
      </c>
      <c r="E126" s="416">
        <f>DIST_TOT!E126*COMB_TOT!E126*TAX_TOT!E126/FRO_TOT!E126</f>
        <v>14213.068509236562</v>
      </c>
      <c r="F126" s="416">
        <f>DIST_TOT!F126*COMB_TOT!F126*TAX_TOT!F126/FRO_TOT!F126</f>
        <v>6179.5950040158968</v>
      </c>
      <c r="G126" s="416">
        <f>DIST_TOT!G126*COMB_TOT!G126*TAX_TOT!G126/FRO_TOT!G126</f>
        <v>4119.7300026772637</v>
      </c>
      <c r="H126" s="416">
        <f>DIST_TOT!H126*COMB_TOT!H126*TAX_TOT!H126/FRO_TOT!H126</f>
        <v>13968.426392816642</v>
      </c>
      <c r="I126" s="416">
        <f>DIST_TOT!I126*COMB_TOT!I126*TAX_TOT!I126/FRO_TOT!I126</f>
        <v>13968.426392816644</v>
      </c>
      <c r="J126" s="416">
        <f>DIST_TOT!J126*COMB_TOT!J126*TAX_TOT!J126/FRO_TOT!J126</f>
        <v>54151.98771320442</v>
      </c>
      <c r="K126" s="416">
        <f>DIST_TOT!K126*COMB_TOT!K126*TAX_TOT!K126/FRO_TOT!K126</f>
        <v>81227.981569806623</v>
      </c>
      <c r="L126" s="416">
        <f>DIST_TOT!L126*COMB_TOT!L126*TAX_TOT!L126/FRO_TOT!L126</f>
        <v>108303.97542640884</v>
      </c>
      <c r="M126" s="416">
        <f>DIST_TOT!M126*COMB_TOT!M126*TAX_TOT!M126/FRO_TOT!M126</f>
        <v>38587.887031250873</v>
      </c>
      <c r="N126" s="416">
        <f>DIST_TOT!N126*COMB_TOT!N126*TAX_TOT!N126/FRO_TOT!N126</f>
        <v>99712.275202542078</v>
      </c>
      <c r="O126" s="416">
        <f>DIST_TOT!O126*COMB_TOT!O126*TAX_TOT!O126/FRO_TOT!O126</f>
        <v>76567.986915215501</v>
      </c>
      <c r="P126" s="416">
        <f>DIST_TOT!P126*COMB_TOT!P126*TAX_TOT!P126/FRO_TOT!P126</f>
        <v>13193.64284991824</v>
      </c>
      <c r="Q126" s="416">
        <f>DIST_TOT!Q126*COMB_TOT!Q126*TAX_TOT!Q126/FRO_TOT!Q126</f>
        <v>13193.642849918238</v>
      </c>
      <c r="R126" s="423">
        <v>0</v>
      </c>
      <c r="T126" s="130" t="s">
        <v>18</v>
      </c>
      <c r="U126" s="700">
        <f>SUMPRODUCT(B126:R126,FRO_TOT!B126:R126)/SUM(FRO_TOT!B126:R126)</f>
        <v>14880.935016279078</v>
      </c>
    </row>
    <row r="127" spans="1:21" s="1" customFormat="1" ht="15.75" thickBot="1">
      <c r="A127" s="131" t="s">
        <v>19</v>
      </c>
      <c r="B127" s="422">
        <f>DIST_TOT!B127*COMB_TOT!B127*TAX_TOT!B127/FRO_TOT!B127</f>
        <v>15275.570943657012</v>
      </c>
      <c r="C127" s="416">
        <f>DIST_TOT!C127*COMB_TOT!C127*TAX_TOT!C127/FRO_TOT!C127</f>
        <v>15622.111432368596</v>
      </c>
      <c r="D127" s="416">
        <f>DIST_TOT!D127*COMB_TOT!D127*TAX_TOT!D127/FRO_TOT!D127</f>
        <v>7059.8840529503777</v>
      </c>
      <c r="E127" s="416">
        <f>DIST_TOT!E127*COMB_TOT!E127*TAX_TOT!E127/FRO_TOT!E127</f>
        <v>16237.733321785869</v>
      </c>
      <c r="F127" s="416">
        <f>DIST_TOT!F127*COMB_TOT!F127*TAX_TOT!F127/FRO_TOT!F127</f>
        <v>7059.8840529503768</v>
      </c>
      <c r="G127" s="416">
        <f>DIST_TOT!G127*COMB_TOT!G127*TAX_TOT!G127/FRO_TOT!G127</f>
        <v>4706.5893686335858</v>
      </c>
      <c r="H127" s="416">
        <f>DIST_TOT!H127*COMB_TOT!H127*TAX_TOT!H127/FRO_TOT!H127</f>
        <v>11348.498614527829</v>
      </c>
      <c r="I127" s="416">
        <f>DIST_TOT!I127*COMB_TOT!I127*TAX_TOT!I127/FRO_TOT!I127</f>
        <v>11348.498614527827</v>
      </c>
      <c r="J127" s="416">
        <f>DIST_TOT!J127*COMB_TOT!J127*TAX_TOT!J127/FRO_TOT!J127</f>
        <v>67438.95128398345</v>
      </c>
      <c r="K127" s="416">
        <f>DIST_TOT!K127*COMB_TOT!K127*TAX_TOT!K127/FRO_TOT!K127</f>
        <v>101158.42692597517</v>
      </c>
      <c r="L127" s="416">
        <f>DIST_TOT!L127*COMB_TOT!L127*TAX_TOT!L127/FRO_TOT!L127</f>
        <v>134877.9025679669</v>
      </c>
      <c r="M127" s="416">
        <f>DIST_TOT!M127*COMB_TOT!M127*TAX_TOT!M127/FRO_TOT!M127</f>
        <v>48055.976217061972</v>
      </c>
      <c r="N127" s="416">
        <f>DIST_TOT!N127*COMB_TOT!N127*TAX_TOT!N127/FRO_TOT!N127</f>
        <v>124178.10598962898</v>
      </c>
      <c r="O127" s="416">
        <f>DIST_TOT!O127*COMB_TOT!O127*TAX_TOT!O127/FRO_TOT!O127</f>
        <v>95355.036029984767</v>
      </c>
      <c r="P127" s="416">
        <f>DIST_TOT!P127*COMB_TOT!P127*TAX_TOT!P127/FRO_TOT!P127</f>
        <v>16430.891551501667</v>
      </c>
      <c r="Q127" s="416">
        <f>DIST_TOT!Q127*COMB_TOT!Q127*TAX_TOT!Q127/FRO_TOT!Q127</f>
        <v>16430.891551501667</v>
      </c>
      <c r="R127" s="423">
        <v>0</v>
      </c>
      <c r="T127" s="210" t="s">
        <v>19</v>
      </c>
      <c r="U127" s="701">
        <f>SUMPRODUCT(B127:R127,FRO_TOT!B127:R127)/SUM(FRO_TOT!B127:R127)</f>
        <v>19008.626558715641</v>
      </c>
    </row>
    <row r="128" spans="1:21" ht="15.75" thickBot="1">
      <c r="A128" s="324" t="s">
        <v>54</v>
      </c>
      <c r="B128" s="420">
        <f>DIST_TOT!B128*COMB_TOT!B128*TAX_TOT!B128/FRO_TOT!B128</f>
        <v>11504.833110080714</v>
      </c>
      <c r="C128" s="415">
        <f>DIST_TOT!C128*COMB_TOT!C128*TAX_TOT!C128/FRO_TOT!C128</f>
        <v>11999.979635094687</v>
      </c>
      <c r="D128" s="415">
        <f>DIST_TOT!D128*COMB_TOT!D128*TAX_TOT!D128/FRO_TOT!D128</f>
        <v>7130.3951246403212</v>
      </c>
      <c r="E128" s="415">
        <f>DIST_TOT!E128*COMB_TOT!E128*TAX_TOT!E128/FRO_TOT!E128</f>
        <v>16399.908786672731</v>
      </c>
      <c r="F128" s="415">
        <f>DIST_TOT!F128*COMB_TOT!F128*TAX_TOT!F128/FRO_TOT!F128</f>
        <v>7130.395124640324</v>
      </c>
      <c r="G128" s="415">
        <f>DIST_TOT!G128*COMB_TOT!G128*TAX_TOT!G128/FRO_TOT!G128</f>
        <v>4753.5967497602151</v>
      </c>
      <c r="H128" s="415">
        <f>DIST_TOT!H128*COMB_TOT!H128*TAX_TOT!H128/FRO_TOT!H128</f>
        <v>9178.5915274263625</v>
      </c>
      <c r="I128" s="415">
        <f>DIST_TOT!I128*COMB_TOT!I128*TAX_TOT!I128/FRO_TOT!I128</f>
        <v>9178.5915274263607</v>
      </c>
      <c r="J128" s="415">
        <f>DIST_TOT!J128*COMB_TOT!J128*TAX_TOT!J128/FRO_TOT!J128</f>
        <v>26634.605175883218</v>
      </c>
      <c r="K128" s="415">
        <f>DIST_TOT!K128*COMB_TOT!K128*TAX_TOT!K128/FRO_TOT!K128</f>
        <v>39951.90776382482</v>
      </c>
      <c r="L128" s="415">
        <f>DIST_TOT!L128*COMB_TOT!L128*TAX_TOT!L128/FRO_TOT!L128</f>
        <v>53269.210351766429</v>
      </c>
      <c r="M128" s="415">
        <f>DIST_TOT!M128*COMB_TOT!M128*TAX_TOT!M128/FRO_TOT!M128</f>
        <v>38901.047556491452</v>
      </c>
      <c r="N128" s="415">
        <f>DIST_TOT!N128*COMB_TOT!N128*TAX_TOT!N128/FRO_TOT!N128</f>
        <v>117775.30058738639</v>
      </c>
      <c r="O128" s="415">
        <f>DIST_TOT!O128*COMB_TOT!O128*TAX_TOT!O128/FRO_TOT!O128</f>
        <v>76723.70371880391</v>
      </c>
      <c r="P128" s="415">
        <f>DIST_TOT!P128*COMB_TOT!P128*TAX_TOT!P128/FRO_TOT!P128</f>
        <v>15583.690667326449</v>
      </c>
      <c r="Q128" s="415">
        <f>DIST_TOT!Q128*COMB_TOT!Q128*TAX_TOT!Q128/FRO_TOT!Q128</f>
        <v>15583.690667326451</v>
      </c>
      <c r="R128" s="421">
        <f>DIST_TOT!R128*COMB_TOT!R128*TAX_TOT!R128/FRO_TOT!R128</f>
        <v>19263.128188350871</v>
      </c>
      <c r="T128" s="268" t="s">
        <v>54</v>
      </c>
      <c r="U128" s="697">
        <f>SUMPRODUCT(B128:R128,FRO_TOT!B128:R128)/SUM(FRO_TOT!B128:R128)</f>
        <v>14979.94424928982</v>
      </c>
    </row>
    <row r="129" spans="1:21" s="1" customFormat="1">
      <c r="A129" s="130" t="s">
        <v>21</v>
      </c>
      <c r="B129" s="422">
        <f>DIST_TOT!B129*COMB_TOT!B129*TAX_TOT!B129/FRO_TOT!B129</f>
        <v>12647.07343820861</v>
      </c>
      <c r="C129" s="416">
        <f>DIST_TOT!C129*COMB_TOT!C129*TAX_TOT!C129/FRO_TOT!C129</f>
        <v>13199.683979504382</v>
      </c>
      <c r="D129" s="416">
        <f>DIST_TOT!D129*COMB_TOT!D129*TAX_TOT!D129/FRO_TOT!D129</f>
        <v>7843.2601684584743</v>
      </c>
      <c r="E129" s="416">
        <f>DIST_TOT!E129*COMB_TOT!E129*TAX_TOT!E129/FRO_TOT!E129</f>
        <v>18039.4983874545</v>
      </c>
      <c r="F129" s="416">
        <f>DIST_TOT!F129*COMB_TOT!F129*TAX_TOT!F129/FRO_TOT!F129</f>
        <v>7843.2601684584761</v>
      </c>
      <c r="G129" s="416">
        <f>DIST_TOT!G129*COMB_TOT!G129*TAX_TOT!G129/FRO_TOT!G129</f>
        <v>5228.8401123056501</v>
      </c>
      <c r="H129" s="416">
        <f>DIST_TOT!H129*COMB_TOT!H129*TAX_TOT!H129/FRO_TOT!H129</f>
        <v>8858.376561688634</v>
      </c>
      <c r="I129" s="416">
        <f>DIST_TOT!I129*COMB_TOT!I129*TAX_TOT!I129/FRO_TOT!I129</f>
        <v>8858.3765616886303</v>
      </c>
      <c r="J129" s="416">
        <f>DIST_TOT!J129*COMB_TOT!J129*TAX_TOT!J129/FRO_TOT!J129</f>
        <v>19369.171803093908</v>
      </c>
      <c r="K129" s="416">
        <f>DIST_TOT!K129*COMB_TOT!K129*TAX_TOT!K129/FRO_TOT!K129</f>
        <v>29053.757704640851</v>
      </c>
      <c r="L129" s="416">
        <f>DIST_TOT!L129*COMB_TOT!L129*TAX_TOT!L129/FRO_TOT!L129</f>
        <v>38738.343606187809</v>
      </c>
      <c r="M129" s="416">
        <f>DIST_TOT!M129*COMB_TOT!M129*TAX_TOT!M129/FRO_TOT!M129</f>
        <v>28289.552950620131</v>
      </c>
      <c r="N129" s="416">
        <f>DIST_TOT!N129*COMB_TOT!N129*TAX_TOT!N129/FRO_TOT!N129</f>
        <v>85648.351690366952</v>
      </c>
      <c r="O129" s="416">
        <f>DIST_TOT!O129*COMB_TOT!O129*TAX_TOT!O129/FRO_TOT!O129</f>
        <v>55794.879964835396</v>
      </c>
      <c r="P129" s="416">
        <f>DIST_TOT!P129*COMB_TOT!P129*TAX_TOT!P129/FRO_TOT!P129</f>
        <v>11332.744745735012</v>
      </c>
      <c r="Q129" s="416">
        <f>DIST_TOT!Q129*COMB_TOT!Q129*TAX_TOT!Q129/FRO_TOT!Q129</f>
        <v>11332.744745735015</v>
      </c>
      <c r="R129" s="423">
        <f>DIST_TOT!R129*COMB_TOT!R129*TAX_TOT!R129/FRO_TOT!R129</f>
        <v>27166.831694219607</v>
      </c>
      <c r="T129" s="190" t="s">
        <v>21</v>
      </c>
      <c r="U129" s="699">
        <f>SUMPRODUCT(B129:R129,FRO_TOT!B129:R129)/SUM(FRO_TOT!B129:R129)</f>
        <v>15547.871781223785</v>
      </c>
    </row>
    <row r="130" spans="1:21" s="1" customFormat="1">
      <c r="A130" s="130" t="s">
        <v>22</v>
      </c>
      <c r="B130" s="422">
        <f>DIST_TOT!B130*COMB_TOT!B130*TAX_TOT!B130/FRO_TOT!B130</f>
        <v>11769.451788073644</v>
      </c>
      <c r="C130" s="416">
        <f>DIST_TOT!C130*COMB_TOT!C130*TAX_TOT!C130/FRO_TOT!C130</f>
        <v>12164.623395533472</v>
      </c>
      <c r="D130" s="416">
        <f>DIST_TOT!D130*COMB_TOT!D130*TAX_TOT!D130/FRO_TOT!D130</f>
        <v>7228.2265462288897</v>
      </c>
      <c r="E130" s="416">
        <f>DIST_TOT!E130*COMB_TOT!E130*TAX_TOT!E130/FRO_TOT!E130</f>
        <v>16624.921056326446</v>
      </c>
      <c r="F130" s="416">
        <f>DIST_TOT!F130*COMB_TOT!F130*TAX_TOT!F130/FRO_TOT!F130</f>
        <v>7228.2265462288906</v>
      </c>
      <c r="G130" s="416">
        <f>DIST_TOT!G130*COMB_TOT!G130*TAX_TOT!G130/FRO_TOT!G130</f>
        <v>4818.8176974859271</v>
      </c>
      <c r="H130" s="416">
        <f>DIST_TOT!H130*COMB_TOT!H130*TAX_TOT!H130/FRO_TOT!H130</f>
        <v>10325.381349348438</v>
      </c>
      <c r="I130" s="416">
        <f>DIST_TOT!I130*COMB_TOT!I130*TAX_TOT!I130/FRO_TOT!I130</f>
        <v>10325.381349348434</v>
      </c>
      <c r="J130" s="416">
        <f>DIST_TOT!J130*COMB_TOT!J130*TAX_TOT!J130/FRO_TOT!J130</f>
        <v>31375.138042465383</v>
      </c>
      <c r="K130" s="416">
        <f>DIST_TOT!K130*COMB_TOT!K130*TAX_TOT!K130/FRO_TOT!K130</f>
        <v>47062.707063698093</v>
      </c>
      <c r="L130" s="416">
        <f>DIST_TOT!L130*COMB_TOT!L130*TAX_TOT!L130/FRO_TOT!L130</f>
        <v>62750.276084930767</v>
      </c>
      <c r="M130" s="416">
        <f>DIST_TOT!M130*COMB_TOT!M130*TAX_TOT!M130/FRO_TOT!M130</f>
        <v>45824.810580882076</v>
      </c>
      <c r="N130" s="416">
        <f>DIST_TOT!N130*COMB_TOT!N130*TAX_TOT!N130/FRO_TOT!N130</f>
        <v>138737.41658719999</v>
      </c>
      <c r="O130" s="416">
        <f>DIST_TOT!O130*COMB_TOT!O130*TAX_TOT!O130/FRO_TOT!O130</f>
        <v>90379.29338206767</v>
      </c>
      <c r="P130" s="416">
        <f>DIST_TOT!P130*COMB_TOT!P130*TAX_TOT!P130/FRO_TOT!P130</f>
        <v>18357.337856885781</v>
      </c>
      <c r="Q130" s="416">
        <f>DIST_TOT!Q130*COMB_TOT!Q130*TAX_TOT!Q130/FRO_TOT!Q130</f>
        <v>18357.337856885777</v>
      </c>
      <c r="R130" s="423">
        <f>DIST_TOT!R130*COMB_TOT!R130*TAX_TOT!R130/FRO_TOT!R130</f>
        <v>16937.341613901041</v>
      </c>
      <c r="T130" s="130" t="s">
        <v>22</v>
      </c>
      <c r="U130" s="700">
        <f>SUMPRODUCT(B130:R130,FRO_TOT!B130:R130)/SUM(FRO_TOT!B130:R130)</f>
        <v>16134.084606925066</v>
      </c>
    </row>
    <row r="131" spans="1:21" s="1" customFormat="1">
      <c r="A131" s="130" t="s">
        <v>23</v>
      </c>
      <c r="B131" s="422">
        <f>DIST_TOT!B131*COMB_TOT!B131*TAX_TOT!B131/FRO_TOT!B131</f>
        <v>10010.531599399323</v>
      </c>
      <c r="C131" s="416">
        <f>DIST_TOT!C131*COMB_TOT!C131*TAX_TOT!C131/FRO_TOT!C131</f>
        <v>10541.393142851708</v>
      </c>
      <c r="D131" s="416">
        <f>DIST_TOT!D131*COMB_TOT!D131*TAX_TOT!D131/FRO_TOT!D131</f>
        <v>6263.7021527006655</v>
      </c>
      <c r="E131" s="416">
        <f>DIST_TOT!E131*COMB_TOT!E131*TAX_TOT!E131/FRO_TOT!E131</f>
        <v>14406.514951211531</v>
      </c>
      <c r="F131" s="416">
        <f>DIST_TOT!F131*COMB_TOT!F131*TAX_TOT!F131/FRO_TOT!F131</f>
        <v>6263.7021527006664</v>
      </c>
      <c r="G131" s="416">
        <f>DIST_TOT!G131*COMB_TOT!G131*TAX_TOT!G131/FRO_TOT!G131</f>
        <v>4175.801435133777</v>
      </c>
      <c r="H131" s="416">
        <f>DIST_TOT!H131*COMB_TOT!H131*TAX_TOT!H131/FRO_TOT!H131</f>
        <v>7653.8965496330075</v>
      </c>
      <c r="I131" s="416">
        <f>DIST_TOT!I131*COMB_TOT!I131*TAX_TOT!I131/FRO_TOT!I131</f>
        <v>7653.8965496330056</v>
      </c>
      <c r="J131" s="416">
        <f>DIST_TOT!J131*COMB_TOT!J131*TAX_TOT!J131/FRO_TOT!J131</f>
        <v>22988.087257835825</v>
      </c>
      <c r="K131" s="416">
        <f>DIST_TOT!K131*COMB_TOT!K131*TAX_TOT!K131/FRO_TOT!K131</f>
        <v>34482.13088675373</v>
      </c>
      <c r="L131" s="416">
        <f>DIST_TOT!L131*COMB_TOT!L131*TAX_TOT!L131/FRO_TOT!L131</f>
        <v>45976.17451567165</v>
      </c>
      <c r="M131" s="416">
        <f>DIST_TOT!M131*COMB_TOT!M131*TAX_TOT!M131/FRO_TOT!M131</f>
        <v>33575.142929453716</v>
      </c>
      <c r="N131" s="416">
        <f>DIST_TOT!N131*COMB_TOT!N131*TAX_TOT!N131/FRO_TOT!N131</f>
        <v>101650.79860737607</v>
      </c>
      <c r="O131" s="416">
        <f>DIST_TOT!O131*COMB_TOT!O131*TAX_TOT!O131/FRO_TOT!O131</f>
        <v>66219.535982805159</v>
      </c>
      <c r="P131" s="416">
        <f>DIST_TOT!P131*COMB_TOT!P131*TAX_TOT!P131/FRO_TOT!P131</f>
        <v>13450.142718240721</v>
      </c>
      <c r="Q131" s="416">
        <f>DIST_TOT!Q131*COMB_TOT!Q131*TAX_TOT!Q131/FRO_TOT!Q131</f>
        <v>13450.142718240724</v>
      </c>
      <c r="R131" s="423">
        <f>DIST_TOT!R131*COMB_TOT!R131*TAX_TOT!R131/FRO_TOT!R131</f>
        <v>18903.824876916173</v>
      </c>
      <c r="T131" s="130" t="s">
        <v>23</v>
      </c>
      <c r="U131" s="700">
        <f>SUMPRODUCT(B131:R131,FRO_TOT!B131:R131)/SUM(FRO_TOT!B131:R131)</f>
        <v>13026.859231366068</v>
      </c>
    </row>
    <row r="132" spans="1:21" s="1" customFormat="1">
      <c r="A132" s="130" t="s">
        <v>24</v>
      </c>
      <c r="B132" s="422">
        <f>DIST_TOT!B132*COMB_TOT!B132*TAX_TOT!B132/FRO_TOT!B132</f>
        <v>13569.098581290584</v>
      </c>
      <c r="C132" s="416">
        <f>DIST_TOT!C132*COMB_TOT!C132*TAX_TOT!C132/FRO_TOT!C132</f>
        <v>13831.204063727306</v>
      </c>
      <c r="D132" s="416">
        <f>DIST_TOT!D132*COMB_TOT!D132*TAX_TOT!D132/FRO_TOT!D132</f>
        <v>8218.5097827566769</v>
      </c>
      <c r="E132" s="416">
        <f>DIST_TOT!E132*COMB_TOT!E132*TAX_TOT!E132/FRO_TOT!E132</f>
        <v>18902.572500340357</v>
      </c>
      <c r="F132" s="416">
        <f>DIST_TOT!F132*COMB_TOT!F132*TAX_TOT!F132/FRO_TOT!F132</f>
        <v>8218.5097827566769</v>
      </c>
      <c r="G132" s="416">
        <f>DIST_TOT!G132*COMB_TOT!G132*TAX_TOT!G132/FRO_TOT!G132</f>
        <v>5479.0065218377858</v>
      </c>
      <c r="H132" s="416">
        <f>DIST_TOT!H132*COMB_TOT!H132*TAX_TOT!H132/FRO_TOT!H132</f>
        <v>17065.494181051934</v>
      </c>
      <c r="I132" s="416">
        <f>DIST_TOT!I132*COMB_TOT!I132*TAX_TOT!I132/FRO_TOT!I132</f>
        <v>17065.494181051934</v>
      </c>
      <c r="J132" s="416">
        <f>DIST_TOT!J132*COMB_TOT!J132*TAX_TOT!J132/FRO_TOT!J132</f>
        <v>25825.520845697512</v>
      </c>
      <c r="K132" s="416">
        <f>DIST_TOT!K132*COMB_TOT!K132*TAX_TOT!K132/FRO_TOT!K132</f>
        <v>38738.281268546263</v>
      </c>
      <c r="L132" s="416">
        <f>DIST_TOT!L132*COMB_TOT!L132*TAX_TOT!L132/FRO_TOT!L132</f>
        <v>51651.041691395018</v>
      </c>
      <c r="M132" s="416">
        <f>DIST_TOT!M132*COMB_TOT!M132*TAX_TOT!M132/FRO_TOT!M132</f>
        <v>37719.343236193687</v>
      </c>
      <c r="N132" s="416">
        <f>DIST_TOT!N132*COMB_TOT!N132*TAX_TOT!N132/FRO_TOT!N132</f>
        <v>114197.61848701691</v>
      </c>
      <c r="O132" s="416">
        <f>DIST_TOT!O132*COMB_TOT!O132*TAX_TOT!O132/FRO_TOT!O132</f>
        <v>74393.053573146652</v>
      </c>
      <c r="P132" s="416">
        <f>DIST_TOT!P132*COMB_TOT!P132*TAX_TOT!P132/FRO_TOT!P132</f>
        <v>15110.302012148952</v>
      </c>
      <c r="Q132" s="416">
        <f>DIST_TOT!Q132*COMB_TOT!Q132*TAX_TOT!Q132/FRO_TOT!Q132</f>
        <v>15110.30201214895</v>
      </c>
      <c r="R132" s="423">
        <v>0</v>
      </c>
      <c r="T132" s="130" t="s">
        <v>24</v>
      </c>
      <c r="U132" s="700">
        <f>SUMPRODUCT(B132:R132,FRO_TOT!B132:R132)/SUM(FRO_TOT!B132:R132)</f>
        <v>16852.960478966175</v>
      </c>
    </row>
    <row r="133" spans="1:21" s="1" customFormat="1">
      <c r="A133" s="130" t="s">
        <v>25</v>
      </c>
      <c r="B133" s="422">
        <f>DIST_TOT!B133*COMB_TOT!B133*TAX_TOT!B133/FRO_TOT!B133</f>
        <v>12120.662792787507</v>
      </c>
      <c r="C133" s="416">
        <f>DIST_TOT!C133*COMB_TOT!C133*TAX_TOT!C133/FRO_TOT!C133</f>
        <v>12726.129357714108</v>
      </c>
      <c r="D133" s="416">
        <f>DIST_TOT!D133*COMB_TOT!D133*TAX_TOT!D133/FRO_TOT!D133</f>
        <v>7561.8737270524316</v>
      </c>
      <c r="E133" s="416">
        <f>DIST_TOT!E133*COMB_TOT!E133*TAX_TOT!E133/FRO_TOT!E133</f>
        <v>17392.309572220594</v>
      </c>
      <c r="F133" s="416">
        <f>DIST_TOT!F133*COMB_TOT!F133*TAX_TOT!F133/FRO_TOT!F133</f>
        <v>7561.8737270524343</v>
      </c>
      <c r="G133" s="416">
        <f>DIST_TOT!G133*COMB_TOT!G133*TAX_TOT!G133/FRO_TOT!G133</f>
        <v>5041.2491513682871</v>
      </c>
      <c r="H133" s="416">
        <f>DIST_TOT!H133*COMB_TOT!H133*TAX_TOT!H133/FRO_TOT!H133</f>
        <v>9454.6725458812161</v>
      </c>
      <c r="I133" s="416">
        <f>DIST_TOT!I133*COMB_TOT!I133*TAX_TOT!I133/FRO_TOT!I133</f>
        <v>9454.672545881218</v>
      </c>
      <c r="J133" s="416">
        <f>DIST_TOT!J133*COMB_TOT!J133*TAX_TOT!J133/FRO_TOT!J133</f>
        <v>23883.218385683762</v>
      </c>
      <c r="K133" s="416">
        <f>DIST_TOT!K133*COMB_TOT!K133*TAX_TOT!K133/FRO_TOT!K133</f>
        <v>35824.827578525648</v>
      </c>
      <c r="L133" s="416">
        <f>DIST_TOT!L133*COMB_TOT!L133*TAX_TOT!L133/FRO_TOT!L133</f>
        <v>47766.436771367531</v>
      </c>
      <c r="M133" s="416">
        <f>DIST_TOT!M133*COMB_TOT!M133*TAX_TOT!M133/FRO_TOT!M133</f>
        <v>34882.522496140075</v>
      </c>
      <c r="N133" s="416">
        <f>DIST_TOT!N133*COMB_TOT!N133*TAX_TOT!N133/FRO_TOT!N133</f>
        <v>105608.97020223325</v>
      </c>
      <c r="O133" s="416">
        <f>DIST_TOT!O133*COMB_TOT!O133*TAX_TOT!O133/FRO_TOT!O133</f>
        <v>68798.052727805363</v>
      </c>
      <c r="P133" s="416">
        <f>DIST_TOT!P133*COMB_TOT!P133*TAX_TOT!P133/FRO_TOT!P133</f>
        <v>13973.876654259722</v>
      </c>
      <c r="Q133" s="416">
        <f>DIST_TOT!Q133*COMB_TOT!Q133*TAX_TOT!Q133/FRO_TOT!Q133</f>
        <v>13973.876654259722</v>
      </c>
      <c r="R133" s="423">
        <f>DIST_TOT!R133*COMB_TOT!R133*TAX_TOT!R133/FRO_TOT!R133</f>
        <v>22843.6243575767</v>
      </c>
      <c r="T133" s="130" t="s">
        <v>25</v>
      </c>
      <c r="U133" s="700">
        <f>SUMPRODUCT(B133:R133,FRO_TOT!B133:R133)/SUM(FRO_TOT!B133:R133)</f>
        <v>15129.323564959537</v>
      </c>
    </row>
    <row r="134" spans="1:21" s="1" customFormat="1">
      <c r="A134" s="130" t="s">
        <v>26</v>
      </c>
      <c r="B134" s="422">
        <f>DIST_TOT!B134*COMB_TOT!B134*TAX_TOT!B134/FRO_TOT!B134</f>
        <v>10901.999890460855</v>
      </c>
      <c r="C134" s="416">
        <f>DIST_TOT!C134*COMB_TOT!C134*TAX_TOT!C134/FRO_TOT!C134</f>
        <v>11310.659557656974</v>
      </c>
      <c r="D134" s="416">
        <f>DIST_TOT!D134*COMB_TOT!D134*TAX_TOT!D134/FRO_TOT!D134</f>
        <v>6720.8007195711716</v>
      </c>
      <c r="E134" s="416">
        <f>DIST_TOT!E134*COMB_TOT!E134*TAX_TOT!E134/FRO_TOT!E134</f>
        <v>15457.841655013694</v>
      </c>
      <c r="F134" s="416">
        <f>DIST_TOT!F134*COMB_TOT!F134*TAX_TOT!F134/FRO_TOT!F134</f>
        <v>6720.8007195711716</v>
      </c>
      <c r="G134" s="416">
        <f>DIST_TOT!G134*COMB_TOT!G134*TAX_TOT!G134/FRO_TOT!G134</f>
        <v>4480.5338130474483</v>
      </c>
      <c r="H134" s="416">
        <f>DIST_TOT!H134*COMB_TOT!H134*TAX_TOT!H134/FRO_TOT!H134</f>
        <v>8353.2936919729582</v>
      </c>
      <c r="I134" s="416">
        <f>DIST_TOT!I134*COMB_TOT!I134*TAX_TOT!I134/FRO_TOT!I134</f>
        <v>8353.2936919729564</v>
      </c>
      <c r="J134" s="416">
        <f>DIST_TOT!J134*COMB_TOT!J134*TAX_TOT!J134/FRO_TOT!J134</f>
        <v>24416.453261648312</v>
      </c>
      <c r="K134" s="416">
        <f>DIST_TOT!K134*COMB_TOT!K134*TAX_TOT!K134/FRO_TOT!K134</f>
        <v>36624.679892472472</v>
      </c>
      <c r="L134" s="416">
        <f>DIST_TOT!L134*COMB_TOT!L134*TAX_TOT!L134/FRO_TOT!L134</f>
        <v>48832.906523296631</v>
      </c>
      <c r="M134" s="416">
        <f>DIST_TOT!M134*COMB_TOT!M134*TAX_TOT!M134/FRO_TOT!M134</f>
        <v>35661.336191019211</v>
      </c>
      <c r="N134" s="416">
        <f>DIST_TOT!N134*COMB_TOT!N134*TAX_TOT!N134/FRO_TOT!N134</f>
        <v>107966.87629416467</v>
      </c>
      <c r="O134" s="416">
        <f>DIST_TOT!O134*COMB_TOT!O134*TAX_TOT!O134/FRO_TOT!O134</f>
        <v>70334.090313715642</v>
      </c>
      <c r="P134" s="416">
        <f>DIST_TOT!P134*COMB_TOT!P134*TAX_TOT!P134/FRO_TOT!P134</f>
        <v>14285.868039346442</v>
      </c>
      <c r="Q134" s="416">
        <f>DIST_TOT!Q134*COMB_TOT!Q134*TAX_TOT!Q134/FRO_TOT!Q134</f>
        <v>14285.86803934644</v>
      </c>
      <c r="R134" s="423">
        <f>DIST_TOT!R134*COMB_TOT!R134*TAX_TOT!R134/FRO_TOT!R134</f>
        <v>18311.509085611095</v>
      </c>
      <c r="T134" s="130" t="s">
        <v>26</v>
      </c>
      <c r="U134" s="700">
        <f>SUMPRODUCT(B134:R134,FRO_TOT!B134:R134)/SUM(FRO_TOT!B134:R134)</f>
        <v>14009.08660451136</v>
      </c>
    </row>
    <row r="135" spans="1:21" s="1" customFormat="1">
      <c r="A135" s="130" t="s">
        <v>27</v>
      </c>
      <c r="B135" s="422">
        <f>DIST_TOT!B135*COMB_TOT!B135*TAX_TOT!B135/FRO_TOT!B135</f>
        <v>11615.890073689126</v>
      </c>
      <c r="C135" s="416">
        <f>DIST_TOT!C135*COMB_TOT!C135*TAX_TOT!C135/FRO_TOT!C135</f>
        <v>12339.700080397708</v>
      </c>
      <c r="D135" s="416">
        <f>DIST_TOT!D135*COMB_TOT!D135*TAX_TOT!D135/FRO_TOT!D135</f>
        <v>7332.2572177929642</v>
      </c>
      <c r="E135" s="416">
        <f>DIST_TOT!E135*COMB_TOT!E135*TAX_TOT!E135/FRO_TOT!E135</f>
        <v>16864.191600923823</v>
      </c>
      <c r="F135" s="416">
        <f>DIST_TOT!F135*COMB_TOT!F135*TAX_TOT!F135/FRO_TOT!F135</f>
        <v>7332.2572177929633</v>
      </c>
      <c r="G135" s="416">
        <f>DIST_TOT!G135*COMB_TOT!G135*TAX_TOT!G135/FRO_TOT!G135</f>
        <v>4888.1714785286422</v>
      </c>
      <c r="H135" s="416">
        <f>DIST_TOT!H135*COMB_TOT!H135*TAX_TOT!H135/FRO_TOT!H135</f>
        <v>8955.4941850253781</v>
      </c>
      <c r="I135" s="416">
        <f>DIST_TOT!I135*COMB_TOT!I135*TAX_TOT!I135/FRO_TOT!I135</f>
        <v>8955.4941850253781</v>
      </c>
      <c r="J135" s="416">
        <f>DIST_TOT!J135*COMB_TOT!J135*TAX_TOT!J135/FRO_TOT!J135</f>
        <v>32267.869115182293</v>
      </c>
      <c r="K135" s="416">
        <f>DIST_TOT!K135*COMB_TOT!K135*TAX_TOT!K135/FRO_TOT!K135</f>
        <v>48401.803672773436</v>
      </c>
      <c r="L135" s="416">
        <f>DIST_TOT!L135*COMB_TOT!L135*TAX_TOT!L135/FRO_TOT!L135</f>
        <v>64535.738230364579</v>
      </c>
      <c r="M135" s="416">
        <f>DIST_TOT!M135*COMB_TOT!M135*TAX_TOT!M135/FRO_TOT!M135</f>
        <v>47128.684758313597</v>
      </c>
      <c r="N135" s="416">
        <f>DIST_TOT!N135*COMB_TOT!N135*TAX_TOT!N135/FRO_TOT!N135</f>
        <v>142684.97540170554</v>
      </c>
      <c r="O135" s="416">
        <f>DIST_TOT!O135*COMB_TOT!O135*TAX_TOT!O135/FRO_TOT!O135</f>
        <v>92950.896522846364</v>
      </c>
      <c r="P135" s="416">
        <f>DIST_TOT!P135*COMB_TOT!P135*TAX_TOT!P135/FRO_TOT!P135</f>
        <v>18879.667540185448</v>
      </c>
      <c r="Q135" s="416">
        <f>DIST_TOT!Q135*COMB_TOT!Q135*TAX_TOT!Q135/FRO_TOT!Q135</f>
        <v>18879.667540185448</v>
      </c>
      <c r="R135" s="423">
        <f>DIST_TOT!R135*COMB_TOT!R135*TAX_TOT!R135/FRO_TOT!R135</f>
        <v>0</v>
      </c>
      <c r="T135" s="130" t="s">
        <v>27</v>
      </c>
      <c r="U135" s="700">
        <f>SUMPRODUCT(B135:R135,FRO_TOT!B135:R135)/SUM(FRO_TOT!B135:R135)</f>
        <v>15559.944328017553</v>
      </c>
    </row>
    <row r="136" spans="1:21" s="1" customFormat="1">
      <c r="A136" s="130" t="s">
        <v>28</v>
      </c>
      <c r="B136" s="422">
        <f>DIST_TOT!B136*COMB_TOT!B136*TAX_TOT!B136/FRO_TOT!B136</f>
        <v>11723.701158799591</v>
      </c>
      <c r="C136" s="416">
        <f>DIST_TOT!C136*COMB_TOT!C136*TAX_TOT!C136/FRO_TOT!C136</f>
        <v>12408.896447043917</v>
      </c>
      <c r="D136" s="416">
        <f>DIST_TOT!D136*COMB_TOT!D136*TAX_TOT!D136/FRO_TOT!D136</f>
        <v>7373.3737405188858</v>
      </c>
      <c r="E136" s="416">
        <f>DIST_TOT!E136*COMB_TOT!E136*TAX_TOT!E136/FRO_TOT!E136</f>
        <v>16958.759603193441</v>
      </c>
      <c r="F136" s="416">
        <f>DIST_TOT!F136*COMB_TOT!F136*TAX_TOT!F136/FRO_TOT!F136</f>
        <v>7373.3737405188876</v>
      </c>
      <c r="G136" s="416">
        <f>DIST_TOT!G136*COMB_TOT!G136*TAX_TOT!G136/FRO_TOT!G136</f>
        <v>4915.5824936792569</v>
      </c>
      <c r="H136" s="416">
        <f>DIST_TOT!H136*COMB_TOT!H136*TAX_TOT!H136/FRO_TOT!H136</f>
        <v>9703.2657541085337</v>
      </c>
      <c r="I136" s="416">
        <f>DIST_TOT!I136*COMB_TOT!I136*TAX_TOT!I136/FRO_TOT!I136</f>
        <v>9703.2657541085337</v>
      </c>
      <c r="J136" s="416">
        <f>DIST_TOT!J136*COMB_TOT!J136*TAX_TOT!J136/FRO_TOT!J136</f>
        <v>26811.48642996667</v>
      </c>
      <c r="K136" s="416">
        <f>DIST_TOT!K136*COMB_TOT!K136*TAX_TOT!K136/FRO_TOT!K136</f>
        <v>40217.229644950006</v>
      </c>
      <c r="L136" s="416">
        <f>DIST_TOT!L136*COMB_TOT!L136*TAX_TOT!L136/FRO_TOT!L136</f>
        <v>53622.972859933332</v>
      </c>
      <c r="M136" s="416">
        <f>DIST_TOT!M136*COMB_TOT!M136*TAX_TOT!M136/FRO_TOT!M136</f>
        <v>39159.390641793972</v>
      </c>
      <c r="N136" s="416">
        <f>DIST_TOT!N136*COMB_TOT!N136*TAX_TOT!N136/FRO_TOT!N136</f>
        <v>118557.45007788515</v>
      </c>
      <c r="O136" s="416">
        <f>DIST_TOT!O136*COMB_TOT!O136*TAX_TOT!O136/FRO_TOT!O136</f>
        <v>77233.228258105024</v>
      </c>
      <c r="P136" s="416">
        <f>DIST_TOT!P136*COMB_TOT!P136*TAX_TOT!P136/FRO_TOT!P136</f>
        <v>15687.182449175023</v>
      </c>
      <c r="Q136" s="416">
        <f>DIST_TOT!Q136*COMB_TOT!Q136*TAX_TOT!Q136/FRO_TOT!Q136</f>
        <v>15687.182449175027</v>
      </c>
      <c r="R136" s="423">
        <f>DIST_TOT!R136*COMB_TOT!R136*TAX_TOT!R136/FRO_TOT!R136</f>
        <v>17927.395771368989</v>
      </c>
      <c r="T136" s="130" t="s">
        <v>28</v>
      </c>
      <c r="U136" s="700">
        <f>SUMPRODUCT(B136:R136,FRO_TOT!B136:R136)/SUM(FRO_TOT!B136:R136)</f>
        <v>15059.376468058361</v>
      </c>
    </row>
    <row r="137" spans="1:21" s="1" customFormat="1" ht="15.75" thickBot="1">
      <c r="A137" s="131" t="s">
        <v>29</v>
      </c>
      <c r="B137" s="422">
        <f>DIST_TOT!B137*COMB_TOT!B137*TAX_TOT!B137/FRO_TOT!B137</f>
        <v>11676.933604019709</v>
      </c>
      <c r="C137" s="416">
        <f>DIST_TOT!C137*COMB_TOT!C137*TAX_TOT!C137/FRO_TOT!C137</f>
        <v>12427.117534251647</v>
      </c>
      <c r="D137" s="416">
        <f>DIST_TOT!D137*COMB_TOT!D137*TAX_TOT!D137/FRO_TOT!D137</f>
        <v>7384.2007215090598</v>
      </c>
      <c r="E137" s="416">
        <f>DIST_TOT!E137*COMB_TOT!E137*TAX_TOT!E137/FRO_TOT!E137</f>
        <v>16983.661659470832</v>
      </c>
      <c r="F137" s="416">
        <f>DIST_TOT!F137*COMB_TOT!F137*TAX_TOT!F137/FRO_TOT!F137</f>
        <v>7384.200721509058</v>
      </c>
      <c r="G137" s="416">
        <f>DIST_TOT!G137*COMB_TOT!G137*TAX_TOT!G137/FRO_TOT!G137</f>
        <v>4922.8004810060393</v>
      </c>
      <c r="H137" s="416">
        <f>DIST_TOT!H137*COMB_TOT!H137*TAX_TOT!H137/FRO_TOT!H137</f>
        <v>9098.7753606638362</v>
      </c>
      <c r="I137" s="416">
        <f>DIST_TOT!I137*COMB_TOT!I137*TAX_TOT!I137/FRO_TOT!I137</f>
        <v>9098.7753606638362</v>
      </c>
      <c r="J137" s="416">
        <f>DIST_TOT!J137*COMB_TOT!J137*TAX_TOT!J137/FRO_TOT!J137</f>
        <v>22767.639543822537</v>
      </c>
      <c r="K137" s="416">
        <f>DIST_TOT!K137*COMB_TOT!K137*TAX_TOT!K137/FRO_TOT!K137</f>
        <v>34151.459315733802</v>
      </c>
      <c r="L137" s="416">
        <f>DIST_TOT!L137*COMB_TOT!L137*TAX_TOT!L137/FRO_TOT!L137</f>
        <v>45535.279087645067</v>
      </c>
      <c r="M137" s="416">
        <f>DIST_TOT!M137*COMB_TOT!M137*TAX_TOT!M137/FRO_TOT!M137</f>
        <v>33253.169055618477</v>
      </c>
      <c r="N137" s="416">
        <f>DIST_TOT!N137*COMB_TOT!N137*TAX_TOT!N137/FRO_TOT!N137</f>
        <v>100676.00301306306</v>
      </c>
      <c r="O137" s="416">
        <f>DIST_TOT!O137*COMB_TOT!O137*TAX_TOT!O137/FRO_TOT!O137</f>
        <v>65584.51380080721</v>
      </c>
      <c r="P137" s="416">
        <f>DIST_TOT!P137*COMB_TOT!P137*TAX_TOT!P137/FRO_TOT!P137</f>
        <v>13321.160555343371</v>
      </c>
      <c r="Q137" s="416">
        <f>DIST_TOT!Q137*COMB_TOT!Q137*TAX_TOT!Q137/FRO_TOT!Q137</f>
        <v>13321.160555343375</v>
      </c>
      <c r="R137" s="423">
        <f>DIST_TOT!R137*COMB_TOT!R137*TAX_TOT!R137/FRO_TOT!R137</f>
        <v>21426.809594755665</v>
      </c>
      <c r="T137" s="210" t="s">
        <v>29</v>
      </c>
      <c r="U137" s="701">
        <f>SUMPRODUCT(B137:R137,FRO_TOT!B137:R137)/SUM(FRO_TOT!B137:R137)</f>
        <v>15079.604871073367</v>
      </c>
    </row>
    <row r="138" spans="1:21" ht="15.75" thickBot="1">
      <c r="A138" s="324" t="s">
        <v>64</v>
      </c>
      <c r="B138" s="420">
        <f>DIST_TOT!B138*COMB_TOT!B138*TAX_TOT!B138/FRO_TOT!B138</f>
        <v>8462.1991748788241</v>
      </c>
      <c r="C138" s="415">
        <f>DIST_TOT!C138*COMB_TOT!C138*TAX_TOT!C138/FRO_TOT!C138</f>
        <v>8017.7736466052584</v>
      </c>
      <c r="D138" s="415">
        <f>DIST_TOT!D138*COMB_TOT!D138*TAX_TOT!D138/FRO_TOT!D138</f>
        <v>6777.7144653654377</v>
      </c>
      <c r="E138" s="415">
        <f>DIST_TOT!E138*COMB_TOT!E138*TAX_TOT!E138/FRO_TOT!E138</f>
        <v>15588.743270340508</v>
      </c>
      <c r="F138" s="415">
        <f>DIST_TOT!F138*COMB_TOT!F138*TAX_TOT!F138/FRO_TOT!F138</f>
        <v>6777.7144653654368</v>
      </c>
      <c r="G138" s="415">
        <f>DIST_TOT!G138*COMB_TOT!G138*TAX_TOT!G138/FRO_TOT!G138</f>
        <v>4518.4763102436264</v>
      </c>
      <c r="H138" s="415">
        <f>DIST_TOT!H138*COMB_TOT!H138*TAX_TOT!H138/FRO_TOT!H138</f>
        <v>8525.5435823767639</v>
      </c>
      <c r="I138" s="415">
        <f>DIST_TOT!I138*COMB_TOT!I138*TAX_TOT!I138/FRO_TOT!I138</f>
        <v>8533.3464204519187</v>
      </c>
      <c r="J138" s="415">
        <f>DIST_TOT!J138*COMB_TOT!J138*TAX_TOT!J138/FRO_TOT!J138</f>
        <v>23560.958558077957</v>
      </c>
      <c r="K138" s="415">
        <f>DIST_TOT!K138*COMB_TOT!K138*TAX_TOT!K138/FRO_TOT!K138</f>
        <v>35341.319616611785</v>
      </c>
      <c r="L138" s="415">
        <f>DIST_TOT!L138*COMB_TOT!L138*TAX_TOT!L138/FRO_TOT!L138</f>
        <v>47017.878151437166</v>
      </c>
      <c r="M138" s="415">
        <f>DIST_TOT!M138*COMB_TOT!M138*TAX_TOT!M138/FRO_TOT!M138</f>
        <v>30372.339238622375</v>
      </c>
      <c r="N138" s="415">
        <f>DIST_TOT!N138*COMB_TOT!N138*TAX_TOT!N138/FRO_TOT!N138</f>
        <v>112244.16609333018</v>
      </c>
      <c r="O138" s="415">
        <f>DIST_TOT!O138*COMB_TOT!O138*TAX_TOT!O138/FRO_TOT!O138</f>
        <v>58916.604310237461</v>
      </c>
      <c r="P138" s="415">
        <f>DIST_TOT!P138*COMB_TOT!P138*TAX_TOT!P138/FRO_TOT!P138</f>
        <v>14851.826782752483</v>
      </c>
      <c r="Q138" s="415">
        <f>DIST_TOT!Q138*COMB_TOT!Q138*TAX_TOT!Q138/FRO_TOT!Q138</f>
        <v>14851.826782752483</v>
      </c>
      <c r="R138" s="421">
        <f>DIST_TOT!R138*COMB_TOT!R138*TAX_TOT!R138/FRO_TOT!R138</f>
        <v>14629.646228426789</v>
      </c>
      <c r="T138" s="268" t="s">
        <v>64</v>
      </c>
      <c r="U138" s="697">
        <f>SUMPRODUCT(B138:R138,FRO_TOT!B138:R138)/SUM(FRO_TOT!B138:R138)</f>
        <v>11550.830029905168</v>
      </c>
    </row>
    <row r="139" spans="1:21" s="1" customFormat="1">
      <c r="A139" s="130" t="s">
        <v>31</v>
      </c>
      <c r="B139" s="422">
        <f>DIST_TOT!B139*COMB_TOT!B139*TAX_TOT!B139/FRO_TOT!B139</f>
        <v>8966.4399784364196</v>
      </c>
      <c r="C139" s="416">
        <f>DIST_TOT!C139*COMB_TOT!C139*TAX_TOT!C139/FRO_TOT!C139</f>
        <v>9521.4852018096972</v>
      </c>
      <c r="D139" s="416">
        <f>DIST_TOT!D139*COMB_TOT!D139*TAX_TOT!D139/FRO_TOT!D139</f>
        <v>6879.685839457873</v>
      </c>
      <c r="E139" s="416">
        <f>DIST_TOT!E139*COMB_TOT!E139*TAX_TOT!E139/FRO_TOT!E139</f>
        <v>15823.277430753109</v>
      </c>
      <c r="F139" s="416">
        <f>DIST_TOT!F139*COMB_TOT!F139*TAX_TOT!F139/FRO_TOT!F139</f>
        <v>6879.685839457874</v>
      </c>
      <c r="G139" s="416">
        <f>DIST_TOT!G139*COMB_TOT!G139*TAX_TOT!G139/FRO_TOT!G139</f>
        <v>4586.4572263052469</v>
      </c>
      <c r="H139" s="416">
        <f>DIST_TOT!H139*COMB_TOT!H139*TAX_TOT!H139/FRO_TOT!H139</f>
        <v>9317.1135516760332</v>
      </c>
      <c r="I139" s="416">
        <f>DIST_TOT!I139*COMB_TOT!I139*TAX_TOT!I139/FRO_TOT!I139</f>
        <v>9317.1135516760332</v>
      </c>
      <c r="J139" s="416">
        <f>DIST_TOT!J139*COMB_TOT!J139*TAX_TOT!J139/FRO_TOT!J139</f>
        <v>14448.555202453757</v>
      </c>
      <c r="K139" s="416">
        <f>DIST_TOT!K139*COMB_TOT!K139*TAX_TOT!K139/FRO_TOT!K139</f>
        <v>21673.294861729966</v>
      </c>
      <c r="L139" s="416">
        <f>DIST_TOT!L139*COMB_TOT!L139*TAX_TOT!L139/FRO_TOT!L139</f>
        <v>28898.034521006168</v>
      </c>
      <c r="M139" s="416">
        <f>DIST_TOT!M139*COMB_TOT!M139*TAX_TOT!M139/FRO_TOT!M139</f>
        <v>32741.433375307755</v>
      </c>
      <c r="N139" s="416">
        <f>DIST_TOT!N139*COMB_TOT!N139*TAX_TOT!N139/FRO_TOT!N139</f>
        <v>104761.49740780098</v>
      </c>
      <c r="O139" s="416">
        <f>DIST_TOT!O139*COMB_TOT!O139*TAX_TOT!O139/FRO_TOT!O139</f>
        <v>64423.829701558127</v>
      </c>
      <c r="P139" s="416">
        <f>DIST_TOT!P139*COMB_TOT!P139*TAX_TOT!P139/FRO_TOT!P139</f>
        <v>13861.741479808534</v>
      </c>
      <c r="Q139" s="416">
        <f>DIST_TOT!Q139*COMB_TOT!Q139*TAX_TOT!Q139/FRO_TOT!Q139</f>
        <v>13861.741479808532</v>
      </c>
      <c r="R139" s="423">
        <f>DIST_TOT!R139*COMB_TOT!R139*TAX_TOT!R139/FRO_TOT!R139</f>
        <v>15605.512514368917</v>
      </c>
      <c r="T139" s="190" t="s">
        <v>31</v>
      </c>
      <c r="U139" s="699">
        <f>SUMPRODUCT(B139:R139,FRO_TOT!B139:R139)/SUM(FRO_TOT!B139:R139)</f>
        <v>12347.906110377555</v>
      </c>
    </row>
    <row r="140" spans="1:21" s="1" customFormat="1">
      <c r="A140" s="130" t="s">
        <v>32</v>
      </c>
      <c r="B140" s="422">
        <f>DIST_TOT!B140*COMB_TOT!B140*TAX_TOT!B140/FRO_TOT!B140</f>
        <v>8194.668868449704</v>
      </c>
      <c r="C140" s="416">
        <f>DIST_TOT!C140*COMB_TOT!C140*TAX_TOT!C140/FRO_TOT!C140</f>
        <v>8650.8605508209548</v>
      </c>
      <c r="D140" s="416">
        <f>DIST_TOT!D140*COMB_TOT!D140*TAX_TOT!D140/FRO_TOT!D140</f>
        <v>6520.7491589102674</v>
      </c>
      <c r="E140" s="416">
        <f>DIST_TOT!E140*COMB_TOT!E140*TAX_TOT!E140/FRO_TOT!E140</f>
        <v>14997.723065493614</v>
      </c>
      <c r="F140" s="416">
        <f>DIST_TOT!F140*COMB_TOT!F140*TAX_TOT!F140/FRO_TOT!F140</f>
        <v>6520.7491589102665</v>
      </c>
      <c r="G140" s="416">
        <f>DIST_TOT!G140*COMB_TOT!G140*TAX_TOT!G140/FRO_TOT!G140</f>
        <v>4347.1661059401777</v>
      </c>
      <c r="H140" s="416">
        <f>DIST_TOT!H140*COMB_TOT!H140*TAX_TOT!H140/FRO_TOT!H140</f>
        <v>8976.772909100715</v>
      </c>
      <c r="I140" s="416">
        <f>DIST_TOT!I140*COMB_TOT!I140*TAX_TOT!I140/FRO_TOT!I140</f>
        <v>8976.7729091007168</v>
      </c>
      <c r="J140" s="416">
        <f>DIST_TOT!J140*COMB_TOT!J140*TAX_TOT!J140/FRO_TOT!J140</f>
        <v>34339.822232572551</v>
      </c>
      <c r="K140" s="416">
        <f>DIST_TOT!K140*COMB_TOT!K140*TAX_TOT!K140/FRO_TOT!K140</f>
        <v>51509.210577237944</v>
      </c>
      <c r="L140" s="416">
        <f>DIST_TOT!L140*COMB_TOT!L140*TAX_TOT!L140/FRO_TOT!L140</f>
        <v>68678.598921903336</v>
      </c>
      <c r="M140" s="416">
        <f>DIST_TOT!M140*COMB_TOT!M140*TAX_TOT!M140/FRO_TOT!M140</f>
        <v>29469.6818124251</v>
      </c>
      <c r="N140" s="416">
        <f>DIST_TOT!N140*COMB_TOT!N140*TAX_TOT!N140/FRO_TOT!N140</f>
        <v>118526.96405959554</v>
      </c>
      <c r="O140" s="416">
        <f>DIST_TOT!O140*COMB_TOT!O140*TAX_TOT!O140/FRO_TOT!O140</f>
        <v>57331.318119013602</v>
      </c>
      <c r="P140" s="416">
        <f>DIST_TOT!P140*COMB_TOT!P140*TAX_TOT!P140/FRO_TOT!P140</f>
        <v>15683.148626494591</v>
      </c>
      <c r="Q140" s="416">
        <f>DIST_TOT!Q140*COMB_TOT!Q140*TAX_TOT!Q140/FRO_TOT!Q140</f>
        <v>15683.148626494591</v>
      </c>
      <c r="R140" s="423">
        <f>DIST_TOT!R140*COMB_TOT!R140*TAX_TOT!R140/FRO_TOT!R140</f>
        <v>11648.816107600725</v>
      </c>
      <c r="T140" s="130" t="s">
        <v>32</v>
      </c>
      <c r="U140" s="700">
        <f>SUMPRODUCT(B140:R140,FRO_TOT!B140:R140)/SUM(FRO_TOT!B140:R140)</f>
        <v>12490.652754963881</v>
      </c>
    </row>
    <row r="141" spans="1:21" s="1" customFormat="1">
      <c r="A141" s="130" t="s">
        <v>33</v>
      </c>
      <c r="B141" s="422">
        <f>DIST_TOT!B141*COMB_TOT!B141*TAX_TOT!B141/FRO_TOT!B141</f>
        <v>8255.8604788692446</v>
      </c>
      <c r="C141" s="416">
        <f>DIST_TOT!C141*COMB_TOT!C141*TAX_TOT!C141/FRO_TOT!C141</f>
        <v>8876.5688439631267</v>
      </c>
      <c r="D141" s="416">
        <f>DIST_TOT!D141*COMB_TOT!D141*TAX_TOT!D141/FRO_TOT!D141</f>
        <v>7611.0970995453836</v>
      </c>
      <c r="E141" s="416">
        <f>DIST_TOT!E141*COMB_TOT!E141*TAX_TOT!E141/FRO_TOT!E141</f>
        <v>17505.523328954379</v>
      </c>
      <c r="F141" s="416">
        <f>DIST_TOT!F141*COMB_TOT!F141*TAX_TOT!F141/FRO_TOT!F141</f>
        <v>7611.0970995453827</v>
      </c>
      <c r="G141" s="416">
        <f>DIST_TOT!G141*COMB_TOT!G141*TAX_TOT!G141/FRO_TOT!G141</f>
        <v>5074.0647330302563</v>
      </c>
      <c r="H141" s="416">
        <f>DIST_TOT!H141*COMB_TOT!H141*TAX_TOT!H141/FRO_TOT!H141</f>
        <v>8481.1389244114143</v>
      </c>
      <c r="I141" s="416">
        <f>DIST_TOT!I141*COMB_TOT!I141*TAX_TOT!I141/FRO_TOT!I141</f>
        <v>8481.1389244114143</v>
      </c>
      <c r="J141" s="416">
        <f>DIST_TOT!J141*COMB_TOT!J141*TAX_TOT!J141/FRO_TOT!J141</f>
        <v>18679.18166907601</v>
      </c>
      <c r="K141" s="416">
        <f>DIST_TOT!K141*COMB_TOT!K141*TAX_TOT!K141/FRO_TOT!K141</f>
        <v>28018.772503614011</v>
      </c>
      <c r="L141" s="416">
        <f>DIST_TOT!L141*COMB_TOT!L141*TAX_TOT!L141/FRO_TOT!L141</f>
        <v>37358.363338152019</v>
      </c>
      <c r="M141" s="416">
        <f>DIST_TOT!M141*COMB_TOT!M141*TAX_TOT!M141/FRO_TOT!M141</f>
        <v>41453.712601810883</v>
      </c>
      <c r="N141" s="416">
        <f>DIST_TOT!N141*COMB_TOT!N141*TAX_TOT!N141/FRO_TOT!N141</f>
        <v>121950.40029561929</v>
      </c>
      <c r="O141" s="416">
        <f>DIST_TOT!O141*COMB_TOT!O141*TAX_TOT!O141/FRO_TOT!O141</f>
        <v>81855.349663863861</v>
      </c>
      <c r="P141" s="416">
        <f>DIST_TOT!P141*COMB_TOT!P141*TAX_TOT!P141/FRO_TOT!P141</f>
        <v>16136.127910397383</v>
      </c>
      <c r="Q141" s="416">
        <f>DIST_TOT!Q141*COMB_TOT!Q141*TAX_TOT!Q141/FRO_TOT!Q141</f>
        <v>16136.127910397385</v>
      </c>
      <c r="R141" s="423">
        <f>DIST_TOT!R141*COMB_TOT!R141*TAX_TOT!R141/FRO_TOT!R141</f>
        <v>15721.906069746787</v>
      </c>
      <c r="T141" s="130" t="s">
        <v>33</v>
      </c>
      <c r="U141" s="700">
        <f>SUMPRODUCT(B141:R141,FRO_TOT!B141:R141)/SUM(FRO_TOT!B141:R141)</f>
        <v>12382.915107614845</v>
      </c>
    </row>
    <row r="142" spans="1:21" s="1" customFormat="1" ht="15.75" thickBot="1">
      <c r="A142" s="131" t="s">
        <v>34</v>
      </c>
      <c r="B142" s="422">
        <f>DIST_TOT!B142*COMB_TOT!B142*TAX_TOT!B142/FRO_TOT!B142</f>
        <v>8601.9791002058682</v>
      </c>
      <c r="C142" s="416">
        <f>DIST_TOT!C142*COMB_TOT!C142*TAX_TOT!C142/FRO_TOT!C142</f>
        <v>7517.5244939604327</v>
      </c>
      <c r="D142" s="416">
        <f>DIST_TOT!D142*COMB_TOT!D142*TAX_TOT!D142/FRO_TOT!D142</f>
        <v>6708.0825347654072</v>
      </c>
      <c r="E142" s="416">
        <f>DIST_TOT!E142*COMB_TOT!E142*TAX_TOT!E142/FRO_TOT!E142</f>
        <v>15428.589829960438</v>
      </c>
      <c r="F142" s="416">
        <f>DIST_TOT!F142*COMB_TOT!F142*TAX_TOT!F142/FRO_TOT!F142</f>
        <v>6708.0825347654072</v>
      </c>
      <c r="G142" s="416">
        <f>DIST_TOT!G142*COMB_TOT!G142*TAX_TOT!G142/FRO_TOT!G142</f>
        <v>4472.0550231769384</v>
      </c>
      <c r="H142" s="416">
        <f>DIST_TOT!H142*COMB_TOT!H142*TAX_TOT!H142/FRO_TOT!H142</f>
        <v>8485.7109161950521</v>
      </c>
      <c r="I142" s="416">
        <f>DIST_TOT!I142*COMB_TOT!I142*TAX_TOT!I142/FRO_TOT!I142</f>
        <v>8485.7109161950502</v>
      </c>
      <c r="J142" s="416">
        <f>DIST_TOT!J142*COMB_TOT!J142*TAX_TOT!J142/FRO_TOT!J142</f>
        <v>20639.897385897002</v>
      </c>
      <c r="K142" s="416">
        <f>DIST_TOT!K142*COMB_TOT!K142*TAX_TOT!K142/FRO_TOT!K142</f>
        <v>30959.846078845498</v>
      </c>
      <c r="L142" s="416">
        <f>DIST_TOT!L142*COMB_TOT!L142*TAX_TOT!L142/FRO_TOT!L142</f>
        <v>41279.794771794004</v>
      </c>
      <c r="M142" s="416">
        <f>DIST_TOT!M142*COMB_TOT!M142*TAX_TOT!M142/FRO_TOT!M142</f>
        <v>27116.032238002448</v>
      </c>
      <c r="N142" s="416">
        <f>DIST_TOT!N142*COMB_TOT!N142*TAX_TOT!N142/FRO_TOT!N142</f>
        <v>107380.51065878053</v>
      </c>
      <c r="O142" s="416">
        <f>DIST_TOT!O142*COMB_TOT!O142*TAX_TOT!O142/FRO_TOT!O142</f>
        <v>52797.975231294127</v>
      </c>
      <c r="P142" s="416">
        <f>DIST_TOT!P142*COMB_TOT!P142*TAX_TOT!P142/FRO_TOT!P142</f>
        <v>14208.281816817578</v>
      </c>
      <c r="Q142" s="416">
        <f>DIST_TOT!Q142*COMB_TOT!Q142*TAX_TOT!Q142/FRO_TOT!Q142</f>
        <v>14208.281816817578</v>
      </c>
      <c r="R142" s="423">
        <f>DIST_TOT!R142*COMB_TOT!R142*TAX_TOT!R142/FRO_TOT!R142</f>
        <v>12225.755026675557</v>
      </c>
      <c r="T142" s="210" t="s">
        <v>34</v>
      </c>
      <c r="U142" s="701">
        <f>SUMPRODUCT(B142:R142,FRO_TOT!B142:R142)/SUM(FRO_TOT!B142:R142)</f>
        <v>10972.163774783718</v>
      </c>
    </row>
    <row r="143" spans="1:21" ht="15.75" thickBot="1">
      <c r="A143" s="324" t="s">
        <v>69</v>
      </c>
      <c r="B143" s="420">
        <f>DIST_TOT!B143*COMB_TOT!B143*TAX_TOT!B143/FRO_TOT!B143</f>
        <v>8016.7604041309751</v>
      </c>
      <c r="C143" s="415">
        <f>DIST_TOT!C143*COMB_TOT!C143*TAX_TOT!C143/FRO_TOT!C143</f>
        <v>8304.1551731793006</v>
      </c>
      <c r="D143" s="415">
        <f>DIST_TOT!D143*COMB_TOT!D143*TAX_TOT!D143/FRO_TOT!D143</f>
        <v>6746.9574042730756</v>
      </c>
      <c r="E143" s="415">
        <f>DIST_TOT!E143*COMB_TOT!E143*TAX_TOT!E143/FRO_TOT!E143</f>
        <v>15518.002029828072</v>
      </c>
      <c r="F143" s="415">
        <f>DIST_TOT!F143*COMB_TOT!F143*TAX_TOT!F143/FRO_TOT!F143</f>
        <v>6746.9574042730746</v>
      </c>
      <c r="G143" s="415">
        <f>DIST_TOT!G143*COMB_TOT!G143*TAX_TOT!G143/FRO_TOT!G143</f>
        <v>4497.9716028487164</v>
      </c>
      <c r="H143" s="415">
        <f>DIST_TOT!H143*COMB_TOT!H143*TAX_TOT!H143/FRO_TOT!H143</f>
        <v>9032.0823735237082</v>
      </c>
      <c r="I143" s="415">
        <f>DIST_TOT!I143*COMB_TOT!I143*TAX_TOT!I143/FRO_TOT!I143</f>
        <v>9032.0823735237082</v>
      </c>
      <c r="J143" s="415">
        <f>DIST_TOT!J143*COMB_TOT!J143*TAX_TOT!J143/FRO_TOT!J143</f>
        <v>21845.814170382353</v>
      </c>
      <c r="K143" s="415">
        <f>DIST_TOT!K143*COMB_TOT!K143*TAX_TOT!K143/FRO_TOT!K143</f>
        <v>32769.176908296926</v>
      </c>
      <c r="L143" s="415">
        <f>DIST_TOT!L143*COMB_TOT!L143*TAX_TOT!L143/FRO_TOT!L143</f>
        <v>43692.539646211495</v>
      </c>
      <c r="M143" s="415">
        <f>DIST_TOT!M143*COMB_TOT!M143*TAX_TOT!M143/FRO_TOT!M143</f>
        <v>27399.309563103445</v>
      </c>
      <c r="N143" s="415">
        <f>DIST_TOT!N143*COMB_TOT!N143*TAX_TOT!N143/FRO_TOT!N143</f>
        <v>103309.23066958225</v>
      </c>
      <c r="O143" s="415">
        <f>DIST_TOT!O143*COMB_TOT!O143*TAX_TOT!O143/FRO_TOT!O143</f>
        <v>53489.073199173712</v>
      </c>
      <c r="P143" s="415">
        <f>DIST_TOT!P143*COMB_TOT!P143*TAX_TOT!P143/FRO_TOT!P143</f>
        <v>13669.581701807751</v>
      </c>
      <c r="Q143" s="415">
        <f>DIST_TOT!Q143*COMB_TOT!Q143*TAX_TOT!Q143/FRO_TOT!Q143</f>
        <v>13669.581701807747</v>
      </c>
      <c r="R143" s="421">
        <f>DIST_TOT!R143*COMB_TOT!R143*TAX_TOT!R143/FRO_TOT!R143</f>
        <v>20068.839992702</v>
      </c>
      <c r="T143" s="268" t="s">
        <v>69</v>
      </c>
      <c r="U143" s="697">
        <f>SUMPRODUCT(B143:R143,FRO_TOT!B143:R143)/SUM(FRO_TOT!B143:R143)</f>
        <v>11275.156987731285</v>
      </c>
    </row>
    <row r="144" spans="1:21" s="1" customFormat="1">
      <c r="A144" s="130" t="s">
        <v>36</v>
      </c>
      <c r="B144" s="422">
        <f>DIST_TOT!B144*COMB_TOT!B144*TAX_TOT!B144/FRO_TOT!B144</f>
        <v>7982.449848297626</v>
      </c>
      <c r="C144" s="416">
        <f>DIST_TOT!C144*COMB_TOT!C144*TAX_TOT!C144/FRO_TOT!C144</f>
        <v>7981.2234932776228</v>
      </c>
      <c r="D144" s="416">
        <f>DIST_TOT!D144*COMB_TOT!D144*TAX_TOT!D144/FRO_TOT!D144</f>
        <v>6484.5819737387283</v>
      </c>
      <c r="E144" s="416">
        <f>DIST_TOT!E144*COMB_TOT!E144*TAX_TOT!E144/FRO_TOT!E144</f>
        <v>14914.538539599067</v>
      </c>
      <c r="F144" s="416">
        <f>DIST_TOT!F144*COMB_TOT!F144*TAX_TOT!F144/FRO_TOT!F144</f>
        <v>6484.5819737387246</v>
      </c>
      <c r="G144" s="416">
        <f>DIST_TOT!G144*COMB_TOT!G144*TAX_TOT!G144/FRO_TOT!G144</f>
        <v>4323.0546491591504</v>
      </c>
      <c r="H144" s="416">
        <f>DIST_TOT!H144*COMB_TOT!H144*TAX_TOT!H144/FRO_TOT!H144</f>
        <v>8560.7830988527367</v>
      </c>
      <c r="I144" s="416">
        <f>DIST_TOT!I144*COMB_TOT!I144*TAX_TOT!I144/FRO_TOT!I144</f>
        <v>8560.7830988527348</v>
      </c>
      <c r="J144" s="416">
        <f>DIST_TOT!J144*COMB_TOT!J144*TAX_TOT!J144/FRO_TOT!J144</f>
        <v>22224.875664742889</v>
      </c>
      <c r="K144" s="416">
        <f>DIST_TOT!K144*COMB_TOT!K144*TAX_TOT!K144/FRO_TOT!K144</f>
        <v>33337.777056176259</v>
      </c>
      <c r="L144" s="416">
        <f>DIST_TOT!L144*COMB_TOT!L144*TAX_TOT!L144/FRO_TOT!L144</f>
        <v>44450.678447609622</v>
      </c>
      <c r="M144" s="416">
        <f>DIST_TOT!M144*COMB_TOT!M144*TAX_TOT!M144/FRO_TOT!M144</f>
        <v>27874.733511436662</v>
      </c>
      <c r="N144" s="416">
        <f>DIST_TOT!N144*COMB_TOT!N144*TAX_TOT!N144/FRO_TOT!N144</f>
        <v>105101.81899123613</v>
      </c>
      <c r="O144" s="416">
        <f>DIST_TOT!O144*COMB_TOT!O144*TAX_TOT!O144/FRO_TOT!O144</f>
        <v>54417.198278912241</v>
      </c>
      <c r="P144" s="416">
        <f>DIST_TOT!P144*COMB_TOT!P144*TAX_TOT!P144/FRO_TOT!P144</f>
        <v>13906.771857631542</v>
      </c>
      <c r="Q144" s="416">
        <f>DIST_TOT!Q144*COMB_TOT!Q144*TAX_TOT!Q144/FRO_TOT!Q144</f>
        <v>13906.771857631542</v>
      </c>
      <c r="R144" s="423">
        <f>DIST_TOT!R144*COMB_TOT!R144*TAX_TOT!R144/FRO_TOT!R144</f>
        <v>14937.925471514658</v>
      </c>
      <c r="T144" s="190" t="s">
        <v>36</v>
      </c>
      <c r="U144" s="699">
        <f>SUMPRODUCT(B144:R144,FRO_TOT!B144:R144)/SUM(FRO_TOT!B144:R144)</f>
        <v>11193.50559228939</v>
      </c>
    </row>
    <row r="145" spans="1:23" s="1" customFormat="1">
      <c r="A145" s="130" t="s">
        <v>37</v>
      </c>
      <c r="B145" s="422">
        <f>DIST_TOT!B145*COMB_TOT!B145*TAX_TOT!B145/FRO_TOT!B145</f>
        <v>7868.4217151744469</v>
      </c>
      <c r="C145" s="416">
        <f>DIST_TOT!C145*COMB_TOT!C145*TAX_TOT!C145/FRO_TOT!C145</f>
        <v>8301.2160252895774</v>
      </c>
      <c r="D145" s="416">
        <f>DIST_TOT!D145*COMB_TOT!D145*TAX_TOT!D145/FRO_TOT!D145</f>
        <v>6744.5694063126239</v>
      </c>
      <c r="E145" s="416">
        <f>DIST_TOT!E145*COMB_TOT!E145*TAX_TOT!E145/FRO_TOT!E145</f>
        <v>15512.509634519036</v>
      </c>
      <c r="F145" s="416">
        <f>DIST_TOT!F145*COMB_TOT!F145*TAX_TOT!F145/FRO_TOT!F145</f>
        <v>6744.5694063126248</v>
      </c>
      <c r="G145" s="416">
        <f>DIST_TOT!G145*COMB_TOT!G145*TAX_TOT!G145/FRO_TOT!G145</f>
        <v>4496.3796042084168</v>
      </c>
      <c r="H145" s="416">
        <f>DIST_TOT!H145*COMB_TOT!H145*TAX_TOT!H145/FRO_TOT!H145</f>
        <v>12362.92850128437</v>
      </c>
      <c r="I145" s="416">
        <f>DIST_TOT!I145*COMB_TOT!I145*TAX_TOT!I145/FRO_TOT!I145</f>
        <v>12362.928501284372</v>
      </c>
      <c r="J145" s="416">
        <f>DIST_TOT!J145*COMB_TOT!J145*TAX_TOT!J145/FRO_TOT!J145</f>
        <v>21356.896758896364</v>
      </c>
      <c r="K145" s="416">
        <f>DIST_TOT!K145*COMB_TOT!K145*TAX_TOT!K145/FRO_TOT!K145</f>
        <v>32035.790593391241</v>
      </c>
      <c r="L145" s="416">
        <f>DIST_TOT!L145*COMB_TOT!L145*TAX_TOT!L145/FRO_TOT!L145</f>
        <v>42714.684427886117</v>
      </c>
      <c r="M145" s="416">
        <f>DIST_TOT!M145*COMB_TOT!M145*TAX_TOT!M145/FRO_TOT!M145</f>
        <v>26786.10286805348</v>
      </c>
      <c r="N145" s="416">
        <f>DIST_TOT!N145*COMB_TOT!N145*TAX_TOT!N145/FRO_TOT!N145</f>
        <v>100997.13182777936</v>
      </c>
      <c r="O145" s="416">
        <f>DIST_TOT!O145*COMB_TOT!O145*TAX_TOT!O145/FRO_TOT!O145</f>
        <v>52291.96793189647</v>
      </c>
      <c r="P145" s="416">
        <f>DIST_TOT!P145*COMB_TOT!P145*TAX_TOT!P145/FRO_TOT!P145</f>
        <v>13363.65140094466</v>
      </c>
      <c r="Q145" s="416">
        <f>DIST_TOT!Q145*COMB_TOT!Q145*TAX_TOT!Q145/FRO_TOT!Q145</f>
        <v>13363.651400944662</v>
      </c>
      <c r="R145" s="423">
        <f>DIST_TOT!R145*COMB_TOT!R145*TAX_TOT!R145/FRO_TOT!R145</f>
        <v>21704.917860347501</v>
      </c>
      <c r="T145" s="130" t="s">
        <v>37</v>
      </c>
      <c r="U145" s="700">
        <f>SUMPRODUCT(B145:R145,FRO_TOT!B145:R145)/SUM(FRO_TOT!B145:R145)</f>
        <v>11086.339429320949</v>
      </c>
    </row>
    <row r="146" spans="1:23" s="1" customFormat="1" ht="15.75" thickBot="1">
      <c r="A146" s="131" t="s">
        <v>38</v>
      </c>
      <c r="B146" s="422">
        <f>DIST_TOT!B146*COMB_TOT!B146*TAX_TOT!B146/FRO_TOT!B146</f>
        <v>8286.0297414602192</v>
      </c>
      <c r="C146" s="416">
        <f>DIST_TOT!C146*COMB_TOT!C146*TAX_TOT!C146/FRO_TOT!C146</f>
        <v>8749.2762231479355</v>
      </c>
      <c r="D146" s="416">
        <f>DIST_TOT!D146*COMB_TOT!D146*TAX_TOT!D146/FRO_TOT!D146</f>
        <v>7108.6092160772978</v>
      </c>
      <c r="E146" s="416">
        <f>DIST_TOT!E146*COMB_TOT!E146*TAX_TOT!E146/FRO_TOT!E146</f>
        <v>16349.801196977787</v>
      </c>
      <c r="F146" s="416">
        <f>DIST_TOT!F146*COMB_TOT!F146*TAX_TOT!F146/FRO_TOT!F146</f>
        <v>7108.6092160772951</v>
      </c>
      <c r="G146" s="416">
        <f>DIST_TOT!G146*COMB_TOT!G146*TAX_TOT!G146/FRO_TOT!G146</f>
        <v>4739.0728107181967</v>
      </c>
      <c r="H146" s="416">
        <f>DIST_TOT!H146*COMB_TOT!H146*TAX_TOT!H146/FRO_TOT!H146</f>
        <v>10574.273487316052</v>
      </c>
      <c r="I146" s="416">
        <f>DIST_TOT!I146*COMB_TOT!I146*TAX_TOT!I146/FRO_TOT!I146</f>
        <v>10574.27348731605</v>
      </c>
      <c r="J146" s="416">
        <f>DIST_TOT!J146*COMB_TOT!J146*TAX_TOT!J146/FRO_TOT!J146</f>
        <v>21896.99332491427</v>
      </c>
      <c r="K146" s="416">
        <f>DIST_TOT!K146*COMB_TOT!K146*TAX_TOT!K146/FRO_TOT!K146</f>
        <v>32845.946707572584</v>
      </c>
      <c r="L146" s="416">
        <f>DIST_TOT!L146*COMB_TOT!L146*TAX_TOT!L146/FRO_TOT!L146</f>
        <v>43794.900090230891</v>
      </c>
      <c r="M146" s="416">
        <f>DIST_TOT!M146*COMB_TOT!M146*TAX_TOT!M146/FRO_TOT!M146</f>
        <v>27463.499136779268</v>
      </c>
      <c r="N146" s="416">
        <f>DIST_TOT!N146*COMB_TOT!N146*TAX_TOT!N146/FRO_TOT!N146</f>
        <v>103551.25777096536</v>
      </c>
      <c r="O146" s="416">
        <f>DIST_TOT!O146*COMB_TOT!O146*TAX_TOT!O146/FRO_TOT!O146</f>
        <v>53614.38441539475</v>
      </c>
      <c r="P146" s="416">
        <f>DIST_TOT!P146*COMB_TOT!P146*TAX_TOT!P146/FRO_TOT!P146</f>
        <v>13701.606035112387</v>
      </c>
      <c r="Q146" s="416">
        <f>DIST_TOT!Q146*COMB_TOT!Q146*TAX_TOT!Q146/FRO_TOT!Q146</f>
        <v>13701.606035112387</v>
      </c>
      <c r="R146" s="423">
        <f>DIST_TOT!R146*COMB_TOT!R146*TAX_TOT!R146/FRO_TOT!R146</f>
        <v>20941.178553202048</v>
      </c>
      <c r="T146" s="210" t="s">
        <v>38</v>
      </c>
      <c r="U146" s="701">
        <f>SUMPRODUCT(B146:R146,FRO_TOT!B146:R146)/SUM(FRO_TOT!B146:R146)</f>
        <v>11666.25548368299</v>
      </c>
    </row>
    <row r="147" spans="1:23" ht="15.75" thickBot="1">
      <c r="A147" s="325" t="s">
        <v>73</v>
      </c>
      <c r="B147" s="420">
        <f>DIST_TOT!B147*COMB_TOT!B147*TAX_TOT!B147/FRO_TOT!B147</f>
        <v>11270.251500297803</v>
      </c>
      <c r="C147" s="415">
        <f>DIST_TOT!C147*COMB_TOT!C147*TAX_TOT!C147/FRO_TOT!C147</f>
        <v>10508.465179865418</v>
      </c>
      <c r="D147" s="415">
        <f>DIST_TOT!D147*COMB_TOT!D147*TAX_TOT!D147/FRO_TOT!D147</f>
        <v>6691.0169665498443</v>
      </c>
      <c r="E147" s="415">
        <f>DIST_TOT!E147*COMB_TOT!E147*TAX_TOT!E147/FRO_TOT!E147</f>
        <v>15389.339023064644</v>
      </c>
      <c r="F147" s="415">
        <f>DIST_TOT!F147*COMB_TOT!F147*TAX_TOT!F147/FRO_TOT!F147</f>
        <v>6691.0169665498461</v>
      </c>
      <c r="G147" s="415">
        <f>DIST_TOT!G147*COMB_TOT!G147*TAX_TOT!G147/FRO_TOT!G147</f>
        <v>4460.6779776998974</v>
      </c>
      <c r="H147" s="415">
        <f>DIST_TOT!H147*COMB_TOT!H147*TAX_TOT!H147/FRO_TOT!H147</f>
        <v>9893.6669283103365</v>
      </c>
      <c r="I147" s="415">
        <f>DIST_TOT!I147*COMB_TOT!I147*TAX_TOT!I147/FRO_TOT!I147</f>
        <v>9893.6669283103347</v>
      </c>
      <c r="J147" s="415">
        <f>DIST_TOT!J147*COMB_TOT!J147*TAX_TOT!J147/FRO_TOT!J147</f>
        <v>43469.340025223108</v>
      </c>
      <c r="K147" s="415">
        <f>DIST_TOT!K147*COMB_TOT!K147*TAX_TOT!K147/FRO_TOT!K147</f>
        <v>65204.010037834647</v>
      </c>
      <c r="L147" s="415">
        <f>DIST_TOT!L147*COMB_TOT!L147*TAX_TOT!L147/FRO_TOT!L147</f>
        <v>86938.680050446201</v>
      </c>
      <c r="M147" s="415">
        <f>DIST_TOT!M147*COMB_TOT!M147*TAX_TOT!M147/FRO_TOT!M147</f>
        <v>25764.109634225457</v>
      </c>
      <c r="N147" s="415">
        <f>DIST_TOT!N147*COMB_TOT!N147*TAX_TOT!N147/FRO_TOT!N147</f>
        <v>109333.02854586866</v>
      </c>
      <c r="O147" s="415">
        <f>DIST_TOT!O147*COMB_TOT!O147*TAX_TOT!O147/FRO_TOT!O147</f>
        <v>49967.751746246191</v>
      </c>
      <c r="P147" s="415">
        <f>DIST_TOT!P147*COMB_TOT!P147*TAX_TOT!P147/FRO_TOT!P147</f>
        <v>14466.633394975735</v>
      </c>
      <c r="Q147" s="415">
        <f>DIST_TOT!Q147*COMB_TOT!Q147*TAX_TOT!Q147/FRO_TOT!Q147</f>
        <v>14466.633394975739</v>
      </c>
      <c r="R147" s="421">
        <f>DIST_TOT!R147*COMB_TOT!R147*TAX_TOT!R147/FRO_TOT!R147</f>
        <v>17650.091504615611</v>
      </c>
      <c r="T147" s="268" t="s">
        <v>73</v>
      </c>
      <c r="U147" s="697">
        <f>SUMPRODUCT(B147:R147,FRO_TOT!B147:R147)/SUM(FRO_TOT!B147:R147)</f>
        <v>14386.006899355181</v>
      </c>
    </row>
    <row r="148" spans="1:23" s="1" customFormat="1">
      <c r="A148" s="130" t="s">
        <v>40</v>
      </c>
      <c r="B148" s="422">
        <f>DIST_TOT!B148*COMB_TOT!B148*TAX_TOT!B148/FRO_TOT!B148</f>
        <v>9929.6805260433939</v>
      </c>
      <c r="C148" s="416">
        <f>DIST_TOT!C148*COMB_TOT!C148*TAX_TOT!C148/FRO_TOT!C148</f>
        <v>10393.417269073943</v>
      </c>
      <c r="D148" s="416">
        <f>DIST_TOT!D148*COMB_TOT!D148*TAX_TOT!D148/FRO_TOT!D148</f>
        <v>6617.7629270782372</v>
      </c>
      <c r="E148" s="416">
        <f>DIST_TOT!E148*COMB_TOT!E148*TAX_TOT!E148/FRO_TOT!E148</f>
        <v>15220.854732279946</v>
      </c>
      <c r="F148" s="416">
        <f>DIST_TOT!F148*COMB_TOT!F148*TAX_TOT!F148/FRO_TOT!F148</f>
        <v>6617.7629270782372</v>
      </c>
      <c r="G148" s="416">
        <f>DIST_TOT!G148*COMB_TOT!G148*TAX_TOT!G148/FRO_TOT!G148</f>
        <v>4411.8419513854915</v>
      </c>
      <c r="H148" s="416">
        <f>DIST_TOT!H148*COMB_TOT!H148*TAX_TOT!H148/FRO_TOT!H148</f>
        <v>10868.006738503456</v>
      </c>
      <c r="I148" s="416">
        <f>DIST_TOT!I148*COMB_TOT!I148*TAX_TOT!I148/FRO_TOT!I148</f>
        <v>10868.006738503456</v>
      </c>
      <c r="J148" s="416">
        <f>DIST_TOT!J148*COMB_TOT!J148*TAX_TOT!J148/FRO_TOT!J148</f>
        <v>37081.301374008486</v>
      </c>
      <c r="K148" s="416">
        <f>DIST_TOT!K148*COMB_TOT!K148*TAX_TOT!K148/FRO_TOT!K148</f>
        <v>55621.952061012737</v>
      </c>
      <c r="L148" s="416">
        <f>DIST_TOT!L148*COMB_TOT!L148*TAX_TOT!L148/FRO_TOT!L148</f>
        <v>74162.602748016972</v>
      </c>
      <c r="M148" s="416">
        <f>DIST_TOT!M148*COMB_TOT!M148*TAX_TOT!M148/FRO_TOT!M148</f>
        <v>21977.943843301004</v>
      </c>
      <c r="N148" s="416">
        <f>DIST_TOT!N148*COMB_TOT!N148*TAX_TOT!N148/FRO_TOT!N148</f>
        <v>93265.988839259371</v>
      </c>
      <c r="O148" s="416">
        <f>DIST_TOT!O148*COMB_TOT!O148*TAX_TOT!O148/FRO_TOT!O148</f>
        <v>42624.73873330182</v>
      </c>
      <c r="P148" s="416">
        <f>DIST_TOT!P148*COMB_TOT!P148*TAX_TOT!P148/FRO_TOT!P148</f>
        <v>12340.688689433069</v>
      </c>
      <c r="Q148" s="416">
        <f>DIST_TOT!Q148*COMB_TOT!Q148*TAX_TOT!Q148/FRO_TOT!Q148</f>
        <v>12340.688689433071</v>
      </c>
      <c r="R148" s="423">
        <f>DIST_TOT!R148*COMB_TOT!R148*TAX_TOT!R148/FRO_TOT!R148</f>
        <v>35532.381794826964</v>
      </c>
      <c r="T148" s="190" t="s">
        <v>40</v>
      </c>
      <c r="U148" s="699">
        <f>SUMPRODUCT(B148:R148,FRO_TOT!B148:R148)/SUM(FRO_TOT!B148:R148)</f>
        <v>11738.879620579581</v>
      </c>
    </row>
    <row r="149" spans="1:23" s="1" customFormat="1">
      <c r="A149" s="130" t="s">
        <v>41</v>
      </c>
      <c r="B149" s="422">
        <f>DIST_TOT!B149*COMB_TOT!B149*TAX_TOT!B149/FRO_TOT!B149</f>
        <v>12370.674952381583</v>
      </c>
      <c r="C149" s="416">
        <f>DIST_TOT!C149*COMB_TOT!C149*TAX_TOT!C149/FRO_TOT!C149</f>
        <v>10375.816136028403</v>
      </c>
      <c r="D149" s="416">
        <f>DIST_TOT!D149*COMB_TOT!D149*TAX_TOT!D149/FRO_TOT!D149</f>
        <v>6606.5558213951117</v>
      </c>
      <c r="E149" s="416">
        <f>DIST_TOT!E149*COMB_TOT!E149*TAX_TOT!E149/FRO_TOT!E149</f>
        <v>15195.078389208751</v>
      </c>
      <c r="F149" s="416">
        <f>DIST_TOT!F149*COMB_TOT!F149*TAX_TOT!F149/FRO_TOT!F149</f>
        <v>6606.5558213951117</v>
      </c>
      <c r="G149" s="416">
        <f>DIST_TOT!G149*COMB_TOT!G149*TAX_TOT!G149/FRO_TOT!G149</f>
        <v>4404.3705475967417</v>
      </c>
      <c r="H149" s="416">
        <f>DIST_TOT!H149*COMB_TOT!H149*TAX_TOT!H149/FRO_TOT!H149</f>
        <v>9704.6121780453941</v>
      </c>
      <c r="I149" s="416">
        <f>DIST_TOT!I149*COMB_TOT!I149*TAX_TOT!I149/FRO_TOT!I149</f>
        <v>9704.6121780453959</v>
      </c>
      <c r="J149" s="416">
        <f>DIST_TOT!J149*COMB_TOT!J149*TAX_TOT!J149/FRO_TOT!J149</f>
        <v>40360.802893901026</v>
      </c>
      <c r="K149" s="416">
        <f>DIST_TOT!K149*COMB_TOT!K149*TAX_TOT!K149/FRO_TOT!K149</f>
        <v>60541.204340851524</v>
      </c>
      <c r="L149" s="416">
        <f>DIST_TOT!L149*COMB_TOT!L149*TAX_TOT!L149/FRO_TOT!L149</f>
        <v>80721.605787802066</v>
      </c>
      <c r="M149" s="416">
        <f>DIST_TOT!M149*COMB_TOT!M149*TAX_TOT!M149/FRO_TOT!M149</f>
        <v>23921.691704554312</v>
      </c>
      <c r="N149" s="416">
        <f>DIST_TOT!N149*COMB_TOT!N149*TAX_TOT!N149/FRO_TOT!N149</f>
        <v>101514.51143202423</v>
      </c>
      <c r="O149" s="416">
        <f>DIST_TOT!O149*COMB_TOT!O149*TAX_TOT!O149/FRO_TOT!O149</f>
        <v>46394.506521410447</v>
      </c>
      <c r="P149" s="416">
        <f>DIST_TOT!P149*COMB_TOT!P149*TAX_TOT!P149/FRO_TOT!P149</f>
        <v>13432.109589290811</v>
      </c>
      <c r="Q149" s="416">
        <f>DIST_TOT!Q149*COMB_TOT!Q149*TAX_TOT!Q149/FRO_TOT!Q149</f>
        <v>13432.109589290805</v>
      </c>
      <c r="R149" s="423">
        <f>DIST_TOT!R149*COMB_TOT!R149*TAX_TOT!R149/FRO_TOT!R149</f>
        <v>9107.0819225107789</v>
      </c>
      <c r="T149" s="130" t="s">
        <v>41</v>
      </c>
      <c r="U149" s="700">
        <f>SUMPRODUCT(B149:R149,FRO_TOT!B149:R149)/SUM(FRO_TOT!B149:R149)</f>
        <v>14298.484066183239</v>
      </c>
    </row>
    <row r="150" spans="1:23" s="1" customFormat="1">
      <c r="A150" s="130" t="s">
        <v>42</v>
      </c>
      <c r="B150" s="422">
        <f>DIST_TOT!B150*COMB_TOT!B150*TAX_TOT!B150/FRO_TOT!B150</f>
        <v>15263.444821002509</v>
      </c>
      <c r="C150" s="416">
        <f>DIST_TOT!C150*COMB_TOT!C150*TAX_TOT!C150/FRO_TOT!C150</f>
        <v>10934.901486217683</v>
      </c>
      <c r="D150" s="416">
        <f>DIST_TOT!D150*COMB_TOT!D150*TAX_TOT!D150/FRO_TOT!D150</f>
        <v>6962.5402111072763</v>
      </c>
      <c r="E150" s="416">
        <f>DIST_TOT!E150*COMB_TOT!E150*TAX_TOT!E150/FRO_TOT!E150</f>
        <v>16013.842485546736</v>
      </c>
      <c r="F150" s="416">
        <f>DIST_TOT!F150*COMB_TOT!F150*TAX_TOT!F150/FRO_TOT!F150</f>
        <v>6962.5402111072763</v>
      </c>
      <c r="G150" s="416">
        <f>DIST_TOT!G150*COMB_TOT!G150*TAX_TOT!G150/FRO_TOT!G150</f>
        <v>4641.6934740715169</v>
      </c>
      <c r="H150" s="416">
        <f>DIST_TOT!H150*COMB_TOT!H150*TAX_TOT!H150/FRO_TOT!H150</f>
        <v>10116.026911382152</v>
      </c>
      <c r="I150" s="416">
        <f>DIST_TOT!I150*COMB_TOT!I150*TAX_TOT!I150/FRO_TOT!I150</f>
        <v>10116.026911382152</v>
      </c>
      <c r="J150" s="416">
        <f>DIST_TOT!J150*COMB_TOT!J150*TAX_TOT!J150/FRO_TOT!J150</f>
        <v>50959.694856733549</v>
      </c>
      <c r="K150" s="416">
        <f>DIST_TOT!K150*COMB_TOT!K150*TAX_TOT!K150/FRO_TOT!K150</f>
        <v>76439.542285100295</v>
      </c>
      <c r="L150" s="416">
        <f>DIST_TOT!L150*COMB_TOT!L150*TAX_TOT!L150/FRO_TOT!L150</f>
        <v>101919.38971346711</v>
      </c>
      <c r="M150" s="416">
        <f>DIST_TOT!M150*COMB_TOT!M150*TAX_TOT!M150/FRO_TOT!M150</f>
        <v>30203.613959948081</v>
      </c>
      <c r="N150" s="416">
        <f>DIST_TOT!N150*COMB_TOT!N150*TAX_TOT!N150/FRO_TOT!N150</f>
        <v>128172.58714365332</v>
      </c>
      <c r="O150" s="416">
        <f>DIST_TOT!O150*COMB_TOT!O150*TAX_TOT!O150/FRO_TOT!O150</f>
        <v>58577.870751849594</v>
      </c>
      <c r="P150" s="416">
        <f>DIST_TOT!P150*COMB_TOT!P150*TAX_TOT!P150/FRO_TOT!P150</f>
        <v>16959.429864461374</v>
      </c>
      <c r="Q150" s="416">
        <f>DIST_TOT!Q150*COMB_TOT!Q150*TAX_TOT!Q150/FRO_TOT!Q150</f>
        <v>16959.429864461377</v>
      </c>
      <c r="R150" s="423">
        <f>DIST_TOT!R150*COMB_TOT!R150*TAX_TOT!R150/FRO_TOT!R150</f>
        <v>19969.60870917574</v>
      </c>
      <c r="T150" s="130" t="s">
        <v>42</v>
      </c>
      <c r="U150" s="700">
        <f>SUMPRODUCT(B150:R150,FRO_TOT!B150:R150)/SUM(FRO_TOT!B150:R150)</f>
        <v>17232.557800798026</v>
      </c>
    </row>
    <row r="151" spans="1:23" s="1" customFormat="1" ht="15.75" thickBot="1">
      <c r="A151" s="131" t="s">
        <v>43</v>
      </c>
      <c r="B151" s="424">
        <f>DIST_TOT!B151*COMB_TOT!B151*TAX_TOT!B151/FRO_TOT!B151</f>
        <v>10256.818307327288</v>
      </c>
      <c r="C151" s="425">
        <f>DIST_TOT!C151*COMB_TOT!C151*TAX_TOT!C151/FRO_TOT!C151</f>
        <v>10629.21541787607</v>
      </c>
      <c r="D151" s="425">
        <f>DIST_TOT!D151*COMB_TOT!D151*TAX_TOT!D151/FRO_TOT!D151</f>
        <v>6767.9018281747622</v>
      </c>
      <c r="E151" s="425">
        <f>DIST_TOT!E151*COMB_TOT!E151*TAX_TOT!E151/FRO_TOT!E151</f>
        <v>15566.174204801951</v>
      </c>
      <c r="F151" s="425">
        <f>DIST_TOT!F151*COMB_TOT!F151*TAX_TOT!F151/FRO_TOT!F151</f>
        <v>6767.9018281747622</v>
      </c>
      <c r="G151" s="425">
        <f>DIST_TOT!G151*COMB_TOT!G151*TAX_TOT!G151/FRO_TOT!G151</f>
        <v>4511.9345521165069</v>
      </c>
      <c r="H151" s="425">
        <f>DIST_TOT!H151*COMB_TOT!H151*TAX_TOT!H151/FRO_TOT!H151</f>
        <v>9897.1255899740227</v>
      </c>
      <c r="I151" s="425">
        <f>DIST_TOT!I151*COMB_TOT!I151*TAX_TOT!I151/FRO_TOT!I151</f>
        <v>9897.1255899740227</v>
      </c>
      <c r="J151" s="425">
        <f>DIST_TOT!J151*COMB_TOT!J151*TAX_TOT!J151/FRO_TOT!J151</f>
        <v>43409.206248822426</v>
      </c>
      <c r="K151" s="425">
        <f>DIST_TOT!K151*COMB_TOT!K151*TAX_TOT!K151/FRO_TOT!K151</f>
        <v>65113.809373233642</v>
      </c>
      <c r="L151" s="425">
        <f>DIST_TOT!L151*COMB_TOT!L151*TAX_TOT!L151/FRO_TOT!L151</f>
        <v>86818.41249764488</v>
      </c>
      <c r="M151" s="425">
        <f>DIST_TOT!M151*COMB_TOT!M151*TAX_TOT!M151/FRO_TOT!M151</f>
        <v>25728.468577632288</v>
      </c>
      <c r="N151" s="425">
        <f>DIST_TOT!N151*COMB_TOT!N151*TAX_TOT!N151/FRO_TOT!N151</f>
        <v>109181.78153158294</v>
      </c>
      <c r="O151" s="425">
        <f>DIST_TOT!O151*COMB_TOT!O151*TAX_TOT!O151/FRO_TOT!O151</f>
        <v>49898.6283224949</v>
      </c>
      <c r="P151" s="425">
        <f>DIST_TOT!P151*COMB_TOT!P151*TAX_TOT!P151/FRO_TOT!P151</f>
        <v>14446.620822957409</v>
      </c>
      <c r="Q151" s="425">
        <f>DIST_TOT!Q151*COMB_TOT!Q151*TAX_TOT!Q151/FRO_TOT!Q151</f>
        <v>14446.620822957409</v>
      </c>
      <c r="R151" s="426">
        <f>DIST_TOT!R151*COMB_TOT!R151*TAX_TOT!R151/FRO_TOT!R151</f>
        <v>16032.118295739347</v>
      </c>
      <c r="T151" s="131" t="s">
        <v>43</v>
      </c>
      <c r="U151" s="702">
        <f>SUMPRODUCT(B151:R151,FRO_TOT!B151:R151)/SUM(FRO_TOT!B151:R151)</f>
        <v>14623.783105564939</v>
      </c>
    </row>
    <row r="152" spans="1:23" ht="15.75" thickBot="1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T152" s="1"/>
      <c r="U152" s="703"/>
    </row>
    <row r="153" spans="1:23" ht="15.75" customHeight="1" thickBot="1">
      <c r="A153" s="1051" t="s">
        <v>130</v>
      </c>
      <c r="B153" s="1054">
        <v>2013</v>
      </c>
      <c r="C153" s="1055"/>
      <c r="D153" s="1055"/>
      <c r="E153" s="1055"/>
      <c r="F153" s="1055"/>
      <c r="G153" s="1055"/>
      <c r="H153" s="1055"/>
      <c r="I153" s="1055"/>
      <c r="J153" s="1055"/>
      <c r="K153" s="1055"/>
      <c r="L153" s="1055"/>
      <c r="M153" s="1055"/>
      <c r="N153" s="1055"/>
      <c r="O153" s="1055"/>
      <c r="P153" s="1055"/>
      <c r="Q153" s="1055"/>
      <c r="R153" s="1078"/>
      <c r="T153" s="1091" t="s">
        <v>130</v>
      </c>
      <c r="U153" s="1092"/>
    </row>
    <row r="154" spans="1:23">
      <c r="A154" s="1052"/>
      <c r="B154" s="1060" t="s">
        <v>97</v>
      </c>
      <c r="C154" s="1061"/>
      <c r="D154" s="1061"/>
      <c r="E154" s="1061"/>
      <c r="F154" s="1061"/>
      <c r="G154" s="1061"/>
      <c r="H154" s="1061" t="s">
        <v>98</v>
      </c>
      <c r="I154" s="1061"/>
      <c r="J154" s="1061" t="s">
        <v>99</v>
      </c>
      <c r="K154" s="1061"/>
      <c r="L154" s="1061"/>
      <c r="M154" s="1061"/>
      <c r="N154" s="1061"/>
      <c r="O154" s="1061"/>
      <c r="P154" s="1061"/>
      <c r="Q154" s="1061"/>
      <c r="R154" s="289" t="s">
        <v>100</v>
      </c>
      <c r="T154" s="1093"/>
      <c r="U154" s="1094"/>
    </row>
    <row r="155" spans="1:23">
      <c r="A155" s="1052"/>
      <c r="B155" s="1062" t="s">
        <v>101</v>
      </c>
      <c r="C155" s="1064" t="s">
        <v>102</v>
      </c>
      <c r="D155" s="1064" t="s">
        <v>103</v>
      </c>
      <c r="E155" s="1064"/>
      <c r="F155" s="1064"/>
      <c r="G155" s="1064"/>
      <c r="H155" s="1062" t="s">
        <v>101</v>
      </c>
      <c r="I155" s="1064" t="s">
        <v>102</v>
      </c>
      <c r="J155" s="1064" t="s">
        <v>104</v>
      </c>
      <c r="K155" s="1064"/>
      <c r="L155" s="1064"/>
      <c r="M155" s="1064" t="s">
        <v>105</v>
      </c>
      <c r="N155" s="1064"/>
      <c r="O155" s="1064"/>
      <c r="P155" s="1062" t="s">
        <v>101</v>
      </c>
      <c r="Q155" s="1064" t="s">
        <v>102</v>
      </c>
      <c r="R155" s="1062" t="s">
        <v>101</v>
      </c>
      <c r="T155" s="1093"/>
      <c r="U155" s="1094"/>
    </row>
    <row r="156" spans="1:23" ht="15.75" thickBot="1">
      <c r="A156" s="1053"/>
      <c r="B156" s="1086"/>
      <c r="C156" s="1087"/>
      <c r="D156" s="414" t="s">
        <v>106</v>
      </c>
      <c r="E156" s="414" t="s">
        <v>107</v>
      </c>
      <c r="F156" s="414" t="s">
        <v>108</v>
      </c>
      <c r="G156" s="414" t="s">
        <v>109</v>
      </c>
      <c r="H156" s="1086"/>
      <c r="I156" s="1087"/>
      <c r="J156" s="414" t="s">
        <v>110</v>
      </c>
      <c r="K156" s="414" t="s">
        <v>111</v>
      </c>
      <c r="L156" s="414" t="s">
        <v>112</v>
      </c>
      <c r="M156" s="414" t="s">
        <v>113</v>
      </c>
      <c r="N156" s="414" t="s">
        <v>114</v>
      </c>
      <c r="O156" s="414" t="s">
        <v>115</v>
      </c>
      <c r="P156" s="1086"/>
      <c r="Q156" s="1087"/>
      <c r="R156" s="1086"/>
      <c r="T156" s="1095"/>
      <c r="U156" s="1096"/>
    </row>
    <row r="157" spans="1:23" ht="15.75" thickBot="1">
      <c r="A157" s="268" t="s">
        <v>11</v>
      </c>
      <c r="B157" s="417" t="e">
        <f>DIST_TOT!B157*COMB_TOT!B157*TAX_TOT!B157/FRO_TOT!B157</f>
        <v>#DIV/0!</v>
      </c>
      <c r="C157" s="418" t="e">
        <f>DIST_TOT!C157*COMB_TOT!C157*TAX_TOT!C157/FRO_TOT!C157</f>
        <v>#DIV/0!</v>
      </c>
      <c r="D157" s="418" t="e">
        <f>DIST_TOT!D157*COMB_TOT!D157*TAX_TOT!D157/FRO_TOT!D157</f>
        <v>#DIV/0!</v>
      </c>
      <c r="E157" s="418" t="e">
        <f>DIST_TOT!E157*COMB_TOT!E157*TAX_TOT!E157/FRO_TOT!E157</f>
        <v>#DIV/0!</v>
      </c>
      <c r="F157" s="418" t="e">
        <f>DIST_TOT!F157*COMB_TOT!F157*TAX_TOT!F157/FRO_TOT!F157</f>
        <v>#DIV/0!</v>
      </c>
      <c r="G157" s="418" t="e">
        <f>DIST_TOT!G157*COMB_TOT!G157*TAX_TOT!G157/FRO_TOT!G157</f>
        <v>#DIV/0!</v>
      </c>
      <c r="H157" s="418" t="e">
        <f>DIST_TOT!H157*COMB_TOT!H157*TAX_TOT!H157/FRO_TOT!H157</f>
        <v>#VALUE!</v>
      </c>
      <c r="I157" s="418" t="e">
        <f>DIST_TOT!I157*COMB_TOT!I157*TAX_TOT!I157/FRO_TOT!I157</f>
        <v>#DIV/0!</v>
      </c>
      <c r="J157" s="418" t="e">
        <f>DIST_TOT!J157*COMB_TOT!J157*TAX_TOT!J157/FRO_TOT!J157</f>
        <v>#DIV/0!</v>
      </c>
      <c r="K157" s="418" t="e">
        <f>DIST_TOT!K157*COMB_TOT!K157*TAX_TOT!K157/FRO_TOT!K157</f>
        <v>#DIV/0!</v>
      </c>
      <c r="L157" s="418" t="e">
        <f>DIST_TOT!L157*COMB_TOT!L157*TAX_TOT!L157/FRO_TOT!L157</f>
        <v>#DIV/0!</v>
      </c>
      <c r="M157" s="418" t="e">
        <f>DIST_TOT!M157*COMB_TOT!M157*TAX_TOT!M157/FRO_TOT!M157</f>
        <v>#DIV/0!</v>
      </c>
      <c r="N157" s="418" t="e">
        <f>DIST_TOT!N157*COMB_TOT!N157*TAX_TOT!N157/FRO_TOT!N157</f>
        <v>#DIV/0!</v>
      </c>
      <c r="O157" s="418" t="e">
        <f>DIST_TOT!O157*COMB_TOT!O157*TAX_TOT!O157/FRO_TOT!O157</f>
        <v>#DIV/0!</v>
      </c>
      <c r="P157" s="418" t="e">
        <f>DIST_TOT!P157*COMB_TOT!P157*TAX_TOT!P157/FRO_TOT!P157</f>
        <v>#DIV/0!</v>
      </c>
      <c r="Q157" s="418" t="e">
        <f>DIST_TOT!Q157*COMB_TOT!Q157*TAX_TOT!Q157/FRO_TOT!Q157</f>
        <v>#DIV/0!</v>
      </c>
      <c r="R157" s="419">
        <f>DIST_TOT!R157*COMB_TOT!R157*TAX_TOT!R157/FRO_TOT!R157</f>
        <v>0</v>
      </c>
      <c r="T157" s="268" t="s">
        <v>11</v>
      </c>
      <c r="U157" s="697" t="e">
        <f>SUMPRODUCT(B157:R157,FRO_TOT!B157:R157)/SUM(FRO_TOT!B157:R157)</f>
        <v>#DIV/0!</v>
      </c>
      <c r="V157" s="1">
        <v>0.28060431611969011</v>
      </c>
      <c r="W157" s="1">
        <f>V157*100000</f>
        <v>28060.431611969012</v>
      </c>
    </row>
    <row r="158" spans="1:23" ht="15.75" thickBot="1">
      <c r="A158" s="324" t="s">
        <v>46</v>
      </c>
      <c r="B158" s="420" t="e">
        <f>DIST_TOT!B158*COMB_TOT!B158*TAX_TOT!B158/FRO_TOT!B158</f>
        <v>#DIV/0!</v>
      </c>
      <c r="C158" s="415" t="e">
        <f>DIST_TOT!C158*COMB_TOT!C158*TAX_TOT!C158/FRO_TOT!C158</f>
        <v>#DIV/0!</v>
      </c>
      <c r="D158" s="415" t="e">
        <f>DIST_TOT!D158*COMB_TOT!D158*TAX_TOT!D158/FRO_TOT!D158</f>
        <v>#DIV/0!</v>
      </c>
      <c r="E158" s="415" t="e">
        <f>DIST_TOT!E158*COMB_TOT!E158*TAX_TOT!E158/FRO_TOT!E158</f>
        <v>#DIV/0!</v>
      </c>
      <c r="F158" s="415" t="e">
        <f>DIST_TOT!F158*COMB_TOT!F158*TAX_TOT!F158/FRO_TOT!F158</f>
        <v>#DIV/0!</v>
      </c>
      <c r="G158" s="415" t="e">
        <f>DIST_TOT!G158*COMB_TOT!G158*TAX_TOT!G158/FRO_TOT!G158</f>
        <v>#DIV/0!</v>
      </c>
      <c r="H158" s="415" t="e">
        <f>DIST_TOT!H158*COMB_TOT!H158*TAX_TOT!H158/FRO_TOT!H158</f>
        <v>#VALUE!</v>
      </c>
      <c r="I158" s="415" t="e">
        <f>DIST_TOT!I158*COMB_TOT!I158*TAX_TOT!I158/FRO_TOT!I158</f>
        <v>#DIV/0!</v>
      </c>
      <c r="J158" s="415" t="e">
        <f>DIST_TOT!J158*COMB_TOT!J158*TAX_TOT!J158/FRO_TOT!J158</f>
        <v>#DIV/0!</v>
      </c>
      <c r="K158" s="415" t="e">
        <f>DIST_TOT!K158*COMB_TOT!K158*TAX_TOT!K158/FRO_TOT!K158</f>
        <v>#DIV/0!</v>
      </c>
      <c r="L158" s="415" t="e">
        <f>DIST_TOT!L158*COMB_TOT!L158*TAX_TOT!L158/FRO_TOT!L158</f>
        <v>#DIV/0!</v>
      </c>
      <c r="M158" s="415" t="e">
        <f>DIST_TOT!M158*COMB_TOT!M158*TAX_TOT!M158/FRO_TOT!M158</f>
        <v>#DIV/0!</v>
      </c>
      <c r="N158" s="415" t="e">
        <f>DIST_TOT!N158*COMB_TOT!N158*TAX_TOT!N158/FRO_TOT!N158</f>
        <v>#DIV/0!</v>
      </c>
      <c r="O158" s="415" t="e">
        <f>DIST_TOT!O158*COMB_TOT!O158*TAX_TOT!O158/FRO_TOT!O158</f>
        <v>#DIV/0!</v>
      </c>
      <c r="P158" s="415" t="e">
        <f>DIST_TOT!P158*COMB_TOT!P158*TAX_TOT!P158/FRO_TOT!P158</f>
        <v>#DIV/0!</v>
      </c>
      <c r="Q158" s="415" t="e">
        <f>DIST_TOT!Q158*COMB_TOT!Q158*TAX_TOT!Q158/FRO_TOT!Q158</f>
        <v>#DIV/0!</v>
      </c>
      <c r="R158" s="421">
        <f>DIST_TOT!R158*COMB_TOT!R158*TAX_TOT!R158/FRO_TOT!R158</f>
        <v>0</v>
      </c>
      <c r="T158" s="692" t="s">
        <v>46</v>
      </c>
      <c r="U158" s="698" t="e">
        <f>SUMPRODUCT(B158:R158,FRO_TOT!B158:R158)/SUM(FRO_TOT!B158:R158)</f>
        <v>#DIV/0!</v>
      </c>
      <c r="V158" s="1">
        <v>0.14226540024212353</v>
      </c>
      <c r="W158" s="1">
        <f t="shared" ref="W158:W189" si="0">V158*100000</f>
        <v>14226.540024212352</v>
      </c>
    </row>
    <row r="159" spans="1:23">
      <c r="A159" s="130" t="s">
        <v>13</v>
      </c>
      <c r="B159" s="422" t="e">
        <f>DIST_TOT!B159*COMB_TOT!B159*TAX_TOT!B159/FRO_TOT!B159</f>
        <v>#DIV/0!</v>
      </c>
      <c r="C159" s="416" t="e">
        <f>DIST_TOT!C159*COMB_TOT!C159*TAX_TOT!C159/FRO_TOT!C159</f>
        <v>#DIV/0!</v>
      </c>
      <c r="D159" s="416" t="e">
        <f>DIST_TOT!D159*COMB_TOT!D159*TAX_TOT!D159/FRO_TOT!D159</f>
        <v>#DIV/0!</v>
      </c>
      <c r="E159" s="416" t="e">
        <f>DIST_TOT!E159*COMB_TOT!E159*TAX_TOT!E159/FRO_TOT!E159</f>
        <v>#DIV/0!</v>
      </c>
      <c r="F159" s="416" t="e">
        <f>DIST_TOT!F159*COMB_TOT!F159*TAX_TOT!F159/FRO_TOT!F159</f>
        <v>#DIV/0!</v>
      </c>
      <c r="G159" s="416" t="e">
        <f>DIST_TOT!G159*COMB_TOT!G159*TAX_TOT!G159/FRO_TOT!G159</f>
        <v>#DIV/0!</v>
      </c>
      <c r="H159" s="416" t="e">
        <f>DIST_TOT!H159*COMB_TOT!H159*TAX_TOT!H159/FRO_TOT!H159</f>
        <v>#VALUE!</v>
      </c>
      <c r="I159" s="416" t="e">
        <f>DIST_TOT!I159*COMB_TOT!I159*TAX_TOT!I159/FRO_TOT!I159</f>
        <v>#DIV/0!</v>
      </c>
      <c r="J159" s="416" t="e">
        <f>DIST_TOT!J159*COMB_TOT!J159*TAX_TOT!J159/FRO_TOT!J159</f>
        <v>#DIV/0!</v>
      </c>
      <c r="K159" s="416" t="e">
        <f>DIST_TOT!K159*COMB_TOT!K159*TAX_TOT!K159/FRO_TOT!K159</f>
        <v>#DIV/0!</v>
      </c>
      <c r="L159" s="416" t="e">
        <f>DIST_TOT!L159*COMB_TOT!L159*TAX_TOT!L159/FRO_TOT!L159</f>
        <v>#DIV/0!</v>
      </c>
      <c r="M159" s="416" t="e">
        <f>DIST_TOT!M159*COMB_TOT!M159*TAX_TOT!M159/FRO_TOT!M159</f>
        <v>#DIV/0!</v>
      </c>
      <c r="N159" s="416" t="e">
        <f>DIST_TOT!N159*COMB_TOT!N159*TAX_TOT!N159/FRO_TOT!N159</f>
        <v>#DIV/0!</v>
      </c>
      <c r="O159" s="416" t="e">
        <f>DIST_TOT!O159*COMB_TOT!O159*TAX_TOT!O159/FRO_TOT!O159</f>
        <v>#DIV/0!</v>
      </c>
      <c r="P159" s="416" t="e">
        <f>DIST_TOT!P159*COMB_TOT!P159*TAX_TOT!P159/FRO_TOT!P159</f>
        <v>#DIV/0!</v>
      </c>
      <c r="Q159" s="416" t="e">
        <f>DIST_TOT!Q159*COMB_TOT!Q159*TAX_TOT!Q159/FRO_TOT!Q159</f>
        <v>#DIV/0!</v>
      </c>
      <c r="R159" s="423">
        <v>0</v>
      </c>
      <c r="T159" s="190" t="s">
        <v>13</v>
      </c>
      <c r="U159" s="699" t="e">
        <f>SUMPRODUCT(B159:R159,FRO_TOT!B159:R159)/SUM(FRO_TOT!B159:R159)</f>
        <v>#DIV/0!</v>
      </c>
      <c r="V159" s="1">
        <v>0.16116505139889395</v>
      </c>
      <c r="W159" s="1">
        <f t="shared" si="0"/>
        <v>16116.505139889396</v>
      </c>
    </row>
    <row r="160" spans="1:23">
      <c r="A160" s="130" t="s">
        <v>14</v>
      </c>
      <c r="B160" s="422" t="e">
        <f>DIST_TOT!B160*COMB_TOT!B160*TAX_TOT!B160/FRO_TOT!B160</f>
        <v>#DIV/0!</v>
      </c>
      <c r="C160" s="416" t="e">
        <f>DIST_TOT!C160*COMB_TOT!C160*TAX_TOT!C160/FRO_TOT!C160</f>
        <v>#DIV/0!</v>
      </c>
      <c r="D160" s="416" t="e">
        <f>DIST_TOT!D160*COMB_TOT!D160*TAX_TOT!D160/FRO_TOT!D160</f>
        <v>#DIV/0!</v>
      </c>
      <c r="E160" s="416" t="e">
        <f>DIST_TOT!E160*COMB_TOT!E160*TAX_TOT!E160/FRO_TOT!E160</f>
        <v>#DIV/0!</v>
      </c>
      <c r="F160" s="416" t="e">
        <f>DIST_TOT!F160*COMB_TOT!F160*TAX_TOT!F160/FRO_TOT!F160</f>
        <v>#DIV/0!</v>
      </c>
      <c r="G160" s="416" t="e">
        <f>DIST_TOT!G160*COMB_TOT!G160*TAX_TOT!G160/FRO_TOT!G160</f>
        <v>#DIV/0!</v>
      </c>
      <c r="H160" s="416" t="e">
        <f>DIST_TOT!H160*COMB_TOT!H160*TAX_TOT!H160/FRO_TOT!H160</f>
        <v>#DIV/0!</v>
      </c>
      <c r="I160" s="416" t="e">
        <f>DIST_TOT!I160*COMB_TOT!I160*TAX_TOT!I160/FRO_TOT!I160</f>
        <v>#DIV/0!</v>
      </c>
      <c r="J160" s="416" t="e">
        <f>DIST_TOT!J160*COMB_TOT!J160*TAX_TOT!J160/FRO_TOT!J160</f>
        <v>#DIV/0!</v>
      </c>
      <c r="K160" s="416" t="e">
        <f>DIST_TOT!K160*COMB_TOT!K160*TAX_TOT!K160/FRO_TOT!K160</f>
        <v>#DIV/0!</v>
      </c>
      <c r="L160" s="416" t="e">
        <f>DIST_TOT!L160*COMB_TOT!L160*TAX_TOT!L160/FRO_TOT!L160</f>
        <v>#DIV/0!</v>
      </c>
      <c r="M160" s="416" t="e">
        <f>DIST_TOT!M160*COMB_TOT!M160*TAX_TOT!M160/FRO_TOT!M160</f>
        <v>#DIV/0!</v>
      </c>
      <c r="N160" s="416" t="e">
        <f>DIST_TOT!N160*COMB_TOT!N160*TAX_TOT!N160/FRO_TOT!N160</f>
        <v>#DIV/0!</v>
      </c>
      <c r="O160" s="416" t="e">
        <f>DIST_TOT!O160*COMB_TOT!O160*TAX_TOT!O160/FRO_TOT!O160</f>
        <v>#DIV/0!</v>
      </c>
      <c r="P160" s="416" t="e">
        <f>DIST_TOT!P160*COMB_TOT!P160*TAX_TOT!P160/FRO_TOT!P160</f>
        <v>#DIV/0!</v>
      </c>
      <c r="Q160" s="416" t="e">
        <f>DIST_TOT!Q160*COMB_TOT!Q160*TAX_TOT!Q160/FRO_TOT!Q160</f>
        <v>#DIV/0!</v>
      </c>
      <c r="R160" s="423">
        <v>0</v>
      </c>
      <c r="T160" s="130" t="s">
        <v>14</v>
      </c>
      <c r="U160" s="700" t="e">
        <f>SUMPRODUCT(B160:R160,FRO_TOT!B160:R160)/SUM(FRO_TOT!B160:R160)</f>
        <v>#DIV/0!</v>
      </c>
      <c r="V160" s="1">
        <v>0.1397733722136329</v>
      </c>
      <c r="W160" s="1">
        <f t="shared" si="0"/>
        <v>13977.33722136329</v>
      </c>
    </row>
    <row r="161" spans="1:23">
      <c r="A161" s="130" t="s">
        <v>15</v>
      </c>
      <c r="B161" s="422" t="e">
        <f>DIST_TOT!B161*COMB_TOT!B161*TAX_TOT!B161/FRO_TOT!B161</f>
        <v>#DIV/0!</v>
      </c>
      <c r="C161" s="416" t="e">
        <f>DIST_TOT!C161*COMB_TOT!C161*TAX_TOT!C161/FRO_TOT!C161</f>
        <v>#DIV/0!</v>
      </c>
      <c r="D161" s="416" t="e">
        <f>DIST_TOT!D161*COMB_TOT!D161*TAX_TOT!D161/FRO_TOT!D161</f>
        <v>#DIV/0!</v>
      </c>
      <c r="E161" s="416" t="e">
        <f>DIST_TOT!E161*COMB_TOT!E161*TAX_TOT!E161/FRO_TOT!E161</f>
        <v>#DIV/0!</v>
      </c>
      <c r="F161" s="416" t="e">
        <f>DIST_TOT!F161*COMB_TOT!F161*TAX_TOT!F161/FRO_TOT!F161</f>
        <v>#DIV/0!</v>
      </c>
      <c r="G161" s="416" t="e">
        <f>DIST_TOT!G161*COMB_TOT!G161*TAX_TOT!G161/FRO_TOT!G161</f>
        <v>#DIV/0!</v>
      </c>
      <c r="H161" s="416" t="e">
        <f>DIST_TOT!H161*COMB_TOT!H161*TAX_TOT!H161/FRO_TOT!H161</f>
        <v>#DIV/0!</v>
      </c>
      <c r="I161" s="416" t="e">
        <f>DIST_TOT!I161*COMB_TOT!I161*TAX_TOT!I161/FRO_TOT!I161</f>
        <v>#DIV/0!</v>
      </c>
      <c r="J161" s="416" t="e">
        <f>DIST_TOT!J161*COMB_TOT!J161*TAX_TOT!J161/FRO_TOT!J161</f>
        <v>#DIV/0!</v>
      </c>
      <c r="K161" s="416" t="e">
        <f>DIST_TOT!K161*COMB_TOT!K161*TAX_TOT!K161/FRO_TOT!K161</f>
        <v>#DIV/0!</v>
      </c>
      <c r="L161" s="416" t="e">
        <f>DIST_TOT!L161*COMB_TOT!L161*TAX_TOT!L161/FRO_TOT!L161</f>
        <v>#DIV/0!</v>
      </c>
      <c r="M161" s="416" t="e">
        <f>DIST_TOT!M161*COMB_TOT!M161*TAX_TOT!M161/FRO_TOT!M161</f>
        <v>#DIV/0!</v>
      </c>
      <c r="N161" s="416" t="e">
        <f>DIST_TOT!N161*COMB_TOT!N161*TAX_TOT!N161/FRO_TOT!N161</f>
        <v>#DIV/0!</v>
      </c>
      <c r="O161" s="416" t="e">
        <f>DIST_TOT!O161*COMB_TOT!O161*TAX_TOT!O161/FRO_TOT!O161</f>
        <v>#DIV/0!</v>
      </c>
      <c r="P161" s="416" t="e">
        <f>DIST_TOT!P161*COMB_TOT!P161*TAX_TOT!P161/FRO_TOT!P161</f>
        <v>#DIV/0!</v>
      </c>
      <c r="Q161" s="416" t="e">
        <f>DIST_TOT!Q161*COMB_TOT!Q161*TAX_TOT!Q161/FRO_TOT!Q161</f>
        <v>#DIV/0!</v>
      </c>
      <c r="R161" s="423">
        <f>DIST_TOT!R161*COMB_TOT!R161*TAX_TOT!R161/FRO_TOT!R161</f>
        <v>0</v>
      </c>
      <c r="T161" s="130" t="s">
        <v>15</v>
      </c>
      <c r="U161" s="700" t="e">
        <f>SUMPRODUCT(B161:R161,FRO_TOT!B161:R161)/SUM(FRO_TOT!B161:R161)</f>
        <v>#DIV/0!</v>
      </c>
      <c r="V161" s="1">
        <v>0.12444239854227475</v>
      </c>
      <c r="W161" s="1">
        <f t="shared" si="0"/>
        <v>12444.239854227475</v>
      </c>
    </row>
    <row r="162" spans="1:23">
      <c r="A162" s="130" t="s">
        <v>16</v>
      </c>
      <c r="B162" s="422" t="e">
        <f>DIST_TOT!B162*COMB_TOT!B162*TAX_TOT!B162/FRO_TOT!B162</f>
        <v>#DIV/0!</v>
      </c>
      <c r="C162" s="416" t="e">
        <f>DIST_TOT!C162*COMB_TOT!C162*TAX_TOT!C162/FRO_TOT!C162</f>
        <v>#DIV/0!</v>
      </c>
      <c r="D162" s="416" t="e">
        <f>DIST_TOT!D162*COMB_TOT!D162*TAX_TOT!D162/FRO_TOT!D162</f>
        <v>#DIV/0!</v>
      </c>
      <c r="E162" s="416" t="e">
        <f>DIST_TOT!E162*COMB_TOT!E162*TAX_TOT!E162/FRO_TOT!E162</f>
        <v>#DIV/0!</v>
      </c>
      <c r="F162" s="416" t="e">
        <f>DIST_TOT!F162*COMB_TOT!F162*TAX_TOT!F162/FRO_TOT!F162</f>
        <v>#DIV/0!</v>
      </c>
      <c r="G162" s="416" t="e">
        <f>DIST_TOT!G162*COMB_TOT!G162*TAX_TOT!G162/FRO_TOT!G162</f>
        <v>#DIV/0!</v>
      </c>
      <c r="H162" s="416" t="e">
        <f>DIST_TOT!H162*COMB_TOT!H162*TAX_TOT!H162/FRO_TOT!H162</f>
        <v>#DIV/0!</v>
      </c>
      <c r="I162" s="416" t="e">
        <f>DIST_TOT!I162*COMB_TOT!I162*TAX_TOT!I162/FRO_TOT!I162</f>
        <v>#DIV/0!</v>
      </c>
      <c r="J162" s="416" t="e">
        <f>DIST_TOT!J162*COMB_TOT!J162*TAX_TOT!J162/FRO_TOT!J162</f>
        <v>#DIV/0!</v>
      </c>
      <c r="K162" s="416" t="e">
        <f>DIST_TOT!K162*COMB_TOT!K162*TAX_TOT!K162/FRO_TOT!K162</f>
        <v>#DIV/0!</v>
      </c>
      <c r="L162" s="416" t="e">
        <f>DIST_TOT!L162*COMB_TOT!L162*TAX_TOT!L162/FRO_TOT!L162</f>
        <v>#DIV/0!</v>
      </c>
      <c r="M162" s="416" t="e">
        <f>DIST_TOT!M162*COMB_TOT!M162*TAX_TOT!M162/FRO_TOT!M162</f>
        <v>#DIV/0!</v>
      </c>
      <c r="N162" s="416" t="e">
        <f>DIST_TOT!N162*COMB_TOT!N162*TAX_TOT!N162/FRO_TOT!N162</f>
        <v>#DIV/0!</v>
      </c>
      <c r="O162" s="416" t="e">
        <f>DIST_TOT!O162*COMB_TOT!O162*TAX_TOT!O162/FRO_TOT!O162</f>
        <v>#DIV/0!</v>
      </c>
      <c r="P162" s="416" t="e">
        <f>DIST_TOT!P162*COMB_TOT!P162*TAX_TOT!P162/FRO_TOT!P162</f>
        <v>#DIV/0!</v>
      </c>
      <c r="Q162" s="416" t="e">
        <f>DIST_TOT!Q162*COMB_TOT!Q162*TAX_TOT!Q162/FRO_TOT!Q162</f>
        <v>#DIV/0!</v>
      </c>
      <c r="R162" s="423">
        <v>0</v>
      </c>
      <c r="T162" s="130" t="s">
        <v>16</v>
      </c>
      <c r="U162" s="700" t="e">
        <f>SUMPRODUCT(B162:R162,FRO_TOT!B162:R162)/SUM(FRO_TOT!B162:R162)</f>
        <v>#DIV/0!</v>
      </c>
      <c r="V162" s="1">
        <v>9.8650507485290223E-2</v>
      </c>
      <c r="W162" s="1">
        <f t="shared" si="0"/>
        <v>9865.0507485290218</v>
      </c>
    </row>
    <row r="163" spans="1:23">
      <c r="A163" s="130" t="s">
        <v>17</v>
      </c>
      <c r="B163" s="422" t="e">
        <f>DIST_TOT!B163*COMB_TOT!B163*TAX_TOT!B163/FRO_TOT!B163</f>
        <v>#DIV/0!</v>
      </c>
      <c r="C163" s="416" t="e">
        <f>DIST_TOT!C163*COMB_TOT!C163*TAX_TOT!C163/FRO_TOT!C163</f>
        <v>#DIV/0!</v>
      </c>
      <c r="D163" s="416" t="e">
        <f>DIST_TOT!D163*COMB_TOT!D163*TAX_TOT!D163/FRO_TOT!D163</f>
        <v>#DIV/0!</v>
      </c>
      <c r="E163" s="416" t="e">
        <f>DIST_TOT!E163*COMB_TOT!E163*TAX_TOT!E163/FRO_TOT!E163</f>
        <v>#DIV/0!</v>
      </c>
      <c r="F163" s="416" t="e">
        <f>DIST_TOT!F163*COMB_TOT!F163*TAX_TOT!F163/FRO_TOT!F163</f>
        <v>#DIV/0!</v>
      </c>
      <c r="G163" s="416" t="e">
        <f>DIST_TOT!G163*COMB_TOT!G163*TAX_TOT!G163/FRO_TOT!G163</f>
        <v>#DIV/0!</v>
      </c>
      <c r="H163" s="416" t="e">
        <f>DIST_TOT!H163*COMB_TOT!H163*TAX_TOT!H163/FRO_TOT!H163</f>
        <v>#DIV/0!</v>
      </c>
      <c r="I163" s="416" t="e">
        <f>DIST_TOT!I163*COMB_TOT!I163*TAX_TOT!I163/FRO_TOT!I163</f>
        <v>#DIV/0!</v>
      </c>
      <c r="J163" s="416" t="e">
        <f>DIST_TOT!J163*COMB_TOT!J163*TAX_TOT!J163/FRO_TOT!J163</f>
        <v>#DIV/0!</v>
      </c>
      <c r="K163" s="416" t="e">
        <f>DIST_TOT!K163*COMB_TOT!K163*TAX_TOT!K163/FRO_TOT!K163</f>
        <v>#DIV/0!</v>
      </c>
      <c r="L163" s="416" t="e">
        <f>DIST_TOT!L163*COMB_TOT!L163*TAX_TOT!L163/FRO_TOT!L163</f>
        <v>#DIV/0!</v>
      </c>
      <c r="M163" s="416" t="e">
        <f>DIST_TOT!M163*COMB_TOT!M163*TAX_TOT!M163/FRO_TOT!M163</f>
        <v>#DIV/0!</v>
      </c>
      <c r="N163" s="416" t="e">
        <f>DIST_TOT!N163*COMB_TOT!N163*TAX_TOT!N163/FRO_TOT!N163</f>
        <v>#DIV/0!</v>
      </c>
      <c r="O163" s="416" t="e">
        <f>DIST_TOT!O163*COMB_TOT!O163*TAX_TOT!O163/FRO_TOT!O163</f>
        <v>#DIV/0!</v>
      </c>
      <c r="P163" s="416" t="e">
        <f>DIST_TOT!P163*COMB_TOT!P163*TAX_TOT!P163/FRO_TOT!P163</f>
        <v>#DIV/0!</v>
      </c>
      <c r="Q163" s="416" t="e">
        <f>DIST_TOT!Q163*COMB_TOT!Q163*TAX_TOT!Q163/FRO_TOT!Q163</f>
        <v>#DIV/0!</v>
      </c>
      <c r="R163" s="423">
        <v>0</v>
      </c>
      <c r="T163" s="130" t="s">
        <v>17</v>
      </c>
      <c r="U163" s="700" t="e">
        <f>SUMPRODUCT(B163:R163,FRO_TOT!B163:R163)/SUM(FRO_TOT!B163:R163)</f>
        <v>#DIV/0!</v>
      </c>
      <c r="V163" s="1">
        <v>0.27988920476229373</v>
      </c>
      <c r="W163" s="1">
        <f t="shared" si="0"/>
        <v>27988.920476229374</v>
      </c>
    </row>
    <row r="164" spans="1:23">
      <c r="A164" s="130" t="s">
        <v>18</v>
      </c>
      <c r="B164" s="422" t="e">
        <f>DIST_TOT!B164*COMB_TOT!B164*TAX_TOT!B164/FRO_TOT!B164</f>
        <v>#DIV/0!</v>
      </c>
      <c r="C164" s="416" t="e">
        <f>DIST_TOT!C164*COMB_TOT!C164*TAX_TOT!C164/FRO_TOT!C164</f>
        <v>#DIV/0!</v>
      </c>
      <c r="D164" s="416" t="e">
        <f>DIST_TOT!D164*COMB_TOT!D164*TAX_TOT!D164/FRO_TOT!D164</f>
        <v>#DIV/0!</v>
      </c>
      <c r="E164" s="416" t="e">
        <f>DIST_TOT!E164*COMB_TOT!E164*TAX_TOT!E164/FRO_TOT!E164</f>
        <v>#DIV/0!</v>
      </c>
      <c r="F164" s="416" t="e">
        <f>DIST_TOT!F164*COMB_TOT!F164*TAX_TOT!F164/FRO_TOT!F164</f>
        <v>#DIV/0!</v>
      </c>
      <c r="G164" s="416" t="e">
        <f>DIST_TOT!G164*COMB_TOT!G164*TAX_TOT!G164/FRO_TOT!G164</f>
        <v>#DIV/0!</v>
      </c>
      <c r="H164" s="416" t="e">
        <f>DIST_TOT!H164*COMB_TOT!H164*TAX_TOT!H164/FRO_TOT!H164</f>
        <v>#DIV/0!</v>
      </c>
      <c r="I164" s="416" t="e">
        <f>DIST_TOT!I164*COMB_TOT!I164*TAX_TOT!I164/FRO_TOT!I164</f>
        <v>#DIV/0!</v>
      </c>
      <c r="J164" s="416" t="e">
        <f>DIST_TOT!J164*COMB_TOT!J164*TAX_TOT!J164/FRO_TOT!J164</f>
        <v>#DIV/0!</v>
      </c>
      <c r="K164" s="416" t="e">
        <f>DIST_TOT!K164*COMB_TOT!K164*TAX_TOT!K164/FRO_TOT!K164</f>
        <v>#DIV/0!</v>
      </c>
      <c r="L164" s="416" t="e">
        <f>DIST_TOT!L164*COMB_TOT!L164*TAX_TOT!L164/FRO_TOT!L164</f>
        <v>#DIV/0!</v>
      </c>
      <c r="M164" s="416" t="e">
        <f>DIST_TOT!M164*COMB_TOT!M164*TAX_TOT!M164/FRO_TOT!M164</f>
        <v>#DIV/0!</v>
      </c>
      <c r="N164" s="416" t="e">
        <f>DIST_TOT!N164*COMB_TOT!N164*TAX_TOT!N164/FRO_TOT!N164</f>
        <v>#DIV/0!</v>
      </c>
      <c r="O164" s="416" t="e">
        <f>DIST_TOT!O164*COMB_TOT!O164*TAX_TOT!O164/FRO_TOT!O164</f>
        <v>#DIV/0!</v>
      </c>
      <c r="P164" s="416" t="e">
        <f>DIST_TOT!P164*COMB_TOT!P164*TAX_TOT!P164/FRO_TOT!P164</f>
        <v>#DIV/0!</v>
      </c>
      <c r="Q164" s="416" t="e">
        <f>DIST_TOT!Q164*COMB_TOT!Q164*TAX_TOT!Q164/FRO_TOT!Q164</f>
        <v>#DIV/0!</v>
      </c>
      <c r="R164" s="423">
        <v>0</v>
      </c>
      <c r="T164" s="130" t="s">
        <v>18</v>
      </c>
      <c r="U164" s="700" t="e">
        <f>SUMPRODUCT(B164:R164,FRO_TOT!B164:R164)/SUM(FRO_TOT!B164:R164)</f>
        <v>#DIV/0!</v>
      </c>
      <c r="V164" s="1">
        <v>0.23286811714629721</v>
      </c>
      <c r="W164" s="1">
        <f t="shared" si="0"/>
        <v>23286.811714629723</v>
      </c>
    </row>
    <row r="165" spans="1:23" ht="15.75" thickBot="1">
      <c r="A165" s="131" t="s">
        <v>19</v>
      </c>
      <c r="B165" s="422" t="e">
        <f>DIST_TOT!B165*COMB_TOT!B165*TAX_TOT!B165/FRO_TOT!B165</f>
        <v>#DIV/0!</v>
      </c>
      <c r="C165" s="416" t="e">
        <f>DIST_TOT!C165*COMB_TOT!C165*TAX_TOT!C165/FRO_TOT!C165</f>
        <v>#DIV/0!</v>
      </c>
      <c r="D165" s="416" t="e">
        <f>DIST_TOT!D165*COMB_TOT!D165*TAX_TOT!D165/FRO_TOT!D165</f>
        <v>#DIV/0!</v>
      </c>
      <c r="E165" s="416" t="e">
        <f>DIST_TOT!E165*COMB_TOT!E165*TAX_TOT!E165/FRO_TOT!E165</f>
        <v>#DIV/0!</v>
      </c>
      <c r="F165" s="416" t="e">
        <f>DIST_TOT!F165*COMB_TOT!F165*TAX_TOT!F165/FRO_TOT!F165</f>
        <v>#DIV/0!</v>
      </c>
      <c r="G165" s="416" t="e">
        <f>DIST_TOT!G165*COMB_TOT!G165*TAX_TOT!G165/FRO_TOT!G165</f>
        <v>#DIV/0!</v>
      </c>
      <c r="H165" s="416" t="e">
        <f>DIST_TOT!H165*COMB_TOT!H165*TAX_TOT!H165/FRO_TOT!H165</f>
        <v>#DIV/0!</v>
      </c>
      <c r="I165" s="416" t="e">
        <f>DIST_TOT!I165*COMB_TOT!I165*TAX_TOT!I165/FRO_TOT!I165</f>
        <v>#DIV/0!</v>
      </c>
      <c r="J165" s="416" t="e">
        <f>DIST_TOT!J165*COMB_TOT!J165*TAX_TOT!J165/FRO_TOT!J165</f>
        <v>#DIV/0!</v>
      </c>
      <c r="K165" s="416" t="e">
        <f>DIST_TOT!K165*COMB_TOT!K165*TAX_TOT!K165/FRO_TOT!K165</f>
        <v>#DIV/0!</v>
      </c>
      <c r="L165" s="416" t="e">
        <f>DIST_TOT!L165*COMB_TOT!L165*TAX_TOT!L165/FRO_TOT!L165</f>
        <v>#DIV/0!</v>
      </c>
      <c r="M165" s="416" t="e">
        <f>DIST_TOT!M165*COMB_TOT!M165*TAX_TOT!M165/FRO_TOT!M165</f>
        <v>#DIV/0!</v>
      </c>
      <c r="N165" s="416" t="e">
        <f>DIST_TOT!N165*COMB_TOT!N165*TAX_TOT!N165/FRO_TOT!N165</f>
        <v>#DIV/0!</v>
      </c>
      <c r="O165" s="416" t="e">
        <f>DIST_TOT!O165*COMB_TOT!O165*TAX_TOT!O165/FRO_TOT!O165</f>
        <v>#DIV/0!</v>
      </c>
      <c r="P165" s="416" t="e">
        <f>DIST_TOT!P165*COMB_TOT!P165*TAX_TOT!P165/FRO_TOT!P165</f>
        <v>#DIV/0!</v>
      </c>
      <c r="Q165" s="416" t="e">
        <f>DIST_TOT!Q165*COMB_TOT!Q165*TAX_TOT!Q165/FRO_TOT!Q165</f>
        <v>#DIV/0!</v>
      </c>
      <c r="R165" s="423">
        <v>0</v>
      </c>
      <c r="T165" s="210" t="s">
        <v>19</v>
      </c>
      <c r="U165" s="701" t="e">
        <f>SUMPRODUCT(B165:R165,FRO_TOT!B165:R165)/SUM(FRO_TOT!B165:R165)</f>
        <v>#DIV/0!</v>
      </c>
      <c r="V165" s="1">
        <v>0.23957035834968751</v>
      </c>
      <c r="W165" s="1">
        <f t="shared" si="0"/>
        <v>23957.035834968752</v>
      </c>
    </row>
    <row r="166" spans="1:23" ht="15.75" thickBot="1">
      <c r="A166" s="324" t="s">
        <v>54</v>
      </c>
      <c r="B166" s="420" t="e">
        <f>DIST_TOT!B166*COMB_TOT!B166*TAX_TOT!B166/FRO_TOT!B166</f>
        <v>#DIV/0!</v>
      </c>
      <c r="C166" s="415" t="e">
        <f>DIST_TOT!C166*COMB_TOT!C166*TAX_TOT!C166/FRO_TOT!C166</f>
        <v>#DIV/0!</v>
      </c>
      <c r="D166" s="415" t="e">
        <f>DIST_TOT!D166*COMB_TOT!D166*TAX_TOT!D166/FRO_TOT!D166</f>
        <v>#DIV/0!</v>
      </c>
      <c r="E166" s="415" t="e">
        <f>DIST_TOT!E166*COMB_TOT!E166*TAX_TOT!E166/FRO_TOT!E166</f>
        <v>#DIV/0!</v>
      </c>
      <c r="F166" s="415" t="e">
        <f>DIST_TOT!F166*COMB_TOT!F166*TAX_TOT!F166/FRO_TOT!F166</f>
        <v>#DIV/0!</v>
      </c>
      <c r="G166" s="415" t="e">
        <f>DIST_TOT!G166*COMB_TOT!G166*TAX_TOT!G166/FRO_TOT!G166</f>
        <v>#DIV/0!</v>
      </c>
      <c r="H166" s="415" t="e">
        <f>DIST_TOT!H166*COMB_TOT!H166*TAX_TOT!H166/FRO_TOT!H166</f>
        <v>#DIV/0!</v>
      </c>
      <c r="I166" s="415" t="e">
        <f>DIST_TOT!I166*COMB_TOT!I166*TAX_TOT!I166/FRO_TOT!I166</f>
        <v>#DIV/0!</v>
      </c>
      <c r="J166" s="415" t="e">
        <f>DIST_TOT!J166*COMB_TOT!J166*TAX_TOT!J166/FRO_TOT!J166</f>
        <v>#DIV/0!</v>
      </c>
      <c r="K166" s="415" t="e">
        <f>DIST_TOT!K166*COMB_TOT!K166*TAX_TOT!K166/FRO_TOT!K166</f>
        <v>#DIV/0!</v>
      </c>
      <c r="L166" s="415" t="e">
        <f>DIST_TOT!L166*COMB_TOT!L166*TAX_TOT!L166/FRO_TOT!L166</f>
        <v>#DIV/0!</v>
      </c>
      <c r="M166" s="415" t="e">
        <f>DIST_TOT!M166*COMB_TOT!M166*TAX_TOT!M166/FRO_TOT!M166</f>
        <v>#DIV/0!</v>
      </c>
      <c r="N166" s="415" t="e">
        <f>DIST_TOT!N166*COMB_TOT!N166*TAX_TOT!N166/FRO_TOT!N166</f>
        <v>#DIV/0!</v>
      </c>
      <c r="O166" s="415" t="e">
        <f>DIST_TOT!O166*COMB_TOT!O166*TAX_TOT!O166/FRO_TOT!O166</f>
        <v>#DIV/0!</v>
      </c>
      <c r="P166" s="415" t="e">
        <f>DIST_TOT!P166*COMB_TOT!P166*TAX_TOT!P166/FRO_TOT!P166</f>
        <v>#DIV/0!</v>
      </c>
      <c r="Q166" s="415" t="e">
        <f>DIST_TOT!Q166*COMB_TOT!Q166*TAX_TOT!Q166/FRO_TOT!Q166</f>
        <v>#DIV/0!</v>
      </c>
      <c r="R166" s="421">
        <f>DIST_TOT!R166*COMB_TOT!R166*TAX_TOT!R166/FRO_TOT!R166</f>
        <v>0</v>
      </c>
      <c r="T166" s="268" t="s">
        <v>54</v>
      </c>
      <c r="U166" s="697" t="e">
        <f>SUMPRODUCT(B166:R166,FRO_TOT!B166:R166)/SUM(FRO_TOT!B166:R166)</f>
        <v>#DIV/0!</v>
      </c>
      <c r="V166" s="1">
        <v>0.13590193989097338</v>
      </c>
      <c r="W166" s="1">
        <f t="shared" si="0"/>
        <v>13590.193989097337</v>
      </c>
    </row>
    <row r="167" spans="1:23">
      <c r="A167" s="130" t="s">
        <v>21</v>
      </c>
      <c r="B167" s="422" t="e">
        <f>DIST_TOT!B167*COMB_TOT!B167*TAX_TOT!B167/FRO_TOT!B167</f>
        <v>#DIV/0!</v>
      </c>
      <c r="C167" s="416" t="e">
        <f>DIST_TOT!C167*COMB_TOT!C167*TAX_TOT!C167/FRO_TOT!C167</f>
        <v>#DIV/0!</v>
      </c>
      <c r="D167" s="416" t="e">
        <f>DIST_TOT!D167*COMB_TOT!D167*TAX_TOT!D167/FRO_TOT!D167</f>
        <v>#DIV/0!</v>
      </c>
      <c r="E167" s="416" t="e">
        <f>DIST_TOT!E167*COMB_TOT!E167*TAX_TOT!E167/FRO_TOT!E167</f>
        <v>#DIV/0!</v>
      </c>
      <c r="F167" s="416" t="e">
        <f>DIST_TOT!F167*COMB_TOT!F167*TAX_TOT!F167/FRO_TOT!F167</f>
        <v>#DIV/0!</v>
      </c>
      <c r="G167" s="416" t="e">
        <f>DIST_TOT!G167*COMB_TOT!G167*TAX_TOT!G167/FRO_TOT!G167</f>
        <v>#DIV/0!</v>
      </c>
      <c r="H167" s="416" t="e">
        <f>DIST_TOT!H167*COMB_TOT!H167*TAX_TOT!H167/FRO_TOT!H167</f>
        <v>#DIV/0!</v>
      </c>
      <c r="I167" s="416" t="e">
        <f>DIST_TOT!I167*COMB_TOT!I167*TAX_TOT!I167/FRO_TOT!I167</f>
        <v>#DIV/0!</v>
      </c>
      <c r="J167" s="416" t="e">
        <f>DIST_TOT!J167*COMB_TOT!J167*TAX_TOT!J167/FRO_TOT!J167</f>
        <v>#DIV/0!</v>
      </c>
      <c r="K167" s="416" t="e">
        <f>DIST_TOT!K167*COMB_TOT!K167*TAX_TOT!K167/FRO_TOT!K167</f>
        <v>#DIV/0!</v>
      </c>
      <c r="L167" s="416" t="e">
        <f>DIST_TOT!L167*COMB_TOT!L167*TAX_TOT!L167/FRO_TOT!L167</f>
        <v>#DIV/0!</v>
      </c>
      <c r="M167" s="416" t="e">
        <f>DIST_TOT!M167*COMB_TOT!M167*TAX_TOT!M167/FRO_TOT!M167</f>
        <v>#DIV/0!</v>
      </c>
      <c r="N167" s="416" t="e">
        <f>DIST_TOT!N167*COMB_TOT!N167*TAX_TOT!N167/FRO_TOT!N167</f>
        <v>#DIV/0!</v>
      </c>
      <c r="O167" s="416" t="e">
        <f>DIST_TOT!O167*COMB_TOT!O167*TAX_TOT!O167/FRO_TOT!O167</f>
        <v>#DIV/0!</v>
      </c>
      <c r="P167" s="416" t="e">
        <f>DIST_TOT!P167*COMB_TOT!P167*TAX_TOT!P167/FRO_TOT!P167</f>
        <v>#DIV/0!</v>
      </c>
      <c r="Q167" s="416" t="e">
        <f>DIST_TOT!Q167*COMB_TOT!Q167*TAX_TOT!Q167/FRO_TOT!Q167</f>
        <v>#DIV/0!</v>
      </c>
      <c r="R167" s="423">
        <f>DIST_TOT!R167*COMB_TOT!R167*TAX_TOT!R167/FRO_TOT!R167</f>
        <v>0</v>
      </c>
      <c r="T167" s="190" t="s">
        <v>21</v>
      </c>
      <c r="U167" s="699" t="e">
        <f>SUMPRODUCT(B167:R167,FRO_TOT!B167:R167)/SUM(FRO_TOT!B167:R167)</f>
        <v>#DIV/0!</v>
      </c>
      <c r="V167" s="1">
        <v>0.10729396778380058</v>
      </c>
      <c r="W167" s="1">
        <f t="shared" si="0"/>
        <v>10729.396778380058</v>
      </c>
    </row>
    <row r="168" spans="1:23">
      <c r="A168" s="130" t="s">
        <v>22</v>
      </c>
      <c r="B168" s="422" t="e">
        <f>DIST_TOT!B168*COMB_TOT!B168*TAX_TOT!B168/FRO_TOT!B168</f>
        <v>#DIV/0!</v>
      </c>
      <c r="C168" s="416" t="e">
        <f>DIST_TOT!C168*COMB_TOT!C168*TAX_TOT!C168/FRO_TOT!C168</f>
        <v>#DIV/0!</v>
      </c>
      <c r="D168" s="416" t="e">
        <f>DIST_TOT!D168*COMB_TOT!D168*TAX_TOT!D168/FRO_TOT!D168</f>
        <v>#DIV/0!</v>
      </c>
      <c r="E168" s="416" t="e">
        <f>DIST_TOT!E168*COMB_TOT!E168*TAX_TOT!E168/FRO_TOT!E168</f>
        <v>#DIV/0!</v>
      </c>
      <c r="F168" s="416" t="e">
        <f>DIST_TOT!F168*COMB_TOT!F168*TAX_TOT!F168/FRO_TOT!F168</f>
        <v>#DIV/0!</v>
      </c>
      <c r="G168" s="416" t="e">
        <f>DIST_TOT!G168*COMB_TOT!G168*TAX_TOT!G168/FRO_TOT!G168</f>
        <v>#DIV/0!</v>
      </c>
      <c r="H168" s="416" t="e">
        <f>DIST_TOT!H168*COMB_TOT!H168*TAX_TOT!H168/FRO_TOT!H168</f>
        <v>#DIV/0!</v>
      </c>
      <c r="I168" s="416" t="e">
        <f>DIST_TOT!I168*COMB_TOT!I168*TAX_TOT!I168/FRO_TOT!I168</f>
        <v>#DIV/0!</v>
      </c>
      <c r="J168" s="416" t="e">
        <f>DIST_TOT!J168*COMB_TOT!J168*TAX_TOT!J168/FRO_TOT!J168</f>
        <v>#DIV/0!</v>
      </c>
      <c r="K168" s="416" t="e">
        <f>DIST_TOT!K168*COMB_TOT!K168*TAX_TOT!K168/FRO_TOT!K168</f>
        <v>#DIV/0!</v>
      </c>
      <c r="L168" s="416" t="e">
        <f>DIST_TOT!L168*COMB_TOT!L168*TAX_TOT!L168/FRO_TOT!L168</f>
        <v>#DIV/0!</v>
      </c>
      <c r="M168" s="416" t="e">
        <f>DIST_TOT!M168*COMB_TOT!M168*TAX_TOT!M168/FRO_TOT!M168</f>
        <v>#DIV/0!</v>
      </c>
      <c r="N168" s="416" t="e">
        <f>DIST_TOT!N168*COMB_TOT!N168*TAX_TOT!N168/FRO_TOT!N168</f>
        <v>#DIV/0!</v>
      </c>
      <c r="O168" s="416" t="e">
        <f>DIST_TOT!O168*COMB_TOT!O168*TAX_TOT!O168/FRO_TOT!O168</f>
        <v>#DIV/0!</v>
      </c>
      <c r="P168" s="416" t="e">
        <f>DIST_TOT!P168*COMB_TOT!P168*TAX_TOT!P168/FRO_TOT!P168</f>
        <v>#DIV/0!</v>
      </c>
      <c r="Q168" s="416" t="e">
        <f>DIST_TOT!Q168*COMB_TOT!Q168*TAX_TOT!Q168/FRO_TOT!Q168</f>
        <v>#DIV/0!</v>
      </c>
      <c r="R168" s="423">
        <f>DIST_TOT!R168*COMB_TOT!R168*TAX_TOT!R168/FRO_TOT!R168</f>
        <v>0</v>
      </c>
      <c r="T168" s="130" t="s">
        <v>22</v>
      </c>
      <c r="U168" s="700" t="e">
        <f>SUMPRODUCT(B168:R168,FRO_TOT!B168:R168)/SUM(FRO_TOT!B168:R168)</f>
        <v>#DIV/0!</v>
      </c>
      <c r="V168" s="1">
        <v>0.1218248483458972</v>
      </c>
      <c r="W168" s="1">
        <f t="shared" si="0"/>
        <v>12182.484834589721</v>
      </c>
    </row>
    <row r="169" spans="1:23">
      <c r="A169" s="130" t="s">
        <v>23</v>
      </c>
      <c r="B169" s="422" t="e">
        <f>DIST_TOT!B169*COMB_TOT!B169*TAX_TOT!B169/FRO_TOT!B169</f>
        <v>#DIV/0!</v>
      </c>
      <c r="C169" s="416" t="e">
        <f>DIST_TOT!C169*COMB_TOT!C169*TAX_TOT!C169/FRO_TOT!C169</f>
        <v>#DIV/0!</v>
      </c>
      <c r="D169" s="416" t="e">
        <f>DIST_TOT!D169*COMB_TOT!D169*TAX_TOT!D169/FRO_TOT!D169</f>
        <v>#DIV/0!</v>
      </c>
      <c r="E169" s="416" t="e">
        <f>DIST_TOT!E169*COMB_TOT!E169*TAX_TOT!E169/FRO_TOT!E169</f>
        <v>#DIV/0!</v>
      </c>
      <c r="F169" s="416" t="e">
        <f>DIST_TOT!F169*COMB_TOT!F169*TAX_TOT!F169/FRO_TOT!F169</f>
        <v>#DIV/0!</v>
      </c>
      <c r="G169" s="416" t="e">
        <f>DIST_TOT!G169*COMB_TOT!G169*TAX_TOT!G169/FRO_TOT!G169</f>
        <v>#DIV/0!</v>
      </c>
      <c r="H169" s="416" t="e">
        <f>DIST_TOT!H169*COMB_TOT!H169*TAX_TOT!H169/FRO_TOT!H169</f>
        <v>#DIV/0!</v>
      </c>
      <c r="I169" s="416" t="e">
        <f>DIST_TOT!I169*COMB_TOT!I169*TAX_TOT!I169/FRO_TOT!I169</f>
        <v>#DIV/0!</v>
      </c>
      <c r="J169" s="416" t="e">
        <f>DIST_TOT!J169*COMB_TOT!J169*TAX_TOT!J169/FRO_TOT!J169</f>
        <v>#DIV/0!</v>
      </c>
      <c r="K169" s="416" t="e">
        <f>DIST_TOT!K169*COMB_TOT!K169*TAX_TOT!K169/FRO_TOT!K169</f>
        <v>#DIV/0!</v>
      </c>
      <c r="L169" s="416" t="e">
        <f>DIST_TOT!L169*COMB_TOT!L169*TAX_TOT!L169/FRO_TOT!L169</f>
        <v>#DIV/0!</v>
      </c>
      <c r="M169" s="416" t="e">
        <f>DIST_TOT!M169*COMB_TOT!M169*TAX_TOT!M169/FRO_TOT!M169</f>
        <v>#DIV/0!</v>
      </c>
      <c r="N169" s="416" t="e">
        <f>DIST_TOT!N169*COMB_TOT!N169*TAX_TOT!N169/FRO_TOT!N169</f>
        <v>#DIV/0!</v>
      </c>
      <c r="O169" s="416" t="e">
        <f>DIST_TOT!O169*COMB_TOT!O169*TAX_TOT!O169/FRO_TOT!O169</f>
        <v>#DIV/0!</v>
      </c>
      <c r="P169" s="416" t="e">
        <f>DIST_TOT!P169*COMB_TOT!P169*TAX_TOT!P169/FRO_TOT!P169</f>
        <v>#DIV/0!</v>
      </c>
      <c r="Q169" s="416" t="e">
        <f>DIST_TOT!Q169*COMB_TOT!Q169*TAX_TOT!Q169/FRO_TOT!Q169</f>
        <v>#DIV/0!</v>
      </c>
      <c r="R169" s="423">
        <f>DIST_TOT!R169*COMB_TOT!R169*TAX_TOT!R169/FRO_TOT!R169</f>
        <v>0</v>
      </c>
      <c r="T169" s="130" t="s">
        <v>23</v>
      </c>
      <c r="U169" s="700" t="e">
        <f>SUMPRODUCT(B169:R169,FRO_TOT!B169:R169)/SUM(FRO_TOT!B169:R169)</f>
        <v>#DIV/0!</v>
      </c>
      <c r="V169" s="1">
        <v>0.15408601144046993</v>
      </c>
      <c r="W169" s="1">
        <f t="shared" si="0"/>
        <v>15408.601144046994</v>
      </c>
    </row>
    <row r="170" spans="1:23">
      <c r="A170" s="130" t="s">
        <v>24</v>
      </c>
      <c r="B170" s="422" t="e">
        <f>DIST_TOT!B170*COMB_TOT!B170*TAX_TOT!B170/FRO_TOT!B170</f>
        <v>#DIV/0!</v>
      </c>
      <c r="C170" s="416" t="e">
        <f>DIST_TOT!C170*COMB_TOT!C170*TAX_TOT!C170/FRO_TOT!C170</f>
        <v>#DIV/0!</v>
      </c>
      <c r="D170" s="416" t="e">
        <f>DIST_TOT!D170*COMB_TOT!D170*TAX_TOT!D170/FRO_TOT!D170</f>
        <v>#DIV/0!</v>
      </c>
      <c r="E170" s="416" t="e">
        <f>DIST_TOT!E170*COMB_TOT!E170*TAX_TOT!E170/FRO_TOT!E170</f>
        <v>#DIV/0!</v>
      </c>
      <c r="F170" s="416" t="e">
        <f>DIST_TOT!F170*COMB_TOT!F170*TAX_TOT!F170/FRO_TOT!F170</f>
        <v>#DIV/0!</v>
      </c>
      <c r="G170" s="416" t="e">
        <f>DIST_TOT!G170*COMB_TOT!G170*TAX_TOT!G170/FRO_TOT!G170</f>
        <v>#DIV/0!</v>
      </c>
      <c r="H170" s="416" t="e">
        <f>DIST_TOT!H170*COMB_TOT!H170*TAX_TOT!H170/FRO_TOT!H170</f>
        <v>#DIV/0!</v>
      </c>
      <c r="I170" s="416" t="e">
        <f>DIST_TOT!I170*COMB_TOT!I170*TAX_TOT!I170/FRO_TOT!I170</f>
        <v>#DIV/0!</v>
      </c>
      <c r="J170" s="416" t="e">
        <f>DIST_TOT!J170*COMB_TOT!J170*TAX_TOT!J170/FRO_TOT!J170</f>
        <v>#DIV/0!</v>
      </c>
      <c r="K170" s="416" t="e">
        <f>DIST_TOT!K170*COMB_TOT!K170*TAX_TOT!K170/FRO_TOT!K170</f>
        <v>#DIV/0!</v>
      </c>
      <c r="L170" s="416" t="e">
        <f>DIST_TOT!L170*COMB_TOT!L170*TAX_TOT!L170/FRO_TOT!L170</f>
        <v>#DIV/0!</v>
      </c>
      <c r="M170" s="416" t="e">
        <f>DIST_TOT!M170*COMB_TOT!M170*TAX_TOT!M170/FRO_TOT!M170</f>
        <v>#DIV/0!</v>
      </c>
      <c r="N170" s="416" t="e">
        <f>DIST_TOT!N170*COMB_TOT!N170*TAX_TOT!N170/FRO_TOT!N170</f>
        <v>#DIV/0!</v>
      </c>
      <c r="O170" s="416" t="e">
        <f>DIST_TOT!O170*COMB_TOT!O170*TAX_TOT!O170/FRO_TOT!O170</f>
        <v>#DIV/0!</v>
      </c>
      <c r="P170" s="416" t="e">
        <f>DIST_TOT!P170*COMB_TOT!P170*TAX_TOT!P170/FRO_TOT!P170</f>
        <v>#DIV/0!</v>
      </c>
      <c r="Q170" s="416" t="e">
        <f>DIST_TOT!Q170*COMB_TOT!Q170*TAX_TOT!Q170/FRO_TOT!Q170</f>
        <v>#DIV/0!</v>
      </c>
      <c r="R170" s="423">
        <v>0</v>
      </c>
      <c r="T170" s="130" t="s">
        <v>24</v>
      </c>
      <c r="U170" s="700" t="e">
        <f>SUMPRODUCT(B170:R170,FRO_TOT!B170:R170)/SUM(FRO_TOT!B170:R170)</f>
        <v>#DIV/0!</v>
      </c>
      <c r="V170" s="1">
        <v>8.8328848651955047E-2</v>
      </c>
      <c r="W170" s="1">
        <f t="shared" si="0"/>
        <v>8832.884865195505</v>
      </c>
    </row>
    <row r="171" spans="1:23">
      <c r="A171" s="130" t="s">
        <v>25</v>
      </c>
      <c r="B171" s="422" t="e">
        <f>DIST_TOT!B171*COMB_TOT!B171*TAX_TOT!B171/FRO_TOT!B171</f>
        <v>#DIV/0!</v>
      </c>
      <c r="C171" s="416" t="e">
        <f>DIST_TOT!C171*COMB_TOT!C171*TAX_TOT!C171/FRO_TOT!C171</f>
        <v>#DIV/0!</v>
      </c>
      <c r="D171" s="416" t="e">
        <f>DIST_TOT!D171*COMB_TOT!D171*TAX_TOT!D171/FRO_TOT!D171</f>
        <v>#DIV/0!</v>
      </c>
      <c r="E171" s="416" t="e">
        <f>DIST_TOT!E171*COMB_TOT!E171*TAX_TOT!E171/FRO_TOT!E171</f>
        <v>#DIV/0!</v>
      </c>
      <c r="F171" s="416" t="e">
        <f>DIST_TOT!F171*COMB_TOT!F171*TAX_TOT!F171/FRO_TOT!F171</f>
        <v>#DIV/0!</v>
      </c>
      <c r="G171" s="416" t="e">
        <f>DIST_TOT!G171*COMB_TOT!G171*TAX_TOT!G171/FRO_TOT!G171</f>
        <v>#DIV/0!</v>
      </c>
      <c r="H171" s="416" t="e">
        <f>DIST_TOT!H171*COMB_TOT!H171*TAX_TOT!H171/FRO_TOT!H171</f>
        <v>#DIV/0!</v>
      </c>
      <c r="I171" s="416" t="e">
        <f>DIST_TOT!I171*COMB_TOT!I171*TAX_TOT!I171/FRO_TOT!I171</f>
        <v>#DIV/0!</v>
      </c>
      <c r="J171" s="416" t="e">
        <f>DIST_TOT!J171*COMB_TOT!J171*TAX_TOT!J171/FRO_TOT!J171</f>
        <v>#DIV/0!</v>
      </c>
      <c r="K171" s="416" t="e">
        <f>DIST_TOT!K171*COMB_TOT!K171*TAX_TOT!K171/FRO_TOT!K171</f>
        <v>#DIV/0!</v>
      </c>
      <c r="L171" s="416" t="e">
        <f>DIST_TOT!L171*COMB_TOT!L171*TAX_TOT!L171/FRO_TOT!L171</f>
        <v>#DIV/0!</v>
      </c>
      <c r="M171" s="416" t="e">
        <f>DIST_TOT!M171*COMB_TOT!M171*TAX_TOT!M171/FRO_TOT!M171</f>
        <v>#DIV/0!</v>
      </c>
      <c r="N171" s="416" t="e">
        <f>DIST_TOT!N171*COMB_TOT!N171*TAX_TOT!N171/FRO_TOT!N171</f>
        <v>#DIV/0!</v>
      </c>
      <c r="O171" s="416" t="e">
        <f>DIST_TOT!O171*COMB_TOT!O171*TAX_TOT!O171/FRO_TOT!O171</f>
        <v>#DIV/0!</v>
      </c>
      <c r="P171" s="416" t="e">
        <f>DIST_TOT!P171*COMB_TOT!P171*TAX_TOT!P171/FRO_TOT!P171</f>
        <v>#DIV/0!</v>
      </c>
      <c r="Q171" s="416" t="e">
        <f>DIST_TOT!Q171*COMB_TOT!Q171*TAX_TOT!Q171/FRO_TOT!Q171</f>
        <v>#DIV/0!</v>
      </c>
      <c r="R171" s="423">
        <f>DIST_TOT!R171*COMB_TOT!R171*TAX_TOT!R171/FRO_TOT!R171</f>
        <v>0</v>
      </c>
      <c r="T171" s="130" t="s">
        <v>25</v>
      </c>
      <c r="U171" s="700" t="e">
        <f>SUMPRODUCT(B171:R171,FRO_TOT!B171:R171)/SUM(FRO_TOT!B171:R171)</f>
        <v>#DIV/0!</v>
      </c>
      <c r="V171" s="1">
        <v>0.1438147643647234</v>
      </c>
      <c r="W171" s="1">
        <f t="shared" si="0"/>
        <v>14381.47643647234</v>
      </c>
    </row>
    <row r="172" spans="1:23">
      <c r="A172" s="130" t="s">
        <v>26</v>
      </c>
      <c r="B172" s="422" t="e">
        <f>DIST_TOT!B172*COMB_TOT!B172*TAX_TOT!B172/FRO_TOT!B172</f>
        <v>#DIV/0!</v>
      </c>
      <c r="C172" s="416" t="e">
        <f>DIST_TOT!C172*COMB_TOT!C172*TAX_TOT!C172/FRO_TOT!C172</f>
        <v>#DIV/0!</v>
      </c>
      <c r="D172" s="416" t="e">
        <f>DIST_TOT!D172*COMB_TOT!D172*TAX_TOT!D172/FRO_TOT!D172</f>
        <v>#DIV/0!</v>
      </c>
      <c r="E172" s="416" t="e">
        <f>DIST_TOT!E172*COMB_TOT!E172*TAX_TOT!E172/FRO_TOT!E172</f>
        <v>#DIV/0!</v>
      </c>
      <c r="F172" s="416" t="e">
        <f>DIST_TOT!F172*COMB_TOT!F172*TAX_TOT!F172/FRO_TOT!F172</f>
        <v>#DIV/0!</v>
      </c>
      <c r="G172" s="416" t="e">
        <f>DIST_TOT!G172*COMB_TOT!G172*TAX_TOT!G172/FRO_TOT!G172</f>
        <v>#DIV/0!</v>
      </c>
      <c r="H172" s="416" t="e">
        <f>DIST_TOT!H172*COMB_TOT!H172*TAX_TOT!H172/FRO_TOT!H172</f>
        <v>#DIV/0!</v>
      </c>
      <c r="I172" s="416" t="e">
        <f>DIST_TOT!I172*COMB_TOT!I172*TAX_TOT!I172/FRO_TOT!I172</f>
        <v>#DIV/0!</v>
      </c>
      <c r="J172" s="416" t="e">
        <f>DIST_TOT!J172*COMB_TOT!J172*TAX_TOT!J172/FRO_TOT!J172</f>
        <v>#DIV/0!</v>
      </c>
      <c r="K172" s="416" t="e">
        <f>DIST_TOT!K172*COMB_TOT!K172*TAX_TOT!K172/FRO_TOT!K172</f>
        <v>#DIV/0!</v>
      </c>
      <c r="L172" s="416" t="e">
        <f>DIST_TOT!L172*COMB_TOT!L172*TAX_TOT!L172/FRO_TOT!L172</f>
        <v>#DIV/0!</v>
      </c>
      <c r="M172" s="416" t="e">
        <f>DIST_TOT!M172*COMB_TOT!M172*TAX_TOT!M172/FRO_TOT!M172</f>
        <v>#DIV/0!</v>
      </c>
      <c r="N172" s="416" t="e">
        <f>DIST_TOT!N172*COMB_TOT!N172*TAX_TOT!N172/FRO_TOT!N172</f>
        <v>#DIV/0!</v>
      </c>
      <c r="O172" s="416" t="e">
        <f>DIST_TOT!O172*COMB_TOT!O172*TAX_TOT!O172/FRO_TOT!O172</f>
        <v>#DIV/0!</v>
      </c>
      <c r="P172" s="416" t="e">
        <f>DIST_TOT!P172*COMB_TOT!P172*TAX_TOT!P172/FRO_TOT!P172</f>
        <v>#DIV/0!</v>
      </c>
      <c r="Q172" s="416" t="e">
        <f>DIST_TOT!Q172*COMB_TOT!Q172*TAX_TOT!Q172/FRO_TOT!Q172</f>
        <v>#DIV/0!</v>
      </c>
      <c r="R172" s="423">
        <f>DIST_TOT!R172*COMB_TOT!R172*TAX_TOT!R172/FRO_TOT!R172</f>
        <v>0</v>
      </c>
      <c r="T172" s="130" t="s">
        <v>26</v>
      </c>
      <c r="U172" s="700" t="e">
        <f>SUMPRODUCT(B172:R172,FRO_TOT!B172:R172)/SUM(FRO_TOT!B172:R172)</f>
        <v>#DIV/0!</v>
      </c>
      <c r="V172" s="1">
        <v>0.15787409805644345</v>
      </c>
      <c r="W172" s="1">
        <f t="shared" si="0"/>
        <v>15787.409805644345</v>
      </c>
    </row>
    <row r="173" spans="1:23">
      <c r="A173" s="130" t="s">
        <v>27</v>
      </c>
      <c r="B173" s="422" t="e">
        <f>DIST_TOT!B173*COMB_TOT!B173*TAX_TOT!B173/FRO_TOT!B173</f>
        <v>#DIV/0!</v>
      </c>
      <c r="C173" s="416" t="e">
        <f>DIST_TOT!C173*COMB_TOT!C173*TAX_TOT!C173/FRO_TOT!C173</f>
        <v>#DIV/0!</v>
      </c>
      <c r="D173" s="416" t="e">
        <f>DIST_TOT!D173*COMB_TOT!D173*TAX_TOT!D173/FRO_TOT!D173</f>
        <v>#DIV/0!</v>
      </c>
      <c r="E173" s="416" t="e">
        <f>DIST_TOT!E173*COMB_TOT!E173*TAX_TOT!E173/FRO_TOT!E173</f>
        <v>#DIV/0!</v>
      </c>
      <c r="F173" s="416" t="e">
        <f>DIST_TOT!F173*COMB_TOT!F173*TAX_TOT!F173/FRO_TOT!F173</f>
        <v>#DIV/0!</v>
      </c>
      <c r="G173" s="416" t="e">
        <f>DIST_TOT!G173*COMB_TOT!G173*TAX_TOT!G173/FRO_TOT!G173</f>
        <v>#DIV/0!</v>
      </c>
      <c r="H173" s="416" t="e">
        <f>DIST_TOT!H173*COMB_TOT!H173*TAX_TOT!H173/FRO_TOT!H173</f>
        <v>#DIV/0!</v>
      </c>
      <c r="I173" s="416" t="e">
        <f>DIST_TOT!I173*COMB_TOT!I173*TAX_TOT!I173/FRO_TOT!I173</f>
        <v>#DIV/0!</v>
      </c>
      <c r="J173" s="416" t="e">
        <f>DIST_TOT!J173*COMB_TOT!J173*TAX_TOT!J173/FRO_TOT!J173</f>
        <v>#DIV/0!</v>
      </c>
      <c r="K173" s="416" t="e">
        <f>DIST_TOT!K173*COMB_TOT!K173*TAX_TOT!K173/FRO_TOT!K173</f>
        <v>#DIV/0!</v>
      </c>
      <c r="L173" s="416" t="e">
        <f>DIST_TOT!L173*COMB_TOT!L173*TAX_TOT!L173/FRO_TOT!L173</f>
        <v>#DIV/0!</v>
      </c>
      <c r="M173" s="416" t="e">
        <f>DIST_TOT!M173*COMB_TOT!M173*TAX_TOT!M173/FRO_TOT!M173</f>
        <v>#DIV/0!</v>
      </c>
      <c r="N173" s="416" t="e">
        <f>DIST_TOT!N173*COMB_TOT!N173*TAX_TOT!N173/FRO_TOT!N173</f>
        <v>#DIV/0!</v>
      </c>
      <c r="O173" s="416" t="e">
        <f>DIST_TOT!O173*COMB_TOT!O173*TAX_TOT!O173/FRO_TOT!O173</f>
        <v>#DIV/0!</v>
      </c>
      <c r="P173" s="416" t="e">
        <f>DIST_TOT!P173*COMB_TOT!P173*TAX_TOT!P173/FRO_TOT!P173</f>
        <v>#DIV/0!</v>
      </c>
      <c r="Q173" s="416" t="e">
        <f>DIST_TOT!Q173*COMB_TOT!Q173*TAX_TOT!Q173/FRO_TOT!Q173</f>
        <v>#DIV/0!</v>
      </c>
      <c r="R173" s="423">
        <f>DIST_TOT!R173*COMB_TOT!R173*TAX_TOT!R173/FRO_TOT!R173</f>
        <v>0</v>
      </c>
      <c r="T173" s="130" t="s">
        <v>27</v>
      </c>
      <c r="U173" s="700" t="e">
        <f>SUMPRODUCT(B173:R173,FRO_TOT!B173:R173)/SUM(FRO_TOT!B173:R173)</f>
        <v>#DIV/0!</v>
      </c>
      <c r="V173" s="1">
        <v>0.13869007150373899</v>
      </c>
      <c r="W173" s="1">
        <f t="shared" si="0"/>
        <v>13869.0071503739</v>
      </c>
    </row>
    <row r="174" spans="1:23">
      <c r="A174" s="130" t="s">
        <v>28</v>
      </c>
      <c r="B174" s="422" t="e">
        <f>DIST_TOT!B174*COMB_TOT!B174*TAX_TOT!B174/FRO_TOT!B174</f>
        <v>#DIV/0!</v>
      </c>
      <c r="C174" s="416" t="e">
        <f>DIST_TOT!C174*COMB_TOT!C174*TAX_TOT!C174/FRO_TOT!C174</f>
        <v>#DIV/0!</v>
      </c>
      <c r="D174" s="416" t="e">
        <f>DIST_TOT!D174*COMB_TOT!D174*TAX_TOT!D174/FRO_TOT!D174</f>
        <v>#DIV/0!</v>
      </c>
      <c r="E174" s="416" t="e">
        <f>DIST_TOT!E174*COMB_TOT!E174*TAX_TOT!E174/FRO_TOT!E174</f>
        <v>#DIV/0!</v>
      </c>
      <c r="F174" s="416" t="e">
        <f>DIST_TOT!F174*COMB_TOT!F174*TAX_TOT!F174/FRO_TOT!F174</f>
        <v>#DIV/0!</v>
      </c>
      <c r="G174" s="416" t="e">
        <f>DIST_TOT!G174*COMB_TOT!G174*TAX_TOT!G174/FRO_TOT!G174</f>
        <v>#DIV/0!</v>
      </c>
      <c r="H174" s="416" t="e">
        <f>DIST_TOT!H174*COMB_TOT!H174*TAX_TOT!H174/FRO_TOT!H174</f>
        <v>#DIV/0!</v>
      </c>
      <c r="I174" s="416" t="e">
        <f>DIST_TOT!I174*COMB_TOT!I174*TAX_TOT!I174/FRO_TOT!I174</f>
        <v>#DIV/0!</v>
      </c>
      <c r="J174" s="416" t="e">
        <f>DIST_TOT!J174*COMB_TOT!J174*TAX_TOT!J174/FRO_TOT!J174</f>
        <v>#DIV/0!</v>
      </c>
      <c r="K174" s="416" t="e">
        <f>DIST_TOT!K174*COMB_TOT!K174*TAX_TOT!K174/FRO_TOT!K174</f>
        <v>#DIV/0!</v>
      </c>
      <c r="L174" s="416" t="e">
        <f>DIST_TOT!L174*COMB_TOT!L174*TAX_TOT!L174/FRO_TOT!L174</f>
        <v>#DIV/0!</v>
      </c>
      <c r="M174" s="416" t="e">
        <f>DIST_TOT!M174*COMB_TOT!M174*TAX_TOT!M174/FRO_TOT!M174</f>
        <v>#DIV/0!</v>
      </c>
      <c r="N174" s="416" t="e">
        <f>DIST_TOT!N174*COMB_TOT!N174*TAX_TOT!N174/FRO_TOT!N174</f>
        <v>#DIV/0!</v>
      </c>
      <c r="O174" s="416" t="e">
        <f>DIST_TOT!O174*COMB_TOT!O174*TAX_TOT!O174/FRO_TOT!O174</f>
        <v>#DIV/0!</v>
      </c>
      <c r="P174" s="416" t="e">
        <f>DIST_TOT!P174*COMB_TOT!P174*TAX_TOT!P174/FRO_TOT!P174</f>
        <v>#DIV/0!</v>
      </c>
      <c r="Q174" s="416" t="e">
        <f>DIST_TOT!Q174*COMB_TOT!Q174*TAX_TOT!Q174/FRO_TOT!Q174</f>
        <v>#DIV/0!</v>
      </c>
      <c r="R174" s="423">
        <f>DIST_TOT!R174*COMB_TOT!R174*TAX_TOT!R174/FRO_TOT!R174</f>
        <v>0</v>
      </c>
      <c r="T174" s="130" t="s">
        <v>28</v>
      </c>
      <c r="U174" s="700" t="e">
        <f>SUMPRODUCT(B174:R174,FRO_TOT!B174:R174)/SUM(FRO_TOT!B174:R174)</f>
        <v>#DIV/0!</v>
      </c>
      <c r="V174" s="1">
        <v>0.18670274237629692</v>
      </c>
      <c r="W174" s="1">
        <f t="shared" si="0"/>
        <v>18670.274237629692</v>
      </c>
    </row>
    <row r="175" spans="1:23" ht="15.75" thickBot="1">
      <c r="A175" s="131" t="s">
        <v>29</v>
      </c>
      <c r="B175" s="422" t="e">
        <f>DIST_TOT!B175*COMB_TOT!B175*TAX_TOT!B175/FRO_TOT!B175</f>
        <v>#DIV/0!</v>
      </c>
      <c r="C175" s="416" t="e">
        <f>DIST_TOT!C175*COMB_TOT!C175*TAX_TOT!C175/FRO_TOT!C175</f>
        <v>#DIV/0!</v>
      </c>
      <c r="D175" s="416" t="e">
        <f>DIST_TOT!D175*COMB_TOT!D175*TAX_TOT!D175/FRO_TOT!D175</f>
        <v>#DIV/0!</v>
      </c>
      <c r="E175" s="416" t="e">
        <f>DIST_TOT!E175*COMB_TOT!E175*TAX_TOT!E175/FRO_TOT!E175</f>
        <v>#DIV/0!</v>
      </c>
      <c r="F175" s="416" t="e">
        <f>DIST_TOT!F175*COMB_TOT!F175*TAX_TOT!F175/FRO_TOT!F175</f>
        <v>#DIV/0!</v>
      </c>
      <c r="G175" s="416" t="e">
        <f>DIST_TOT!G175*COMB_TOT!G175*TAX_TOT!G175/FRO_TOT!G175</f>
        <v>#DIV/0!</v>
      </c>
      <c r="H175" s="416" t="e">
        <f>DIST_TOT!H175*COMB_TOT!H175*TAX_TOT!H175/FRO_TOT!H175</f>
        <v>#DIV/0!</v>
      </c>
      <c r="I175" s="416" t="e">
        <f>DIST_TOT!I175*COMB_TOT!I175*TAX_TOT!I175/FRO_TOT!I175</f>
        <v>#DIV/0!</v>
      </c>
      <c r="J175" s="416" t="e">
        <f>DIST_TOT!J175*COMB_TOT!J175*TAX_TOT!J175/FRO_TOT!J175</f>
        <v>#DIV/0!</v>
      </c>
      <c r="K175" s="416" t="e">
        <f>DIST_TOT!K175*COMB_TOT!K175*TAX_TOT!K175/FRO_TOT!K175</f>
        <v>#DIV/0!</v>
      </c>
      <c r="L175" s="416" t="e">
        <f>DIST_TOT!L175*COMB_TOT!L175*TAX_TOT!L175/FRO_TOT!L175</f>
        <v>#DIV/0!</v>
      </c>
      <c r="M175" s="416" t="e">
        <f>DIST_TOT!M175*COMB_TOT!M175*TAX_TOT!M175/FRO_TOT!M175</f>
        <v>#DIV/0!</v>
      </c>
      <c r="N175" s="416" t="e">
        <f>DIST_TOT!N175*COMB_TOT!N175*TAX_TOT!N175/FRO_TOT!N175</f>
        <v>#DIV/0!</v>
      </c>
      <c r="O175" s="416" t="e">
        <f>DIST_TOT!O175*COMB_TOT!O175*TAX_TOT!O175/FRO_TOT!O175</f>
        <v>#DIV/0!</v>
      </c>
      <c r="P175" s="416" t="e">
        <f>DIST_TOT!P175*COMB_TOT!P175*TAX_TOT!P175/FRO_TOT!P175</f>
        <v>#DIV/0!</v>
      </c>
      <c r="Q175" s="416" t="e">
        <f>DIST_TOT!Q175*COMB_TOT!Q175*TAX_TOT!Q175/FRO_TOT!Q175</f>
        <v>#DIV/0!</v>
      </c>
      <c r="R175" s="423">
        <f>DIST_TOT!R175*COMB_TOT!R175*TAX_TOT!R175/FRO_TOT!R175</f>
        <v>0</v>
      </c>
      <c r="T175" s="210" t="s">
        <v>29</v>
      </c>
      <c r="U175" s="701" t="e">
        <f>SUMPRODUCT(B175:R175,FRO_TOT!B175:R175)/SUM(FRO_TOT!B175:R175)</f>
        <v>#DIV/0!</v>
      </c>
      <c r="V175" s="1">
        <v>0.16186266301352323</v>
      </c>
      <c r="W175" s="1">
        <f t="shared" si="0"/>
        <v>16186.266301352323</v>
      </c>
    </row>
    <row r="176" spans="1:23" ht="15.75" thickBot="1">
      <c r="A176" s="324" t="s">
        <v>64</v>
      </c>
      <c r="B176" s="420" t="e">
        <f>DIST_TOT!B176*COMB_TOT!B176*TAX_TOT!B176/FRO_TOT!B176</f>
        <v>#DIV/0!</v>
      </c>
      <c r="C176" s="415" t="e">
        <f>DIST_TOT!C176*COMB_TOT!C176*TAX_TOT!C176/FRO_TOT!C176</f>
        <v>#DIV/0!</v>
      </c>
      <c r="D176" s="415" t="e">
        <f>DIST_TOT!D176*COMB_TOT!D176*TAX_TOT!D176/FRO_TOT!D176</f>
        <v>#DIV/0!</v>
      </c>
      <c r="E176" s="415" t="e">
        <f>DIST_TOT!E176*COMB_TOT!E176*TAX_TOT!E176/FRO_TOT!E176</f>
        <v>#DIV/0!</v>
      </c>
      <c r="F176" s="415" t="e">
        <f>DIST_TOT!F176*COMB_TOT!F176*TAX_TOT!F176/FRO_TOT!F176</f>
        <v>#DIV/0!</v>
      </c>
      <c r="G176" s="415" t="e">
        <f>DIST_TOT!G176*COMB_TOT!G176*TAX_TOT!G176/FRO_TOT!G176</f>
        <v>#DIV/0!</v>
      </c>
      <c r="H176" s="415" t="e">
        <f>DIST_TOT!H176*COMB_TOT!H176*TAX_TOT!H176/FRO_TOT!H176</f>
        <v>#DIV/0!</v>
      </c>
      <c r="I176" s="415" t="e">
        <f>DIST_TOT!I176*COMB_TOT!I176*TAX_TOT!I176/FRO_TOT!I176</f>
        <v>#DIV/0!</v>
      </c>
      <c r="J176" s="415" t="e">
        <f>DIST_TOT!J176*COMB_TOT!J176*TAX_TOT!J176/FRO_TOT!J176</f>
        <v>#DIV/0!</v>
      </c>
      <c r="K176" s="415" t="e">
        <f>DIST_TOT!K176*COMB_TOT!K176*TAX_TOT!K176/FRO_TOT!K176</f>
        <v>#DIV/0!</v>
      </c>
      <c r="L176" s="415" t="e">
        <f>DIST_TOT!L176*COMB_TOT!L176*TAX_TOT!L176/FRO_TOT!L176</f>
        <v>#DIV/0!</v>
      </c>
      <c r="M176" s="415" t="e">
        <f>DIST_TOT!M176*COMB_TOT!M176*TAX_TOT!M176/FRO_TOT!M176</f>
        <v>#DIV/0!</v>
      </c>
      <c r="N176" s="415" t="e">
        <f>DIST_TOT!N176*COMB_TOT!N176*TAX_TOT!N176/FRO_TOT!N176</f>
        <v>#DIV/0!</v>
      </c>
      <c r="O176" s="415" t="e">
        <f>DIST_TOT!O176*COMB_TOT!O176*TAX_TOT!O176/FRO_TOT!O176</f>
        <v>#DIV/0!</v>
      </c>
      <c r="P176" s="415" t="e">
        <f>DIST_TOT!P176*COMB_TOT!P176*TAX_TOT!P176/FRO_TOT!P176</f>
        <v>#DIV/0!</v>
      </c>
      <c r="Q176" s="415" t="e">
        <f>DIST_TOT!Q176*COMB_TOT!Q176*TAX_TOT!Q176/FRO_TOT!Q176</f>
        <v>#DIV/0!</v>
      </c>
      <c r="R176" s="421">
        <f>DIST_TOT!R176*COMB_TOT!R176*TAX_TOT!R176/FRO_TOT!R176</f>
        <v>0</v>
      </c>
      <c r="T176" s="268" t="s">
        <v>64</v>
      </c>
      <c r="U176" s="697" t="e">
        <f>SUMPRODUCT(B176:R176,FRO_TOT!B176:R176)/SUM(FRO_TOT!B176:R176)</f>
        <v>#DIV/0!</v>
      </c>
      <c r="V176" s="1">
        <v>0.34961979276701444</v>
      </c>
      <c r="W176" s="1">
        <f t="shared" si="0"/>
        <v>34961.979276701444</v>
      </c>
    </row>
    <row r="177" spans="1:23">
      <c r="A177" s="130" t="s">
        <v>31</v>
      </c>
      <c r="B177" s="422" t="e">
        <f>DIST_TOT!B177*COMB_TOT!B177*TAX_TOT!B177/FRO_TOT!B177</f>
        <v>#DIV/0!</v>
      </c>
      <c r="C177" s="416" t="e">
        <f>DIST_TOT!C177*COMB_TOT!C177*TAX_TOT!C177/FRO_TOT!C177</f>
        <v>#DIV/0!</v>
      </c>
      <c r="D177" s="416" t="e">
        <f>DIST_TOT!D177*COMB_TOT!D177*TAX_TOT!D177/FRO_TOT!D177</f>
        <v>#DIV/0!</v>
      </c>
      <c r="E177" s="416" t="e">
        <f>DIST_TOT!E177*COMB_TOT!E177*TAX_TOT!E177/FRO_TOT!E177</f>
        <v>#DIV/0!</v>
      </c>
      <c r="F177" s="416" t="e">
        <f>DIST_TOT!F177*COMB_TOT!F177*TAX_TOT!F177/FRO_TOT!F177</f>
        <v>#DIV/0!</v>
      </c>
      <c r="G177" s="416" t="e">
        <f>DIST_TOT!G177*COMB_TOT!G177*TAX_TOT!G177/FRO_TOT!G177</f>
        <v>#DIV/0!</v>
      </c>
      <c r="H177" s="416" t="e">
        <f>DIST_TOT!H177*COMB_TOT!H177*TAX_TOT!H177/FRO_TOT!H177</f>
        <v>#DIV/0!</v>
      </c>
      <c r="I177" s="416" t="e">
        <f>DIST_TOT!I177*COMB_TOT!I177*TAX_TOT!I177/FRO_TOT!I177</f>
        <v>#DIV/0!</v>
      </c>
      <c r="J177" s="416" t="e">
        <f>DIST_TOT!J177*COMB_TOT!J177*TAX_TOT!J177/FRO_TOT!J177</f>
        <v>#DIV/0!</v>
      </c>
      <c r="K177" s="416" t="e">
        <f>DIST_TOT!K177*COMB_TOT!K177*TAX_TOT!K177/FRO_TOT!K177</f>
        <v>#DIV/0!</v>
      </c>
      <c r="L177" s="416" t="e">
        <f>DIST_TOT!L177*COMB_TOT!L177*TAX_TOT!L177/FRO_TOT!L177</f>
        <v>#DIV/0!</v>
      </c>
      <c r="M177" s="416" t="e">
        <f>DIST_TOT!M177*COMB_TOT!M177*TAX_TOT!M177/FRO_TOT!M177</f>
        <v>#DIV/0!</v>
      </c>
      <c r="N177" s="416" t="e">
        <f>DIST_TOT!N177*COMB_TOT!N177*TAX_TOT!N177/FRO_TOT!N177</f>
        <v>#DIV/0!</v>
      </c>
      <c r="O177" s="416" t="e">
        <f>DIST_TOT!O177*COMB_TOT!O177*TAX_TOT!O177/FRO_TOT!O177</f>
        <v>#DIV/0!</v>
      </c>
      <c r="P177" s="416" t="e">
        <f>DIST_TOT!P177*COMB_TOT!P177*TAX_TOT!P177/FRO_TOT!P177</f>
        <v>#DIV/0!</v>
      </c>
      <c r="Q177" s="416" t="e">
        <f>DIST_TOT!Q177*COMB_TOT!Q177*TAX_TOT!Q177/FRO_TOT!Q177</f>
        <v>#DIV/0!</v>
      </c>
      <c r="R177" s="423">
        <f>DIST_TOT!R177*COMB_TOT!R177*TAX_TOT!R177/FRO_TOT!R177</f>
        <v>0</v>
      </c>
      <c r="T177" s="190" t="s">
        <v>31</v>
      </c>
      <c r="U177" s="699" t="e">
        <f>SUMPRODUCT(B177:R177,FRO_TOT!B177:R177)/SUM(FRO_TOT!B177:R177)</f>
        <v>#DIV/0!</v>
      </c>
      <c r="V177" s="1">
        <v>0.29593953987204252</v>
      </c>
      <c r="W177" s="1">
        <f t="shared" si="0"/>
        <v>29593.953987204251</v>
      </c>
    </row>
    <row r="178" spans="1:23">
      <c r="A178" s="130" t="s">
        <v>32</v>
      </c>
      <c r="B178" s="422" t="e">
        <f>DIST_TOT!B178*COMB_TOT!B178*TAX_TOT!B178/FRO_TOT!B178</f>
        <v>#DIV/0!</v>
      </c>
      <c r="C178" s="416" t="e">
        <f>DIST_TOT!C178*COMB_TOT!C178*TAX_TOT!C178/FRO_TOT!C178</f>
        <v>#DIV/0!</v>
      </c>
      <c r="D178" s="416" t="e">
        <f>DIST_TOT!D178*COMB_TOT!D178*TAX_TOT!D178/FRO_TOT!D178</f>
        <v>#DIV/0!</v>
      </c>
      <c r="E178" s="416" t="e">
        <f>DIST_TOT!E178*COMB_TOT!E178*TAX_TOT!E178/FRO_TOT!E178</f>
        <v>#DIV/0!</v>
      </c>
      <c r="F178" s="416" t="e">
        <f>DIST_TOT!F178*COMB_TOT!F178*TAX_TOT!F178/FRO_TOT!F178</f>
        <v>#DIV/0!</v>
      </c>
      <c r="G178" s="416" t="e">
        <f>DIST_TOT!G178*COMB_TOT!G178*TAX_TOT!G178/FRO_TOT!G178</f>
        <v>#DIV/0!</v>
      </c>
      <c r="H178" s="416" t="e">
        <f>DIST_TOT!H178*COMB_TOT!H178*TAX_TOT!H178/FRO_TOT!H178</f>
        <v>#DIV/0!</v>
      </c>
      <c r="I178" s="416" t="e">
        <f>DIST_TOT!I178*COMB_TOT!I178*TAX_TOT!I178/FRO_TOT!I178</f>
        <v>#DIV/0!</v>
      </c>
      <c r="J178" s="416" t="e">
        <f>DIST_TOT!J178*COMB_TOT!J178*TAX_TOT!J178/FRO_TOT!J178</f>
        <v>#DIV/0!</v>
      </c>
      <c r="K178" s="416" t="e">
        <f>DIST_TOT!K178*COMB_TOT!K178*TAX_TOT!K178/FRO_TOT!K178</f>
        <v>#DIV/0!</v>
      </c>
      <c r="L178" s="416" t="e">
        <f>DIST_TOT!L178*COMB_TOT!L178*TAX_TOT!L178/FRO_TOT!L178</f>
        <v>#DIV/0!</v>
      </c>
      <c r="M178" s="416" t="e">
        <f>DIST_TOT!M178*COMB_TOT!M178*TAX_TOT!M178/FRO_TOT!M178</f>
        <v>#DIV/0!</v>
      </c>
      <c r="N178" s="416" t="e">
        <f>DIST_TOT!N178*COMB_TOT!N178*TAX_TOT!N178/FRO_TOT!N178</f>
        <v>#DIV/0!</v>
      </c>
      <c r="O178" s="416" t="e">
        <f>DIST_TOT!O178*COMB_TOT!O178*TAX_TOT!O178/FRO_TOT!O178</f>
        <v>#DIV/0!</v>
      </c>
      <c r="P178" s="416" t="e">
        <f>DIST_TOT!P178*COMB_TOT!P178*TAX_TOT!P178/FRO_TOT!P178</f>
        <v>#DIV/0!</v>
      </c>
      <c r="Q178" s="416" t="e">
        <f>DIST_TOT!Q178*COMB_TOT!Q178*TAX_TOT!Q178/FRO_TOT!Q178</f>
        <v>#DIV/0!</v>
      </c>
      <c r="R178" s="423">
        <f>DIST_TOT!R178*COMB_TOT!R178*TAX_TOT!R178/FRO_TOT!R178</f>
        <v>0</v>
      </c>
      <c r="T178" s="130" t="s">
        <v>32</v>
      </c>
      <c r="U178" s="700" t="e">
        <f>SUMPRODUCT(B178:R178,FRO_TOT!B178:R178)/SUM(FRO_TOT!B178:R178)</f>
        <v>#DIV/0!</v>
      </c>
      <c r="V178" s="1">
        <v>0.28720268621695677</v>
      </c>
      <c r="W178" s="1">
        <f t="shared" si="0"/>
        <v>28720.268621695675</v>
      </c>
    </row>
    <row r="179" spans="1:23">
      <c r="A179" s="130" t="s">
        <v>33</v>
      </c>
      <c r="B179" s="422" t="e">
        <f>DIST_TOT!B179*COMB_TOT!B179*TAX_TOT!B179/FRO_TOT!B179</f>
        <v>#DIV/0!</v>
      </c>
      <c r="C179" s="416" t="e">
        <f>DIST_TOT!C179*COMB_TOT!C179*TAX_TOT!C179/FRO_TOT!C179</f>
        <v>#DIV/0!</v>
      </c>
      <c r="D179" s="416" t="e">
        <f>DIST_TOT!D179*COMB_TOT!D179*TAX_TOT!D179/FRO_TOT!D179</f>
        <v>#DIV/0!</v>
      </c>
      <c r="E179" s="416" t="e">
        <f>DIST_TOT!E179*COMB_TOT!E179*TAX_TOT!E179/FRO_TOT!E179</f>
        <v>#DIV/0!</v>
      </c>
      <c r="F179" s="416" t="e">
        <f>DIST_TOT!F179*COMB_TOT!F179*TAX_TOT!F179/FRO_TOT!F179</f>
        <v>#DIV/0!</v>
      </c>
      <c r="G179" s="416" t="e">
        <f>DIST_TOT!G179*COMB_TOT!G179*TAX_TOT!G179/FRO_TOT!G179</f>
        <v>#DIV/0!</v>
      </c>
      <c r="H179" s="416" t="e">
        <f>DIST_TOT!H179*COMB_TOT!H179*TAX_TOT!H179/FRO_TOT!H179</f>
        <v>#DIV/0!</v>
      </c>
      <c r="I179" s="416" t="e">
        <f>DIST_TOT!I179*COMB_TOT!I179*TAX_TOT!I179/FRO_TOT!I179</f>
        <v>#DIV/0!</v>
      </c>
      <c r="J179" s="416" t="e">
        <f>DIST_TOT!J179*COMB_TOT!J179*TAX_TOT!J179/FRO_TOT!J179</f>
        <v>#DIV/0!</v>
      </c>
      <c r="K179" s="416" t="e">
        <f>DIST_TOT!K179*COMB_TOT!K179*TAX_TOT!K179/FRO_TOT!K179</f>
        <v>#DIV/0!</v>
      </c>
      <c r="L179" s="416" t="e">
        <f>DIST_TOT!L179*COMB_TOT!L179*TAX_TOT!L179/FRO_TOT!L179</f>
        <v>#DIV/0!</v>
      </c>
      <c r="M179" s="416" t="e">
        <f>DIST_TOT!M179*COMB_TOT!M179*TAX_TOT!M179/FRO_TOT!M179</f>
        <v>#DIV/0!</v>
      </c>
      <c r="N179" s="416" t="e">
        <f>DIST_TOT!N179*COMB_TOT!N179*TAX_TOT!N179/FRO_TOT!N179</f>
        <v>#DIV/0!</v>
      </c>
      <c r="O179" s="416" t="e">
        <f>DIST_TOT!O179*COMB_TOT!O179*TAX_TOT!O179/FRO_TOT!O179</f>
        <v>#DIV/0!</v>
      </c>
      <c r="P179" s="416" t="e">
        <f>DIST_TOT!P179*COMB_TOT!P179*TAX_TOT!P179/FRO_TOT!P179</f>
        <v>#DIV/0!</v>
      </c>
      <c r="Q179" s="416" t="e">
        <f>DIST_TOT!Q179*COMB_TOT!Q179*TAX_TOT!Q179/FRO_TOT!Q179</f>
        <v>#DIV/0!</v>
      </c>
      <c r="R179" s="423">
        <f>DIST_TOT!R179*COMB_TOT!R179*TAX_TOT!R179/FRO_TOT!R179</f>
        <v>0</v>
      </c>
      <c r="T179" s="130" t="s">
        <v>33</v>
      </c>
      <c r="U179" s="700" t="e">
        <f>SUMPRODUCT(B179:R179,FRO_TOT!B179:R179)/SUM(FRO_TOT!B179:R179)</f>
        <v>#DIV/0!</v>
      </c>
      <c r="V179" s="1">
        <v>0.24181700240959725</v>
      </c>
      <c r="W179" s="1">
        <f t="shared" si="0"/>
        <v>24181.700240959726</v>
      </c>
    </row>
    <row r="180" spans="1:23" ht="15.75" thickBot="1">
      <c r="A180" s="131" t="s">
        <v>34</v>
      </c>
      <c r="B180" s="422" t="e">
        <f>DIST_TOT!B180*COMB_TOT!B180*TAX_TOT!B180/FRO_TOT!B180</f>
        <v>#DIV/0!</v>
      </c>
      <c r="C180" s="416" t="e">
        <f>DIST_TOT!C180*COMB_TOT!C180*TAX_TOT!C180/FRO_TOT!C180</f>
        <v>#DIV/0!</v>
      </c>
      <c r="D180" s="416" t="e">
        <f>DIST_TOT!D180*COMB_TOT!D180*TAX_TOT!D180/FRO_TOT!D180</f>
        <v>#DIV/0!</v>
      </c>
      <c r="E180" s="416" t="e">
        <f>DIST_TOT!E180*COMB_TOT!E180*TAX_TOT!E180/FRO_TOT!E180</f>
        <v>#DIV/0!</v>
      </c>
      <c r="F180" s="416" t="e">
        <f>DIST_TOT!F180*COMB_TOT!F180*TAX_TOT!F180/FRO_TOT!F180</f>
        <v>#DIV/0!</v>
      </c>
      <c r="G180" s="416" t="e">
        <f>DIST_TOT!G180*COMB_TOT!G180*TAX_TOT!G180/FRO_TOT!G180</f>
        <v>#DIV/0!</v>
      </c>
      <c r="H180" s="416" t="e">
        <f>DIST_TOT!H180*COMB_TOT!H180*TAX_TOT!H180/FRO_TOT!H180</f>
        <v>#DIV/0!</v>
      </c>
      <c r="I180" s="416" t="e">
        <f>DIST_TOT!I180*COMB_TOT!I180*TAX_TOT!I180/FRO_TOT!I180</f>
        <v>#DIV/0!</v>
      </c>
      <c r="J180" s="416" t="e">
        <f>DIST_TOT!J180*COMB_TOT!J180*TAX_TOT!J180/FRO_TOT!J180</f>
        <v>#DIV/0!</v>
      </c>
      <c r="K180" s="416" t="e">
        <f>DIST_TOT!K180*COMB_TOT!K180*TAX_TOT!K180/FRO_TOT!K180</f>
        <v>#DIV/0!</v>
      </c>
      <c r="L180" s="416" t="e">
        <f>DIST_TOT!L180*COMB_TOT!L180*TAX_TOT!L180/FRO_TOT!L180</f>
        <v>#DIV/0!</v>
      </c>
      <c r="M180" s="416" t="e">
        <f>DIST_TOT!M180*COMB_TOT!M180*TAX_TOT!M180/FRO_TOT!M180</f>
        <v>#DIV/0!</v>
      </c>
      <c r="N180" s="416" t="e">
        <f>DIST_TOT!N180*COMB_TOT!N180*TAX_TOT!N180/FRO_TOT!N180</f>
        <v>#DIV/0!</v>
      </c>
      <c r="O180" s="416" t="e">
        <f>DIST_TOT!O180*COMB_TOT!O180*TAX_TOT!O180/FRO_TOT!O180</f>
        <v>#DIV/0!</v>
      </c>
      <c r="P180" s="416" t="e">
        <f>DIST_TOT!P180*COMB_TOT!P180*TAX_TOT!P180/FRO_TOT!P180</f>
        <v>#DIV/0!</v>
      </c>
      <c r="Q180" s="416" t="e">
        <f>DIST_TOT!Q180*COMB_TOT!Q180*TAX_TOT!Q180/FRO_TOT!Q180</f>
        <v>#DIV/0!</v>
      </c>
      <c r="R180" s="423">
        <f>DIST_TOT!R180*COMB_TOT!R180*TAX_TOT!R180/FRO_TOT!R180</f>
        <v>0</v>
      </c>
      <c r="T180" s="210" t="s">
        <v>34</v>
      </c>
      <c r="U180" s="701" t="e">
        <f>SUMPRODUCT(B180:R180,FRO_TOT!B180:R180)/SUM(FRO_TOT!B180:R180)</f>
        <v>#DIV/0!</v>
      </c>
      <c r="V180" s="1">
        <v>0.42607277178781094</v>
      </c>
      <c r="W180" s="1">
        <f t="shared" si="0"/>
        <v>42607.277178781093</v>
      </c>
    </row>
    <row r="181" spans="1:23" ht="15.75" thickBot="1">
      <c r="A181" s="324" t="s">
        <v>69</v>
      </c>
      <c r="B181" s="420" t="e">
        <f>DIST_TOT!B181*COMB_TOT!B181*TAX_TOT!B181/FRO_TOT!B181</f>
        <v>#DIV/0!</v>
      </c>
      <c r="C181" s="415" t="e">
        <f>DIST_TOT!C181*COMB_TOT!C181*TAX_TOT!C181/FRO_TOT!C181</f>
        <v>#DIV/0!</v>
      </c>
      <c r="D181" s="415" t="e">
        <f>DIST_TOT!D181*COMB_TOT!D181*TAX_TOT!D181/FRO_TOT!D181</f>
        <v>#DIV/0!</v>
      </c>
      <c r="E181" s="415" t="e">
        <f>DIST_TOT!E181*COMB_TOT!E181*TAX_TOT!E181/FRO_TOT!E181</f>
        <v>#DIV/0!</v>
      </c>
      <c r="F181" s="415" t="e">
        <f>DIST_TOT!F181*COMB_TOT!F181*TAX_TOT!F181/FRO_TOT!F181</f>
        <v>#DIV/0!</v>
      </c>
      <c r="G181" s="415" t="e">
        <f>DIST_TOT!G181*COMB_TOT!G181*TAX_TOT!G181/FRO_TOT!G181</f>
        <v>#DIV/0!</v>
      </c>
      <c r="H181" s="415" t="e">
        <f>DIST_TOT!H181*COMB_TOT!H181*TAX_TOT!H181/FRO_TOT!H181</f>
        <v>#DIV/0!</v>
      </c>
      <c r="I181" s="415" t="e">
        <f>DIST_TOT!I181*COMB_TOT!I181*TAX_TOT!I181/FRO_TOT!I181</f>
        <v>#DIV/0!</v>
      </c>
      <c r="J181" s="415" t="e">
        <f>DIST_TOT!J181*COMB_TOT!J181*TAX_TOT!J181/FRO_TOT!J181</f>
        <v>#DIV/0!</v>
      </c>
      <c r="K181" s="415" t="e">
        <f>DIST_TOT!K181*COMB_TOT!K181*TAX_TOT!K181/FRO_TOT!K181</f>
        <v>#DIV/0!</v>
      </c>
      <c r="L181" s="415" t="e">
        <f>DIST_TOT!L181*COMB_TOT!L181*TAX_TOT!L181/FRO_TOT!L181</f>
        <v>#DIV/0!</v>
      </c>
      <c r="M181" s="415" t="e">
        <f>DIST_TOT!M181*COMB_TOT!M181*TAX_TOT!M181/FRO_TOT!M181</f>
        <v>#DIV/0!</v>
      </c>
      <c r="N181" s="415" t="e">
        <f>DIST_TOT!N181*COMB_TOT!N181*TAX_TOT!N181/FRO_TOT!N181</f>
        <v>#DIV/0!</v>
      </c>
      <c r="O181" s="415" t="e">
        <f>DIST_TOT!O181*COMB_TOT!O181*TAX_TOT!O181/FRO_TOT!O181</f>
        <v>#DIV/0!</v>
      </c>
      <c r="P181" s="415" t="e">
        <f>DIST_TOT!P181*COMB_TOT!P181*TAX_TOT!P181/FRO_TOT!P181</f>
        <v>#DIV/0!</v>
      </c>
      <c r="Q181" s="415" t="e">
        <f>DIST_TOT!Q181*COMB_TOT!Q181*TAX_TOT!Q181/FRO_TOT!Q181</f>
        <v>#DIV/0!</v>
      </c>
      <c r="R181" s="421">
        <f>DIST_TOT!R181*COMB_TOT!R181*TAX_TOT!R181/FRO_TOT!R181</f>
        <v>0</v>
      </c>
      <c r="T181" s="268" t="s">
        <v>69</v>
      </c>
      <c r="U181" s="697" t="e">
        <f>SUMPRODUCT(B181:R181,FRO_TOT!B181:R181)/SUM(FRO_TOT!B181:R181)</f>
        <v>#DIV/0!</v>
      </c>
      <c r="V181" s="1">
        <v>0.40645633114008051</v>
      </c>
      <c r="W181" s="1">
        <f t="shared" si="0"/>
        <v>40645.633114008051</v>
      </c>
    </row>
    <row r="182" spans="1:23">
      <c r="A182" s="130" t="s">
        <v>36</v>
      </c>
      <c r="B182" s="422" t="e">
        <f>DIST_TOT!B182*COMB_TOT!B182*TAX_TOT!B182/FRO_TOT!B182</f>
        <v>#DIV/0!</v>
      </c>
      <c r="C182" s="416" t="e">
        <f>DIST_TOT!C182*COMB_TOT!C182*TAX_TOT!C182/FRO_TOT!C182</f>
        <v>#DIV/0!</v>
      </c>
      <c r="D182" s="416" t="e">
        <f>DIST_TOT!D182*COMB_TOT!D182*TAX_TOT!D182/FRO_TOT!D182</f>
        <v>#DIV/0!</v>
      </c>
      <c r="E182" s="416" t="e">
        <f>DIST_TOT!E182*COMB_TOT!E182*TAX_TOT!E182/FRO_TOT!E182</f>
        <v>#DIV/0!</v>
      </c>
      <c r="F182" s="416" t="e">
        <f>DIST_TOT!F182*COMB_TOT!F182*TAX_TOT!F182/FRO_TOT!F182</f>
        <v>#DIV/0!</v>
      </c>
      <c r="G182" s="416" t="e">
        <f>DIST_TOT!G182*COMB_TOT!G182*TAX_TOT!G182/FRO_TOT!G182</f>
        <v>#DIV/0!</v>
      </c>
      <c r="H182" s="416" t="e">
        <f>DIST_TOT!H182*COMB_TOT!H182*TAX_TOT!H182/FRO_TOT!H182</f>
        <v>#DIV/0!</v>
      </c>
      <c r="I182" s="416" t="e">
        <f>DIST_TOT!I182*COMB_TOT!I182*TAX_TOT!I182/FRO_TOT!I182</f>
        <v>#DIV/0!</v>
      </c>
      <c r="J182" s="416" t="e">
        <f>DIST_TOT!J182*COMB_TOT!J182*TAX_TOT!J182/FRO_TOT!J182</f>
        <v>#DIV/0!</v>
      </c>
      <c r="K182" s="416" t="e">
        <f>DIST_TOT!K182*COMB_TOT!K182*TAX_TOT!K182/FRO_TOT!K182</f>
        <v>#DIV/0!</v>
      </c>
      <c r="L182" s="416" t="e">
        <f>DIST_TOT!L182*COMB_TOT!L182*TAX_TOT!L182/FRO_TOT!L182</f>
        <v>#DIV/0!</v>
      </c>
      <c r="M182" s="416" t="e">
        <f>DIST_TOT!M182*COMB_TOT!M182*TAX_TOT!M182/FRO_TOT!M182</f>
        <v>#DIV/0!</v>
      </c>
      <c r="N182" s="416" t="e">
        <f>DIST_TOT!N182*COMB_TOT!N182*TAX_TOT!N182/FRO_TOT!N182</f>
        <v>#DIV/0!</v>
      </c>
      <c r="O182" s="416" t="e">
        <f>DIST_TOT!O182*COMB_TOT!O182*TAX_TOT!O182/FRO_TOT!O182</f>
        <v>#DIV/0!</v>
      </c>
      <c r="P182" s="416" t="e">
        <f>DIST_TOT!P182*COMB_TOT!P182*TAX_TOT!P182/FRO_TOT!P182</f>
        <v>#DIV/0!</v>
      </c>
      <c r="Q182" s="416" t="e">
        <f>DIST_TOT!Q182*COMB_TOT!Q182*TAX_TOT!Q182/FRO_TOT!Q182</f>
        <v>#DIV/0!</v>
      </c>
      <c r="R182" s="423">
        <f>DIST_TOT!R182*COMB_TOT!R182*TAX_TOT!R182/FRO_TOT!R182</f>
        <v>0</v>
      </c>
      <c r="T182" s="190" t="s">
        <v>36</v>
      </c>
      <c r="U182" s="699" t="e">
        <f>SUMPRODUCT(B182:R182,FRO_TOT!B182:R182)/SUM(FRO_TOT!B182:R182)</f>
        <v>#DIV/0!</v>
      </c>
      <c r="V182" s="1">
        <v>0.40613166796488326</v>
      </c>
      <c r="W182" s="1">
        <f t="shared" si="0"/>
        <v>40613.166796488324</v>
      </c>
    </row>
    <row r="183" spans="1:23">
      <c r="A183" s="130" t="s">
        <v>37</v>
      </c>
      <c r="B183" s="422" t="e">
        <f>DIST_TOT!B183*COMB_TOT!B183*TAX_TOT!B183/FRO_TOT!B183</f>
        <v>#DIV/0!</v>
      </c>
      <c r="C183" s="416" t="e">
        <f>DIST_TOT!C183*COMB_TOT!C183*TAX_TOT!C183/FRO_TOT!C183</f>
        <v>#DIV/0!</v>
      </c>
      <c r="D183" s="416" t="e">
        <f>DIST_TOT!D183*COMB_TOT!D183*TAX_TOT!D183/FRO_TOT!D183</f>
        <v>#DIV/0!</v>
      </c>
      <c r="E183" s="416" t="e">
        <f>DIST_TOT!E183*COMB_TOT!E183*TAX_TOT!E183/FRO_TOT!E183</f>
        <v>#DIV/0!</v>
      </c>
      <c r="F183" s="416" t="e">
        <f>DIST_TOT!F183*COMB_TOT!F183*TAX_TOT!F183/FRO_TOT!F183</f>
        <v>#DIV/0!</v>
      </c>
      <c r="G183" s="416" t="e">
        <f>DIST_TOT!G183*COMB_TOT!G183*TAX_TOT!G183/FRO_TOT!G183</f>
        <v>#DIV/0!</v>
      </c>
      <c r="H183" s="416" t="e">
        <f>DIST_TOT!H183*COMB_TOT!H183*TAX_TOT!H183/FRO_TOT!H183</f>
        <v>#DIV/0!</v>
      </c>
      <c r="I183" s="416" t="e">
        <f>DIST_TOT!I183*COMB_TOT!I183*TAX_TOT!I183/FRO_TOT!I183</f>
        <v>#DIV/0!</v>
      </c>
      <c r="J183" s="416" t="e">
        <f>DIST_TOT!J183*COMB_TOT!J183*TAX_TOT!J183/FRO_TOT!J183</f>
        <v>#DIV/0!</v>
      </c>
      <c r="K183" s="416" t="e">
        <f>DIST_TOT!K183*COMB_TOT!K183*TAX_TOT!K183/FRO_TOT!K183</f>
        <v>#DIV/0!</v>
      </c>
      <c r="L183" s="416" t="e">
        <f>DIST_TOT!L183*COMB_TOT!L183*TAX_TOT!L183/FRO_TOT!L183</f>
        <v>#DIV/0!</v>
      </c>
      <c r="M183" s="416" t="e">
        <f>DIST_TOT!M183*COMB_TOT!M183*TAX_TOT!M183/FRO_TOT!M183</f>
        <v>#DIV/0!</v>
      </c>
      <c r="N183" s="416" t="e">
        <f>DIST_TOT!N183*COMB_TOT!N183*TAX_TOT!N183/FRO_TOT!N183</f>
        <v>#DIV/0!</v>
      </c>
      <c r="O183" s="416" t="e">
        <f>DIST_TOT!O183*COMB_TOT!O183*TAX_TOT!O183/FRO_TOT!O183</f>
        <v>#DIV/0!</v>
      </c>
      <c r="P183" s="416" t="e">
        <f>DIST_TOT!P183*COMB_TOT!P183*TAX_TOT!P183/FRO_TOT!P183</f>
        <v>#DIV/0!</v>
      </c>
      <c r="Q183" s="416" t="e">
        <f>DIST_TOT!Q183*COMB_TOT!Q183*TAX_TOT!Q183/FRO_TOT!Q183</f>
        <v>#DIV/0!</v>
      </c>
      <c r="R183" s="423">
        <f>DIST_TOT!R183*COMB_TOT!R183*TAX_TOT!R183/FRO_TOT!R183</f>
        <v>0</v>
      </c>
      <c r="T183" s="130" t="s">
        <v>37</v>
      </c>
      <c r="U183" s="700" t="e">
        <f>SUMPRODUCT(B183:R183,FRO_TOT!B183:R183)/SUM(FRO_TOT!B183:R183)</f>
        <v>#DIV/0!</v>
      </c>
      <c r="V183" s="1">
        <v>0.3735138708458442</v>
      </c>
      <c r="W183" s="1">
        <f t="shared" si="0"/>
        <v>37351.387084584421</v>
      </c>
    </row>
    <row r="184" spans="1:23" ht="15.75" thickBot="1">
      <c r="A184" s="131" t="s">
        <v>38</v>
      </c>
      <c r="B184" s="422" t="e">
        <f>DIST_TOT!B184*COMB_TOT!B184*TAX_TOT!B184/FRO_TOT!B184</f>
        <v>#DIV/0!</v>
      </c>
      <c r="C184" s="416" t="e">
        <f>DIST_TOT!C184*COMB_TOT!C184*TAX_TOT!C184/FRO_TOT!C184</f>
        <v>#DIV/0!</v>
      </c>
      <c r="D184" s="416" t="e">
        <f>DIST_TOT!D184*COMB_TOT!D184*TAX_TOT!D184/FRO_TOT!D184</f>
        <v>#DIV/0!</v>
      </c>
      <c r="E184" s="416" t="e">
        <f>DIST_TOT!E184*COMB_TOT!E184*TAX_TOT!E184/FRO_TOT!E184</f>
        <v>#DIV/0!</v>
      </c>
      <c r="F184" s="416" t="e">
        <f>DIST_TOT!F184*COMB_TOT!F184*TAX_TOT!F184/FRO_TOT!F184</f>
        <v>#DIV/0!</v>
      </c>
      <c r="G184" s="416" t="e">
        <f>DIST_TOT!G184*COMB_TOT!G184*TAX_TOT!G184/FRO_TOT!G184</f>
        <v>#DIV/0!</v>
      </c>
      <c r="H184" s="416" t="e">
        <f>DIST_TOT!H184*COMB_TOT!H184*TAX_TOT!H184/FRO_TOT!H184</f>
        <v>#DIV/0!</v>
      </c>
      <c r="I184" s="416" t="e">
        <f>DIST_TOT!I184*COMB_TOT!I184*TAX_TOT!I184/FRO_TOT!I184</f>
        <v>#DIV/0!</v>
      </c>
      <c r="J184" s="416" t="e">
        <f>DIST_TOT!J184*COMB_TOT!J184*TAX_TOT!J184/FRO_TOT!J184</f>
        <v>#DIV/0!</v>
      </c>
      <c r="K184" s="416" t="e">
        <f>DIST_TOT!K184*COMB_TOT!K184*TAX_TOT!K184/FRO_TOT!K184</f>
        <v>#DIV/0!</v>
      </c>
      <c r="L184" s="416" t="e">
        <f>DIST_TOT!L184*COMB_TOT!L184*TAX_TOT!L184/FRO_TOT!L184</f>
        <v>#DIV/0!</v>
      </c>
      <c r="M184" s="416" t="e">
        <f>DIST_TOT!M184*COMB_TOT!M184*TAX_TOT!M184/FRO_TOT!M184</f>
        <v>#DIV/0!</v>
      </c>
      <c r="N184" s="416" t="e">
        <f>DIST_TOT!N184*COMB_TOT!N184*TAX_TOT!N184/FRO_TOT!N184</f>
        <v>#DIV/0!</v>
      </c>
      <c r="O184" s="416" t="e">
        <f>DIST_TOT!O184*COMB_TOT!O184*TAX_TOT!O184/FRO_TOT!O184</f>
        <v>#DIV/0!</v>
      </c>
      <c r="P184" s="416" t="e">
        <f>DIST_TOT!P184*COMB_TOT!P184*TAX_TOT!P184/FRO_TOT!P184</f>
        <v>#DIV/0!</v>
      </c>
      <c r="Q184" s="416" t="e">
        <f>DIST_TOT!Q184*COMB_TOT!Q184*TAX_TOT!Q184/FRO_TOT!Q184</f>
        <v>#DIV/0!</v>
      </c>
      <c r="R184" s="423">
        <f>DIST_TOT!R184*COMB_TOT!R184*TAX_TOT!R184/FRO_TOT!R184</f>
        <v>0</v>
      </c>
      <c r="T184" s="210" t="s">
        <v>38</v>
      </c>
      <c r="U184" s="701" t="e">
        <f>SUMPRODUCT(B184:R184,FRO_TOT!B184:R184)/SUM(FRO_TOT!B184:R184)</f>
        <v>#DIV/0!</v>
      </c>
      <c r="V184" s="1">
        <v>0.46610614601657108</v>
      </c>
      <c r="W184" s="1">
        <f t="shared" si="0"/>
        <v>46610.614601657107</v>
      </c>
    </row>
    <row r="185" spans="1:23" ht="15.75" thickBot="1">
      <c r="A185" s="325" t="s">
        <v>73</v>
      </c>
      <c r="B185" s="420" t="e">
        <f>DIST_TOT!B185*COMB_TOT!B185*TAX_TOT!B185/FRO_TOT!B185</f>
        <v>#DIV/0!</v>
      </c>
      <c r="C185" s="415" t="e">
        <f>DIST_TOT!C185*COMB_TOT!C185*TAX_TOT!C185/FRO_TOT!C185</f>
        <v>#DIV/0!</v>
      </c>
      <c r="D185" s="415" t="e">
        <f>DIST_TOT!D185*COMB_TOT!D185*TAX_TOT!D185/FRO_TOT!D185</f>
        <v>#DIV/0!</v>
      </c>
      <c r="E185" s="415" t="e">
        <f>DIST_TOT!E185*COMB_TOT!E185*TAX_TOT!E185/FRO_TOT!E185</f>
        <v>#DIV/0!</v>
      </c>
      <c r="F185" s="415" t="e">
        <f>DIST_TOT!F185*COMB_TOT!F185*TAX_TOT!F185/FRO_TOT!F185</f>
        <v>#DIV/0!</v>
      </c>
      <c r="G185" s="415" t="e">
        <f>DIST_TOT!G185*COMB_TOT!G185*TAX_TOT!G185/FRO_TOT!G185</f>
        <v>#DIV/0!</v>
      </c>
      <c r="H185" s="415" t="e">
        <f>DIST_TOT!H185*COMB_TOT!H185*TAX_TOT!H185/FRO_TOT!H185</f>
        <v>#DIV/0!</v>
      </c>
      <c r="I185" s="415" t="e">
        <f>DIST_TOT!I185*COMB_TOT!I185*TAX_TOT!I185/FRO_TOT!I185</f>
        <v>#DIV/0!</v>
      </c>
      <c r="J185" s="415" t="e">
        <f>DIST_TOT!J185*COMB_TOT!J185*TAX_TOT!J185/FRO_TOT!J185</f>
        <v>#DIV/0!</v>
      </c>
      <c r="K185" s="415" t="e">
        <f>DIST_TOT!K185*COMB_TOT!K185*TAX_TOT!K185/FRO_TOT!K185</f>
        <v>#DIV/0!</v>
      </c>
      <c r="L185" s="415" t="e">
        <f>DIST_TOT!L185*COMB_TOT!L185*TAX_TOT!L185/FRO_TOT!L185</f>
        <v>#DIV/0!</v>
      </c>
      <c r="M185" s="415" t="e">
        <f>DIST_TOT!M185*COMB_TOT!M185*TAX_TOT!M185/FRO_TOT!M185</f>
        <v>#DIV/0!</v>
      </c>
      <c r="N185" s="415" t="e">
        <f>DIST_TOT!N185*COMB_TOT!N185*TAX_TOT!N185/FRO_TOT!N185</f>
        <v>#DIV/0!</v>
      </c>
      <c r="O185" s="415" t="e">
        <f>DIST_TOT!O185*COMB_TOT!O185*TAX_TOT!O185/FRO_TOT!O185</f>
        <v>#DIV/0!</v>
      </c>
      <c r="P185" s="415" t="e">
        <f>DIST_TOT!P185*COMB_TOT!P185*TAX_TOT!P185/FRO_TOT!P185</f>
        <v>#DIV/0!</v>
      </c>
      <c r="Q185" s="415" t="e">
        <f>DIST_TOT!Q185*COMB_TOT!Q185*TAX_TOT!Q185/FRO_TOT!Q185</f>
        <v>#DIV/0!</v>
      </c>
      <c r="R185" s="421">
        <f>DIST_TOT!R185*COMB_TOT!R185*TAX_TOT!R185/FRO_TOT!R185</f>
        <v>0</v>
      </c>
      <c r="T185" s="268" t="s">
        <v>73</v>
      </c>
      <c r="U185" s="697" t="e">
        <f>SUMPRODUCT(B185:R185,FRO_TOT!B185:R185)/SUM(FRO_TOT!B185:R185)</f>
        <v>#DIV/0!</v>
      </c>
      <c r="V185" s="1">
        <v>0.33770049001368579</v>
      </c>
      <c r="W185" s="1">
        <f t="shared" si="0"/>
        <v>33770.049001368578</v>
      </c>
    </row>
    <row r="186" spans="1:23">
      <c r="A186" s="130" t="s">
        <v>40</v>
      </c>
      <c r="B186" s="422" t="e">
        <f>DIST_TOT!B186*COMB_TOT!B186*TAX_TOT!B186/FRO_TOT!B186</f>
        <v>#DIV/0!</v>
      </c>
      <c r="C186" s="416" t="e">
        <f>DIST_TOT!C186*COMB_TOT!C186*TAX_TOT!C186/FRO_TOT!C186</f>
        <v>#DIV/0!</v>
      </c>
      <c r="D186" s="416" t="e">
        <f>DIST_TOT!D186*COMB_TOT!D186*TAX_TOT!D186/FRO_TOT!D186</f>
        <v>#DIV/0!</v>
      </c>
      <c r="E186" s="416" t="e">
        <f>DIST_TOT!E186*COMB_TOT!E186*TAX_TOT!E186/FRO_TOT!E186</f>
        <v>#DIV/0!</v>
      </c>
      <c r="F186" s="416" t="e">
        <f>DIST_TOT!F186*COMB_TOT!F186*TAX_TOT!F186/FRO_TOT!F186</f>
        <v>#DIV/0!</v>
      </c>
      <c r="G186" s="416" t="e">
        <f>DIST_TOT!G186*COMB_TOT!G186*TAX_TOT!G186/FRO_TOT!G186</f>
        <v>#DIV/0!</v>
      </c>
      <c r="H186" s="416" t="e">
        <f>DIST_TOT!H186*COMB_TOT!H186*TAX_TOT!H186/FRO_TOT!H186</f>
        <v>#DIV/0!</v>
      </c>
      <c r="I186" s="416" t="e">
        <f>DIST_TOT!I186*COMB_TOT!I186*TAX_TOT!I186/FRO_TOT!I186</f>
        <v>#DIV/0!</v>
      </c>
      <c r="J186" s="416" t="e">
        <f>DIST_TOT!J186*COMB_TOT!J186*TAX_TOT!J186/FRO_TOT!J186</f>
        <v>#DIV/0!</v>
      </c>
      <c r="K186" s="416" t="e">
        <f>DIST_TOT!K186*COMB_TOT!K186*TAX_TOT!K186/FRO_TOT!K186</f>
        <v>#DIV/0!</v>
      </c>
      <c r="L186" s="416" t="e">
        <f>DIST_TOT!L186*COMB_TOT!L186*TAX_TOT!L186/FRO_TOT!L186</f>
        <v>#DIV/0!</v>
      </c>
      <c r="M186" s="416" t="e">
        <f>DIST_TOT!M186*COMB_TOT!M186*TAX_TOT!M186/FRO_TOT!M186</f>
        <v>#DIV/0!</v>
      </c>
      <c r="N186" s="416" t="e">
        <f>DIST_TOT!N186*COMB_TOT!N186*TAX_TOT!N186/FRO_TOT!N186</f>
        <v>#DIV/0!</v>
      </c>
      <c r="O186" s="416" t="e">
        <f>DIST_TOT!O186*COMB_TOT!O186*TAX_TOT!O186/FRO_TOT!O186</f>
        <v>#DIV/0!</v>
      </c>
      <c r="P186" s="416" t="e">
        <f>DIST_TOT!P186*COMB_TOT!P186*TAX_TOT!P186/FRO_TOT!P186</f>
        <v>#DIV/0!</v>
      </c>
      <c r="Q186" s="416" t="e">
        <f>DIST_TOT!Q186*COMB_TOT!Q186*TAX_TOT!Q186/FRO_TOT!Q186</f>
        <v>#DIV/0!</v>
      </c>
      <c r="R186" s="423">
        <f>DIST_TOT!R186*COMB_TOT!R186*TAX_TOT!R186/FRO_TOT!R186</f>
        <v>0</v>
      </c>
      <c r="T186" s="190" t="s">
        <v>40</v>
      </c>
      <c r="U186" s="699" t="e">
        <f>SUMPRODUCT(B186:R186,FRO_TOT!B186:R186)/SUM(FRO_TOT!B186:R186)</f>
        <v>#DIV/0!</v>
      </c>
      <c r="V186" s="1">
        <v>0.40601441131130733</v>
      </c>
      <c r="W186" s="1">
        <f t="shared" si="0"/>
        <v>40601.441131130734</v>
      </c>
    </row>
    <row r="187" spans="1:23">
      <c r="A187" s="130" t="s">
        <v>41</v>
      </c>
      <c r="B187" s="422" t="e">
        <f>DIST_TOT!B187*COMB_TOT!B187*TAX_TOT!B187/FRO_TOT!B187</f>
        <v>#DIV/0!</v>
      </c>
      <c r="C187" s="416" t="e">
        <f>DIST_TOT!C187*COMB_TOT!C187*TAX_TOT!C187/FRO_TOT!C187</f>
        <v>#DIV/0!</v>
      </c>
      <c r="D187" s="416" t="e">
        <f>DIST_TOT!D187*COMB_TOT!D187*TAX_TOT!D187/FRO_TOT!D187</f>
        <v>#DIV/0!</v>
      </c>
      <c r="E187" s="416" t="e">
        <f>DIST_TOT!E187*COMB_TOT!E187*TAX_TOT!E187/FRO_TOT!E187</f>
        <v>#DIV/0!</v>
      </c>
      <c r="F187" s="416" t="e">
        <f>DIST_TOT!F187*COMB_TOT!F187*TAX_TOT!F187/FRO_TOT!F187</f>
        <v>#DIV/0!</v>
      </c>
      <c r="G187" s="416" t="e">
        <f>DIST_TOT!G187*COMB_TOT!G187*TAX_TOT!G187/FRO_TOT!G187</f>
        <v>#DIV/0!</v>
      </c>
      <c r="H187" s="416" t="e">
        <f>DIST_TOT!H187*COMB_TOT!H187*TAX_TOT!H187/FRO_TOT!H187</f>
        <v>#DIV/0!</v>
      </c>
      <c r="I187" s="416" t="e">
        <f>DIST_TOT!I187*COMB_TOT!I187*TAX_TOT!I187/FRO_TOT!I187</f>
        <v>#DIV/0!</v>
      </c>
      <c r="J187" s="416" t="e">
        <f>DIST_TOT!J187*COMB_TOT!J187*TAX_TOT!J187/FRO_TOT!J187</f>
        <v>#DIV/0!</v>
      </c>
      <c r="K187" s="416" t="e">
        <f>DIST_TOT!K187*COMB_TOT!K187*TAX_TOT!K187/FRO_TOT!K187</f>
        <v>#DIV/0!</v>
      </c>
      <c r="L187" s="416" t="e">
        <f>DIST_TOT!L187*COMB_TOT!L187*TAX_TOT!L187/FRO_TOT!L187</f>
        <v>#DIV/0!</v>
      </c>
      <c r="M187" s="416" t="e">
        <f>DIST_TOT!M187*COMB_TOT!M187*TAX_TOT!M187/FRO_TOT!M187</f>
        <v>#DIV/0!</v>
      </c>
      <c r="N187" s="416" t="e">
        <f>DIST_TOT!N187*COMB_TOT!N187*TAX_TOT!N187/FRO_TOT!N187</f>
        <v>#DIV/0!</v>
      </c>
      <c r="O187" s="416" t="e">
        <f>DIST_TOT!O187*COMB_TOT!O187*TAX_TOT!O187/FRO_TOT!O187</f>
        <v>#DIV/0!</v>
      </c>
      <c r="P187" s="416" t="e">
        <f>DIST_TOT!P187*COMB_TOT!P187*TAX_TOT!P187/FRO_TOT!P187</f>
        <v>#DIV/0!</v>
      </c>
      <c r="Q187" s="416" t="e">
        <f>DIST_TOT!Q187*COMB_TOT!Q187*TAX_TOT!Q187/FRO_TOT!Q187</f>
        <v>#DIV/0!</v>
      </c>
      <c r="R187" s="423">
        <f>DIST_TOT!R187*COMB_TOT!R187*TAX_TOT!R187/FRO_TOT!R187</f>
        <v>0</v>
      </c>
      <c r="T187" s="130" t="s">
        <v>41</v>
      </c>
      <c r="U187" s="700" t="e">
        <f>SUMPRODUCT(B187:R187,FRO_TOT!B187:R187)/SUM(FRO_TOT!B187:R187)</f>
        <v>#DIV/0!</v>
      </c>
      <c r="V187" s="1">
        <v>0.32622400425936987</v>
      </c>
      <c r="W187" s="1">
        <f t="shared" si="0"/>
        <v>32622.400425936987</v>
      </c>
    </row>
    <row r="188" spans="1:23">
      <c r="A188" s="130" t="s">
        <v>42</v>
      </c>
      <c r="B188" s="422" t="e">
        <f>DIST_TOT!B188*COMB_TOT!B188*TAX_TOT!B188/FRO_TOT!B188</f>
        <v>#DIV/0!</v>
      </c>
      <c r="C188" s="416" t="e">
        <f>DIST_TOT!C188*COMB_TOT!C188*TAX_TOT!C188/FRO_TOT!C188</f>
        <v>#DIV/0!</v>
      </c>
      <c r="D188" s="416" t="e">
        <f>DIST_TOT!D188*COMB_TOT!D188*TAX_TOT!D188/FRO_TOT!D188</f>
        <v>#DIV/0!</v>
      </c>
      <c r="E188" s="416" t="e">
        <f>DIST_TOT!E188*COMB_TOT!E188*TAX_TOT!E188/FRO_TOT!E188</f>
        <v>#DIV/0!</v>
      </c>
      <c r="F188" s="416" t="e">
        <f>DIST_TOT!F188*COMB_TOT!F188*TAX_TOT!F188/FRO_TOT!F188</f>
        <v>#DIV/0!</v>
      </c>
      <c r="G188" s="416" t="e">
        <f>DIST_TOT!G188*COMB_TOT!G188*TAX_TOT!G188/FRO_TOT!G188</f>
        <v>#DIV/0!</v>
      </c>
      <c r="H188" s="416" t="e">
        <f>DIST_TOT!H188*COMB_TOT!H188*TAX_TOT!H188/FRO_TOT!H188</f>
        <v>#DIV/0!</v>
      </c>
      <c r="I188" s="416" t="e">
        <f>DIST_TOT!I188*COMB_TOT!I188*TAX_TOT!I188/FRO_TOT!I188</f>
        <v>#DIV/0!</v>
      </c>
      <c r="J188" s="416" t="e">
        <f>DIST_TOT!J188*COMB_TOT!J188*TAX_TOT!J188/FRO_TOT!J188</f>
        <v>#DIV/0!</v>
      </c>
      <c r="K188" s="416" t="e">
        <f>DIST_TOT!K188*COMB_TOT!K188*TAX_TOT!K188/FRO_TOT!K188</f>
        <v>#DIV/0!</v>
      </c>
      <c r="L188" s="416" t="e">
        <f>DIST_TOT!L188*COMB_TOT!L188*TAX_TOT!L188/FRO_TOT!L188</f>
        <v>#DIV/0!</v>
      </c>
      <c r="M188" s="416" t="e">
        <f>DIST_TOT!M188*COMB_TOT!M188*TAX_TOT!M188/FRO_TOT!M188</f>
        <v>#DIV/0!</v>
      </c>
      <c r="N188" s="416" t="e">
        <f>DIST_TOT!N188*COMB_TOT!N188*TAX_TOT!N188/FRO_TOT!N188</f>
        <v>#DIV/0!</v>
      </c>
      <c r="O188" s="416" t="e">
        <f>DIST_TOT!O188*COMB_TOT!O188*TAX_TOT!O188/FRO_TOT!O188</f>
        <v>#DIV/0!</v>
      </c>
      <c r="P188" s="416" t="e">
        <f>DIST_TOT!P188*COMB_TOT!P188*TAX_TOT!P188/FRO_TOT!P188</f>
        <v>#DIV/0!</v>
      </c>
      <c r="Q188" s="416" t="e">
        <f>DIST_TOT!Q188*COMB_TOT!Q188*TAX_TOT!Q188/FRO_TOT!Q188</f>
        <v>#DIV/0!</v>
      </c>
      <c r="R188" s="423">
        <f>DIST_TOT!R188*COMB_TOT!R188*TAX_TOT!R188/FRO_TOT!R188</f>
        <v>0</v>
      </c>
      <c r="T188" s="130" t="s">
        <v>42</v>
      </c>
      <c r="U188" s="700" t="e">
        <f>SUMPRODUCT(B188:R188,FRO_TOT!B188:R188)/SUM(FRO_TOT!B188:R188)</f>
        <v>#DIV/0!</v>
      </c>
      <c r="V188" s="1">
        <v>0.30439235197779918</v>
      </c>
      <c r="W188" s="1">
        <f t="shared" si="0"/>
        <v>30439.235197779919</v>
      </c>
    </row>
    <row r="189" spans="1:23" ht="15.75" thickBot="1">
      <c r="A189" s="131" t="s">
        <v>43</v>
      </c>
      <c r="B189" s="424" t="e">
        <f>DIST_TOT!B189*COMB_TOT!B189*TAX_TOT!B189/FRO_TOT!B189</f>
        <v>#DIV/0!</v>
      </c>
      <c r="C189" s="425" t="e">
        <f>DIST_TOT!C189*COMB_TOT!C189*TAX_TOT!C189/FRO_TOT!C189</f>
        <v>#DIV/0!</v>
      </c>
      <c r="D189" s="425" t="e">
        <f>DIST_TOT!D189*COMB_TOT!D189*TAX_TOT!D189/FRO_TOT!D189</f>
        <v>#DIV/0!</v>
      </c>
      <c r="E189" s="425" t="e">
        <f>DIST_TOT!E189*COMB_TOT!E189*TAX_TOT!E189/FRO_TOT!E189</f>
        <v>#DIV/0!</v>
      </c>
      <c r="F189" s="425" t="e">
        <f>DIST_TOT!F189*COMB_TOT!F189*TAX_TOT!F189/FRO_TOT!F189</f>
        <v>#DIV/0!</v>
      </c>
      <c r="G189" s="425" t="e">
        <f>DIST_TOT!G189*COMB_TOT!G189*TAX_TOT!G189/FRO_TOT!G189</f>
        <v>#DIV/0!</v>
      </c>
      <c r="H189" s="425" t="e">
        <f>DIST_TOT!H189*COMB_TOT!H189*TAX_TOT!H189/FRO_TOT!H189</f>
        <v>#DIV/0!</v>
      </c>
      <c r="I189" s="425" t="e">
        <f>DIST_TOT!I189*COMB_TOT!I189*TAX_TOT!I189/FRO_TOT!I189</f>
        <v>#DIV/0!</v>
      </c>
      <c r="J189" s="425" t="e">
        <f>DIST_TOT!J189*COMB_TOT!J189*TAX_TOT!J189/FRO_TOT!J189</f>
        <v>#DIV/0!</v>
      </c>
      <c r="K189" s="425" t="e">
        <f>DIST_TOT!K189*COMB_TOT!K189*TAX_TOT!K189/FRO_TOT!K189</f>
        <v>#DIV/0!</v>
      </c>
      <c r="L189" s="425" t="e">
        <f>DIST_TOT!L189*COMB_TOT!L189*TAX_TOT!L189/FRO_TOT!L189</f>
        <v>#DIV/0!</v>
      </c>
      <c r="M189" s="425" t="e">
        <f>DIST_TOT!M189*COMB_TOT!M189*TAX_TOT!M189/FRO_TOT!M189</f>
        <v>#DIV/0!</v>
      </c>
      <c r="N189" s="425" t="e">
        <f>DIST_TOT!N189*COMB_TOT!N189*TAX_TOT!N189/FRO_TOT!N189</f>
        <v>#DIV/0!</v>
      </c>
      <c r="O189" s="425" t="e">
        <f>DIST_TOT!O189*COMB_TOT!O189*TAX_TOT!O189/FRO_TOT!O189</f>
        <v>#DIV/0!</v>
      </c>
      <c r="P189" s="425" t="e">
        <f>DIST_TOT!P189*COMB_TOT!P189*TAX_TOT!P189/FRO_TOT!P189</f>
        <v>#DIV/0!</v>
      </c>
      <c r="Q189" s="425" t="e">
        <f>DIST_TOT!Q189*COMB_TOT!Q189*TAX_TOT!Q189/FRO_TOT!Q189</f>
        <v>#DIV/0!</v>
      </c>
      <c r="R189" s="426">
        <f>DIST_TOT!R189*COMB_TOT!R189*TAX_TOT!R189/FRO_TOT!R189</f>
        <v>0</v>
      </c>
      <c r="T189" s="131" t="s">
        <v>43</v>
      </c>
      <c r="U189" s="702" t="e">
        <f>SUMPRODUCT(B189:R189,FRO_TOT!B189:R189)/SUM(FRO_TOT!B189:R189)</f>
        <v>#DIV/0!</v>
      </c>
      <c r="V189" s="1">
        <v>0.33380806469702379</v>
      </c>
      <c r="W189" s="1">
        <f t="shared" si="0"/>
        <v>33380.80646970238</v>
      </c>
    </row>
    <row r="190" spans="1:23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T190" s="1"/>
    </row>
    <row r="191" spans="1:23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T191" s="1"/>
    </row>
    <row r="192" spans="1:23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T192" s="1"/>
    </row>
    <row r="193" spans="1:20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T193" s="1"/>
    </row>
    <row r="194" spans="1:20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T194" s="1"/>
    </row>
    <row r="195" spans="1:20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T195" s="1"/>
    </row>
    <row r="196" spans="1:20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T196" s="1"/>
    </row>
    <row r="197" spans="1:20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T197" s="1"/>
    </row>
    <row r="198" spans="1:20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T198" s="1"/>
    </row>
    <row r="199" spans="1:20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T199" s="1"/>
    </row>
    <row r="200" spans="1:20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T200" s="1"/>
    </row>
    <row r="201" spans="1:20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T201" s="1"/>
    </row>
    <row r="202" spans="1:20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T202" s="1"/>
    </row>
    <row r="203" spans="1:20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T203" s="1"/>
    </row>
    <row r="204" spans="1:20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T204" s="1"/>
    </row>
    <row r="205" spans="1:20">
      <c r="A205" s="1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T205" s="1"/>
    </row>
    <row r="206" spans="1:20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T206" s="1"/>
    </row>
    <row r="207" spans="1:20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T207" s="1"/>
    </row>
    <row r="208" spans="1:20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T208" s="1"/>
    </row>
    <row r="209" spans="1:20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T209" s="1"/>
    </row>
    <row r="210" spans="1:20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T210" s="1"/>
    </row>
  </sheetData>
  <mergeCells count="80">
    <mergeCell ref="T1:U4"/>
    <mergeCell ref="T39:U42"/>
    <mergeCell ref="T77:U80"/>
    <mergeCell ref="T115:U118"/>
    <mergeCell ref="T153:U156"/>
    <mergeCell ref="A153:A156"/>
    <mergeCell ref="B153:R153"/>
    <mergeCell ref="B154:G154"/>
    <mergeCell ref="H154:I154"/>
    <mergeCell ref="J154:Q154"/>
    <mergeCell ref="B155:B156"/>
    <mergeCell ref="C155:C156"/>
    <mergeCell ref="D155:G155"/>
    <mergeCell ref="H155:H156"/>
    <mergeCell ref="I155:I156"/>
    <mergeCell ref="J155:L155"/>
    <mergeCell ref="M155:O155"/>
    <mergeCell ref="P155:P156"/>
    <mergeCell ref="Q155:Q156"/>
    <mergeCell ref="R155:R156"/>
    <mergeCell ref="B115:R115"/>
    <mergeCell ref="B116:G116"/>
    <mergeCell ref="H116:I116"/>
    <mergeCell ref="J116:Q116"/>
    <mergeCell ref="B117:B118"/>
    <mergeCell ref="C117:C118"/>
    <mergeCell ref="Q117:Q118"/>
    <mergeCell ref="R117:R118"/>
    <mergeCell ref="D117:G117"/>
    <mergeCell ref="H117:H118"/>
    <mergeCell ref="I117:I118"/>
    <mergeCell ref="J117:L117"/>
    <mergeCell ref="M117:O117"/>
    <mergeCell ref="P117:P118"/>
    <mergeCell ref="A115:A118"/>
    <mergeCell ref="B77:R77"/>
    <mergeCell ref="B78:G78"/>
    <mergeCell ref="H78:I78"/>
    <mergeCell ref="J78:Q78"/>
    <mergeCell ref="B79:B80"/>
    <mergeCell ref="P79:P80"/>
    <mergeCell ref="Q79:Q80"/>
    <mergeCell ref="R79:R80"/>
    <mergeCell ref="C79:C80"/>
    <mergeCell ref="D79:G79"/>
    <mergeCell ref="H79:H80"/>
    <mergeCell ref="I79:I80"/>
    <mergeCell ref="J79:L79"/>
    <mergeCell ref="M79:O79"/>
    <mergeCell ref="A77:A80"/>
    <mergeCell ref="B39:R39"/>
    <mergeCell ref="B40:G40"/>
    <mergeCell ref="H40:I40"/>
    <mergeCell ref="J40:Q40"/>
    <mergeCell ref="M41:O41"/>
    <mergeCell ref="P41:P42"/>
    <mergeCell ref="Q41:Q42"/>
    <mergeCell ref="R41:R42"/>
    <mergeCell ref="B41:B42"/>
    <mergeCell ref="C41:C42"/>
    <mergeCell ref="D41:G41"/>
    <mergeCell ref="H41:H42"/>
    <mergeCell ref="I41:I42"/>
    <mergeCell ref="J41:L41"/>
    <mergeCell ref="A39:A42"/>
    <mergeCell ref="B1:R1"/>
    <mergeCell ref="B2:G2"/>
    <mergeCell ref="H2:I2"/>
    <mergeCell ref="J2:Q2"/>
    <mergeCell ref="B3:B4"/>
    <mergeCell ref="C3:C4"/>
    <mergeCell ref="D3:G3"/>
    <mergeCell ref="H3:H4"/>
    <mergeCell ref="I3:I4"/>
    <mergeCell ref="J3:L3"/>
    <mergeCell ref="M3:O3"/>
    <mergeCell ref="P3:P4"/>
    <mergeCell ref="Q3:Q4"/>
    <mergeCell ref="R3:R4"/>
    <mergeCell ref="A1:A4"/>
  </mergeCells>
  <pageMargins left="0.511811024" right="0.511811024" top="0.78740157499999996" bottom="0.78740157499999996" header="0.31496062000000002" footer="0.31496062000000002"/>
  <pageSetup paperSize="9"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9" tint="-0.249977111117893"/>
  </sheetPr>
  <dimension ref="A1:BA371"/>
  <sheetViews>
    <sheetView topLeftCell="A82" workbookViewId="0">
      <pane xSplit="1" topLeftCell="B1" activePane="topRight" state="frozen"/>
      <selection pane="topRight" activeCell="H3" sqref="H3"/>
    </sheetView>
  </sheetViews>
  <sheetFormatPr defaultColWidth="8.85546875" defaultRowHeight="15"/>
  <cols>
    <col min="1" max="1" width="17.28515625" style="57" customWidth="1"/>
    <col min="2" max="2" width="15.28515625" style="57" customWidth="1"/>
    <col min="3" max="3" width="16" style="57" customWidth="1"/>
    <col min="4" max="5" width="13.85546875" style="57" customWidth="1"/>
    <col min="6" max="6" width="15.28515625" style="57" customWidth="1"/>
    <col min="7" max="7" width="14.140625" style="57" customWidth="1"/>
    <col min="8" max="8" width="17" style="57" customWidth="1"/>
    <col min="9" max="9" width="14.140625" style="57" customWidth="1"/>
    <col min="10" max="10" width="11.85546875" style="57" customWidth="1"/>
    <col min="11" max="11" width="12.7109375" style="57" bestFit="1" customWidth="1"/>
    <col min="12" max="12" width="13.140625" style="57" customWidth="1"/>
    <col min="13" max="53" width="8.85546875" style="1"/>
  </cols>
  <sheetData>
    <row r="1" spans="1:14">
      <c r="A1" s="1097" t="s">
        <v>131</v>
      </c>
      <c r="B1" s="1098"/>
      <c r="C1" s="1098"/>
      <c r="D1" s="1098"/>
      <c r="E1" s="1098"/>
      <c r="F1" s="1098"/>
      <c r="G1" s="1098"/>
      <c r="H1" s="1098"/>
      <c r="I1" s="1098"/>
      <c r="J1" s="1098"/>
      <c r="K1" s="1098"/>
      <c r="L1" s="1099"/>
      <c r="N1"/>
    </row>
    <row r="2" spans="1:14" ht="51">
      <c r="A2" s="441" t="s">
        <v>132</v>
      </c>
      <c r="B2" s="442" t="s">
        <v>1</v>
      </c>
      <c r="C2" s="442" t="s">
        <v>78</v>
      </c>
      <c r="D2" s="442" t="s">
        <v>7</v>
      </c>
      <c r="E2" s="442" t="s">
        <v>133</v>
      </c>
      <c r="F2" s="442" t="s">
        <v>79</v>
      </c>
      <c r="G2" s="442" t="s">
        <v>134</v>
      </c>
      <c r="H2" s="442" t="s">
        <v>135</v>
      </c>
      <c r="I2" s="442" t="s">
        <v>4</v>
      </c>
      <c r="J2" s="442" t="s">
        <v>136</v>
      </c>
      <c r="K2" s="442" t="s">
        <v>8</v>
      </c>
      <c r="L2" s="443" t="s">
        <v>137</v>
      </c>
    </row>
    <row r="3" spans="1:14">
      <c r="A3" s="444" t="s">
        <v>11</v>
      </c>
      <c r="B3" s="152">
        <f>SUM(B4+B12+B22+B27+B31)</f>
        <v>55425491</v>
      </c>
      <c r="C3" s="152">
        <f t="shared" ref="C3:L3" si="0">SUM(C4,C12,C22,C27,C31)</f>
        <v>33207487</v>
      </c>
      <c r="D3" s="152">
        <f t="shared" si="0"/>
        <v>1976271</v>
      </c>
      <c r="E3" s="152">
        <f t="shared" si="0"/>
        <v>351223</v>
      </c>
      <c r="F3" s="152">
        <f t="shared" si="0"/>
        <v>3649601</v>
      </c>
      <c r="G3" s="152">
        <f t="shared" si="0"/>
        <v>1634422</v>
      </c>
      <c r="H3" s="152">
        <f t="shared" si="0"/>
        <v>240590</v>
      </c>
      <c r="I3" s="152">
        <f t="shared" si="0"/>
        <v>11697640</v>
      </c>
      <c r="J3" s="152">
        <f t="shared" si="0"/>
        <v>2064240</v>
      </c>
      <c r="K3" s="152">
        <f t="shared" si="0"/>
        <v>411465</v>
      </c>
      <c r="L3" s="153">
        <f t="shared" si="0"/>
        <v>192552</v>
      </c>
      <c r="N3" s="1">
        <f>(I3+J3)/B3</f>
        <v>0.24829513914454993</v>
      </c>
    </row>
    <row r="4" spans="1:14">
      <c r="A4" s="444" t="s">
        <v>138</v>
      </c>
      <c r="B4" s="152">
        <f t="shared" ref="B4:L4" si="1">SUM(B5:B11)</f>
        <v>2287336</v>
      </c>
      <c r="C4" s="1012">
        <f t="shared" si="1"/>
        <v>861440</v>
      </c>
      <c r="D4" s="1012">
        <f t="shared" si="1"/>
        <v>98313</v>
      </c>
      <c r="E4" s="1012">
        <f t="shared" si="1"/>
        <v>12203</v>
      </c>
      <c r="F4" s="1012">
        <f t="shared" si="1"/>
        <v>202145</v>
      </c>
      <c r="G4" s="1012">
        <f t="shared" si="1"/>
        <v>58441</v>
      </c>
      <c r="H4" s="1012">
        <f t="shared" si="1"/>
        <v>9008</v>
      </c>
      <c r="I4" s="1012">
        <f t="shared" si="1"/>
        <v>795063</v>
      </c>
      <c r="J4" s="1012">
        <f t="shared" si="1"/>
        <v>220956</v>
      </c>
      <c r="K4" s="1012">
        <f t="shared" si="1"/>
        <v>21548</v>
      </c>
      <c r="L4" s="1013">
        <f t="shared" si="1"/>
        <v>8219</v>
      </c>
    </row>
    <row r="5" spans="1:14">
      <c r="A5" s="75" t="s">
        <v>139</v>
      </c>
      <c r="B5" s="975">
        <f>SUM(C5:L5)</f>
        <v>117531</v>
      </c>
      <c r="C5" s="1015">
        <v>41865</v>
      </c>
      <c r="D5" s="1015">
        <v>4518</v>
      </c>
      <c r="E5" s="1015">
        <v>350</v>
      </c>
      <c r="F5" s="1015">
        <v>12121</v>
      </c>
      <c r="G5" s="1015">
        <v>2329</v>
      </c>
      <c r="H5" s="1015">
        <v>147</v>
      </c>
      <c r="I5" s="1015">
        <v>45258</v>
      </c>
      <c r="J5" s="1015">
        <v>10088</v>
      </c>
      <c r="K5" s="1015">
        <v>510</v>
      </c>
      <c r="L5" s="1015">
        <v>345</v>
      </c>
    </row>
    <row r="6" spans="1:14">
      <c r="A6" s="75" t="s">
        <v>140</v>
      </c>
      <c r="B6" s="975">
        <f t="shared" ref="B6:B11" si="2">SUM(C6:L6)</f>
        <v>91919</v>
      </c>
      <c r="C6" s="1015">
        <v>42774</v>
      </c>
      <c r="D6" s="1015">
        <v>2874</v>
      </c>
      <c r="E6" s="1015">
        <v>184</v>
      </c>
      <c r="F6" s="1015">
        <v>9872</v>
      </c>
      <c r="G6" s="1015">
        <v>2482</v>
      </c>
      <c r="H6" s="1015">
        <v>267</v>
      </c>
      <c r="I6" s="1015">
        <v>27124</v>
      </c>
      <c r="J6" s="1015">
        <v>5518</v>
      </c>
      <c r="K6" s="1015">
        <v>528</v>
      </c>
      <c r="L6" s="1015">
        <v>296</v>
      </c>
    </row>
    <row r="7" spans="1:14">
      <c r="A7" s="75" t="s">
        <v>15</v>
      </c>
      <c r="B7" s="975">
        <f t="shared" si="2"/>
        <v>436549</v>
      </c>
      <c r="C7" s="1015">
        <v>227285</v>
      </c>
      <c r="D7" s="1015">
        <v>14772</v>
      </c>
      <c r="E7" s="1015">
        <v>1872</v>
      </c>
      <c r="F7" s="1015">
        <v>43716</v>
      </c>
      <c r="G7" s="1015">
        <v>17564</v>
      </c>
      <c r="H7" s="1015">
        <v>2258</v>
      </c>
      <c r="I7" s="1015">
        <v>97696</v>
      </c>
      <c r="J7" s="1015">
        <v>23859</v>
      </c>
      <c r="K7" s="1015">
        <v>5730</v>
      </c>
      <c r="L7" s="1015">
        <v>1797</v>
      </c>
    </row>
    <row r="8" spans="1:14">
      <c r="A8" s="75" t="s">
        <v>141</v>
      </c>
      <c r="B8" s="975">
        <f t="shared" si="2"/>
        <v>771424</v>
      </c>
      <c r="C8" s="1015">
        <v>293709</v>
      </c>
      <c r="D8" s="1015">
        <v>36098</v>
      </c>
      <c r="E8" s="1015">
        <v>3360</v>
      </c>
      <c r="F8" s="1015">
        <v>56446</v>
      </c>
      <c r="G8" s="1015">
        <v>21173</v>
      </c>
      <c r="H8" s="1015">
        <v>4216</v>
      </c>
      <c r="I8" s="1015">
        <v>276913</v>
      </c>
      <c r="J8" s="1015">
        <v>66769</v>
      </c>
      <c r="K8" s="1015">
        <v>8820</v>
      </c>
      <c r="L8" s="1015">
        <v>3920</v>
      </c>
    </row>
    <row r="9" spans="1:14">
      <c r="A9" s="75" t="s">
        <v>142</v>
      </c>
      <c r="B9" s="975">
        <f t="shared" si="2"/>
        <v>445852</v>
      </c>
      <c r="C9" s="1015">
        <v>122822</v>
      </c>
      <c r="D9" s="1015">
        <v>19920</v>
      </c>
      <c r="E9" s="1015">
        <v>3626</v>
      </c>
      <c r="F9" s="1015">
        <v>38570</v>
      </c>
      <c r="G9" s="1015">
        <v>6313</v>
      </c>
      <c r="H9" s="1015">
        <v>612</v>
      </c>
      <c r="I9" s="1015">
        <v>193663</v>
      </c>
      <c r="J9" s="1015">
        <v>56474</v>
      </c>
      <c r="K9" s="1015">
        <v>3018</v>
      </c>
      <c r="L9" s="1015">
        <v>834</v>
      </c>
    </row>
    <row r="10" spans="1:14">
      <c r="A10" s="75" t="s">
        <v>18</v>
      </c>
      <c r="B10" s="975">
        <f t="shared" si="2"/>
        <v>101415</v>
      </c>
      <c r="C10" s="1015">
        <v>33018</v>
      </c>
      <c r="D10" s="1015">
        <v>2852</v>
      </c>
      <c r="E10" s="1015">
        <v>256</v>
      </c>
      <c r="F10" s="1015">
        <v>10908</v>
      </c>
      <c r="G10" s="1015">
        <v>2676</v>
      </c>
      <c r="H10" s="1015">
        <v>352</v>
      </c>
      <c r="I10" s="1015">
        <v>40284</v>
      </c>
      <c r="J10" s="1015">
        <v>10217</v>
      </c>
      <c r="K10" s="1015">
        <v>576</v>
      </c>
      <c r="L10" s="1015">
        <v>276</v>
      </c>
    </row>
    <row r="11" spans="1:14">
      <c r="A11" s="75" t="s">
        <v>19</v>
      </c>
      <c r="B11" s="975">
        <f t="shared" si="2"/>
        <v>322646</v>
      </c>
      <c r="C11" s="1015">
        <v>99967</v>
      </c>
      <c r="D11" s="1015">
        <v>17279</v>
      </c>
      <c r="E11" s="1015">
        <v>2555</v>
      </c>
      <c r="F11" s="1015">
        <v>30512</v>
      </c>
      <c r="G11" s="1015">
        <v>5904</v>
      </c>
      <c r="H11" s="1015">
        <v>1156</v>
      </c>
      <c r="I11" s="1015">
        <v>114125</v>
      </c>
      <c r="J11" s="1015">
        <v>48031</v>
      </c>
      <c r="K11" s="1015">
        <v>2366</v>
      </c>
      <c r="L11" s="1015">
        <v>751</v>
      </c>
    </row>
    <row r="12" spans="1:14">
      <c r="A12" s="444" t="s">
        <v>143</v>
      </c>
      <c r="B12" s="1010">
        <f t="shared" ref="B12:L12" si="3">SUM(B13:B21)</f>
        <v>7642072</v>
      </c>
      <c r="C12" s="1009">
        <f t="shared" si="3"/>
        <v>3536965</v>
      </c>
      <c r="D12" s="1009">
        <f t="shared" si="3"/>
        <v>284417</v>
      </c>
      <c r="E12" s="1009">
        <f t="shared" si="3"/>
        <v>27356</v>
      </c>
      <c r="F12" s="1009">
        <f t="shared" si="3"/>
        <v>529646</v>
      </c>
      <c r="G12" s="1009">
        <f t="shared" si="3"/>
        <v>195855</v>
      </c>
      <c r="H12" s="1009">
        <f t="shared" si="3"/>
        <v>44708</v>
      </c>
      <c r="I12" s="1009">
        <f t="shared" si="3"/>
        <v>2576017</v>
      </c>
      <c r="J12" s="1009">
        <f t="shared" si="3"/>
        <v>347299</v>
      </c>
      <c r="K12" s="1009">
        <f t="shared" si="3"/>
        <v>67217</v>
      </c>
      <c r="L12" s="1009">
        <f t="shared" si="3"/>
        <v>32592</v>
      </c>
    </row>
    <row r="13" spans="1:14">
      <c r="A13" s="75" t="s">
        <v>21</v>
      </c>
      <c r="B13" s="975">
        <f>SUM(C13:L13)</f>
        <v>354528</v>
      </c>
      <c r="C13" s="1015">
        <v>180458</v>
      </c>
      <c r="D13" s="1015">
        <v>13529</v>
      </c>
      <c r="E13" s="1015">
        <v>1300</v>
      </c>
      <c r="F13" s="1015">
        <v>26336</v>
      </c>
      <c r="G13" s="1015">
        <v>9725</v>
      </c>
      <c r="H13" s="1015">
        <v>3770</v>
      </c>
      <c r="I13" s="1015">
        <v>98209</v>
      </c>
      <c r="J13" s="1015">
        <v>15632</v>
      </c>
      <c r="K13" s="1015">
        <v>3931</v>
      </c>
      <c r="L13" s="1015">
        <v>1638</v>
      </c>
    </row>
    <row r="14" spans="1:14">
      <c r="A14" s="75" t="s">
        <v>22</v>
      </c>
      <c r="B14" s="975">
        <f t="shared" ref="B14:B21" si="4">SUM(C14:L14)</f>
        <v>1874803</v>
      </c>
      <c r="C14" s="1015">
        <v>932175</v>
      </c>
      <c r="D14" s="1015">
        <v>74974</v>
      </c>
      <c r="E14" s="1015">
        <v>9711</v>
      </c>
      <c r="F14" s="1015">
        <v>152956</v>
      </c>
      <c r="G14" s="1015">
        <v>53707</v>
      </c>
      <c r="H14" s="1015">
        <v>13523</v>
      </c>
      <c r="I14" s="1015">
        <v>536986</v>
      </c>
      <c r="J14" s="1015">
        <v>70554</v>
      </c>
      <c r="K14" s="1015">
        <v>23520</v>
      </c>
      <c r="L14" s="1015">
        <v>6697</v>
      </c>
    </row>
    <row r="15" spans="1:14">
      <c r="A15" s="75" t="s">
        <v>23</v>
      </c>
      <c r="B15" s="975">
        <f t="shared" si="4"/>
        <v>1375834</v>
      </c>
      <c r="C15" s="1015">
        <v>585235</v>
      </c>
      <c r="D15" s="1015">
        <v>44278</v>
      </c>
      <c r="E15" s="1015">
        <v>4139</v>
      </c>
      <c r="F15" s="1015">
        <v>91151</v>
      </c>
      <c r="G15" s="1015">
        <v>31657</v>
      </c>
      <c r="H15" s="1015">
        <v>6034</v>
      </c>
      <c r="I15" s="1015">
        <v>535324</v>
      </c>
      <c r="J15" s="1015">
        <v>59745</v>
      </c>
      <c r="K15" s="1015">
        <v>9045</v>
      </c>
      <c r="L15" s="1015">
        <v>9226</v>
      </c>
    </row>
    <row r="16" spans="1:14">
      <c r="A16" s="75" t="s">
        <v>144</v>
      </c>
      <c r="B16" s="975">
        <f t="shared" si="4"/>
        <v>600314</v>
      </c>
      <c r="C16" s="1015">
        <v>201981</v>
      </c>
      <c r="D16" s="1015">
        <v>20854</v>
      </c>
      <c r="E16" s="1015">
        <v>1013</v>
      </c>
      <c r="F16" s="1015">
        <v>42890</v>
      </c>
      <c r="G16" s="1015">
        <v>10952</v>
      </c>
      <c r="H16" s="1015">
        <v>2850</v>
      </c>
      <c r="I16" s="1015">
        <v>264043</v>
      </c>
      <c r="J16" s="1015">
        <v>49801</v>
      </c>
      <c r="K16" s="1015">
        <v>4202</v>
      </c>
      <c r="L16" s="1015">
        <v>1728</v>
      </c>
    </row>
    <row r="17" spans="1:12">
      <c r="A17" s="75" t="s">
        <v>145</v>
      </c>
      <c r="B17" s="975">
        <f t="shared" si="4"/>
        <v>571161</v>
      </c>
      <c r="C17" s="1015">
        <v>271582</v>
      </c>
      <c r="D17" s="1015">
        <v>19226</v>
      </c>
      <c r="E17" s="1015">
        <v>1430</v>
      </c>
      <c r="F17" s="1015">
        <v>38338</v>
      </c>
      <c r="G17" s="1015">
        <v>13197</v>
      </c>
      <c r="H17" s="1015">
        <v>2405</v>
      </c>
      <c r="I17" s="1015">
        <v>191693</v>
      </c>
      <c r="J17" s="1015">
        <v>27313</v>
      </c>
      <c r="K17" s="1015">
        <v>3836</v>
      </c>
      <c r="L17" s="1015">
        <v>2141</v>
      </c>
    </row>
    <row r="18" spans="1:12">
      <c r="A18" s="75" t="s">
        <v>146</v>
      </c>
      <c r="B18" s="975">
        <f t="shared" si="4"/>
        <v>1452102</v>
      </c>
      <c r="C18" s="1015">
        <v>743169</v>
      </c>
      <c r="D18" s="1015">
        <v>61214</v>
      </c>
      <c r="E18" s="1015">
        <v>6296</v>
      </c>
      <c r="F18" s="1015">
        <v>83963</v>
      </c>
      <c r="G18" s="1015">
        <v>47707</v>
      </c>
      <c r="H18" s="1015">
        <v>9022</v>
      </c>
      <c r="I18" s="1015">
        <v>442522</v>
      </c>
      <c r="J18" s="1015">
        <v>41546</v>
      </c>
      <c r="K18" s="1015">
        <v>11865</v>
      </c>
      <c r="L18" s="1015">
        <v>4798</v>
      </c>
    </row>
    <row r="19" spans="1:12">
      <c r="A19" s="75" t="s">
        <v>27</v>
      </c>
      <c r="B19" s="975">
        <f t="shared" si="4"/>
        <v>461525</v>
      </c>
      <c r="C19" s="1015">
        <v>154785</v>
      </c>
      <c r="D19" s="1015">
        <v>15602</v>
      </c>
      <c r="E19" s="1015">
        <v>1021</v>
      </c>
      <c r="F19" s="1015">
        <v>34196</v>
      </c>
      <c r="G19" s="1015">
        <v>8103</v>
      </c>
      <c r="H19" s="1015">
        <v>1602</v>
      </c>
      <c r="I19" s="1015">
        <v>204821</v>
      </c>
      <c r="J19" s="1015">
        <v>37178</v>
      </c>
      <c r="K19" s="1015">
        <v>2976</v>
      </c>
      <c r="L19" s="1015">
        <v>1241</v>
      </c>
    </row>
    <row r="20" spans="1:12">
      <c r="A20" s="75" t="s">
        <v>147</v>
      </c>
      <c r="B20" s="975">
        <f t="shared" si="4"/>
        <v>608622</v>
      </c>
      <c r="C20" s="1015">
        <v>290863</v>
      </c>
      <c r="D20" s="1015">
        <v>20432</v>
      </c>
      <c r="E20" s="1015">
        <v>1463</v>
      </c>
      <c r="F20" s="1015">
        <v>41370</v>
      </c>
      <c r="G20" s="1015">
        <v>13911</v>
      </c>
      <c r="H20" s="1015">
        <v>3213</v>
      </c>
      <c r="I20" s="1015">
        <v>200906</v>
      </c>
      <c r="J20" s="1015">
        <v>28462</v>
      </c>
      <c r="K20" s="1015">
        <v>3965</v>
      </c>
      <c r="L20" s="1015">
        <v>4037</v>
      </c>
    </row>
    <row r="21" spans="1:12">
      <c r="A21" s="75" t="s">
        <v>29</v>
      </c>
      <c r="B21" s="975">
        <f t="shared" si="4"/>
        <v>343183</v>
      </c>
      <c r="C21" s="1015">
        <v>176717</v>
      </c>
      <c r="D21" s="1015">
        <v>14308</v>
      </c>
      <c r="E21" s="1015">
        <v>983</v>
      </c>
      <c r="F21" s="1015">
        <v>18446</v>
      </c>
      <c r="G21" s="1015">
        <v>6896</v>
      </c>
      <c r="H21" s="1015">
        <v>2289</v>
      </c>
      <c r="I21" s="1015">
        <v>101513</v>
      </c>
      <c r="J21" s="1015">
        <v>17068</v>
      </c>
      <c r="K21" s="1015">
        <v>3877</v>
      </c>
      <c r="L21" s="1015">
        <v>1086</v>
      </c>
    </row>
    <row r="22" spans="1:12">
      <c r="A22" s="444" t="s">
        <v>148</v>
      </c>
      <c r="B22" s="1011">
        <f>SUM(B23:B26)</f>
        <v>29070325</v>
      </c>
      <c r="C22" s="1009">
        <f t="shared" ref="C22:L22" si="5">SUM(C23:C26)</f>
        <v>19032507</v>
      </c>
      <c r="D22" s="1009">
        <f t="shared" si="5"/>
        <v>932503</v>
      </c>
      <c r="E22" s="1009">
        <f t="shared" si="5"/>
        <v>149078</v>
      </c>
      <c r="F22" s="1009">
        <f t="shared" si="5"/>
        <v>1731766</v>
      </c>
      <c r="G22" s="1009">
        <f t="shared" si="5"/>
        <v>954240</v>
      </c>
      <c r="H22" s="1009">
        <f t="shared" si="5"/>
        <v>138141</v>
      </c>
      <c r="I22" s="1009">
        <f t="shared" si="5"/>
        <v>5082225</v>
      </c>
      <c r="J22" s="1009">
        <f t="shared" si="5"/>
        <v>741803</v>
      </c>
      <c r="K22" s="1009">
        <f t="shared" si="5"/>
        <v>215230</v>
      </c>
      <c r="L22" s="1009">
        <f t="shared" si="5"/>
        <v>92832</v>
      </c>
    </row>
    <row r="23" spans="1:12">
      <c r="A23" s="75" t="s">
        <v>31</v>
      </c>
      <c r="B23" s="975">
        <f>SUM(C23:L23)</f>
        <v>1072390</v>
      </c>
      <c r="C23" s="1015">
        <v>581799</v>
      </c>
      <c r="D23" s="1015">
        <v>50989</v>
      </c>
      <c r="E23" s="1015">
        <v>11557</v>
      </c>
      <c r="F23" s="1015">
        <v>83355</v>
      </c>
      <c r="G23" s="1015">
        <v>28990</v>
      </c>
      <c r="H23" s="1015">
        <v>4470</v>
      </c>
      <c r="I23" s="1015">
        <v>244918</v>
      </c>
      <c r="J23" s="1015">
        <v>50039</v>
      </c>
      <c r="K23" s="1015">
        <v>11590</v>
      </c>
      <c r="L23" s="1015">
        <v>4683</v>
      </c>
    </row>
    <row r="24" spans="1:12">
      <c r="A24" s="75" t="s">
        <v>149</v>
      </c>
      <c r="B24" s="975">
        <f t="shared" ref="B24:B26" si="6">SUM(C24:L24)</f>
        <v>5943611</v>
      </c>
      <c r="C24" s="1015">
        <v>3432425</v>
      </c>
      <c r="D24" s="1015">
        <v>232550</v>
      </c>
      <c r="E24" s="1015">
        <v>36302</v>
      </c>
      <c r="F24" s="1015">
        <v>415028</v>
      </c>
      <c r="G24" s="1015">
        <v>158627</v>
      </c>
      <c r="H24" s="1015">
        <v>25800</v>
      </c>
      <c r="I24" s="1015">
        <v>1437171</v>
      </c>
      <c r="J24" s="1015">
        <v>141217</v>
      </c>
      <c r="K24" s="1015">
        <v>51054</v>
      </c>
      <c r="L24" s="1015">
        <v>13437</v>
      </c>
    </row>
    <row r="25" spans="1:12">
      <c r="A25" s="75" t="s">
        <v>33</v>
      </c>
      <c r="B25" s="975">
        <f t="shared" si="6"/>
        <v>3968665</v>
      </c>
      <c r="C25" s="1015">
        <v>2885794</v>
      </c>
      <c r="D25" s="1015">
        <v>101510</v>
      </c>
      <c r="E25" s="1015">
        <v>9011</v>
      </c>
      <c r="F25" s="1015">
        <v>174844</v>
      </c>
      <c r="G25" s="1015">
        <v>152686</v>
      </c>
      <c r="H25" s="1015">
        <v>27552</v>
      </c>
      <c r="I25" s="1015">
        <v>477476</v>
      </c>
      <c r="J25" s="1015">
        <v>91134</v>
      </c>
      <c r="K25" s="1015">
        <v>33575</v>
      </c>
      <c r="L25" s="1015">
        <v>15083</v>
      </c>
    </row>
    <row r="26" spans="1:12">
      <c r="A26" s="75" t="s">
        <v>150</v>
      </c>
      <c r="B26" s="975">
        <f t="shared" si="6"/>
        <v>18085659</v>
      </c>
      <c r="C26" s="1015">
        <v>12132489</v>
      </c>
      <c r="D26" s="1015">
        <v>547454</v>
      </c>
      <c r="E26" s="1015">
        <v>92208</v>
      </c>
      <c r="F26" s="1015">
        <v>1058539</v>
      </c>
      <c r="G26" s="1015">
        <v>613937</v>
      </c>
      <c r="H26" s="1015">
        <v>80319</v>
      </c>
      <c r="I26" s="1015">
        <v>2922660</v>
      </c>
      <c r="J26" s="1015">
        <v>459413</v>
      </c>
      <c r="K26" s="1015">
        <v>119011</v>
      </c>
      <c r="L26" s="1015">
        <v>59629</v>
      </c>
    </row>
    <row r="27" spans="1:12">
      <c r="A27" s="444" t="s">
        <v>151</v>
      </c>
      <c r="B27" s="1011">
        <f>SUM(B28:B30)</f>
        <v>11575392</v>
      </c>
      <c r="C27" s="1009">
        <f t="shared" ref="C27:L27" si="7">SUM(C28:C30)</f>
        <v>7200980</v>
      </c>
      <c r="D27" s="1009">
        <f t="shared" si="7"/>
        <v>484204</v>
      </c>
      <c r="E27" s="1009">
        <f t="shared" si="7"/>
        <v>122205</v>
      </c>
      <c r="F27" s="1009">
        <f t="shared" si="7"/>
        <v>769573</v>
      </c>
      <c r="G27" s="1009">
        <f t="shared" si="7"/>
        <v>301493</v>
      </c>
      <c r="H27" s="1009">
        <f t="shared" si="7"/>
        <v>35431</v>
      </c>
      <c r="I27" s="1009">
        <f t="shared" si="7"/>
        <v>2101611</v>
      </c>
      <c r="J27" s="1009">
        <f t="shared" si="7"/>
        <v>448424</v>
      </c>
      <c r="K27" s="1009">
        <f t="shared" si="7"/>
        <v>72404</v>
      </c>
      <c r="L27" s="1009">
        <f t="shared" si="7"/>
        <v>39067</v>
      </c>
    </row>
    <row r="28" spans="1:12">
      <c r="A28" s="75" t="s">
        <v>36</v>
      </c>
      <c r="B28" s="975">
        <f>SUM(C28:L28)</f>
        <v>4452187</v>
      </c>
      <c r="C28" s="1015">
        <v>2751246</v>
      </c>
      <c r="D28" s="1015">
        <v>200938</v>
      </c>
      <c r="E28" s="1015">
        <v>54864</v>
      </c>
      <c r="F28" s="1015">
        <v>326093</v>
      </c>
      <c r="G28" s="1015">
        <v>119883</v>
      </c>
      <c r="H28" s="1015">
        <v>13277</v>
      </c>
      <c r="I28" s="1015">
        <v>763272</v>
      </c>
      <c r="J28" s="1015">
        <v>180107</v>
      </c>
      <c r="K28" s="1015">
        <v>29158</v>
      </c>
      <c r="L28" s="1015">
        <v>13349</v>
      </c>
    </row>
    <row r="29" spans="1:12">
      <c r="A29" s="75" t="s">
        <v>152</v>
      </c>
      <c r="B29" s="975">
        <f t="shared" ref="B29:B35" si="8">SUM(C29:L29)</f>
        <v>4190709</v>
      </c>
      <c r="C29" s="1015">
        <v>2694282</v>
      </c>
      <c r="D29" s="1015">
        <v>169077</v>
      </c>
      <c r="E29" s="1015">
        <v>35652</v>
      </c>
      <c r="F29" s="1015">
        <v>260190</v>
      </c>
      <c r="G29" s="1015">
        <v>112230</v>
      </c>
      <c r="H29" s="1015">
        <v>14359</v>
      </c>
      <c r="I29" s="1015">
        <v>743771</v>
      </c>
      <c r="J29" s="1015">
        <v>117998</v>
      </c>
      <c r="K29" s="1015">
        <v>28927</v>
      </c>
      <c r="L29" s="1015">
        <v>14223</v>
      </c>
    </row>
    <row r="30" spans="1:12">
      <c r="A30" s="75" t="s">
        <v>38</v>
      </c>
      <c r="B30" s="975">
        <f t="shared" si="8"/>
        <v>2932496</v>
      </c>
      <c r="C30" s="1015">
        <v>1755452</v>
      </c>
      <c r="D30" s="1015">
        <v>114189</v>
      </c>
      <c r="E30" s="1015">
        <v>31689</v>
      </c>
      <c r="F30" s="1015">
        <v>183290</v>
      </c>
      <c r="G30" s="1015">
        <v>69380</v>
      </c>
      <c r="H30" s="1015">
        <v>7795</v>
      </c>
      <c r="I30" s="1015">
        <v>594568</v>
      </c>
      <c r="J30" s="1015">
        <v>150319</v>
      </c>
      <c r="K30" s="1015">
        <v>14319</v>
      </c>
      <c r="L30" s="1015">
        <v>11495</v>
      </c>
    </row>
    <row r="31" spans="1:12">
      <c r="A31" s="444" t="s">
        <v>153</v>
      </c>
      <c r="B31" s="1014">
        <f>SUM(B32:B35)</f>
        <v>4850366</v>
      </c>
      <c r="C31" s="1009">
        <f t="shared" ref="C31:L31" si="9">SUM(C32:C35)</f>
        <v>2575595</v>
      </c>
      <c r="D31" s="1009">
        <f t="shared" si="9"/>
        <v>176834</v>
      </c>
      <c r="E31" s="1009">
        <f t="shared" si="9"/>
        <v>40381</v>
      </c>
      <c r="F31" s="1009">
        <f t="shared" si="9"/>
        <v>416471</v>
      </c>
      <c r="G31" s="1009">
        <f t="shared" si="9"/>
        <v>124393</v>
      </c>
      <c r="H31" s="1009">
        <f t="shared" si="9"/>
        <v>13302</v>
      </c>
      <c r="I31" s="1009">
        <f t="shared" si="9"/>
        <v>1142724</v>
      </c>
      <c r="J31" s="1009">
        <f t="shared" si="9"/>
        <v>305758</v>
      </c>
      <c r="K31" s="1009">
        <f t="shared" si="9"/>
        <v>35066</v>
      </c>
      <c r="L31" s="1009">
        <f t="shared" si="9"/>
        <v>19842</v>
      </c>
    </row>
    <row r="32" spans="1:12">
      <c r="A32" s="75" t="s">
        <v>40</v>
      </c>
      <c r="B32" s="975">
        <f t="shared" si="8"/>
        <v>1086748</v>
      </c>
      <c r="C32" s="1015">
        <v>831790</v>
      </c>
      <c r="D32" s="1015">
        <v>17815</v>
      </c>
      <c r="E32" s="1015">
        <v>1856</v>
      </c>
      <c r="F32" s="1015">
        <v>62923</v>
      </c>
      <c r="G32" s="1015">
        <v>37052</v>
      </c>
      <c r="H32" s="1015">
        <v>4607</v>
      </c>
      <c r="I32" s="1015">
        <v>106063</v>
      </c>
      <c r="J32" s="1015">
        <v>9595</v>
      </c>
      <c r="K32" s="1015">
        <v>8039</v>
      </c>
      <c r="L32" s="1015">
        <v>7008</v>
      </c>
    </row>
    <row r="33" spans="1:24">
      <c r="A33" s="75" t="s">
        <v>41</v>
      </c>
      <c r="B33" s="975">
        <f t="shared" si="8"/>
        <v>2001383</v>
      </c>
      <c r="C33" s="1015">
        <v>1012805</v>
      </c>
      <c r="D33" s="1015">
        <v>76679</v>
      </c>
      <c r="E33" s="1015">
        <v>15123</v>
      </c>
      <c r="F33" s="1015">
        <v>176506</v>
      </c>
      <c r="G33" s="1015">
        <v>48407</v>
      </c>
      <c r="H33" s="1015">
        <v>4972</v>
      </c>
      <c r="I33" s="1015">
        <v>506640</v>
      </c>
      <c r="J33" s="1015">
        <v>138677</v>
      </c>
      <c r="K33" s="1015">
        <v>15063</v>
      </c>
      <c r="L33" s="1015">
        <v>6511</v>
      </c>
    </row>
    <row r="34" spans="1:24">
      <c r="A34" s="75" t="s">
        <v>42</v>
      </c>
      <c r="B34" s="975">
        <f t="shared" si="8"/>
        <v>949260</v>
      </c>
      <c r="C34" s="1015">
        <v>342268</v>
      </c>
      <c r="D34" s="1015">
        <v>45743</v>
      </c>
      <c r="E34" s="1015">
        <v>15476</v>
      </c>
      <c r="F34" s="1015">
        <v>99862</v>
      </c>
      <c r="G34" s="1015">
        <v>18282</v>
      </c>
      <c r="H34" s="1015">
        <v>1896</v>
      </c>
      <c r="I34" s="1015">
        <v>315259</v>
      </c>
      <c r="J34" s="1015">
        <v>100641</v>
      </c>
      <c r="K34" s="1015">
        <v>6211</v>
      </c>
      <c r="L34" s="1015">
        <v>3622</v>
      </c>
    </row>
    <row r="35" spans="1:24">
      <c r="A35" s="76" t="s">
        <v>43</v>
      </c>
      <c r="B35" s="975">
        <f t="shared" si="8"/>
        <v>812975</v>
      </c>
      <c r="C35" s="1015">
        <v>388732</v>
      </c>
      <c r="D35" s="1015">
        <v>36597</v>
      </c>
      <c r="E35" s="1015">
        <v>7926</v>
      </c>
      <c r="F35" s="1015">
        <v>77180</v>
      </c>
      <c r="G35" s="1015">
        <v>20652</v>
      </c>
      <c r="H35" s="1015">
        <v>1827</v>
      </c>
      <c r="I35" s="1015">
        <v>214762</v>
      </c>
      <c r="J35" s="1015">
        <v>56845</v>
      </c>
      <c r="K35" s="1015">
        <v>5753</v>
      </c>
      <c r="L35" s="1015">
        <v>2701</v>
      </c>
    </row>
    <row r="36" spans="1:24" s="1" customFormat="1">
      <c r="A36" s="57"/>
      <c r="B36" s="57"/>
      <c r="C36" s="57"/>
      <c r="D36" s="57"/>
      <c r="E36" s="57"/>
      <c r="F36" s="57"/>
      <c r="G36" s="57"/>
      <c r="H36" s="57"/>
      <c r="I36" s="57"/>
      <c r="J36" s="57"/>
      <c r="K36" s="57"/>
      <c r="L36" s="57"/>
    </row>
    <row r="37" spans="1:24">
      <c r="A37" s="1097" t="s">
        <v>154</v>
      </c>
      <c r="B37" s="1098"/>
      <c r="C37" s="1098"/>
      <c r="D37" s="1098"/>
      <c r="E37" s="1098"/>
      <c r="F37" s="1098"/>
      <c r="G37" s="1098"/>
      <c r="H37" s="1098"/>
      <c r="I37" s="1098"/>
      <c r="J37" s="1098"/>
      <c r="K37" s="1098"/>
      <c r="L37" s="1099"/>
    </row>
    <row r="38" spans="1:24" ht="51">
      <c r="A38" s="441" t="s">
        <v>132</v>
      </c>
      <c r="B38" s="442" t="s">
        <v>1</v>
      </c>
      <c r="C38" s="442" t="s">
        <v>78</v>
      </c>
      <c r="D38" s="442" t="s">
        <v>7</v>
      </c>
      <c r="E38" s="442" t="s">
        <v>133</v>
      </c>
      <c r="F38" s="442" t="s">
        <v>79</v>
      </c>
      <c r="G38" s="442" t="s">
        <v>134</v>
      </c>
      <c r="H38" s="442" t="s">
        <v>135</v>
      </c>
      <c r="I38" s="442" t="s">
        <v>4</v>
      </c>
      <c r="J38" s="442" t="s">
        <v>136</v>
      </c>
      <c r="K38" s="442" t="s">
        <v>8</v>
      </c>
      <c r="L38" s="443" t="s">
        <v>137</v>
      </c>
    </row>
    <row r="39" spans="1:24">
      <c r="A39" s="445" t="s">
        <v>11</v>
      </c>
      <c r="B39" s="152">
        <f>SUM(B40+B48+B58+B63+B67)</f>
        <v>60353707</v>
      </c>
      <c r="C39" s="1017">
        <f t="shared" ref="C39:L39" si="10">SUM(C40,C48,C58,C63,C67)</f>
        <v>35725892</v>
      </c>
      <c r="D39" s="1017">
        <f t="shared" si="10"/>
        <v>2079176</v>
      </c>
      <c r="E39" s="1017">
        <f t="shared" si="10"/>
        <v>387589</v>
      </c>
      <c r="F39" s="1017">
        <f t="shared" si="10"/>
        <v>4034456</v>
      </c>
      <c r="G39" s="1017">
        <f t="shared" si="10"/>
        <v>1778909</v>
      </c>
      <c r="H39" s="1017">
        <f t="shared" si="10"/>
        <v>258974</v>
      </c>
      <c r="I39" s="1017">
        <f t="shared" si="10"/>
        <v>13124259</v>
      </c>
      <c r="J39" s="1017">
        <f t="shared" si="10"/>
        <v>2287533</v>
      </c>
      <c r="K39" s="1017">
        <f t="shared" si="10"/>
        <v>436885</v>
      </c>
      <c r="L39" s="1017">
        <f t="shared" si="10"/>
        <v>240034</v>
      </c>
    </row>
    <row r="40" spans="1:24">
      <c r="A40" s="444" t="s">
        <v>138</v>
      </c>
      <c r="B40" s="1010">
        <f>SUM(B41:B47)</f>
        <v>2595088</v>
      </c>
      <c r="C40" s="1016">
        <f t="shared" ref="C40:L40" si="11">SUM(C41:C47)</f>
        <v>961596</v>
      </c>
      <c r="D40" s="1016">
        <f t="shared" si="11"/>
        <v>105117</v>
      </c>
      <c r="E40" s="1016">
        <f t="shared" si="11"/>
        <v>13307</v>
      </c>
      <c r="F40" s="1016">
        <f t="shared" si="11"/>
        <v>228215</v>
      </c>
      <c r="G40" s="1016">
        <f t="shared" si="11"/>
        <v>63230</v>
      </c>
      <c r="H40" s="1016">
        <f t="shared" si="11"/>
        <v>9784</v>
      </c>
      <c r="I40" s="1016">
        <f t="shared" si="11"/>
        <v>934780</v>
      </c>
      <c r="J40" s="1016">
        <f t="shared" si="11"/>
        <v>244901</v>
      </c>
      <c r="K40" s="1016">
        <f t="shared" si="11"/>
        <v>23750</v>
      </c>
      <c r="L40" s="1016">
        <f t="shared" si="11"/>
        <v>10408</v>
      </c>
    </row>
    <row r="41" spans="1:24">
      <c r="A41" s="75" t="s">
        <v>139</v>
      </c>
      <c r="B41" s="975">
        <f>SUM(C41:L41)</f>
        <v>137635</v>
      </c>
      <c r="C41" s="1015">
        <v>47513</v>
      </c>
      <c r="D41" s="1015">
        <v>4902</v>
      </c>
      <c r="E41" s="1015">
        <v>392</v>
      </c>
      <c r="F41" s="1015">
        <v>13648</v>
      </c>
      <c r="G41" s="1015">
        <v>2481</v>
      </c>
      <c r="H41" s="1015">
        <v>164</v>
      </c>
      <c r="I41" s="1015">
        <v>56130</v>
      </c>
      <c r="J41" s="1015">
        <v>11429</v>
      </c>
      <c r="K41" s="1015">
        <v>523</v>
      </c>
      <c r="L41" s="1015">
        <v>453</v>
      </c>
    </row>
    <row r="42" spans="1:24">
      <c r="A42" s="75" t="s">
        <v>14</v>
      </c>
      <c r="B42" s="975">
        <f t="shared" ref="B42:B47" si="12">SUM(C42:L42)</f>
        <v>105185</v>
      </c>
      <c r="C42" s="1015">
        <v>48321</v>
      </c>
      <c r="D42" s="1015">
        <v>3041</v>
      </c>
      <c r="E42" s="1015">
        <v>188</v>
      </c>
      <c r="F42" s="1015">
        <v>11197</v>
      </c>
      <c r="G42" s="1015">
        <v>2830</v>
      </c>
      <c r="H42" s="1015">
        <v>296</v>
      </c>
      <c r="I42" s="1015">
        <v>32026</v>
      </c>
      <c r="J42" s="1015">
        <v>6303</v>
      </c>
      <c r="K42" s="1015">
        <v>559</v>
      </c>
      <c r="L42" s="1015">
        <v>424</v>
      </c>
      <c r="N42" s="154"/>
      <c r="O42" s="154"/>
      <c r="P42" s="154"/>
      <c r="Q42" s="154"/>
      <c r="R42" s="154"/>
      <c r="S42" s="154"/>
      <c r="T42" s="154"/>
      <c r="U42" s="154"/>
      <c r="V42" s="154"/>
      <c r="W42" s="154"/>
      <c r="X42" s="155"/>
    </row>
    <row r="43" spans="1:24">
      <c r="A43" s="75" t="s">
        <v>15</v>
      </c>
      <c r="B43" s="975">
        <f t="shared" si="12"/>
        <v>487742</v>
      </c>
      <c r="C43" s="1015">
        <v>250275</v>
      </c>
      <c r="D43" s="1015">
        <v>15819</v>
      </c>
      <c r="E43" s="1015">
        <v>1990</v>
      </c>
      <c r="F43" s="1015">
        <v>50131</v>
      </c>
      <c r="G43" s="1015">
        <v>19134</v>
      </c>
      <c r="H43" s="1015">
        <v>2439</v>
      </c>
      <c r="I43" s="1015">
        <v>113028</v>
      </c>
      <c r="J43" s="1015">
        <v>26690</v>
      </c>
      <c r="K43" s="1015">
        <v>6017</v>
      </c>
      <c r="L43" s="1015">
        <v>2219</v>
      </c>
    </row>
    <row r="44" spans="1:24">
      <c r="A44" s="75" t="s">
        <v>141</v>
      </c>
      <c r="B44" s="975">
        <f t="shared" si="12"/>
        <v>881340</v>
      </c>
      <c r="C44" s="1015">
        <v>325871</v>
      </c>
      <c r="D44" s="1015">
        <v>38723</v>
      </c>
      <c r="E44" s="1015">
        <v>3802</v>
      </c>
      <c r="F44" s="1015">
        <v>63671</v>
      </c>
      <c r="G44" s="1015">
        <v>22831</v>
      </c>
      <c r="H44" s="1015">
        <v>4604</v>
      </c>
      <c r="I44" s="1015">
        <v>332366</v>
      </c>
      <c r="J44" s="1015">
        <v>74886</v>
      </c>
      <c r="K44" s="1015">
        <v>9712</v>
      </c>
      <c r="L44" s="1015">
        <v>4874</v>
      </c>
    </row>
    <row r="45" spans="1:24">
      <c r="A45" s="75" t="s">
        <v>142</v>
      </c>
      <c r="B45" s="975">
        <f t="shared" si="12"/>
        <v>509685</v>
      </c>
      <c r="C45" s="1015">
        <v>141697</v>
      </c>
      <c r="D45" s="1015">
        <v>21434</v>
      </c>
      <c r="E45" s="1015">
        <v>3888</v>
      </c>
      <c r="F45" s="1015">
        <v>43497</v>
      </c>
      <c r="G45" s="1015">
        <v>6803</v>
      </c>
      <c r="H45" s="1015">
        <v>698</v>
      </c>
      <c r="I45" s="1015">
        <v>224200</v>
      </c>
      <c r="J45" s="1015">
        <v>62952</v>
      </c>
      <c r="K45" s="1015">
        <v>3423</v>
      </c>
      <c r="L45" s="1015">
        <v>1093</v>
      </c>
    </row>
    <row r="46" spans="1:24">
      <c r="A46" s="75" t="s">
        <v>18</v>
      </c>
      <c r="B46" s="975">
        <f t="shared" si="12"/>
        <v>115157</v>
      </c>
      <c r="C46" s="1015">
        <v>37854</v>
      </c>
      <c r="D46" s="1015">
        <v>3050</v>
      </c>
      <c r="E46" s="1015">
        <v>297</v>
      </c>
      <c r="F46" s="1015">
        <v>12347</v>
      </c>
      <c r="G46" s="1015">
        <v>2809</v>
      </c>
      <c r="H46" s="1015">
        <v>392</v>
      </c>
      <c r="I46" s="1015">
        <v>46474</v>
      </c>
      <c r="J46" s="1015">
        <v>10960</v>
      </c>
      <c r="K46" s="1015">
        <v>602</v>
      </c>
      <c r="L46" s="1015">
        <v>372</v>
      </c>
    </row>
    <row r="47" spans="1:24">
      <c r="A47" s="75" t="s">
        <v>19</v>
      </c>
      <c r="B47" s="975">
        <f t="shared" si="12"/>
        <v>358344</v>
      </c>
      <c r="C47" s="1015">
        <v>110065</v>
      </c>
      <c r="D47" s="1015">
        <v>18148</v>
      </c>
      <c r="E47" s="1015">
        <v>2750</v>
      </c>
      <c r="F47" s="1015">
        <v>33724</v>
      </c>
      <c r="G47" s="1015">
        <v>6342</v>
      </c>
      <c r="H47" s="1015">
        <v>1191</v>
      </c>
      <c r="I47" s="1015">
        <v>130556</v>
      </c>
      <c r="J47" s="1015">
        <v>51681</v>
      </c>
      <c r="K47" s="1015">
        <v>2914</v>
      </c>
      <c r="L47" s="1015">
        <v>973</v>
      </c>
    </row>
    <row r="48" spans="1:24">
      <c r="A48" s="444" t="s">
        <v>143</v>
      </c>
      <c r="B48" s="1010">
        <f>SUM(B49:B57)</f>
        <v>8678624</v>
      </c>
      <c r="C48" s="1016">
        <f t="shared" ref="C48:L48" si="13">SUM(C49:C57)</f>
        <v>3889474</v>
      </c>
      <c r="D48" s="1016">
        <f t="shared" si="13"/>
        <v>306347</v>
      </c>
      <c r="E48" s="1016">
        <f t="shared" si="13"/>
        <v>30902</v>
      </c>
      <c r="F48" s="1016">
        <f t="shared" si="13"/>
        <v>594063</v>
      </c>
      <c r="G48" s="1016">
        <f t="shared" si="13"/>
        <v>215232</v>
      </c>
      <c r="H48" s="1016">
        <f t="shared" si="13"/>
        <v>49286</v>
      </c>
      <c r="I48" s="1016">
        <f t="shared" si="13"/>
        <v>3077829</v>
      </c>
      <c r="J48" s="1016">
        <f t="shared" si="13"/>
        <v>400179</v>
      </c>
      <c r="K48" s="1016">
        <f t="shared" si="13"/>
        <v>73817</v>
      </c>
      <c r="L48" s="1016">
        <f t="shared" si="13"/>
        <v>41495</v>
      </c>
    </row>
    <row r="49" spans="1:12">
      <c r="A49" s="75" t="s">
        <v>21</v>
      </c>
      <c r="B49" s="975">
        <f>SUM(C49:L49)</f>
        <v>399517</v>
      </c>
      <c r="C49" s="1015">
        <v>198863</v>
      </c>
      <c r="D49" s="1015">
        <v>14671</v>
      </c>
      <c r="E49" s="1015">
        <v>1412</v>
      </c>
      <c r="F49" s="1015">
        <v>28816</v>
      </c>
      <c r="G49" s="1015">
        <v>10723</v>
      </c>
      <c r="H49" s="1015">
        <v>4159</v>
      </c>
      <c r="I49" s="1015">
        <v>116649</v>
      </c>
      <c r="J49" s="1015">
        <v>17945</v>
      </c>
      <c r="K49" s="1015">
        <v>4303</v>
      </c>
      <c r="L49" s="1015">
        <v>1976</v>
      </c>
    </row>
    <row r="50" spans="1:12">
      <c r="A50" s="75" t="s">
        <v>22</v>
      </c>
      <c r="B50" s="975">
        <f t="shared" ref="B50:B57" si="14">SUM(C50:L50)</f>
        <v>2123894</v>
      </c>
      <c r="C50" s="1015">
        <v>1025542</v>
      </c>
      <c r="D50" s="1015">
        <v>81194</v>
      </c>
      <c r="E50" s="1015">
        <v>11223</v>
      </c>
      <c r="F50" s="1015">
        <v>172046</v>
      </c>
      <c r="G50" s="1015">
        <v>58810</v>
      </c>
      <c r="H50" s="1015">
        <v>15334</v>
      </c>
      <c r="I50" s="1015">
        <v>642037</v>
      </c>
      <c r="J50" s="1015">
        <v>83304</v>
      </c>
      <c r="K50" s="1015">
        <v>25886</v>
      </c>
      <c r="L50" s="1015">
        <v>8518</v>
      </c>
    </row>
    <row r="51" spans="1:12">
      <c r="A51" s="75" t="s">
        <v>23</v>
      </c>
      <c r="B51" s="975">
        <f t="shared" si="14"/>
        <v>1564284</v>
      </c>
      <c r="C51" s="1015">
        <v>640643</v>
      </c>
      <c r="D51" s="1015">
        <v>47781</v>
      </c>
      <c r="E51" s="1015">
        <v>4625</v>
      </c>
      <c r="F51" s="1015">
        <v>101215</v>
      </c>
      <c r="G51" s="1015">
        <v>34797</v>
      </c>
      <c r="H51" s="1015">
        <v>6646</v>
      </c>
      <c r="I51" s="1015">
        <v>637519</v>
      </c>
      <c r="J51" s="1015">
        <v>69535</v>
      </c>
      <c r="K51" s="1015">
        <v>10076</v>
      </c>
      <c r="L51" s="1015">
        <v>11447</v>
      </c>
    </row>
    <row r="52" spans="1:12">
      <c r="A52" s="75" t="s">
        <v>144</v>
      </c>
      <c r="B52" s="975">
        <f t="shared" si="14"/>
        <v>710028</v>
      </c>
      <c r="C52" s="1015">
        <v>230723</v>
      </c>
      <c r="D52" s="1015">
        <v>23363</v>
      </c>
      <c r="E52" s="1015">
        <v>1261</v>
      </c>
      <c r="F52" s="1015">
        <v>50566</v>
      </c>
      <c r="G52" s="1015">
        <v>12474</v>
      </c>
      <c r="H52" s="1015">
        <v>3161</v>
      </c>
      <c r="I52" s="1015">
        <v>326423</v>
      </c>
      <c r="J52" s="1015">
        <v>54856</v>
      </c>
      <c r="K52" s="1015">
        <v>4520</v>
      </c>
      <c r="L52" s="1015">
        <v>2681</v>
      </c>
    </row>
    <row r="53" spans="1:12">
      <c r="A53" s="75" t="s">
        <v>145</v>
      </c>
      <c r="B53" s="975">
        <f t="shared" si="14"/>
        <v>646689</v>
      </c>
      <c r="C53" s="1015">
        <v>298196</v>
      </c>
      <c r="D53" s="1015">
        <v>20295</v>
      </c>
      <c r="E53" s="1015">
        <v>1549</v>
      </c>
      <c r="F53" s="1015">
        <v>42281</v>
      </c>
      <c r="G53" s="1015">
        <v>14424</v>
      </c>
      <c r="H53" s="1015">
        <v>2686</v>
      </c>
      <c r="I53" s="1015">
        <v>228538</v>
      </c>
      <c r="J53" s="1015">
        <v>31703</v>
      </c>
      <c r="K53" s="1015">
        <v>4222</v>
      </c>
      <c r="L53" s="1015">
        <v>2795</v>
      </c>
    </row>
    <row r="54" spans="1:12">
      <c r="A54" s="75" t="s">
        <v>146</v>
      </c>
      <c r="B54" s="975">
        <f t="shared" si="14"/>
        <v>1632189</v>
      </c>
      <c r="C54" s="1015">
        <v>808661</v>
      </c>
      <c r="D54" s="1015">
        <v>65377</v>
      </c>
      <c r="E54" s="1015">
        <v>6883</v>
      </c>
      <c r="F54" s="1015">
        <v>93952</v>
      </c>
      <c r="G54" s="1015">
        <v>52175</v>
      </c>
      <c r="H54" s="1015">
        <v>9798</v>
      </c>
      <c r="I54" s="1015">
        <v>527607</v>
      </c>
      <c r="J54" s="1015">
        <v>48789</v>
      </c>
      <c r="K54" s="1015">
        <v>12931</v>
      </c>
      <c r="L54" s="1015">
        <v>6016</v>
      </c>
    </row>
    <row r="55" spans="1:12">
      <c r="A55" s="75" t="s">
        <v>27</v>
      </c>
      <c r="B55" s="975">
        <f t="shared" si="14"/>
        <v>533109</v>
      </c>
      <c r="C55" s="1015">
        <v>173589</v>
      </c>
      <c r="D55" s="1015">
        <v>16729</v>
      </c>
      <c r="E55" s="1015">
        <v>1167</v>
      </c>
      <c r="F55" s="1015">
        <v>38503</v>
      </c>
      <c r="G55" s="1015">
        <v>8899</v>
      </c>
      <c r="H55" s="1015">
        <v>1738</v>
      </c>
      <c r="I55" s="1015">
        <v>245583</v>
      </c>
      <c r="J55" s="1015">
        <v>42156</v>
      </c>
      <c r="K55" s="1015">
        <v>3221</v>
      </c>
      <c r="L55" s="1015">
        <v>1524</v>
      </c>
    </row>
    <row r="56" spans="1:12">
      <c r="A56" s="75" t="s">
        <v>147</v>
      </c>
      <c r="B56" s="975">
        <f t="shared" si="14"/>
        <v>679382</v>
      </c>
      <c r="C56" s="1015">
        <v>318656</v>
      </c>
      <c r="D56" s="1015">
        <v>21802</v>
      </c>
      <c r="E56" s="1015">
        <v>1646</v>
      </c>
      <c r="F56" s="1015">
        <v>45996</v>
      </c>
      <c r="G56" s="1015">
        <v>15277</v>
      </c>
      <c r="H56" s="1015">
        <v>3356</v>
      </c>
      <c r="I56" s="1015">
        <v>231399</v>
      </c>
      <c r="J56" s="1015">
        <v>31669</v>
      </c>
      <c r="K56" s="1015">
        <v>4379</v>
      </c>
      <c r="L56" s="1015">
        <v>5202</v>
      </c>
    </row>
    <row r="57" spans="1:12">
      <c r="A57" s="75" t="s">
        <v>29</v>
      </c>
      <c r="B57" s="975">
        <f t="shared" si="14"/>
        <v>389532</v>
      </c>
      <c r="C57" s="1015">
        <v>194601</v>
      </c>
      <c r="D57" s="1015">
        <v>15135</v>
      </c>
      <c r="E57" s="1015">
        <v>1136</v>
      </c>
      <c r="F57" s="1015">
        <v>20688</v>
      </c>
      <c r="G57" s="1015">
        <v>7653</v>
      </c>
      <c r="H57" s="1015">
        <v>2408</v>
      </c>
      <c r="I57" s="1015">
        <v>122074</v>
      </c>
      <c r="J57" s="1015">
        <v>20222</v>
      </c>
      <c r="K57" s="1015">
        <v>4279</v>
      </c>
      <c r="L57" s="1015">
        <v>1336</v>
      </c>
    </row>
    <row r="58" spans="1:12">
      <c r="A58" s="444" t="s">
        <v>148</v>
      </c>
      <c r="B58" s="1011">
        <f>SUM(B59:B62)</f>
        <v>31326166</v>
      </c>
      <c r="C58" s="1016">
        <f t="shared" ref="C58:L58" si="15">SUM(C59:C62)</f>
        <v>20352124</v>
      </c>
      <c r="D58" s="1016">
        <f t="shared" si="15"/>
        <v>975635</v>
      </c>
      <c r="E58" s="1016">
        <f t="shared" si="15"/>
        <v>166551</v>
      </c>
      <c r="F58" s="1016">
        <f t="shared" si="15"/>
        <v>1907031</v>
      </c>
      <c r="G58" s="1016">
        <f t="shared" si="15"/>
        <v>1036665</v>
      </c>
      <c r="H58" s="1016">
        <f t="shared" si="15"/>
        <v>148200</v>
      </c>
      <c r="I58" s="1016">
        <f t="shared" si="15"/>
        <v>5580620</v>
      </c>
      <c r="J58" s="1016">
        <f t="shared" si="15"/>
        <v>817332</v>
      </c>
      <c r="K58" s="1016">
        <f t="shared" si="15"/>
        <v>226186</v>
      </c>
      <c r="L58" s="1016">
        <f t="shared" si="15"/>
        <v>115822</v>
      </c>
    </row>
    <row r="59" spans="1:12">
      <c r="A59" s="75" t="s">
        <v>31</v>
      </c>
      <c r="B59" s="975">
        <f>SUM(C59:L59)</f>
        <v>1173245</v>
      </c>
      <c r="C59" s="1015">
        <v>630374</v>
      </c>
      <c r="D59" s="1015">
        <v>53122</v>
      </c>
      <c r="E59" s="1015">
        <v>12551</v>
      </c>
      <c r="F59" s="1015">
        <v>91952</v>
      </c>
      <c r="G59" s="1015">
        <v>31980</v>
      </c>
      <c r="H59" s="1015">
        <v>4950</v>
      </c>
      <c r="I59" s="1015">
        <v>274451</v>
      </c>
      <c r="J59" s="1015">
        <v>56223</v>
      </c>
      <c r="K59" s="1015">
        <v>11892</v>
      </c>
      <c r="L59" s="1015">
        <v>5750</v>
      </c>
    </row>
    <row r="60" spans="1:12">
      <c r="A60" s="75" t="s">
        <v>149</v>
      </c>
      <c r="B60" s="975">
        <f t="shared" ref="B60:B62" si="16">SUM(C60:L60)</f>
        <v>6500188</v>
      </c>
      <c r="C60" s="1015">
        <v>3734050</v>
      </c>
      <c r="D60" s="1015">
        <v>245995</v>
      </c>
      <c r="E60" s="1015">
        <v>40788</v>
      </c>
      <c r="F60" s="1015">
        <v>460054</v>
      </c>
      <c r="G60" s="1015">
        <v>170760</v>
      </c>
      <c r="H60" s="1015">
        <v>28261</v>
      </c>
      <c r="I60" s="1015">
        <v>1593219</v>
      </c>
      <c r="J60" s="1015">
        <v>155587</v>
      </c>
      <c r="K60" s="1015">
        <v>54567</v>
      </c>
      <c r="L60" s="1015">
        <v>16907</v>
      </c>
    </row>
    <row r="61" spans="1:12">
      <c r="A61" s="75" t="s">
        <v>33</v>
      </c>
      <c r="B61" s="975">
        <f t="shared" si="16"/>
        <v>4267732</v>
      </c>
      <c r="C61" s="1015">
        <v>3073409</v>
      </c>
      <c r="D61" s="1015">
        <v>106547</v>
      </c>
      <c r="E61" s="1015">
        <v>9899</v>
      </c>
      <c r="F61" s="1015">
        <v>192647</v>
      </c>
      <c r="G61" s="1015">
        <v>166654</v>
      </c>
      <c r="H61" s="1015">
        <v>28677</v>
      </c>
      <c r="I61" s="1015">
        <v>534951</v>
      </c>
      <c r="J61" s="1015">
        <v>100430</v>
      </c>
      <c r="K61" s="1015">
        <v>35887</v>
      </c>
      <c r="L61" s="1015">
        <v>18631</v>
      </c>
    </row>
    <row r="62" spans="1:12">
      <c r="A62" s="75" t="s">
        <v>150</v>
      </c>
      <c r="B62" s="975">
        <f t="shared" si="16"/>
        <v>19385001</v>
      </c>
      <c r="C62" s="1015">
        <v>12914291</v>
      </c>
      <c r="D62" s="1015">
        <v>569971</v>
      </c>
      <c r="E62" s="1015">
        <v>103313</v>
      </c>
      <c r="F62" s="1015">
        <v>1162378</v>
      </c>
      <c r="G62" s="1015">
        <v>667271</v>
      </c>
      <c r="H62" s="1015">
        <v>86312</v>
      </c>
      <c r="I62" s="1015">
        <v>3177999</v>
      </c>
      <c r="J62" s="1015">
        <v>505092</v>
      </c>
      <c r="K62" s="1015">
        <v>123840</v>
      </c>
      <c r="L62" s="1015">
        <v>74534</v>
      </c>
    </row>
    <row r="63" spans="1:12">
      <c r="A63" s="444" t="s">
        <v>151</v>
      </c>
      <c r="B63" s="1011">
        <f>SUM(B64:B66)</f>
        <v>12432914</v>
      </c>
      <c r="C63" s="1016">
        <f t="shared" ref="C63:L63" si="17">SUM(C64:C66)</f>
        <v>7714565</v>
      </c>
      <c r="D63" s="1016">
        <f t="shared" si="17"/>
        <v>505401</v>
      </c>
      <c r="E63" s="1016">
        <f t="shared" si="17"/>
        <v>132347</v>
      </c>
      <c r="F63" s="1016">
        <f t="shared" si="17"/>
        <v>842870</v>
      </c>
      <c r="G63" s="1016">
        <f t="shared" si="17"/>
        <v>327953</v>
      </c>
      <c r="H63" s="1016">
        <f t="shared" si="17"/>
        <v>37606</v>
      </c>
      <c r="I63" s="1016">
        <f t="shared" si="17"/>
        <v>2257083</v>
      </c>
      <c r="J63" s="1016">
        <f t="shared" si="17"/>
        <v>491388</v>
      </c>
      <c r="K63" s="1016">
        <f t="shared" si="17"/>
        <v>75774</v>
      </c>
      <c r="L63" s="1016">
        <f t="shared" si="17"/>
        <v>47927</v>
      </c>
    </row>
    <row r="64" spans="1:12">
      <c r="A64" s="75" t="s">
        <v>36</v>
      </c>
      <c r="B64" s="975">
        <f>SUM(C64:L64)</f>
        <v>4786984</v>
      </c>
      <c r="C64" s="1015">
        <v>2952817</v>
      </c>
      <c r="D64" s="1015">
        <v>208633</v>
      </c>
      <c r="E64" s="1015">
        <v>59272</v>
      </c>
      <c r="F64" s="1015">
        <v>355567</v>
      </c>
      <c r="G64" s="1015">
        <v>128524</v>
      </c>
      <c r="H64" s="1015">
        <v>14315</v>
      </c>
      <c r="I64" s="1015">
        <v>824872</v>
      </c>
      <c r="J64" s="1015">
        <v>195721</v>
      </c>
      <c r="K64" s="1015">
        <v>30846</v>
      </c>
      <c r="L64" s="1015">
        <v>16417</v>
      </c>
    </row>
    <row r="65" spans="1:12">
      <c r="A65" s="75" t="s">
        <v>152</v>
      </c>
      <c r="B65" s="975">
        <f t="shared" ref="B65:B66" si="18">SUM(C65:L65)</f>
        <v>4471754</v>
      </c>
      <c r="C65" s="1015">
        <v>2865254</v>
      </c>
      <c r="D65" s="1015">
        <v>176333</v>
      </c>
      <c r="E65" s="1015">
        <v>38554</v>
      </c>
      <c r="F65" s="1015">
        <v>283775</v>
      </c>
      <c r="G65" s="1015">
        <v>122563</v>
      </c>
      <c r="H65" s="1015">
        <v>14934</v>
      </c>
      <c r="I65" s="1015">
        <v>795314</v>
      </c>
      <c r="J65" s="1015">
        <v>127682</v>
      </c>
      <c r="K65" s="1015">
        <v>30102</v>
      </c>
      <c r="L65" s="1015">
        <v>17243</v>
      </c>
    </row>
    <row r="66" spans="1:12">
      <c r="A66" s="75" t="s">
        <v>38</v>
      </c>
      <c r="B66" s="975">
        <f t="shared" si="18"/>
        <v>3174176</v>
      </c>
      <c r="C66" s="1015">
        <v>1896494</v>
      </c>
      <c r="D66" s="1015">
        <v>120435</v>
      </c>
      <c r="E66" s="1015">
        <v>34521</v>
      </c>
      <c r="F66" s="1015">
        <v>203528</v>
      </c>
      <c r="G66" s="1015">
        <v>76866</v>
      </c>
      <c r="H66" s="1015">
        <v>8357</v>
      </c>
      <c r="I66" s="1015">
        <v>636897</v>
      </c>
      <c r="J66" s="1015">
        <v>167985</v>
      </c>
      <c r="K66" s="1015">
        <v>14826</v>
      </c>
      <c r="L66" s="1015">
        <v>14267</v>
      </c>
    </row>
    <row r="67" spans="1:12">
      <c r="A67" s="444" t="s">
        <v>153</v>
      </c>
      <c r="B67" s="1011">
        <f>SUM(B68:B71)</f>
        <v>5320915</v>
      </c>
      <c r="C67" s="1016">
        <f t="shared" ref="C67:L67" si="19">SUM(C68:C71)</f>
        <v>2808133</v>
      </c>
      <c r="D67" s="1016">
        <f t="shared" si="19"/>
        <v>186676</v>
      </c>
      <c r="E67" s="1016">
        <f t="shared" si="19"/>
        <v>44482</v>
      </c>
      <c r="F67" s="1016">
        <f t="shared" si="19"/>
        <v>462277</v>
      </c>
      <c r="G67" s="1016">
        <f t="shared" si="19"/>
        <v>135829</v>
      </c>
      <c r="H67" s="1016">
        <f t="shared" si="19"/>
        <v>14098</v>
      </c>
      <c r="I67" s="1016">
        <f t="shared" si="19"/>
        <v>1273947</v>
      </c>
      <c r="J67" s="1016">
        <f t="shared" si="19"/>
        <v>333733</v>
      </c>
      <c r="K67" s="1016">
        <f t="shared" si="19"/>
        <v>37358</v>
      </c>
      <c r="L67" s="1016">
        <f t="shared" si="19"/>
        <v>24382</v>
      </c>
    </row>
    <row r="68" spans="1:12">
      <c r="A68" s="75" t="s">
        <v>40</v>
      </c>
      <c r="B68" s="975">
        <f>SUM(C68:L68)</f>
        <v>1174175</v>
      </c>
      <c r="C68" s="1015">
        <v>889940</v>
      </c>
      <c r="D68" s="1015">
        <v>18808</v>
      </c>
      <c r="E68" s="1015">
        <v>2114</v>
      </c>
      <c r="F68" s="1015">
        <v>71233</v>
      </c>
      <c r="G68" s="1015">
        <v>41458</v>
      </c>
      <c r="H68" s="1015">
        <v>4571</v>
      </c>
      <c r="I68" s="1015">
        <v>118038</v>
      </c>
      <c r="J68" s="1015">
        <v>10539</v>
      </c>
      <c r="K68" s="1015">
        <v>8648</v>
      </c>
      <c r="L68" s="1015">
        <v>8826</v>
      </c>
    </row>
    <row r="69" spans="1:12">
      <c r="A69" s="75" t="s">
        <v>41</v>
      </c>
      <c r="B69" s="975">
        <f t="shared" ref="B69:B71" si="20">SUM(C69:L69)</f>
        <v>2197732</v>
      </c>
      <c r="C69" s="1015">
        <v>1111148</v>
      </c>
      <c r="D69" s="1015">
        <v>81211</v>
      </c>
      <c r="E69" s="1015">
        <v>16994</v>
      </c>
      <c r="F69" s="1015">
        <v>196730</v>
      </c>
      <c r="G69" s="1015">
        <v>52623</v>
      </c>
      <c r="H69" s="1015">
        <v>5424</v>
      </c>
      <c r="I69" s="1015">
        <v>558925</v>
      </c>
      <c r="J69" s="1015">
        <v>151168</v>
      </c>
      <c r="K69" s="1015">
        <v>15874</v>
      </c>
      <c r="L69" s="1015">
        <v>7635</v>
      </c>
    </row>
    <row r="70" spans="1:12">
      <c r="A70" s="75" t="s">
        <v>42</v>
      </c>
      <c r="B70" s="975">
        <f t="shared" si="20"/>
        <v>1058794</v>
      </c>
      <c r="C70" s="1015">
        <v>383625</v>
      </c>
      <c r="D70" s="1015">
        <v>48578</v>
      </c>
      <c r="E70" s="1015">
        <v>16647</v>
      </c>
      <c r="F70" s="1015">
        <v>109934</v>
      </c>
      <c r="G70" s="1015">
        <v>19793</v>
      </c>
      <c r="H70" s="1015">
        <v>2058</v>
      </c>
      <c r="I70" s="1015">
        <v>358091</v>
      </c>
      <c r="J70" s="1015">
        <v>108857</v>
      </c>
      <c r="K70" s="1015">
        <v>6731</v>
      </c>
      <c r="L70" s="1015">
        <v>4480</v>
      </c>
    </row>
    <row r="71" spans="1:12">
      <c r="A71" s="76" t="s">
        <v>43</v>
      </c>
      <c r="B71" s="975">
        <f t="shared" si="20"/>
        <v>890214</v>
      </c>
      <c r="C71" s="1015">
        <v>423420</v>
      </c>
      <c r="D71" s="1015">
        <v>38079</v>
      </c>
      <c r="E71" s="1015">
        <v>8727</v>
      </c>
      <c r="F71" s="1015">
        <v>84380</v>
      </c>
      <c r="G71" s="1015">
        <v>21955</v>
      </c>
      <c r="H71" s="1015">
        <v>2045</v>
      </c>
      <c r="I71" s="1015">
        <v>238893</v>
      </c>
      <c r="J71" s="1015">
        <v>63169</v>
      </c>
      <c r="K71" s="1015">
        <v>6105</v>
      </c>
      <c r="L71" s="1015">
        <v>3441</v>
      </c>
    </row>
    <row r="72" spans="1:12" s="1" customFormat="1">
      <c r="A72" s="57"/>
      <c r="B72" s="57"/>
      <c r="C72" s="57"/>
      <c r="D72" s="57"/>
      <c r="E72" s="57"/>
      <c r="F72" s="57"/>
      <c r="G72" s="57"/>
      <c r="H72" s="57"/>
      <c r="I72" s="57"/>
      <c r="J72" s="57"/>
      <c r="K72" s="57"/>
      <c r="L72" s="57"/>
    </row>
    <row r="73" spans="1:12">
      <c r="A73" s="1097" t="s">
        <v>155</v>
      </c>
      <c r="B73" s="1098"/>
      <c r="C73" s="1098"/>
      <c r="D73" s="1098"/>
      <c r="E73" s="1098"/>
      <c r="F73" s="1098"/>
      <c r="G73" s="1098"/>
      <c r="H73" s="1098"/>
      <c r="I73" s="1098"/>
      <c r="J73" s="1098"/>
      <c r="K73" s="1098"/>
      <c r="L73" s="1099"/>
    </row>
    <row r="74" spans="1:12" ht="51">
      <c r="A74" s="441" t="s">
        <v>132</v>
      </c>
      <c r="B74" s="442" t="s">
        <v>1</v>
      </c>
      <c r="C74" s="442" t="s">
        <v>78</v>
      </c>
      <c r="D74" s="442" t="s">
        <v>7</v>
      </c>
      <c r="E74" s="442" t="s">
        <v>133</v>
      </c>
      <c r="F74" s="442" t="s">
        <v>79</v>
      </c>
      <c r="G74" s="442" t="s">
        <v>134</v>
      </c>
      <c r="H74" s="442" t="s">
        <v>135</v>
      </c>
      <c r="I74" s="442" t="s">
        <v>4</v>
      </c>
      <c r="J74" s="442" t="s">
        <v>136</v>
      </c>
      <c r="K74" s="442" t="s">
        <v>8</v>
      </c>
      <c r="L74" s="443" t="s">
        <v>137</v>
      </c>
    </row>
    <row r="75" spans="1:12">
      <c r="A75" s="444" t="s">
        <v>11</v>
      </c>
      <c r="B75" s="152">
        <f>SUM(B76+B84+B94+B99+B103)</f>
        <v>65926956</v>
      </c>
      <c r="C75" s="1017">
        <f t="shared" ref="C75:L75" si="21">SUM(C76,C84,C94,C99,C103)</f>
        <v>38461238</v>
      </c>
      <c r="D75" s="1017">
        <f t="shared" si="21"/>
        <v>2206079</v>
      </c>
      <c r="E75" s="1017">
        <f t="shared" si="21"/>
        <v>434964</v>
      </c>
      <c r="F75" s="1017">
        <f t="shared" si="21"/>
        <v>4512577</v>
      </c>
      <c r="G75" s="1017">
        <f t="shared" si="21"/>
        <v>1953444</v>
      </c>
      <c r="H75" s="1017">
        <f t="shared" si="21"/>
        <v>283389</v>
      </c>
      <c r="I75" s="1017">
        <f t="shared" si="21"/>
        <v>14721689</v>
      </c>
      <c r="J75" s="1017">
        <f t="shared" si="21"/>
        <v>2584552</v>
      </c>
      <c r="K75" s="1017">
        <f t="shared" si="21"/>
        <v>468334</v>
      </c>
      <c r="L75" s="1019">
        <f t="shared" si="21"/>
        <v>300690</v>
      </c>
    </row>
    <row r="76" spans="1:12">
      <c r="A76" s="444" t="s">
        <v>138</v>
      </c>
      <c r="B76" s="1010">
        <f>SUM(B77:B83)</f>
        <v>2949022</v>
      </c>
      <c r="C76" s="1018">
        <f t="shared" ref="C76:L76" si="22">SUM(C77:C83)</f>
        <v>1071051</v>
      </c>
      <c r="D76" s="1018">
        <f t="shared" si="22"/>
        <v>112971</v>
      </c>
      <c r="E76" s="1018">
        <f t="shared" si="22"/>
        <v>14783</v>
      </c>
      <c r="F76" s="1018">
        <f t="shared" si="22"/>
        <v>260632</v>
      </c>
      <c r="G76" s="1018">
        <f t="shared" si="22"/>
        <v>67929</v>
      </c>
      <c r="H76" s="1018">
        <f t="shared" si="22"/>
        <v>10677</v>
      </c>
      <c r="I76" s="1018">
        <f t="shared" si="22"/>
        <v>1090066</v>
      </c>
      <c r="J76" s="1018">
        <f t="shared" si="22"/>
        <v>280884</v>
      </c>
      <c r="K76" s="1018">
        <f t="shared" si="22"/>
        <v>26964</v>
      </c>
      <c r="L76" s="1018">
        <f t="shared" si="22"/>
        <v>13065</v>
      </c>
    </row>
    <row r="77" spans="1:12">
      <c r="A77" s="75" t="s">
        <v>139</v>
      </c>
      <c r="B77" s="975">
        <f>SUM(C77:L77)</f>
        <v>158276</v>
      </c>
      <c r="C77" s="1020">
        <v>53340</v>
      </c>
      <c r="D77" s="1020">
        <v>5409</v>
      </c>
      <c r="E77" s="1020">
        <v>459</v>
      </c>
      <c r="F77" s="1020">
        <v>15323</v>
      </c>
      <c r="G77" s="1020">
        <v>2717</v>
      </c>
      <c r="H77" s="1020">
        <v>203</v>
      </c>
      <c r="I77" s="1020">
        <v>66549</v>
      </c>
      <c r="J77" s="1020">
        <v>13060</v>
      </c>
      <c r="K77" s="1020">
        <v>639</v>
      </c>
      <c r="L77" s="1020">
        <v>577</v>
      </c>
    </row>
    <row r="78" spans="1:12">
      <c r="A78" s="75" t="s">
        <v>140</v>
      </c>
      <c r="B78" s="975">
        <f t="shared" ref="B78:B83" si="23">SUM(C78:L78)</f>
        <v>121371</v>
      </c>
      <c r="C78" s="1020">
        <v>54024</v>
      </c>
      <c r="D78" s="1020">
        <v>3175</v>
      </c>
      <c r="E78" s="1020">
        <v>223</v>
      </c>
      <c r="F78" s="1020">
        <v>12813</v>
      </c>
      <c r="G78" s="1020">
        <v>3029</v>
      </c>
      <c r="H78" s="1020">
        <v>327</v>
      </c>
      <c r="I78" s="1020">
        <v>39175</v>
      </c>
      <c r="J78" s="1020">
        <v>7449</v>
      </c>
      <c r="K78" s="1020">
        <v>656</v>
      </c>
      <c r="L78" s="1020">
        <v>500</v>
      </c>
    </row>
    <row r="79" spans="1:12">
      <c r="A79" s="75" t="s">
        <v>15</v>
      </c>
      <c r="B79" s="975">
        <f t="shared" si="23"/>
        <v>545843</v>
      </c>
      <c r="C79" s="1020">
        <v>273137</v>
      </c>
      <c r="D79" s="1020">
        <v>16969</v>
      </c>
      <c r="E79" s="1020">
        <v>2249</v>
      </c>
      <c r="F79" s="1020">
        <v>57051</v>
      </c>
      <c r="G79" s="1020">
        <v>20869</v>
      </c>
      <c r="H79" s="1020">
        <v>2630</v>
      </c>
      <c r="I79" s="1020">
        <v>133010</v>
      </c>
      <c r="J79" s="1020">
        <v>30641</v>
      </c>
      <c r="K79" s="1020">
        <v>6596</v>
      </c>
      <c r="L79" s="1020">
        <v>2691</v>
      </c>
    </row>
    <row r="80" spans="1:12">
      <c r="A80" s="75" t="s">
        <v>141</v>
      </c>
      <c r="B80" s="975">
        <f t="shared" si="23"/>
        <v>1011463</v>
      </c>
      <c r="C80" s="1020">
        <v>362050</v>
      </c>
      <c r="D80" s="1020">
        <v>41564</v>
      </c>
      <c r="E80" s="1020">
        <v>4343</v>
      </c>
      <c r="F80" s="1020">
        <v>73685</v>
      </c>
      <c r="G80" s="1020">
        <v>24317</v>
      </c>
      <c r="H80" s="1020">
        <v>5015</v>
      </c>
      <c r="I80" s="1020">
        <v>395817</v>
      </c>
      <c r="J80" s="1020">
        <v>87562</v>
      </c>
      <c r="K80" s="1020">
        <v>11108</v>
      </c>
      <c r="L80" s="1020">
        <v>6002</v>
      </c>
    </row>
    <row r="81" spans="1:12">
      <c r="A81" s="75" t="s">
        <v>142</v>
      </c>
      <c r="B81" s="975">
        <f t="shared" si="23"/>
        <v>582483</v>
      </c>
      <c r="C81" s="1020">
        <v>162845</v>
      </c>
      <c r="D81" s="1020">
        <v>23308</v>
      </c>
      <c r="E81" s="1020">
        <v>4238</v>
      </c>
      <c r="F81" s="1020">
        <v>50037</v>
      </c>
      <c r="G81" s="1020">
        <v>7534</v>
      </c>
      <c r="H81" s="1020">
        <v>797</v>
      </c>
      <c r="I81" s="1020">
        <v>257017</v>
      </c>
      <c r="J81" s="1020">
        <v>71315</v>
      </c>
      <c r="K81" s="1020">
        <v>3969</v>
      </c>
      <c r="L81" s="1020">
        <v>1423</v>
      </c>
    </row>
    <row r="82" spans="1:12">
      <c r="A82" s="75" t="s">
        <v>18</v>
      </c>
      <c r="B82" s="975">
        <f t="shared" si="23"/>
        <v>129828</v>
      </c>
      <c r="C82" s="1020">
        <v>43054</v>
      </c>
      <c r="D82" s="1020">
        <v>3266</v>
      </c>
      <c r="E82" s="1020">
        <v>346</v>
      </c>
      <c r="F82" s="1020">
        <v>14128</v>
      </c>
      <c r="G82" s="1020">
        <v>2998</v>
      </c>
      <c r="H82" s="1020">
        <v>438</v>
      </c>
      <c r="I82" s="1020">
        <v>51777</v>
      </c>
      <c r="J82" s="1020">
        <v>12590</v>
      </c>
      <c r="K82" s="1020">
        <v>676</v>
      </c>
      <c r="L82" s="1020">
        <v>555</v>
      </c>
    </row>
    <row r="83" spans="1:12">
      <c r="A83" s="75" t="s">
        <v>19</v>
      </c>
      <c r="B83" s="975">
        <f t="shared" si="23"/>
        <v>399758</v>
      </c>
      <c r="C83" s="1020">
        <v>122601</v>
      </c>
      <c r="D83" s="1020">
        <v>19280</v>
      </c>
      <c r="E83" s="1020">
        <v>2925</v>
      </c>
      <c r="F83" s="1020">
        <v>37595</v>
      </c>
      <c r="G83" s="1020">
        <v>6465</v>
      </c>
      <c r="H83" s="1020">
        <v>1267</v>
      </c>
      <c r="I83" s="1020">
        <v>146721</v>
      </c>
      <c r="J83" s="1020">
        <v>58267</v>
      </c>
      <c r="K83" s="1020">
        <v>3320</v>
      </c>
      <c r="L83" s="1020">
        <v>1317</v>
      </c>
    </row>
    <row r="84" spans="1:12">
      <c r="A84" s="444" t="s">
        <v>143</v>
      </c>
      <c r="B84" s="1010">
        <f>SUM(B85:B93)</f>
        <v>9896812</v>
      </c>
      <c r="C84" s="1018">
        <f t="shared" ref="C84:L84" si="24">SUM(C85:C93)</f>
        <v>4290136</v>
      </c>
      <c r="D84" s="1018">
        <f t="shared" si="24"/>
        <v>333870</v>
      </c>
      <c r="E84" s="1018">
        <f t="shared" si="24"/>
        <v>36005</v>
      </c>
      <c r="F84" s="1018">
        <f t="shared" si="24"/>
        <v>674390</v>
      </c>
      <c r="G84" s="1018">
        <f t="shared" si="24"/>
        <v>233757</v>
      </c>
      <c r="H84" s="1018">
        <f t="shared" si="24"/>
        <v>55759</v>
      </c>
      <c r="I84" s="1018">
        <f t="shared" si="24"/>
        <v>3662463</v>
      </c>
      <c r="J84" s="1018">
        <f t="shared" si="24"/>
        <v>476464</v>
      </c>
      <c r="K84" s="1018">
        <f t="shared" si="24"/>
        <v>81388</v>
      </c>
      <c r="L84" s="1018">
        <f t="shared" si="24"/>
        <v>52580</v>
      </c>
    </row>
    <row r="85" spans="1:12">
      <c r="A85" s="75" t="s">
        <v>21</v>
      </c>
      <c r="B85" s="975">
        <f>SUM(C85:L85)</f>
        <v>452417</v>
      </c>
      <c r="C85" s="1020">
        <v>219822</v>
      </c>
      <c r="D85" s="1020">
        <v>16143</v>
      </c>
      <c r="E85" s="1020">
        <v>1606</v>
      </c>
      <c r="F85" s="1020">
        <v>32408</v>
      </c>
      <c r="G85" s="1020">
        <v>11907</v>
      </c>
      <c r="H85" s="1020">
        <v>4629</v>
      </c>
      <c r="I85" s="1020">
        <v>137971</v>
      </c>
      <c r="J85" s="1020">
        <v>20675</v>
      </c>
      <c r="K85" s="1020">
        <v>4824</v>
      </c>
      <c r="L85" s="1020">
        <v>2432</v>
      </c>
    </row>
    <row r="86" spans="1:12">
      <c r="A86" s="75" t="s">
        <v>22</v>
      </c>
      <c r="B86" s="975">
        <f t="shared" ref="B86:B93" si="25">SUM(C86:L86)</f>
        <v>2401032</v>
      </c>
      <c r="C86" s="1020">
        <v>1129821</v>
      </c>
      <c r="D86" s="1020">
        <v>89559</v>
      </c>
      <c r="E86" s="1020">
        <v>13255</v>
      </c>
      <c r="F86" s="1020">
        <v>195917</v>
      </c>
      <c r="G86" s="1020">
        <v>64129</v>
      </c>
      <c r="H86" s="1020">
        <v>17758</v>
      </c>
      <c r="I86" s="1020">
        <v>753601</v>
      </c>
      <c r="J86" s="1020">
        <v>97762</v>
      </c>
      <c r="K86" s="1020">
        <v>28153</v>
      </c>
      <c r="L86" s="1020">
        <v>11077</v>
      </c>
    </row>
    <row r="87" spans="1:12">
      <c r="A87" s="75" t="s">
        <v>23</v>
      </c>
      <c r="B87" s="975">
        <f t="shared" si="25"/>
        <v>1789913</v>
      </c>
      <c r="C87" s="1020">
        <v>703734</v>
      </c>
      <c r="D87" s="1020">
        <v>51749</v>
      </c>
      <c r="E87" s="1020">
        <v>5239</v>
      </c>
      <c r="F87" s="1020">
        <v>113311</v>
      </c>
      <c r="G87" s="1020">
        <v>37440</v>
      </c>
      <c r="H87" s="1020">
        <v>7498</v>
      </c>
      <c r="I87" s="1020">
        <v>763002</v>
      </c>
      <c r="J87" s="1020">
        <v>82714</v>
      </c>
      <c r="K87" s="1020">
        <v>11184</v>
      </c>
      <c r="L87" s="1020">
        <v>14042</v>
      </c>
    </row>
    <row r="88" spans="1:12">
      <c r="A88" s="75" t="s">
        <v>144</v>
      </c>
      <c r="B88" s="975">
        <f t="shared" si="25"/>
        <v>856050</v>
      </c>
      <c r="C88" s="1020">
        <v>263413</v>
      </c>
      <c r="D88" s="1020">
        <v>26318</v>
      </c>
      <c r="E88" s="1020">
        <v>1663</v>
      </c>
      <c r="F88" s="1020">
        <v>60878</v>
      </c>
      <c r="G88" s="1020">
        <v>13385</v>
      </c>
      <c r="H88" s="1020">
        <v>3454</v>
      </c>
      <c r="I88" s="1020">
        <v>407939</v>
      </c>
      <c r="J88" s="1020">
        <v>70148</v>
      </c>
      <c r="K88" s="1020">
        <v>5154</v>
      </c>
      <c r="L88" s="1020">
        <v>3698</v>
      </c>
    </row>
    <row r="89" spans="1:12">
      <c r="A89" s="75" t="s">
        <v>145</v>
      </c>
      <c r="B89" s="975">
        <f t="shared" si="25"/>
        <v>738358</v>
      </c>
      <c r="C89" s="1020">
        <v>330141</v>
      </c>
      <c r="D89" s="1020">
        <v>21799</v>
      </c>
      <c r="E89" s="1020">
        <v>1760</v>
      </c>
      <c r="F89" s="1020">
        <v>47323</v>
      </c>
      <c r="G89" s="1020">
        <v>15735</v>
      </c>
      <c r="H89" s="1020">
        <v>3068</v>
      </c>
      <c r="I89" s="1020">
        <v>273037</v>
      </c>
      <c r="J89" s="1020">
        <v>37263</v>
      </c>
      <c r="K89" s="1020">
        <v>4633</v>
      </c>
      <c r="L89" s="1020">
        <v>3599</v>
      </c>
    </row>
    <row r="90" spans="1:12">
      <c r="A90" s="75" t="s">
        <v>146</v>
      </c>
      <c r="B90" s="975">
        <f t="shared" si="25"/>
        <v>1845035</v>
      </c>
      <c r="C90" s="1020">
        <v>886827</v>
      </c>
      <c r="D90" s="1020">
        <v>70944</v>
      </c>
      <c r="E90" s="1020">
        <v>7951</v>
      </c>
      <c r="F90" s="1020">
        <v>106857</v>
      </c>
      <c r="G90" s="1020">
        <v>56989</v>
      </c>
      <c r="H90" s="1020">
        <v>11309</v>
      </c>
      <c r="I90" s="1020">
        <v>623365</v>
      </c>
      <c r="J90" s="1020">
        <v>58875</v>
      </c>
      <c r="K90" s="1020">
        <v>14527</v>
      </c>
      <c r="L90" s="1020">
        <v>7391</v>
      </c>
    </row>
    <row r="91" spans="1:12">
      <c r="A91" s="75" t="s">
        <v>27</v>
      </c>
      <c r="B91" s="975">
        <f t="shared" si="25"/>
        <v>616176</v>
      </c>
      <c r="C91" s="1020">
        <v>194534</v>
      </c>
      <c r="D91" s="1020">
        <v>17855</v>
      </c>
      <c r="E91" s="1020">
        <v>1336</v>
      </c>
      <c r="F91" s="1020">
        <v>42949</v>
      </c>
      <c r="G91" s="1020">
        <v>9218</v>
      </c>
      <c r="H91" s="1020">
        <v>1889</v>
      </c>
      <c r="I91" s="1020">
        <v>293265</v>
      </c>
      <c r="J91" s="1020">
        <v>49571</v>
      </c>
      <c r="K91" s="1020">
        <v>3592</v>
      </c>
      <c r="L91" s="1020">
        <v>1967</v>
      </c>
    </row>
    <row r="92" spans="1:12">
      <c r="A92" s="75" t="s">
        <v>147</v>
      </c>
      <c r="B92" s="975">
        <f t="shared" si="25"/>
        <v>755824</v>
      </c>
      <c r="C92" s="1020">
        <v>347891</v>
      </c>
      <c r="D92" s="1020">
        <v>23180</v>
      </c>
      <c r="E92" s="1020">
        <v>1865</v>
      </c>
      <c r="F92" s="1020">
        <v>51178</v>
      </c>
      <c r="G92" s="1020">
        <v>16415</v>
      </c>
      <c r="H92" s="1020">
        <v>3568</v>
      </c>
      <c r="I92" s="1020">
        <v>264791</v>
      </c>
      <c r="J92" s="1020">
        <v>35733</v>
      </c>
      <c r="K92" s="1020">
        <v>4650</v>
      </c>
      <c r="L92" s="1020">
        <v>6553</v>
      </c>
    </row>
    <row r="93" spans="1:12">
      <c r="A93" s="75" t="s">
        <v>29</v>
      </c>
      <c r="B93" s="975">
        <f t="shared" si="25"/>
        <v>442007</v>
      </c>
      <c r="C93" s="1020">
        <v>213953</v>
      </c>
      <c r="D93" s="1020">
        <v>16323</v>
      </c>
      <c r="E93" s="1020">
        <v>1330</v>
      </c>
      <c r="F93" s="1020">
        <v>23569</v>
      </c>
      <c r="G93" s="1020">
        <v>8539</v>
      </c>
      <c r="H93" s="1020">
        <v>2586</v>
      </c>
      <c r="I93" s="1020">
        <v>145492</v>
      </c>
      <c r="J93" s="1020">
        <v>23723</v>
      </c>
      <c r="K93" s="1020">
        <v>4671</v>
      </c>
      <c r="L93" s="1020">
        <v>1821</v>
      </c>
    </row>
    <row r="94" spans="1:12">
      <c r="A94" s="444" t="s">
        <v>148</v>
      </c>
      <c r="B94" s="1011">
        <f t="shared" ref="B94:B103" si="26">SUM(C94:L94)</f>
        <v>33817101</v>
      </c>
      <c r="C94" s="1018">
        <f t="shared" ref="C94:L94" si="27">SUM(C95:C98)</f>
        <v>21744647</v>
      </c>
      <c r="D94" s="1018">
        <f t="shared" si="27"/>
        <v>1029662</v>
      </c>
      <c r="E94" s="1018">
        <f t="shared" si="27"/>
        <v>189859</v>
      </c>
      <c r="F94" s="1018">
        <f t="shared" si="27"/>
        <v>2126967</v>
      </c>
      <c r="G94" s="1018">
        <f t="shared" si="27"/>
        <v>1139979</v>
      </c>
      <c r="H94" s="1018">
        <f t="shared" si="27"/>
        <v>161094</v>
      </c>
      <c r="I94" s="1018">
        <f t="shared" si="27"/>
        <v>6130902</v>
      </c>
      <c r="J94" s="1018">
        <f t="shared" si="27"/>
        <v>908421</v>
      </c>
      <c r="K94" s="1018">
        <f t="shared" si="27"/>
        <v>239642</v>
      </c>
      <c r="L94" s="1018">
        <f t="shared" si="27"/>
        <v>145928</v>
      </c>
    </row>
    <row r="95" spans="1:12">
      <c r="A95" s="75" t="s">
        <v>31</v>
      </c>
      <c r="B95" s="975">
        <f t="shared" ref="B95:B98" si="28">SUM(C95:L95)</f>
        <v>1273000</v>
      </c>
      <c r="C95" s="1020">
        <v>672070</v>
      </c>
      <c r="D95" s="1020">
        <v>56235</v>
      </c>
      <c r="E95" s="1020">
        <v>13963</v>
      </c>
      <c r="F95" s="1020">
        <v>100696</v>
      </c>
      <c r="G95" s="1020">
        <v>35030</v>
      </c>
      <c r="H95" s="1020">
        <v>5447</v>
      </c>
      <c r="I95" s="1020">
        <v>305884</v>
      </c>
      <c r="J95" s="1020">
        <v>64410</v>
      </c>
      <c r="K95" s="1020">
        <v>12585</v>
      </c>
      <c r="L95" s="1020">
        <v>6680</v>
      </c>
    </row>
    <row r="96" spans="1:12">
      <c r="A96" s="75" t="s">
        <v>149</v>
      </c>
      <c r="B96" s="975">
        <f t="shared" si="28"/>
        <v>7148869</v>
      </c>
      <c r="C96" s="1020">
        <v>4077758</v>
      </c>
      <c r="D96" s="1020">
        <v>262991</v>
      </c>
      <c r="E96" s="1020">
        <v>45925</v>
      </c>
      <c r="F96" s="1020">
        <v>520956</v>
      </c>
      <c r="G96" s="1020">
        <v>186017</v>
      </c>
      <c r="H96" s="1020">
        <v>31384</v>
      </c>
      <c r="I96" s="1020">
        <v>1767330</v>
      </c>
      <c r="J96" s="1020">
        <v>176198</v>
      </c>
      <c r="K96" s="1020">
        <v>58462</v>
      </c>
      <c r="L96" s="1020">
        <v>21848</v>
      </c>
    </row>
    <row r="97" spans="1:12">
      <c r="A97" s="75" t="s">
        <v>33</v>
      </c>
      <c r="B97" s="975">
        <f t="shared" si="28"/>
        <v>4606945</v>
      </c>
      <c r="C97" s="1020">
        <v>3279385</v>
      </c>
      <c r="D97" s="1020">
        <v>113902</v>
      </c>
      <c r="E97" s="1020">
        <v>11395</v>
      </c>
      <c r="F97" s="1020">
        <v>215837</v>
      </c>
      <c r="G97" s="1020">
        <v>184695</v>
      </c>
      <c r="H97" s="1020">
        <v>30917</v>
      </c>
      <c r="I97" s="1020">
        <v>599323</v>
      </c>
      <c r="J97" s="1020">
        <v>110086</v>
      </c>
      <c r="K97" s="1020">
        <v>37884</v>
      </c>
      <c r="L97" s="1020">
        <v>23521</v>
      </c>
    </row>
    <row r="98" spans="1:12">
      <c r="A98" s="75" t="s">
        <v>150</v>
      </c>
      <c r="B98" s="975">
        <f t="shared" si="28"/>
        <v>20788287</v>
      </c>
      <c r="C98" s="1020">
        <v>13715434</v>
      </c>
      <c r="D98" s="1020">
        <v>596534</v>
      </c>
      <c r="E98" s="1020">
        <v>118576</v>
      </c>
      <c r="F98" s="1020">
        <v>1289478</v>
      </c>
      <c r="G98" s="1020">
        <v>734237</v>
      </c>
      <c r="H98" s="1020">
        <v>93346</v>
      </c>
      <c r="I98" s="1020">
        <v>3458365</v>
      </c>
      <c r="J98" s="1020">
        <v>557727</v>
      </c>
      <c r="K98" s="1020">
        <v>130711</v>
      </c>
      <c r="L98" s="1020">
        <v>93879</v>
      </c>
    </row>
    <row r="99" spans="1:12">
      <c r="A99" s="444" t="s">
        <v>151</v>
      </c>
      <c r="B99" s="1011">
        <f t="shared" si="26"/>
        <v>13394458</v>
      </c>
      <c r="C99" s="1018">
        <f t="shared" ref="C99:L99" si="29">SUM(C100:C102)</f>
        <v>8283092</v>
      </c>
      <c r="D99" s="1018">
        <f t="shared" si="29"/>
        <v>531273</v>
      </c>
      <c r="E99" s="1018">
        <f t="shared" si="29"/>
        <v>144442</v>
      </c>
      <c r="F99" s="1018">
        <f t="shared" si="29"/>
        <v>933624</v>
      </c>
      <c r="G99" s="1018">
        <f t="shared" si="29"/>
        <v>363687</v>
      </c>
      <c r="H99" s="1018">
        <f t="shared" si="29"/>
        <v>40620</v>
      </c>
      <c r="I99" s="1018">
        <f t="shared" si="29"/>
        <v>2419117</v>
      </c>
      <c r="J99" s="1018">
        <f t="shared" si="29"/>
        <v>538677</v>
      </c>
      <c r="K99" s="1018">
        <f t="shared" si="29"/>
        <v>80585</v>
      </c>
      <c r="L99" s="1018">
        <f t="shared" si="29"/>
        <v>59341</v>
      </c>
    </row>
    <row r="100" spans="1:12">
      <c r="A100" s="75" t="s">
        <v>36</v>
      </c>
      <c r="B100" s="975">
        <f t="shared" ref="B100:B102" si="30">SUM(C100:L100)</f>
        <v>5168432</v>
      </c>
      <c r="C100" s="1020">
        <v>3177685</v>
      </c>
      <c r="D100" s="1020">
        <v>219287</v>
      </c>
      <c r="E100" s="1020">
        <v>65063</v>
      </c>
      <c r="F100" s="1020">
        <v>394249</v>
      </c>
      <c r="G100" s="1020">
        <v>140325</v>
      </c>
      <c r="H100" s="1020">
        <v>15597</v>
      </c>
      <c r="I100" s="1020">
        <v>890126</v>
      </c>
      <c r="J100" s="1020">
        <v>212673</v>
      </c>
      <c r="K100" s="1020">
        <v>32933</v>
      </c>
      <c r="L100" s="1020">
        <v>20494</v>
      </c>
    </row>
    <row r="101" spans="1:12">
      <c r="A101" s="75" t="s">
        <v>152</v>
      </c>
      <c r="B101" s="975">
        <f t="shared" si="30"/>
        <v>4787622</v>
      </c>
      <c r="C101" s="1020">
        <v>3056672</v>
      </c>
      <c r="D101" s="1020">
        <v>185452</v>
      </c>
      <c r="E101" s="1020">
        <v>41862</v>
      </c>
      <c r="F101" s="1020">
        <v>311990</v>
      </c>
      <c r="G101" s="1020">
        <v>136554</v>
      </c>
      <c r="H101" s="1020">
        <v>16001</v>
      </c>
      <c r="I101" s="1020">
        <v>848056</v>
      </c>
      <c r="J101" s="1020">
        <v>138157</v>
      </c>
      <c r="K101" s="1020">
        <v>31977</v>
      </c>
      <c r="L101" s="1020">
        <v>20901</v>
      </c>
    </row>
    <row r="102" spans="1:12">
      <c r="A102" s="75" t="s">
        <v>38</v>
      </c>
      <c r="B102" s="975">
        <f t="shared" si="30"/>
        <v>3438404</v>
      </c>
      <c r="C102" s="1020">
        <v>2048735</v>
      </c>
      <c r="D102" s="1020">
        <v>126534</v>
      </c>
      <c r="E102" s="1020">
        <v>37517</v>
      </c>
      <c r="F102" s="1020">
        <v>227385</v>
      </c>
      <c r="G102" s="1020">
        <v>86808</v>
      </c>
      <c r="H102" s="1020">
        <v>9022</v>
      </c>
      <c r="I102" s="1020">
        <v>680935</v>
      </c>
      <c r="J102" s="1020">
        <v>187847</v>
      </c>
      <c r="K102" s="1020">
        <v>15675</v>
      </c>
      <c r="L102" s="1020">
        <v>17946</v>
      </c>
    </row>
    <row r="103" spans="1:12">
      <c r="A103" s="444" t="s">
        <v>153</v>
      </c>
      <c r="B103" s="1011">
        <f t="shared" si="26"/>
        <v>5869563</v>
      </c>
      <c r="C103" s="1018">
        <f t="shared" ref="C103:L103" si="31">SUM(C104:C107)</f>
        <v>3072312</v>
      </c>
      <c r="D103" s="1018">
        <f t="shared" si="31"/>
        <v>198303</v>
      </c>
      <c r="E103" s="1018">
        <f t="shared" si="31"/>
        <v>49875</v>
      </c>
      <c r="F103" s="1018">
        <f t="shared" si="31"/>
        <v>516964</v>
      </c>
      <c r="G103" s="1018">
        <f t="shared" si="31"/>
        <v>148092</v>
      </c>
      <c r="H103" s="1018">
        <f t="shared" si="31"/>
        <v>15239</v>
      </c>
      <c r="I103" s="1018">
        <f t="shared" si="31"/>
        <v>1419141</v>
      </c>
      <c r="J103" s="1018">
        <f t="shared" si="31"/>
        <v>380106</v>
      </c>
      <c r="K103" s="1018">
        <f t="shared" si="31"/>
        <v>39755</v>
      </c>
      <c r="L103" s="1018">
        <f t="shared" si="31"/>
        <v>29776</v>
      </c>
    </row>
    <row r="104" spans="1:12">
      <c r="A104" s="75" t="s">
        <v>40</v>
      </c>
      <c r="B104" s="975">
        <f t="shared" ref="B104:B107" si="32">SUM(C104:L104)</f>
        <v>1273234</v>
      </c>
      <c r="C104" s="1020">
        <v>955816</v>
      </c>
      <c r="D104" s="1020">
        <v>19956</v>
      </c>
      <c r="E104" s="1020">
        <v>2433</v>
      </c>
      <c r="F104" s="1020">
        <v>81348</v>
      </c>
      <c r="G104" s="1020">
        <v>46301</v>
      </c>
      <c r="H104" s="1020">
        <v>4673</v>
      </c>
      <c r="I104" s="1020">
        <v>131161</v>
      </c>
      <c r="J104" s="1020">
        <v>11926</v>
      </c>
      <c r="K104" s="1020">
        <v>8782</v>
      </c>
      <c r="L104" s="1020">
        <v>10838</v>
      </c>
    </row>
    <row r="105" spans="1:12">
      <c r="A105" s="75" t="s">
        <v>41</v>
      </c>
      <c r="B105" s="975">
        <f t="shared" si="32"/>
        <v>2431941</v>
      </c>
      <c r="C105" s="1020">
        <v>1223467</v>
      </c>
      <c r="D105" s="1020">
        <v>86690</v>
      </c>
      <c r="E105" s="1020">
        <v>19283</v>
      </c>
      <c r="F105" s="1020">
        <v>220821</v>
      </c>
      <c r="G105" s="1020">
        <v>56411</v>
      </c>
      <c r="H105" s="1020">
        <v>6014</v>
      </c>
      <c r="I105" s="1020">
        <v>620697</v>
      </c>
      <c r="J105" s="1020">
        <v>172613</v>
      </c>
      <c r="K105" s="1020">
        <v>16705</v>
      </c>
      <c r="L105" s="1020">
        <v>9240</v>
      </c>
    </row>
    <row r="106" spans="1:12">
      <c r="A106" s="75" t="s">
        <v>42</v>
      </c>
      <c r="B106" s="975">
        <f t="shared" si="32"/>
        <v>1183445</v>
      </c>
      <c r="C106" s="1020">
        <v>427923</v>
      </c>
      <c r="D106" s="1020">
        <v>51460</v>
      </c>
      <c r="E106" s="1020">
        <v>18316</v>
      </c>
      <c r="F106" s="1020">
        <v>121729</v>
      </c>
      <c r="G106" s="1020">
        <v>21730</v>
      </c>
      <c r="H106" s="1020">
        <v>2250</v>
      </c>
      <c r="I106" s="1020">
        <v>402453</v>
      </c>
      <c r="J106" s="1020">
        <v>124510</v>
      </c>
      <c r="K106" s="1020">
        <v>7635</v>
      </c>
      <c r="L106" s="1020">
        <v>5439</v>
      </c>
    </row>
    <row r="107" spans="1:12">
      <c r="A107" s="76" t="s">
        <v>43</v>
      </c>
      <c r="B107" s="975">
        <f t="shared" si="32"/>
        <v>980943</v>
      </c>
      <c r="C107" s="1020">
        <v>465106</v>
      </c>
      <c r="D107" s="1020">
        <v>40197</v>
      </c>
      <c r="E107" s="1020">
        <v>9843</v>
      </c>
      <c r="F107" s="1020">
        <v>93066</v>
      </c>
      <c r="G107" s="1020">
        <v>23650</v>
      </c>
      <c r="H107" s="1020">
        <v>2302</v>
      </c>
      <c r="I107" s="1020">
        <v>264830</v>
      </c>
      <c r="J107" s="1020">
        <v>71057</v>
      </c>
      <c r="K107" s="1020">
        <v>6633</v>
      </c>
      <c r="L107" s="1020">
        <v>4259</v>
      </c>
    </row>
    <row r="108" spans="1:12" s="1" customFormat="1">
      <c r="A108" s="57"/>
      <c r="B108" s="57"/>
      <c r="C108" s="57"/>
      <c r="D108" s="57"/>
      <c r="E108" s="57"/>
      <c r="F108" s="57"/>
      <c r="G108" s="57"/>
      <c r="H108" s="57"/>
      <c r="I108" s="57"/>
      <c r="J108" s="57"/>
      <c r="K108" s="57"/>
      <c r="L108" s="57"/>
    </row>
    <row r="109" spans="1:12">
      <c r="A109" s="1097" t="s">
        <v>156</v>
      </c>
      <c r="B109" s="1098"/>
      <c r="C109" s="1098"/>
      <c r="D109" s="1098"/>
      <c r="E109" s="1098"/>
      <c r="F109" s="1098"/>
      <c r="G109" s="1098"/>
      <c r="H109" s="1098"/>
      <c r="I109" s="1098"/>
      <c r="J109" s="1098"/>
      <c r="K109" s="1098"/>
      <c r="L109" s="1099"/>
    </row>
    <row r="110" spans="1:12" ht="51">
      <c r="A110" s="441" t="s">
        <v>132</v>
      </c>
      <c r="B110" s="442" t="s">
        <v>1</v>
      </c>
      <c r="C110" s="442" t="s">
        <v>78</v>
      </c>
      <c r="D110" s="442" t="s">
        <v>7</v>
      </c>
      <c r="E110" s="442" t="s">
        <v>133</v>
      </c>
      <c r="F110" s="442" t="s">
        <v>79</v>
      </c>
      <c r="G110" s="442" t="s">
        <v>134</v>
      </c>
      <c r="H110" s="442" t="s">
        <v>135</v>
      </c>
      <c r="I110" s="442" t="s">
        <v>4</v>
      </c>
      <c r="J110" s="442" t="s">
        <v>136</v>
      </c>
      <c r="K110" s="442" t="s">
        <v>8</v>
      </c>
      <c r="L110" s="443" t="s">
        <v>137</v>
      </c>
    </row>
    <row r="111" spans="1:12">
      <c r="A111" s="444" t="s">
        <v>11</v>
      </c>
      <c r="B111" s="152">
        <f>SUM(B112+B120+B130+B135+B139)</f>
        <v>71395538</v>
      </c>
      <c r="C111" s="1017">
        <f t="shared" ref="C111:L111" si="33">SUM(C112,C120,C130,C135,C139)</f>
        <v>41109520</v>
      </c>
      <c r="D111" s="1017">
        <f t="shared" si="33"/>
        <v>2330156</v>
      </c>
      <c r="E111" s="1017">
        <f t="shared" si="33"/>
        <v>473986</v>
      </c>
      <c r="F111" s="1017">
        <f t="shared" si="33"/>
        <v>4976146</v>
      </c>
      <c r="G111" s="1017">
        <f t="shared" si="33"/>
        <v>2169350</v>
      </c>
      <c r="H111" s="1017">
        <f t="shared" si="33"/>
        <v>308354</v>
      </c>
      <c r="I111" s="1017">
        <f t="shared" si="33"/>
        <v>16277897</v>
      </c>
      <c r="J111" s="1017">
        <f t="shared" si="33"/>
        <v>2879628</v>
      </c>
      <c r="K111" s="1017">
        <f t="shared" si="33"/>
        <v>501272</v>
      </c>
      <c r="L111" s="1019">
        <f t="shared" si="33"/>
        <v>369229</v>
      </c>
    </row>
    <row r="112" spans="1:12">
      <c r="A112" s="444" t="s">
        <v>138</v>
      </c>
      <c r="B112" s="1010">
        <f>SUM(B113:B119)</f>
        <v>3299153</v>
      </c>
      <c r="C112" s="1016">
        <f t="shared" ref="C112:L112" si="34">SUM(C113:C119)</f>
        <v>1167663</v>
      </c>
      <c r="D112" s="1016">
        <f t="shared" si="34"/>
        <v>120966</v>
      </c>
      <c r="E112" s="1016">
        <f t="shared" si="34"/>
        <v>16218</v>
      </c>
      <c r="F112" s="1016">
        <f t="shared" si="34"/>
        <v>291024</v>
      </c>
      <c r="G112" s="1016">
        <f t="shared" si="34"/>
        <v>74370</v>
      </c>
      <c r="H112" s="1016">
        <f t="shared" si="34"/>
        <v>11718</v>
      </c>
      <c r="I112" s="1016">
        <f t="shared" si="34"/>
        <v>1252982</v>
      </c>
      <c r="J112" s="1016">
        <f t="shared" si="34"/>
        <v>317870</v>
      </c>
      <c r="K112" s="1016">
        <f t="shared" si="34"/>
        <v>30559</v>
      </c>
      <c r="L112" s="1016">
        <f t="shared" si="34"/>
        <v>15783</v>
      </c>
    </row>
    <row r="113" spans="1:12">
      <c r="A113" s="75" t="s">
        <v>139</v>
      </c>
      <c r="B113" s="975">
        <f>SUM(C113:L113)</f>
        <v>176510</v>
      </c>
      <c r="C113" s="1021">
        <v>58488</v>
      </c>
      <c r="D113" s="1021">
        <v>5835</v>
      </c>
      <c r="E113" s="1021">
        <v>503</v>
      </c>
      <c r="F113" s="1021">
        <v>16824</v>
      </c>
      <c r="G113" s="1021">
        <v>3056</v>
      </c>
      <c r="H113" s="1021">
        <v>244</v>
      </c>
      <c r="I113" s="1021">
        <v>75601</v>
      </c>
      <c r="J113" s="1021">
        <v>14562</v>
      </c>
      <c r="K113" s="1021">
        <v>720</v>
      </c>
      <c r="L113" s="1021">
        <v>677</v>
      </c>
    </row>
    <row r="114" spans="1:12">
      <c r="A114" s="75" t="s">
        <v>140</v>
      </c>
      <c r="B114" s="975">
        <f t="shared" ref="B114:B119" si="35">SUM(C114:L114)</f>
        <v>133565</v>
      </c>
      <c r="C114" s="1021">
        <v>57223</v>
      </c>
      <c r="D114" s="1021">
        <v>3356</v>
      </c>
      <c r="E114" s="1021">
        <v>221</v>
      </c>
      <c r="F114" s="1021">
        <v>14162</v>
      </c>
      <c r="G114" s="1021">
        <v>3285</v>
      </c>
      <c r="H114" s="1021">
        <v>373</v>
      </c>
      <c r="I114" s="1021">
        <v>45215</v>
      </c>
      <c r="J114" s="1021">
        <v>8364</v>
      </c>
      <c r="K114" s="1021">
        <v>757</v>
      </c>
      <c r="L114" s="1021">
        <v>609</v>
      </c>
    </row>
    <row r="115" spans="1:12">
      <c r="A115" s="75" t="s">
        <v>15</v>
      </c>
      <c r="B115" s="975">
        <f t="shared" si="35"/>
        <v>599957</v>
      </c>
      <c r="C115" s="1021">
        <v>291859</v>
      </c>
      <c r="D115" s="1021">
        <v>18060</v>
      </c>
      <c r="E115" s="1021">
        <v>2477</v>
      </c>
      <c r="F115" s="1021">
        <v>63035</v>
      </c>
      <c r="G115" s="1021">
        <v>22538</v>
      </c>
      <c r="H115" s="1021">
        <v>2968</v>
      </c>
      <c r="I115" s="1021">
        <v>153354</v>
      </c>
      <c r="J115" s="1021">
        <v>34633</v>
      </c>
      <c r="K115" s="1021">
        <v>7787</v>
      </c>
      <c r="L115" s="1021">
        <v>3246</v>
      </c>
    </row>
    <row r="116" spans="1:12">
      <c r="A116" s="75" t="s">
        <v>141</v>
      </c>
      <c r="B116" s="975">
        <f t="shared" si="35"/>
        <v>1155780</v>
      </c>
      <c r="C116" s="1021">
        <v>395792</v>
      </c>
      <c r="D116" s="1021">
        <v>45082</v>
      </c>
      <c r="E116" s="1021">
        <v>4891</v>
      </c>
      <c r="F116" s="1021">
        <v>84061</v>
      </c>
      <c r="G116" s="1021">
        <v>26835</v>
      </c>
      <c r="H116" s="1021">
        <v>5439</v>
      </c>
      <c r="I116" s="1021">
        <v>471438</v>
      </c>
      <c r="J116" s="1021">
        <v>102544</v>
      </c>
      <c r="K116" s="1021">
        <v>12467</v>
      </c>
      <c r="L116" s="1021">
        <v>7231</v>
      </c>
    </row>
    <row r="117" spans="1:12">
      <c r="A117" s="75" t="s">
        <v>142</v>
      </c>
      <c r="B117" s="975">
        <f t="shared" si="35"/>
        <v>649058</v>
      </c>
      <c r="C117" s="1021">
        <v>182077</v>
      </c>
      <c r="D117" s="1021">
        <v>24885</v>
      </c>
      <c r="E117" s="1021">
        <v>4534</v>
      </c>
      <c r="F117" s="1021">
        <v>56051</v>
      </c>
      <c r="G117" s="1021">
        <v>8291</v>
      </c>
      <c r="H117" s="1021">
        <v>896</v>
      </c>
      <c r="I117" s="1021">
        <v>286449</v>
      </c>
      <c r="J117" s="1021">
        <v>79744</v>
      </c>
      <c r="K117" s="1021">
        <v>4425</v>
      </c>
      <c r="L117" s="1021">
        <v>1706</v>
      </c>
    </row>
    <row r="118" spans="1:12">
      <c r="A118" s="75" t="s">
        <v>18</v>
      </c>
      <c r="B118" s="975">
        <f t="shared" si="35"/>
        <v>143344</v>
      </c>
      <c r="C118" s="1021">
        <v>46922</v>
      </c>
      <c r="D118" s="1021">
        <v>3524</v>
      </c>
      <c r="E118" s="1021">
        <v>389</v>
      </c>
      <c r="F118" s="1021">
        <v>15800</v>
      </c>
      <c r="G118" s="1021">
        <v>3302</v>
      </c>
      <c r="H118" s="1021">
        <v>481</v>
      </c>
      <c r="I118" s="1021">
        <v>57534</v>
      </c>
      <c r="J118" s="1021">
        <v>13982</v>
      </c>
      <c r="K118" s="1021">
        <v>732</v>
      </c>
      <c r="L118" s="1021">
        <v>678</v>
      </c>
    </row>
    <row r="119" spans="1:12">
      <c r="A119" s="75" t="s">
        <v>19</v>
      </c>
      <c r="B119" s="975">
        <f t="shared" si="35"/>
        <v>440939</v>
      </c>
      <c r="C119" s="1021">
        <v>135302</v>
      </c>
      <c r="D119" s="1021">
        <v>20224</v>
      </c>
      <c r="E119" s="1021">
        <v>3203</v>
      </c>
      <c r="F119" s="1021">
        <v>41091</v>
      </c>
      <c r="G119" s="1021">
        <v>7063</v>
      </c>
      <c r="H119" s="1021">
        <v>1317</v>
      </c>
      <c r="I119" s="1021">
        <v>163391</v>
      </c>
      <c r="J119" s="1021">
        <v>64041</v>
      </c>
      <c r="K119" s="1021">
        <v>3671</v>
      </c>
      <c r="L119" s="1021">
        <v>1636</v>
      </c>
    </row>
    <row r="120" spans="1:12">
      <c r="A120" s="444" t="s">
        <v>143</v>
      </c>
      <c r="B120" s="1010">
        <f>SUM(B121:B129)</f>
        <v>11102987</v>
      </c>
      <c r="C120" s="1022">
        <f t="shared" ref="C120:L120" si="36">SUM(C121:C129)</f>
        <v>4676457</v>
      </c>
      <c r="D120" s="1022">
        <f t="shared" si="36"/>
        <v>361546</v>
      </c>
      <c r="E120" s="1022">
        <f t="shared" si="36"/>
        <v>40800</v>
      </c>
      <c r="F120" s="1022">
        <f t="shared" si="36"/>
        <v>751485</v>
      </c>
      <c r="G120" s="1022">
        <f t="shared" si="36"/>
        <v>259908</v>
      </c>
      <c r="H120" s="1022">
        <f t="shared" si="36"/>
        <v>62167</v>
      </c>
      <c r="I120" s="1022">
        <f t="shared" si="36"/>
        <v>4246188</v>
      </c>
      <c r="J120" s="1022">
        <f t="shared" si="36"/>
        <v>551263</v>
      </c>
      <c r="K120" s="1022">
        <f t="shared" si="36"/>
        <v>89421</v>
      </c>
      <c r="L120" s="1022">
        <f t="shared" si="36"/>
        <v>63752</v>
      </c>
    </row>
    <row r="121" spans="1:12">
      <c r="A121" s="75" t="s">
        <v>21</v>
      </c>
      <c r="B121" s="975">
        <f>SUM(C121:L121)</f>
        <v>510128</v>
      </c>
      <c r="C121" s="1021">
        <v>240647</v>
      </c>
      <c r="D121" s="1021">
        <v>17559</v>
      </c>
      <c r="E121" s="1021">
        <v>1775</v>
      </c>
      <c r="F121" s="1021">
        <v>35828</v>
      </c>
      <c r="G121" s="1021">
        <v>13414</v>
      </c>
      <c r="H121" s="1021">
        <v>4976</v>
      </c>
      <c r="I121" s="1021">
        <v>163638</v>
      </c>
      <c r="J121" s="1021">
        <v>23981</v>
      </c>
      <c r="K121" s="1021">
        <v>5385</v>
      </c>
      <c r="L121" s="1021">
        <v>2925</v>
      </c>
    </row>
    <row r="122" spans="1:12">
      <c r="A122" s="75" t="s">
        <v>22</v>
      </c>
      <c r="B122" s="975">
        <f t="shared" ref="B122:B134" si="37">SUM(C122:L122)</f>
        <v>2668587</v>
      </c>
      <c r="C122" s="1021">
        <v>1231553</v>
      </c>
      <c r="D122" s="1021">
        <v>96624</v>
      </c>
      <c r="E122" s="1021">
        <v>14986</v>
      </c>
      <c r="F122" s="1021">
        <v>218806</v>
      </c>
      <c r="G122" s="1021">
        <v>70805</v>
      </c>
      <c r="H122" s="1021">
        <v>20072</v>
      </c>
      <c r="I122" s="1021">
        <v>860249</v>
      </c>
      <c r="J122" s="1021">
        <v>111545</v>
      </c>
      <c r="K122" s="1021">
        <v>30420</v>
      </c>
      <c r="L122" s="1021">
        <v>13527</v>
      </c>
    </row>
    <row r="123" spans="1:12">
      <c r="A123" s="75" t="s">
        <v>23</v>
      </c>
      <c r="B123" s="975">
        <f t="shared" si="37"/>
        <v>2012105</v>
      </c>
      <c r="C123" s="1021">
        <v>766533</v>
      </c>
      <c r="D123" s="1021">
        <v>55514</v>
      </c>
      <c r="E123" s="1021">
        <v>5916</v>
      </c>
      <c r="F123" s="1021">
        <v>124372</v>
      </c>
      <c r="G123" s="1021">
        <v>41448</v>
      </c>
      <c r="H123" s="1021">
        <v>8165</v>
      </c>
      <c r="I123" s="1021">
        <v>885164</v>
      </c>
      <c r="J123" s="1021">
        <v>96282</v>
      </c>
      <c r="K123" s="1021">
        <v>12234</v>
      </c>
      <c r="L123" s="1021">
        <v>16477</v>
      </c>
    </row>
    <row r="124" spans="1:12">
      <c r="A124" s="75" t="s">
        <v>144</v>
      </c>
      <c r="B124" s="975">
        <f t="shared" si="37"/>
        <v>993834</v>
      </c>
      <c r="C124" s="1021">
        <v>289975</v>
      </c>
      <c r="D124" s="1021">
        <v>29328</v>
      </c>
      <c r="E124" s="1021">
        <v>2165</v>
      </c>
      <c r="F124" s="1021">
        <v>69645</v>
      </c>
      <c r="G124" s="1021">
        <v>15162</v>
      </c>
      <c r="H124" s="1021">
        <v>3719</v>
      </c>
      <c r="I124" s="1021">
        <v>490929</v>
      </c>
      <c r="J124" s="1021">
        <v>82294</v>
      </c>
      <c r="K124" s="1021">
        <v>5959</v>
      </c>
      <c r="L124" s="1021">
        <v>4658</v>
      </c>
    </row>
    <row r="125" spans="1:12">
      <c r="A125" s="75" t="s">
        <v>145</v>
      </c>
      <c r="B125" s="975">
        <f t="shared" si="37"/>
        <v>830028</v>
      </c>
      <c r="C125" s="1021">
        <v>359335</v>
      </c>
      <c r="D125" s="1021">
        <v>23513</v>
      </c>
      <c r="E125" s="1021">
        <v>2004</v>
      </c>
      <c r="F125" s="1021">
        <v>52474</v>
      </c>
      <c r="G125" s="1021">
        <v>17553</v>
      </c>
      <c r="H125" s="1021">
        <v>3440</v>
      </c>
      <c r="I125" s="1021">
        <v>318736</v>
      </c>
      <c r="J125" s="1021">
        <v>43445</v>
      </c>
      <c r="K125" s="1021">
        <v>5173</v>
      </c>
      <c r="L125" s="1021">
        <v>4355</v>
      </c>
    </row>
    <row r="126" spans="1:12">
      <c r="A126" s="75" t="s">
        <v>146</v>
      </c>
      <c r="B126" s="975">
        <f t="shared" si="37"/>
        <v>2057925</v>
      </c>
      <c r="C126" s="1021">
        <v>962723</v>
      </c>
      <c r="D126" s="1021">
        <v>77162</v>
      </c>
      <c r="E126" s="1021">
        <v>8860</v>
      </c>
      <c r="F126" s="1021">
        <v>119454</v>
      </c>
      <c r="G126" s="1021">
        <v>63592</v>
      </c>
      <c r="H126" s="1021">
        <v>12997</v>
      </c>
      <c r="I126" s="1021">
        <v>718928</v>
      </c>
      <c r="J126" s="1021">
        <v>69085</v>
      </c>
      <c r="K126" s="1021">
        <v>16059</v>
      </c>
      <c r="L126" s="1021">
        <v>9065</v>
      </c>
    </row>
    <row r="127" spans="1:12">
      <c r="A127" s="75" t="s">
        <v>27</v>
      </c>
      <c r="B127" s="975">
        <f t="shared" si="37"/>
        <v>705529</v>
      </c>
      <c r="C127" s="1021">
        <v>215941</v>
      </c>
      <c r="D127" s="1021">
        <v>19418</v>
      </c>
      <c r="E127" s="1021">
        <v>1499</v>
      </c>
      <c r="F127" s="1021">
        <v>48435</v>
      </c>
      <c r="G127" s="1021">
        <v>10194</v>
      </c>
      <c r="H127" s="1021">
        <v>2160</v>
      </c>
      <c r="I127" s="1021">
        <v>344098</v>
      </c>
      <c r="J127" s="1021">
        <v>57214</v>
      </c>
      <c r="K127" s="1021">
        <v>4075</v>
      </c>
      <c r="L127" s="1021">
        <v>2495</v>
      </c>
    </row>
    <row r="128" spans="1:12">
      <c r="A128" s="75" t="s">
        <v>147</v>
      </c>
      <c r="B128" s="975">
        <f t="shared" si="37"/>
        <v>833409</v>
      </c>
      <c r="C128" s="1021">
        <v>377527</v>
      </c>
      <c r="D128" s="1021">
        <v>24668</v>
      </c>
      <c r="E128" s="1021">
        <v>2106</v>
      </c>
      <c r="F128" s="1021">
        <v>56024</v>
      </c>
      <c r="G128" s="1021">
        <v>18068</v>
      </c>
      <c r="H128" s="1021">
        <v>3836</v>
      </c>
      <c r="I128" s="1021">
        <v>298206</v>
      </c>
      <c r="J128" s="1021">
        <v>39933</v>
      </c>
      <c r="K128" s="1021">
        <v>5100</v>
      </c>
      <c r="L128" s="1021">
        <v>7941</v>
      </c>
    </row>
    <row r="129" spans="1:12">
      <c r="A129" s="75" t="s">
        <v>29</v>
      </c>
      <c r="B129" s="975">
        <f t="shared" si="37"/>
        <v>491442</v>
      </c>
      <c r="C129" s="1021">
        <v>232223</v>
      </c>
      <c r="D129" s="1021">
        <v>17760</v>
      </c>
      <c r="E129" s="1021">
        <v>1489</v>
      </c>
      <c r="F129" s="1021">
        <v>26447</v>
      </c>
      <c r="G129" s="1021">
        <v>9672</v>
      </c>
      <c r="H129" s="1021">
        <v>2802</v>
      </c>
      <c r="I129" s="1021">
        <v>166240</v>
      </c>
      <c r="J129" s="1021">
        <v>27484</v>
      </c>
      <c r="K129" s="1021">
        <v>5016</v>
      </c>
      <c r="L129" s="1021">
        <v>2309</v>
      </c>
    </row>
    <row r="130" spans="1:12">
      <c r="A130" s="444" t="s">
        <v>148</v>
      </c>
      <c r="B130" s="1011">
        <f t="shared" ref="B130:B143" si="38">SUM(C130:L130)</f>
        <v>36251587</v>
      </c>
      <c r="C130" s="1022">
        <f t="shared" ref="C130:L130" si="39">SUM(C131:C134)</f>
        <v>23089939</v>
      </c>
      <c r="D130" s="1022">
        <f t="shared" si="39"/>
        <v>1080378</v>
      </c>
      <c r="E130" s="1022">
        <f t="shared" si="39"/>
        <v>207495</v>
      </c>
      <c r="F130" s="1022">
        <f t="shared" si="39"/>
        <v>2339607</v>
      </c>
      <c r="G130" s="1022">
        <f t="shared" si="39"/>
        <v>1261722</v>
      </c>
      <c r="H130" s="1022">
        <f t="shared" si="39"/>
        <v>174126</v>
      </c>
      <c r="I130" s="1022">
        <f t="shared" si="39"/>
        <v>6656684</v>
      </c>
      <c r="J130" s="1022">
        <f t="shared" si="39"/>
        <v>1005946</v>
      </c>
      <c r="K130" s="1022">
        <f t="shared" si="39"/>
        <v>254272</v>
      </c>
      <c r="L130" s="1022">
        <f t="shared" si="39"/>
        <v>181418</v>
      </c>
    </row>
    <row r="131" spans="1:12">
      <c r="A131" s="75" t="s">
        <v>31</v>
      </c>
      <c r="B131" s="975">
        <f t="shared" si="37"/>
        <v>1378433</v>
      </c>
      <c r="C131" s="1021">
        <v>716365</v>
      </c>
      <c r="D131" s="1021">
        <v>59756</v>
      </c>
      <c r="E131" s="1021">
        <v>15031</v>
      </c>
      <c r="F131" s="1021">
        <v>109909</v>
      </c>
      <c r="G131" s="1021">
        <v>38855</v>
      </c>
      <c r="H131" s="1021">
        <v>6008</v>
      </c>
      <c r="I131" s="1021">
        <v>338897</v>
      </c>
      <c r="J131" s="1021">
        <v>72700</v>
      </c>
      <c r="K131" s="1021">
        <v>13106</v>
      </c>
      <c r="L131" s="1021">
        <v>7806</v>
      </c>
    </row>
    <row r="132" spans="1:12">
      <c r="A132" s="75" t="s">
        <v>149</v>
      </c>
      <c r="B132" s="975">
        <f t="shared" si="37"/>
        <v>7769384</v>
      </c>
      <c r="C132" s="1021">
        <v>4403312</v>
      </c>
      <c r="D132" s="1021">
        <v>278408</v>
      </c>
      <c r="E132" s="1021">
        <v>50159</v>
      </c>
      <c r="F132" s="1021">
        <v>580017</v>
      </c>
      <c r="G132" s="1021">
        <v>204424</v>
      </c>
      <c r="H132" s="1021">
        <v>34662</v>
      </c>
      <c r="I132" s="1021">
        <v>1931597</v>
      </c>
      <c r="J132" s="1021">
        <v>196580</v>
      </c>
      <c r="K132" s="1021">
        <v>62300</v>
      </c>
      <c r="L132" s="1021">
        <v>27925</v>
      </c>
    </row>
    <row r="133" spans="1:12">
      <c r="A133" s="75" t="s">
        <v>33</v>
      </c>
      <c r="B133" s="975">
        <f t="shared" si="37"/>
        <v>4957310</v>
      </c>
      <c r="C133" s="1021">
        <v>3490168</v>
      </c>
      <c r="D133" s="1021">
        <v>122564</v>
      </c>
      <c r="E133" s="1021">
        <v>12785</v>
      </c>
      <c r="F133" s="1021">
        <v>238975</v>
      </c>
      <c r="G133" s="1021">
        <v>205827</v>
      </c>
      <c r="H133" s="1021">
        <v>33416</v>
      </c>
      <c r="I133" s="1021">
        <v>664241</v>
      </c>
      <c r="J133" s="1021">
        <v>119118</v>
      </c>
      <c r="K133" s="1021">
        <v>40805</v>
      </c>
      <c r="L133" s="1021">
        <v>29411</v>
      </c>
    </row>
    <row r="134" spans="1:12">
      <c r="A134" s="75" t="s">
        <v>150</v>
      </c>
      <c r="B134" s="975">
        <f t="shared" si="37"/>
        <v>22146460</v>
      </c>
      <c r="C134" s="1021">
        <v>14480094</v>
      </c>
      <c r="D134" s="1021">
        <v>619650</v>
      </c>
      <c r="E134" s="1021">
        <v>129520</v>
      </c>
      <c r="F134" s="1021">
        <v>1410706</v>
      </c>
      <c r="G134" s="1021">
        <v>812616</v>
      </c>
      <c r="H134" s="1021">
        <v>100040</v>
      </c>
      <c r="I134" s="1021">
        <v>3721949</v>
      </c>
      <c r="J134" s="1021">
        <v>617548</v>
      </c>
      <c r="K134" s="1021">
        <v>138061</v>
      </c>
      <c r="L134" s="1021">
        <v>116276</v>
      </c>
    </row>
    <row r="135" spans="1:12">
      <c r="A135" s="444" t="s">
        <v>151</v>
      </c>
      <c r="B135" s="1011">
        <f t="shared" si="38"/>
        <v>14363427</v>
      </c>
      <c r="C135" s="1022">
        <f t="shared" ref="C135:L135" si="40">SUM(C136:C138)</f>
        <v>8861270</v>
      </c>
      <c r="D135" s="1022">
        <f t="shared" si="40"/>
        <v>556734</v>
      </c>
      <c r="E135" s="1022">
        <f t="shared" si="40"/>
        <v>154519</v>
      </c>
      <c r="F135" s="1022">
        <f t="shared" si="40"/>
        <v>1026446</v>
      </c>
      <c r="G135" s="1022">
        <f t="shared" si="40"/>
        <v>409009</v>
      </c>
      <c r="H135" s="1022">
        <f t="shared" si="40"/>
        <v>43863</v>
      </c>
      <c r="I135" s="1022">
        <f t="shared" si="40"/>
        <v>2569293</v>
      </c>
      <c r="J135" s="1022">
        <f t="shared" si="40"/>
        <v>584633</v>
      </c>
      <c r="K135" s="1022">
        <f t="shared" si="40"/>
        <v>85199</v>
      </c>
      <c r="L135" s="1022">
        <f t="shared" si="40"/>
        <v>72461</v>
      </c>
    </row>
    <row r="136" spans="1:12">
      <c r="A136" s="75" t="s">
        <v>36</v>
      </c>
      <c r="B136" s="975">
        <f t="shared" si="38"/>
        <v>5543851</v>
      </c>
      <c r="C136" s="1021">
        <v>3396933</v>
      </c>
      <c r="D136" s="1021">
        <v>230870</v>
      </c>
      <c r="E136" s="1021">
        <v>69996</v>
      </c>
      <c r="F136" s="1021">
        <v>434439</v>
      </c>
      <c r="G136" s="1021">
        <v>156431</v>
      </c>
      <c r="H136" s="1021">
        <v>17055</v>
      </c>
      <c r="I136" s="1021">
        <v>949434</v>
      </c>
      <c r="J136" s="1021">
        <v>228683</v>
      </c>
      <c r="K136" s="1021">
        <v>34738</v>
      </c>
      <c r="L136" s="1021">
        <v>25272</v>
      </c>
    </row>
    <row r="137" spans="1:12">
      <c r="A137" s="75" t="s">
        <v>152</v>
      </c>
      <c r="B137" s="975">
        <f t="shared" si="38"/>
        <v>5125578</v>
      </c>
      <c r="C137" s="1021">
        <v>3265104</v>
      </c>
      <c r="D137" s="1021">
        <v>194105</v>
      </c>
      <c r="E137" s="1021">
        <v>44544</v>
      </c>
      <c r="F137" s="1021">
        <v>341888</v>
      </c>
      <c r="G137" s="1021">
        <v>154121</v>
      </c>
      <c r="H137" s="1021">
        <v>17065</v>
      </c>
      <c r="I137" s="1021">
        <v>900627</v>
      </c>
      <c r="J137" s="1021">
        <v>148888</v>
      </c>
      <c r="K137" s="1021">
        <v>34128</v>
      </c>
      <c r="L137" s="1021">
        <v>25108</v>
      </c>
    </row>
    <row r="138" spans="1:12">
      <c r="A138" s="75" t="s">
        <v>38</v>
      </c>
      <c r="B138" s="975">
        <f t="shared" si="38"/>
        <v>3693998</v>
      </c>
      <c r="C138" s="1021">
        <v>2199233</v>
      </c>
      <c r="D138" s="1021">
        <v>131759</v>
      </c>
      <c r="E138" s="1021">
        <v>39979</v>
      </c>
      <c r="F138" s="1021">
        <v>250119</v>
      </c>
      <c r="G138" s="1021">
        <v>98457</v>
      </c>
      <c r="H138" s="1021">
        <v>9743</v>
      </c>
      <c r="I138" s="1021">
        <v>719232</v>
      </c>
      <c r="J138" s="1021">
        <v>207062</v>
      </c>
      <c r="K138" s="1021">
        <v>16333</v>
      </c>
      <c r="L138" s="1021">
        <v>22081</v>
      </c>
    </row>
    <row r="139" spans="1:12">
      <c r="A139" s="444" t="s">
        <v>153</v>
      </c>
      <c r="B139" s="1011">
        <f t="shared" si="38"/>
        <v>6378384</v>
      </c>
      <c r="C139" s="1022">
        <f t="shared" ref="C139:L139" si="41">SUM(C140:C143)</f>
        <v>3314191</v>
      </c>
      <c r="D139" s="1022">
        <f t="shared" si="41"/>
        <v>210532</v>
      </c>
      <c r="E139" s="1022">
        <f t="shared" si="41"/>
        <v>54954</v>
      </c>
      <c r="F139" s="1022">
        <f t="shared" si="41"/>
        <v>567584</v>
      </c>
      <c r="G139" s="1022">
        <f t="shared" si="41"/>
        <v>164341</v>
      </c>
      <c r="H139" s="1022">
        <f t="shared" si="41"/>
        <v>16480</v>
      </c>
      <c r="I139" s="1022">
        <f t="shared" si="41"/>
        <v>1552750</v>
      </c>
      <c r="J139" s="1022">
        <f t="shared" si="41"/>
        <v>419916</v>
      </c>
      <c r="K139" s="1022">
        <f t="shared" si="41"/>
        <v>41821</v>
      </c>
      <c r="L139" s="1022">
        <f t="shared" si="41"/>
        <v>35815</v>
      </c>
    </row>
    <row r="140" spans="1:12">
      <c r="A140" s="75" t="s">
        <v>40</v>
      </c>
      <c r="B140" s="975">
        <f t="shared" si="38"/>
        <v>1353984</v>
      </c>
      <c r="C140" s="1021">
        <v>1008429</v>
      </c>
      <c r="D140" s="1021">
        <v>20856</v>
      </c>
      <c r="E140" s="1021">
        <v>2658</v>
      </c>
      <c r="F140" s="1021">
        <v>89419</v>
      </c>
      <c r="G140" s="1021">
        <v>51979</v>
      </c>
      <c r="H140" s="1021">
        <v>4716</v>
      </c>
      <c r="I140" s="1021">
        <v>141365</v>
      </c>
      <c r="J140" s="1021">
        <v>12984</v>
      </c>
      <c r="K140" s="1021">
        <v>8736</v>
      </c>
      <c r="L140" s="1021">
        <v>12842</v>
      </c>
    </row>
    <row r="141" spans="1:12">
      <c r="A141" s="75" t="s">
        <v>41</v>
      </c>
      <c r="B141" s="975">
        <f t="shared" si="38"/>
        <v>2652930</v>
      </c>
      <c r="C141" s="1021">
        <v>1329933</v>
      </c>
      <c r="D141" s="1021">
        <v>92660</v>
      </c>
      <c r="E141" s="1021">
        <v>21224</v>
      </c>
      <c r="F141" s="1021">
        <v>242903</v>
      </c>
      <c r="G141" s="1021">
        <v>62075</v>
      </c>
      <c r="H141" s="1021">
        <v>6675</v>
      </c>
      <c r="I141" s="1021">
        <v>677668</v>
      </c>
      <c r="J141" s="1021">
        <v>190900</v>
      </c>
      <c r="K141" s="1021">
        <v>17771</v>
      </c>
      <c r="L141" s="1021">
        <v>11121</v>
      </c>
    </row>
    <row r="142" spans="1:12">
      <c r="A142" s="75" t="s">
        <v>42</v>
      </c>
      <c r="B142" s="975">
        <f t="shared" si="38"/>
        <v>1302758</v>
      </c>
      <c r="C142" s="1021">
        <v>469555</v>
      </c>
      <c r="D142" s="1021">
        <v>54742</v>
      </c>
      <c r="E142" s="1021">
        <v>20265</v>
      </c>
      <c r="F142" s="1021">
        <v>133737</v>
      </c>
      <c r="G142" s="1021">
        <v>24342</v>
      </c>
      <c r="H142" s="1021">
        <v>2512</v>
      </c>
      <c r="I142" s="1021">
        <v>444998</v>
      </c>
      <c r="J142" s="1021">
        <v>137767</v>
      </c>
      <c r="K142" s="1021">
        <v>8248</v>
      </c>
      <c r="L142" s="1021">
        <v>6592</v>
      </c>
    </row>
    <row r="143" spans="1:12">
      <c r="A143" s="76" t="s">
        <v>43</v>
      </c>
      <c r="B143" s="975">
        <f t="shared" si="38"/>
        <v>1068712</v>
      </c>
      <c r="C143" s="1021">
        <v>506274</v>
      </c>
      <c r="D143" s="1021">
        <v>42274</v>
      </c>
      <c r="E143" s="1021">
        <v>10807</v>
      </c>
      <c r="F143" s="1021">
        <v>101525</v>
      </c>
      <c r="G143" s="1021">
        <v>25945</v>
      </c>
      <c r="H143" s="1021">
        <v>2577</v>
      </c>
      <c r="I143" s="1021">
        <v>288719</v>
      </c>
      <c r="J143" s="1021">
        <v>78265</v>
      </c>
      <c r="K143" s="1021">
        <v>7066</v>
      </c>
      <c r="L143" s="1021">
        <v>5260</v>
      </c>
    </row>
    <row r="144" spans="1:12" s="1" customFormat="1">
      <c r="A144" s="57"/>
      <c r="B144" s="57"/>
      <c r="C144" s="57"/>
      <c r="D144" s="57"/>
      <c r="E144" s="57"/>
      <c r="F144" s="57"/>
      <c r="G144" s="57"/>
      <c r="H144" s="57"/>
      <c r="I144" s="57"/>
      <c r="J144" s="57"/>
      <c r="K144" s="57"/>
      <c r="L144" s="57"/>
    </row>
    <row r="145" spans="1:12" s="1" customFormat="1">
      <c r="A145" s="1097" t="s">
        <v>157</v>
      </c>
      <c r="B145" s="1098"/>
      <c r="C145" s="1098"/>
      <c r="D145" s="1098"/>
      <c r="E145" s="1098"/>
      <c r="F145" s="1098"/>
      <c r="G145" s="1098"/>
      <c r="H145" s="1098"/>
      <c r="I145" s="1098"/>
      <c r="J145" s="1098"/>
      <c r="K145" s="1098"/>
      <c r="L145" s="1099"/>
    </row>
    <row r="146" spans="1:12" s="1" customFormat="1" ht="51">
      <c r="A146" s="441" t="s">
        <v>132</v>
      </c>
      <c r="B146" s="442" t="s">
        <v>1</v>
      </c>
      <c r="C146" s="442" t="s">
        <v>78</v>
      </c>
      <c r="D146" s="442" t="s">
        <v>7</v>
      </c>
      <c r="E146" s="442" t="s">
        <v>133</v>
      </c>
      <c r="F146" s="442" t="s">
        <v>79</v>
      </c>
      <c r="G146" s="442" t="s">
        <v>134</v>
      </c>
      <c r="H146" s="442" t="s">
        <v>135</v>
      </c>
      <c r="I146" s="442" t="s">
        <v>4</v>
      </c>
      <c r="J146" s="442" t="s">
        <v>136</v>
      </c>
      <c r="K146" s="442" t="s">
        <v>8</v>
      </c>
      <c r="L146" s="443" t="s">
        <v>137</v>
      </c>
    </row>
    <row r="147" spans="1:12" s="1" customFormat="1">
      <c r="A147" s="444" t="s">
        <v>11</v>
      </c>
      <c r="B147" s="152">
        <f>SUM(B148+B156+B166+B171+B175)</f>
        <v>81600729</v>
      </c>
      <c r="C147" s="1017">
        <f t="shared" ref="C147:L147" si="42">SUM(C148,C156,C166,C171,C175)</f>
        <v>44007166</v>
      </c>
      <c r="D147" s="1017">
        <f t="shared" si="42"/>
        <v>2432546</v>
      </c>
      <c r="E147" s="1017">
        <f t="shared" si="42"/>
        <v>515791</v>
      </c>
      <c r="F147" s="1017">
        <f t="shared" si="42"/>
        <v>5476897</v>
      </c>
      <c r="G147" s="1017">
        <f t="shared" si="42"/>
        <v>2388736</v>
      </c>
      <c r="H147" s="1017">
        <f t="shared" si="42"/>
        <v>329183</v>
      </c>
      <c r="I147" s="1017">
        <f t="shared" si="42"/>
        <v>17502043</v>
      </c>
      <c r="J147" s="1017">
        <f t="shared" si="42"/>
        <v>3170944</v>
      </c>
      <c r="K147" s="1017">
        <f t="shared" si="42"/>
        <v>530565</v>
      </c>
      <c r="L147" s="1019">
        <f t="shared" si="42"/>
        <v>443596</v>
      </c>
    </row>
    <row r="148" spans="1:12" s="1" customFormat="1">
      <c r="A148" s="444" t="s">
        <v>138</v>
      </c>
      <c r="B148" s="1010">
        <f t="shared" ref="B148:L148" si="43">SUM(B149:B155)</f>
        <v>3938475</v>
      </c>
      <c r="C148" s="1018">
        <v>1283020</v>
      </c>
      <c r="D148" s="1018">
        <v>127405</v>
      </c>
      <c r="E148" s="1018">
        <v>17654</v>
      </c>
      <c r="F148" s="1018">
        <v>322335</v>
      </c>
      <c r="G148" s="1018">
        <v>80907</v>
      </c>
      <c r="H148" s="1018">
        <v>12446</v>
      </c>
      <c r="I148" s="1018">
        <v>1404344</v>
      </c>
      <c r="J148" s="1018">
        <v>359419</v>
      </c>
      <c r="K148" s="1018">
        <v>33546</v>
      </c>
      <c r="L148" s="1018">
        <v>18886</v>
      </c>
    </row>
    <row r="149" spans="1:12" s="1" customFormat="1">
      <c r="A149" s="75" t="s">
        <v>139</v>
      </c>
      <c r="B149" s="975">
        <v>205777</v>
      </c>
      <c r="C149" s="1023">
        <v>64693</v>
      </c>
      <c r="D149" s="1023">
        <v>6120</v>
      </c>
      <c r="E149" s="1024">
        <v>541</v>
      </c>
      <c r="F149" s="1023">
        <v>18554</v>
      </c>
      <c r="G149" s="1023">
        <v>3382</v>
      </c>
      <c r="H149" s="1024">
        <v>273</v>
      </c>
      <c r="I149" s="1023">
        <v>82462</v>
      </c>
      <c r="J149" s="1023">
        <v>16419</v>
      </c>
      <c r="K149" s="1024">
        <v>785</v>
      </c>
      <c r="L149" s="1024">
        <v>789</v>
      </c>
    </row>
    <row r="150" spans="1:12" s="1" customFormat="1">
      <c r="A150" s="75" t="s">
        <v>140</v>
      </c>
      <c r="B150" s="975">
        <v>152634</v>
      </c>
      <c r="C150" s="1023">
        <v>62012</v>
      </c>
      <c r="D150" s="1023">
        <v>3571</v>
      </c>
      <c r="E150" s="1024">
        <v>239</v>
      </c>
      <c r="F150" s="1023">
        <v>15624</v>
      </c>
      <c r="G150" s="1023">
        <v>3556</v>
      </c>
      <c r="H150" s="1024">
        <v>395</v>
      </c>
      <c r="I150" s="1023">
        <v>48464</v>
      </c>
      <c r="J150" s="1023">
        <v>8966</v>
      </c>
      <c r="K150" s="1024">
        <v>890</v>
      </c>
      <c r="L150" s="1024">
        <v>695</v>
      </c>
    </row>
    <row r="151" spans="1:12" s="1" customFormat="1">
      <c r="A151" s="75" t="s">
        <v>15</v>
      </c>
      <c r="B151" s="975">
        <v>700849</v>
      </c>
      <c r="C151" s="1023">
        <v>314347</v>
      </c>
      <c r="D151" s="1023">
        <v>18641</v>
      </c>
      <c r="E151" s="1023">
        <v>2608</v>
      </c>
      <c r="F151" s="1023">
        <v>67962</v>
      </c>
      <c r="G151" s="1023">
        <v>24070</v>
      </c>
      <c r="H151" s="1023">
        <v>3136</v>
      </c>
      <c r="I151" s="1023">
        <v>172671</v>
      </c>
      <c r="J151" s="1023">
        <v>39419</v>
      </c>
      <c r="K151" s="1023">
        <v>8243</v>
      </c>
      <c r="L151" s="1023">
        <v>3990</v>
      </c>
    </row>
    <row r="152" spans="1:12" s="1" customFormat="1">
      <c r="A152" s="75" t="s">
        <v>141</v>
      </c>
      <c r="B152" s="975">
        <v>1428355</v>
      </c>
      <c r="C152" s="1023">
        <v>436444</v>
      </c>
      <c r="D152" s="1023">
        <v>48611</v>
      </c>
      <c r="E152" s="1023">
        <v>5430</v>
      </c>
      <c r="F152" s="1023">
        <v>95220</v>
      </c>
      <c r="G152" s="1023">
        <v>29595</v>
      </c>
      <c r="H152" s="1023">
        <v>5744</v>
      </c>
      <c r="I152" s="1023">
        <v>552479</v>
      </c>
      <c r="J152" s="1023">
        <v>120515</v>
      </c>
      <c r="K152" s="1023">
        <v>13861</v>
      </c>
      <c r="L152" s="1023">
        <v>8635</v>
      </c>
    </row>
    <row r="153" spans="1:12" s="1" customFormat="1">
      <c r="A153" s="75" t="s">
        <v>142</v>
      </c>
      <c r="B153" s="975">
        <v>758308</v>
      </c>
      <c r="C153" s="1023">
        <v>203291</v>
      </c>
      <c r="D153" s="1023">
        <v>26153</v>
      </c>
      <c r="E153" s="1023">
        <v>4882</v>
      </c>
      <c r="F153" s="1023">
        <v>62146</v>
      </c>
      <c r="G153" s="1023">
        <v>8991</v>
      </c>
      <c r="H153" s="1024">
        <v>972</v>
      </c>
      <c r="I153" s="1023">
        <v>308728</v>
      </c>
      <c r="J153" s="1023">
        <v>88209</v>
      </c>
      <c r="K153" s="1023">
        <v>4737</v>
      </c>
      <c r="L153" s="1023">
        <v>2023</v>
      </c>
    </row>
    <row r="154" spans="1:12" s="1" customFormat="1">
      <c r="A154" s="75" t="s">
        <v>18</v>
      </c>
      <c r="B154" s="975">
        <v>165339</v>
      </c>
      <c r="C154" s="1023">
        <v>51386</v>
      </c>
      <c r="D154" s="1023">
        <v>3759</v>
      </c>
      <c r="E154" s="1024">
        <v>430</v>
      </c>
      <c r="F154" s="1023">
        <v>17426</v>
      </c>
      <c r="G154" s="1023">
        <v>3623</v>
      </c>
      <c r="H154" s="1024">
        <v>541</v>
      </c>
      <c r="I154" s="1023">
        <v>62289</v>
      </c>
      <c r="J154" s="1023">
        <v>15311</v>
      </c>
      <c r="K154" s="1024">
        <v>792</v>
      </c>
      <c r="L154" s="1024">
        <v>793</v>
      </c>
    </row>
    <row r="155" spans="1:12" s="1" customFormat="1">
      <c r="A155" s="75" t="s">
        <v>19</v>
      </c>
      <c r="B155" s="975">
        <v>527213</v>
      </c>
      <c r="C155" s="1023">
        <v>150847</v>
      </c>
      <c r="D155" s="1023">
        <v>20550</v>
      </c>
      <c r="E155" s="1023">
        <v>3524</v>
      </c>
      <c r="F155" s="1023">
        <v>45403</v>
      </c>
      <c r="G155" s="1023">
        <v>7690</v>
      </c>
      <c r="H155" s="1023">
        <v>1385</v>
      </c>
      <c r="I155" s="1023">
        <v>177251</v>
      </c>
      <c r="J155" s="1023">
        <v>70580</v>
      </c>
      <c r="K155" s="1023">
        <v>4238</v>
      </c>
      <c r="L155" s="1023">
        <v>1961</v>
      </c>
    </row>
    <row r="156" spans="1:12" s="1" customFormat="1">
      <c r="A156" s="444" t="s">
        <v>143</v>
      </c>
      <c r="B156" s="1010">
        <f t="shared" ref="B156:L156" si="44">SUM(B157:B165)</f>
        <v>13126842</v>
      </c>
      <c r="C156" s="1018">
        <v>5130912</v>
      </c>
      <c r="D156" s="1018">
        <v>383613</v>
      </c>
      <c r="E156" s="1018">
        <v>45168</v>
      </c>
      <c r="F156" s="1018">
        <v>838269</v>
      </c>
      <c r="G156" s="1018">
        <v>286751</v>
      </c>
      <c r="H156" s="1018">
        <v>68366</v>
      </c>
      <c r="I156" s="1018">
        <v>4735516</v>
      </c>
      <c r="J156" s="1018">
        <v>632253</v>
      </c>
      <c r="K156" s="1018">
        <v>98072</v>
      </c>
      <c r="L156" s="1018">
        <v>75483</v>
      </c>
    </row>
    <row r="157" spans="1:12" s="1" customFormat="1">
      <c r="A157" s="75" t="s">
        <v>21</v>
      </c>
      <c r="B157" s="975">
        <v>614566</v>
      </c>
      <c r="C157" s="1023">
        <v>264543</v>
      </c>
      <c r="D157" s="1023">
        <v>18356</v>
      </c>
      <c r="E157" s="1023">
        <v>1927</v>
      </c>
      <c r="F157" s="1023">
        <v>39475</v>
      </c>
      <c r="G157" s="1023">
        <v>14948</v>
      </c>
      <c r="H157" s="1023">
        <v>5212</v>
      </c>
      <c r="I157" s="1023">
        <v>186769</v>
      </c>
      <c r="J157" s="1023">
        <v>27547</v>
      </c>
      <c r="K157" s="1023">
        <v>5868</v>
      </c>
      <c r="L157" s="1023">
        <v>3339</v>
      </c>
    </row>
    <row r="158" spans="1:12" s="1" customFormat="1">
      <c r="A158" s="75" t="s">
        <v>22</v>
      </c>
      <c r="B158" s="975">
        <v>3158326</v>
      </c>
      <c r="C158" s="1023">
        <v>1357023</v>
      </c>
      <c r="D158" s="1023">
        <v>102661</v>
      </c>
      <c r="E158" s="1023">
        <v>16719</v>
      </c>
      <c r="F158" s="1023">
        <v>244270</v>
      </c>
      <c r="G158" s="1023">
        <v>78782</v>
      </c>
      <c r="H158" s="1023">
        <v>22428</v>
      </c>
      <c r="I158" s="1023">
        <v>955398</v>
      </c>
      <c r="J158" s="1023">
        <v>128582</v>
      </c>
      <c r="K158" s="1023">
        <v>32823</v>
      </c>
      <c r="L158" s="1023">
        <v>16119</v>
      </c>
    </row>
    <row r="159" spans="1:12" s="1" customFormat="1">
      <c r="A159" s="75" t="s">
        <v>23</v>
      </c>
      <c r="B159" s="975">
        <v>2384395</v>
      </c>
      <c r="C159" s="1023">
        <v>842753</v>
      </c>
      <c r="D159" s="1023">
        <v>58998</v>
      </c>
      <c r="E159" s="1023">
        <v>6352</v>
      </c>
      <c r="F159" s="1023">
        <v>137278</v>
      </c>
      <c r="G159" s="1023">
        <v>45308</v>
      </c>
      <c r="H159" s="1023">
        <v>8882</v>
      </c>
      <c r="I159" s="1023">
        <v>988086</v>
      </c>
      <c r="J159" s="1023">
        <v>110604</v>
      </c>
      <c r="K159" s="1023">
        <v>13441</v>
      </c>
      <c r="L159" s="1023">
        <v>19035</v>
      </c>
    </row>
    <row r="160" spans="1:12" s="1" customFormat="1">
      <c r="A160" s="75" t="s">
        <v>144</v>
      </c>
      <c r="B160" s="975">
        <v>1215478</v>
      </c>
      <c r="C160" s="1023">
        <v>321394</v>
      </c>
      <c r="D160" s="1023">
        <v>31805</v>
      </c>
      <c r="E160" s="1023">
        <v>2616</v>
      </c>
      <c r="F160" s="1023">
        <v>79262</v>
      </c>
      <c r="G160" s="1023">
        <v>16775</v>
      </c>
      <c r="H160" s="1023">
        <v>3981</v>
      </c>
      <c r="I160" s="1023">
        <v>565316</v>
      </c>
      <c r="J160" s="1023">
        <v>96559</v>
      </c>
      <c r="K160" s="1023">
        <v>6649</v>
      </c>
      <c r="L160" s="1023">
        <v>5661</v>
      </c>
    </row>
    <row r="161" spans="1:12" s="1" customFormat="1">
      <c r="A161" s="75" t="s">
        <v>145</v>
      </c>
      <c r="B161" s="975">
        <v>959085</v>
      </c>
      <c r="C161" s="1023">
        <v>391161</v>
      </c>
      <c r="D161" s="1023">
        <v>24781</v>
      </c>
      <c r="E161" s="1023">
        <v>2202</v>
      </c>
      <c r="F161" s="1023">
        <v>57776</v>
      </c>
      <c r="G161" s="1023">
        <v>19214</v>
      </c>
      <c r="H161" s="1023">
        <v>3764</v>
      </c>
      <c r="I161" s="1023">
        <v>351234</v>
      </c>
      <c r="J161" s="1023">
        <v>48579</v>
      </c>
      <c r="K161" s="1023">
        <v>6016</v>
      </c>
      <c r="L161" s="1023">
        <v>5228</v>
      </c>
    </row>
    <row r="162" spans="1:12" s="1" customFormat="1">
      <c r="A162" s="75" t="s">
        <v>146</v>
      </c>
      <c r="B162" s="975">
        <v>2396738</v>
      </c>
      <c r="C162" s="1023">
        <v>1047534</v>
      </c>
      <c r="D162" s="1023">
        <v>80995</v>
      </c>
      <c r="E162" s="1023">
        <v>9561</v>
      </c>
      <c r="F162" s="1023">
        <v>133797</v>
      </c>
      <c r="G162" s="1023">
        <v>69893</v>
      </c>
      <c r="H162" s="1023">
        <v>14577</v>
      </c>
      <c r="I162" s="1023">
        <v>793414</v>
      </c>
      <c r="J162" s="1023">
        <v>79146</v>
      </c>
      <c r="K162" s="1023">
        <v>17367</v>
      </c>
      <c r="L162" s="1023">
        <v>10981</v>
      </c>
    </row>
    <row r="163" spans="1:12" s="1" customFormat="1">
      <c r="A163" s="75" t="s">
        <v>27</v>
      </c>
      <c r="B163" s="975">
        <v>855445</v>
      </c>
      <c r="C163" s="1023">
        <v>241758</v>
      </c>
      <c r="D163" s="1023">
        <v>21182</v>
      </c>
      <c r="E163" s="1023">
        <v>1758</v>
      </c>
      <c r="F163" s="1023">
        <v>55136</v>
      </c>
      <c r="G163" s="1023">
        <v>11356</v>
      </c>
      <c r="H163" s="1023">
        <v>2444</v>
      </c>
      <c r="I163" s="1023">
        <v>386561</v>
      </c>
      <c r="J163" s="1023">
        <v>65746</v>
      </c>
      <c r="K163" s="1023">
        <v>4914</v>
      </c>
      <c r="L163" s="1023">
        <v>3098</v>
      </c>
    </row>
    <row r="164" spans="1:12" s="1" customFormat="1">
      <c r="A164" s="75" t="s">
        <v>147</v>
      </c>
      <c r="B164" s="975">
        <v>967299</v>
      </c>
      <c r="C164" s="1023">
        <v>412362</v>
      </c>
      <c r="D164" s="1023">
        <v>26245</v>
      </c>
      <c r="E164" s="1023">
        <v>2354</v>
      </c>
      <c r="F164" s="1023">
        <v>61706</v>
      </c>
      <c r="G164" s="1023">
        <v>19842</v>
      </c>
      <c r="H164" s="1023">
        <v>4101</v>
      </c>
      <c r="I164" s="1023">
        <v>326485</v>
      </c>
      <c r="J164" s="1023">
        <v>44357</v>
      </c>
      <c r="K164" s="1023">
        <v>5610</v>
      </c>
      <c r="L164" s="1023">
        <v>9275</v>
      </c>
    </row>
    <row r="165" spans="1:12" s="1" customFormat="1">
      <c r="A165" s="75" t="s">
        <v>29</v>
      </c>
      <c r="B165" s="975">
        <v>575510</v>
      </c>
      <c r="C165" s="1023">
        <v>252384</v>
      </c>
      <c r="D165" s="1023">
        <v>18590</v>
      </c>
      <c r="E165" s="1023">
        <v>1679</v>
      </c>
      <c r="F165" s="1023">
        <v>29569</v>
      </c>
      <c r="G165" s="1023">
        <v>10633</v>
      </c>
      <c r="H165" s="1023">
        <v>2977</v>
      </c>
      <c r="I165" s="1023">
        <v>182253</v>
      </c>
      <c r="J165" s="1023">
        <v>31133</v>
      </c>
      <c r="K165" s="1023">
        <v>5384</v>
      </c>
      <c r="L165" s="1023">
        <v>2747</v>
      </c>
    </row>
    <row r="166" spans="1:12" s="1" customFormat="1">
      <c r="A166" s="444" t="s">
        <v>148</v>
      </c>
      <c r="B166" s="1011">
        <f>SUM(B167:B170)</f>
        <v>40598455</v>
      </c>
      <c r="C166" s="1018">
        <v>24516371</v>
      </c>
      <c r="D166" s="1018">
        <v>1120110</v>
      </c>
      <c r="E166" s="1018">
        <v>225222</v>
      </c>
      <c r="F166" s="1018">
        <v>2553435</v>
      </c>
      <c r="G166" s="1018">
        <v>1380107</v>
      </c>
      <c r="H166" s="1018">
        <v>184187</v>
      </c>
      <c r="I166" s="1018">
        <v>7026428</v>
      </c>
      <c r="J166" s="1018">
        <v>1093365</v>
      </c>
      <c r="K166" s="1018">
        <v>264937</v>
      </c>
      <c r="L166" s="1018">
        <v>219803</v>
      </c>
    </row>
    <row r="167" spans="1:12" s="1" customFormat="1">
      <c r="A167" s="75" t="s">
        <v>31</v>
      </c>
      <c r="B167" s="975">
        <v>1585076</v>
      </c>
      <c r="C167" s="1023">
        <v>771892</v>
      </c>
      <c r="D167" s="1023">
        <v>62962</v>
      </c>
      <c r="E167" s="1023">
        <v>16018</v>
      </c>
      <c r="F167" s="1023">
        <v>121821</v>
      </c>
      <c r="G167" s="1023">
        <v>42560</v>
      </c>
      <c r="H167" s="1023">
        <v>6645</v>
      </c>
      <c r="I167" s="1023">
        <v>362841</v>
      </c>
      <c r="J167" s="1023">
        <v>80042</v>
      </c>
      <c r="K167" s="1023">
        <v>13360</v>
      </c>
      <c r="L167" s="1023">
        <v>9492</v>
      </c>
    </row>
    <row r="168" spans="1:12" s="1" customFormat="1">
      <c r="A168" s="75" t="s">
        <v>149</v>
      </c>
      <c r="B168" s="975">
        <v>8884663</v>
      </c>
      <c r="C168" s="1023">
        <v>4762600</v>
      </c>
      <c r="D168" s="1023">
        <v>292278</v>
      </c>
      <c r="E168" s="1023">
        <v>54395</v>
      </c>
      <c r="F168" s="1023">
        <v>642535</v>
      </c>
      <c r="G168" s="1023">
        <v>223950</v>
      </c>
      <c r="H168" s="1023">
        <v>37672</v>
      </c>
      <c r="I168" s="1023">
        <v>2049024</v>
      </c>
      <c r="J168" s="1023">
        <v>214821</v>
      </c>
      <c r="K168" s="1023">
        <v>65306</v>
      </c>
      <c r="L168" s="1023">
        <v>34407</v>
      </c>
    </row>
    <row r="169" spans="1:12" s="1" customFormat="1">
      <c r="A169" s="75" t="s">
        <v>33</v>
      </c>
      <c r="B169" s="975">
        <v>5568514</v>
      </c>
      <c r="C169" s="1023">
        <v>3727096</v>
      </c>
      <c r="D169" s="1023">
        <v>129546</v>
      </c>
      <c r="E169" s="1023">
        <v>13885</v>
      </c>
      <c r="F169" s="1023">
        <v>262067</v>
      </c>
      <c r="G169" s="1023">
        <v>226199</v>
      </c>
      <c r="H169" s="1023">
        <v>35147</v>
      </c>
      <c r="I169" s="1023">
        <v>718808</v>
      </c>
      <c r="J169" s="1023">
        <v>127583</v>
      </c>
      <c r="K169" s="1023">
        <v>43392</v>
      </c>
      <c r="L169" s="1023">
        <v>35759</v>
      </c>
    </row>
    <row r="170" spans="1:12" s="1" customFormat="1">
      <c r="A170" s="75" t="s">
        <v>150</v>
      </c>
      <c r="B170" s="975">
        <v>24560202</v>
      </c>
      <c r="C170" s="1023">
        <v>15254783</v>
      </c>
      <c r="D170" s="1023">
        <v>635324</v>
      </c>
      <c r="E170" s="1023">
        <v>140924</v>
      </c>
      <c r="F170" s="1023">
        <v>1527012</v>
      </c>
      <c r="G170" s="1023">
        <v>887398</v>
      </c>
      <c r="H170" s="1023">
        <v>104723</v>
      </c>
      <c r="I170" s="1023">
        <v>3895755</v>
      </c>
      <c r="J170" s="1023">
        <v>670919</v>
      </c>
      <c r="K170" s="1023">
        <v>142879</v>
      </c>
      <c r="L170" s="1023">
        <v>140145</v>
      </c>
    </row>
    <row r="171" spans="1:12" s="1" customFormat="1">
      <c r="A171" s="444" t="s">
        <v>151</v>
      </c>
      <c r="B171" s="1011">
        <f>SUM(B172:B174)</f>
        <v>16437821</v>
      </c>
      <c r="C171" s="1018">
        <v>9480656</v>
      </c>
      <c r="D171" s="1018">
        <v>580482</v>
      </c>
      <c r="E171" s="1018">
        <v>166210</v>
      </c>
      <c r="F171" s="1018">
        <v>1134920</v>
      </c>
      <c r="G171" s="1018">
        <v>458358</v>
      </c>
      <c r="H171" s="1018">
        <v>46295</v>
      </c>
      <c r="I171" s="1018">
        <v>2679954</v>
      </c>
      <c r="J171" s="1018">
        <v>626059</v>
      </c>
      <c r="K171" s="1018">
        <v>88971</v>
      </c>
      <c r="L171" s="1018">
        <v>86704</v>
      </c>
    </row>
    <row r="172" spans="1:12" s="1" customFormat="1">
      <c r="A172" s="75" t="s">
        <v>36</v>
      </c>
      <c r="B172" s="975">
        <v>6351183</v>
      </c>
      <c r="C172" s="1023">
        <v>3636007</v>
      </c>
      <c r="D172" s="1023">
        <v>241087</v>
      </c>
      <c r="E172" s="1023">
        <v>75152</v>
      </c>
      <c r="F172" s="1023">
        <v>483970</v>
      </c>
      <c r="G172" s="1023">
        <v>173738</v>
      </c>
      <c r="H172" s="1023">
        <v>18149</v>
      </c>
      <c r="I172" s="1023">
        <v>992178</v>
      </c>
      <c r="J172" s="1023">
        <v>242709</v>
      </c>
      <c r="K172" s="1023">
        <v>35871</v>
      </c>
      <c r="L172" s="1023">
        <v>30556</v>
      </c>
    </row>
    <row r="173" spans="1:12" s="1" customFormat="1">
      <c r="A173" s="75" t="s">
        <v>152</v>
      </c>
      <c r="B173" s="975">
        <v>5885383</v>
      </c>
      <c r="C173" s="1023">
        <v>3496229</v>
      </c>
      <c r="D173" s="1023">
        <v>202427</v>
      </c>
      <c r="E173" s="1023">
        <v>48063</v>
      </c>
      <c r="F173" s="1023">
        <v>375755</v>
      </c>
      <c r="G173" s="1023">
        <v>173671</v>
      </c>
      <c r="H173" s="1023">
        <v>17957</v>
      </c>
      <c r="I173" s="1023">
        <v>939894</v>
      </c>
      <c r="J173" s="1023">
        <v>159328</v>
      </c>
      <c r="K173" s="1023">
        <v>35844</v>
      </c>
      <c r="L173" s="1023">
        <v>29686</v>
      </c>
    </row>
    <row r="174" spans="1:12" s="1" customFormat="1">
      <c r="A174" s="75" t="s">
        <v>38</v>
      </c>
      <c r="B174" s="975">
        <v>4201255</v>
      </c>
      <c r="C174" s="1023">
        <v>2348420</v>
      </c>
      <c r="D174" s="1023">
        <v>136968</v>
      </c>
      <c r="E174" s="1023">
        <v>42995</v>
      </c>
      <c r="F174" s="1023">
        <v>275195</v>
      </c>
      <c r="G174" s="1023">
        <v>110949</v>
      </c>
      <c r="H174" s="1023">
        <v>10189</v>
      </c>
      <c r="I174" s="1023">
        <v>747882</v>
      </c>
      <c r="J174" s="1023">
        <v>224022</v>
      </c>
      <c r="K174" s="1023">
        <v>17256</v>
      </c>
      <c r="L174" s="1023">
        <v>26462</v>
      </c>
    </row>
    <row r="175" spans="1:12" s="1" customFormat="1">
      <c r="A175" s="444" t="s">
        <v>153</v>
      </c>
      <c r="B175" s="1011">
        <f>SUM(B176:B179)</f>
        <v>7499136</v>
      </c>
      <c r="C175" s="1018">
        <v>3596207</v>
      </c>
      <c r="D175" s="1018">
        <v>220936</v>
      </c>
      <c r="E175" s="1018">
        <v>61537</v>
      </c>
      <c r="F175" s="1018">
        <v>627938</v>
      </c>
      <c r="G175" s="1018">
        <v>182613</v>
      </c>
      <c r="H175" s="1018">
        <v>17889</v>
      </c>
      <c r="I175" s="1018">
        <v>1655801</v>
      </c>
      <c r="J175" s="1018">
        <v>459848</v>
      </c>
      <c r="K175" s="1018">
        <v>45039</v>
      </c>
      <c r="L175" s="1018">
        <v>42720</v>
      </c>
    </row>
    <row r="176" spans="1:12" s="1" customFormat="1">
      <c r="A176" s="75" t="s">
        <v>40</v>
      </c>
      <c r="B176" s="975">
        <v>1511110</v>
      </c>
      <c r="C176" s="1023">
        <v>1070514</v>
      </c>
      <c r="D176" s="1023">
        <v>21336</v>
      </c>
      <c r="E176" s="1023">
        <v>2840</v>
      </c>
      <c r="F176" s="1023">
        <v>97539</v>
      </c>
      <c r="G176" s="1023">
        <v>57696</v>
      </c>
      <c r="H176" s="1023">
        <v>4817</v>
      </c>
      <c r="I176" s="1023">
        <v>150160</v>
      </c>
      <c r="J176" s="1023">
        <v>14118</v>
      </c>
      <c r="K176" s="1023">
        <v>9145</v>
      </c>
      <c r="L176" s="1023">
        <v>15323</v>
      </c>
    </row>
    <row r="177" spans="1:12" s="1" customFormat="1">
      <c r="A177" s="75" t="s">
        <v>41</v>
      </c>
      <c r="B177" s="975">
        <v>3169088</v>
      </c>
      <c r="C177" s="1023">
        <v>1452869</v>
      </c>
      <c r="D177" s="1023">
        <v>97306</v>
      </c>
      <c r="E177" s="1023">
        <v>23252</v>
      </c>
      <c r="F177" s="1023">
        <v>268373</v>
      </c>
      <c r="G177" s="1023">
        <v>69128</v>
      </c>
      <c r="H177" s="1023">
        <v>7386</v>
      </c>
      <c r="I177" s="1023">
        <v>722323</v>
      </c>
      <c r="J177" s="1023">
        <v>208985</v>
      </c>
      <c r="K177" s="1023">
        <v>18889</v>
      </c>
      <c r="L177" s="1023">
        <v>13222</v>
      </c>
    </row>
    <row r="178" spans="1:12" s="1" customFormat="1">
      <c r="A178" s="75" t="s">
        <v>42</v>
      </c>
      <c r="B178" s="975">
        <v>1565739</v>
      </c>
      <c r="C178" s="1023">
        <v>517751</v>
      </c>
      <c r="D178" s="1023">
        <v>57918</v>
      </c>
      <c r="E178" s="1023">
        <v>23246</v>
      </c>
      <c r="F178" s="1023">
        <v>149562</v>
      </c>
      <c r="G178" s="1023">
        <v>27246</v>
      </c>
      <c r="H178" s="1023">
        <v>2742</v>
      </c>
      <c r="I178" s="1023">
        <v>478359</v>
      </c>
      <c r="J178" s="1023">
        <v>151818</v>
      </c>
      <c r="K178" s="1023">
        <v>9105</v>
      </c>
      <c r="L178" s="1023">
        <v>7848</v>
      </c>
    </row>
    <row r="179" spans="1:12" s="1" customFormat="1">
      <c r="A179" s="76" t="s">
        <v>43</v>
      </c>
      <c r="B179" s="975">
        <v>1253199</v>
      </c>
      <c r="C179" s="1023">
        <v>555073</v>
      </c>
      <c r="D179" s="1023">
        <v>44376</v>
      </c>
      <c r="E179" s="1023">
        <v>12199</v>
      </c>
      <c r="F179" s="1023">
        <v>112464</v>
      </c>
      <c r="G179" s="1023">
        <v>28543</v>
      </c>
      <c r="H179" s="1023">
        <v>2944</v>
      </c>
      <c r="I179" s="1023">
        <v>304959</v>
      </c>
      <c r="J179" s="1023">
        <v>84927</v>
      </c>
      <c r="K179" s="1023">
        <v>7900</v>
      </c>
      <c r="L179" s="1023">
        <v>6327</v>
      </c>
    </row>
    <row r="180" spans="1:12" s="1" customFormat="1">
      <c r="A180" s="57"/>
      <c r="B180" s="57"/>
      <c r="C180" s="57"/>
      <c r="D180" s="57"/>
      <c r="E180" s="57"/>
      <c r="F180" s="57"/>
      <c r="G180" s="57"/>
      <c r="H180" s="57"/>
      <c r="I180" s="57"/>
      <c r="J180" s="57"/>
      <c r="K180" s="57"/>
      <c r="L180" s="57"/>
    </row>
    <row r="181" spans="1:12" s="1" customFormat="1">
      <c r="A181" s="57"/>
      <c r="B181" s="57"/>
      <c r="C181" s="57"/>
      <c r="D181" s="57"/>
      <c r="E181" s="57"/>
      <c r="F181" s="57"/>
      <c r="G181" s="57"/>
      <c r="H181" s="57"/>
      <c r="I181" s="57"/>
      <c r="J181" s="57"/>
      <c r="K181" s="57"/>
      <c r="L181" s="57"/>
    </row>
    <row r="182" spans="1:12" s="1" customFormat="1">
      <c r="A182" s="57"/>
      <c r="B182" s="57"/>
      <c r="C182" s="57"/>
      <c r="D182" s="57"/>
      <c r="E182" s="57"/>
      <c r="F182" s="57"/>
      <c r="G182" s="57"/>
      <c r="H182" s="57"/>
      <c r="I182" s="57"/>
      <c r="J182" s="57"/>
      <c r="K182" s="57"/>
      <c r="L182" s="57"/>
    </row>
    <row r="183" spans="1:12" s="1" customFormat="1">
      <c r="A183" s="57"/>
      <c r="B183" s="57"/>
      <c r="C183" s="57"/>
      <c r="D183" s="57"/>
      <c r="E183" s="57"/>
      <c r="F183" s="57"/>
      <c r="G183" s="57"/>
      <c r="H183" s="57"/>
      <c r="I183" s="57"/>
      <c r="J183" s="57"/>
      <c r="K183" s="57"/>
      <c r="L183" s="57"/>
    </row>
    <row r="184" spans="1:12" s="1" customFormat="1">
      <c r="A184" s="57"/>
      <c r="B184" s="57"/>
      <c r="C184" s="57"/>
      <c r="D184" s="57"/>
      <c r="E184" s="57"/>
      <c r="F184" s="57"/>
      <c r="G184" s="57"/>
      <c r="H184" s="57"/>
      <c r="I184" s="57"/>
      <c r="J184" s="57"/>
      <c r="K184" s="57"/>
      <c r="L184" s="57"/>
    </row>
    <row r="185" spans="1:12" s="1" customFormat="1">
      <c r="A185" s="57"/>
      <c r="B185" s="57"/>
      <c r="C185" s="57"/>
      <c r="D185" s="57"/>
      <c r="E185" s="57"/>
      <c r="F185" s="57"/>
      <c r="G185" s="57"/>
      <c r="H185" s="57"/>
      <c r="I185" s="57"/>
      <c r="J185" s="57"/>
      <c r="K185" s="57"/>
      <c r="L185" s="57"/>
    </row>
    <row r="186" spans="1:12" s="1" customFormat="1">
      <c r="A186" s="57"/>
      <c r="B186" s="57"/>
      <c r="C186" s="57"/>
      <c r="D186" s="57"/>
      <c r="E186" s="57"/>
      <c r="F186" s="57"/>
      <c r="G186" s="57"/>
      <c r="H186" s="57"/>
      <c r="I186" s="57"/>
      <c r="J186" s="57"/>
      <c r="K186" s="57"/>
      <c r="L186" s="57"/>
    </row>
    <row r="187" spans="1:12" s="1" customFormat="1">
      <c r="A187" s="57"/>
      <c r="B187" s="57"/>
      <c r="C187" s="57"/>
      <c r="D187" s="57"/>
      <c r="E187" s="57"/>
      <c r="F187" s="57"/>
      <c r="G187" s="57"/>
      <c r="H187" s="57"/>
      <c r="I187" s="57"/>
      <c r="J187" s="57"/>
      <c r="K187" s="57"/>
      <c r="L187" s="57"/>
    </row>
    <row r="188" spans="1:12" s="1" customFormat="1">
      <c r="A188" s="57"/>
      <c r="B188" s="57"/>
      <c r="C188" s="57"/>
      <c r="D188" s="57"/>
      <c r="E188" s="57"/>
      <c r="F188" s="57"/>
      <c r="G188" s="57"/>
      <c r="H188" s="57"/>
      <c r="I188" s="57"/>
      <c r="J188" s="57"/>
      <c r="K188" s="57"/>
      <c r="L188" s="57"/>
    </row>
    <row r="189" spans="1:12" s="1" customFormat="1">
      <c r="A189" s="57"/>
      <c r="B189" s="57"/>
      <c r="C189" s="57"/>
      <c r="D189" s="57"/>
      <c r="E189" s="57"/>
      <c r="F189" s="57"/>
      <c r="G189" s="57"/>
      <c r="H189" s="57"/>
      <c r="I189" s="57"/>
      <c r="J189" s="57"/>
      <c r="K189" s="57"/>
      <c r="L189" s="57"/>
    </row>
    <row r="190" spans="1:12" s="1" customFormat="1">
      <c r="A190" s="57"/>
      <c r="B190" s="57"/>
      <c r="C190" s="57"/>
      <c r="D190" s="57"/>
      <c r="E190" s="57"/>
      <c r="F190" s="57"/>
      <c r="G190" s="57"/>
      <c r="H190" s="57"/>
      <c r="I190" s="57"/>
      <c r="J190" s="57"/>
      <c r="K190" s="57"/>
      <c r="L190" s="57"/>
    </row>
    <row r="191" spans="1:12" s="1" customFormat="1">
      <c r="A191" s="57"/>
      <c r="B191" s="57"/>
      <c r="C191" s="57"/>
      <c r="D191" s="57"/>
      <c r="E191" s="57"/>
      <c r="F191" s="57"/>
      <c r="G191" s="57"/>
      <c r="H191" s="57"/>
      <c r="I191" s="57"/>
      <c r="J191" s="57"/>
      <c r="K191" s="57"/>
      <c r="L191" s="57"/>
    </row>
    <row r="192" spans="1:12" s="1" customFormat="1">
      <c r="A192" s="57"/>
      <c r="B192" s="57"/>
      <c r="C192" s="57"/>
      <c r="D192" s="57"/>
      <c r="E192" s="57"/>
      <c r="F192" s="57"/>
      <c r="G192" s="57"/>
      <c r="H192" s="57"/>
      <c r="I192" s="57"/>
      <c r="J192" s="57"/>
      <c r="K192" s="57"/>
      <c r="L192" s="57"/>
    </row>
    <row r="193" spans="1:12" s="1" customFormat="1">
      <c r="A193" s="57"/>
      <c r="B193" s="57"/>
      <c r="C193" s="57"/>
      <c r="D193" s="57"/>
      <c r="E193" s="57"/>
      <c r="F193" s="57"/>
      <c r="G193" s="57"/>
      <c r="H193" s="57"/>
      <c r="I193" s="57"/>
      <c r="J193" s="57"/>
      <c r="K193" s="57"/>
      <c r="L193" s="57"/>
    </row>
    <row r="194" spans="1:12" s="1" customFormat="1">
      <c r="A194" s="57"/>
      <c r="B194" s="57"/>
      <c r="C194" s="57"/>
      <c r="D194" s="57"/>
      <c r="E194" s="57"/>
      <c r="F194" s="57"/>
      <c r="G194" s="57"/>
      <c r="H194" s="57"/>
      <c r="I194" s="57"/>
      <c r="J194" s="57"/>
      <c r="K194" s="57"/>
      <c r="L194" s="57"/>
    </row>
    <row r="195" spans="1:12" s="1" customFormat="1">
      <c r="A195" s="57"/>
      <c r="B195" s="57"/>
      <c r="C195" s="57"/>
      <c r="D195" s="57"/>
      <c r="E195" s="57"/>
      <c r="F195" s="57"/>
      <c r="G195" s="57"/>
      <c r="H195" s="57"/>
      <c r="I195" s="57"/>
      <c r="J195" s="57"/>
      <c r="K195" s="57"/>
      <c r="L195" s="57"/>
    </row>
    <row r="196" spans="1:12" s="1" customFormat="1">
      <c r="A196" s="57"/>
      <c r="B196" s="57"/>
      <c r="C196" s="57"/>
      <c r="D196" s="57"/>
      <c r="E196" s="57"/>
      <c r="F196" s="57"/>
      <c r="G196" s="57"/>
      <c r="H196" s="57"/>
      <c r="I196" s="57"/>
      <c r="J196" s="57"/>
      <c r="K196" s="57"/>
      <c r="L196" s="57"/>
    </row>
    <row r="197" spans="1:12" s="1" customFormat="1">
      <c r="A197" s="57"/>
      <c r="B197" s="57"/>
      <c r="C197" s="57"/>
      <c r="D197" s="57"/>
      <c r="E197" s="57"/>
      <c r="F197" s="57"/>
      <c r="G197" s="57"/>
      <c r="H197" s="57"/>
      <c r="I197" s="57"/>
      <c r="J197" s="57"/>
      <c r="K197" s="57"/>
      <c r="L197" s="57"/>
    </row>
    <row r="198" spans="1:12" s="1" customFormat="1">
      <c r="A198" s="57"/>
      <c r="B198" s="57"/>
      <c r="C198" s="57"/>
      <c r="D198" s="57"/>
      <c r="E198" s="57"/>
      <c r="F198" s="57"/>
      <c r="G198" s="57"/>
      <c r="H198" s="57"/>
      <c r="I198" s="57"/>
      <c r="J198" s="57"/>
      <c r="K198" s="57"/>
      <c r="L198" s="57"/>
    </row>
    <row r="199" spans="1:12" s="1" customFormat="1">
      <c r="A199" s="57"/>
      <c r="B199" s="57"/>
      <c r="C199" s="57"/>
      <c r="D199" s="57"/>
      <c r="E199" s="57"/>
      <c r="F199" s="57"/>
      <c r="G199" s="57"/>
      <c r="H199" s="57"/>
      <c r="I199" s="57"/>
      <c r="J199" s="57"/>
      <c r="K199" s="57"/>
      <c r="L199" s="57"/>
    </row>
    <row r="200" spans="1:12" s="1" customFormat="1">
      <c r="A200" s="57"/>
      <c r="B200" s="57"/>
      <c r="C200" s="57"/>
      <c r="D200" s="57"/>
      <c r="E200" s="57"/>
      <c r="F200" s="57"/>
      <c r="G200" s="57"/>
      <c r="H200" s="57"/>
      <c r="I200" s="57"/>
      <c r="J200" s="57"/>
      <c r="K200" s="57"/>
      <c r="L200" s="57"/>
    </row>
    <row r="201" spans="1:12" s="1" customFormat="1">
      <c r="A201" s="57"/>
      <c r="B201" s="57"/>
      <c r="C201" s="57"/>
      <c r="D201" s="57"/>
      <c r="E201" s="57"/>
      <c r="F201" s="57"/>
      <c r="G201" s="57"/>
      <c r="H201" s="57"/>
      <c r="I201" s="57"/>
      <c r="J201" s="57"/>
      <c r="K201" s="57"/>
      <c r="L201" s="57"/>
    </row>
    <row r="202" spans="1:12" s="1" customFormat="1">
      <c r="A202" s="57"/>
      <c r="B202" s="57"/>
      <c r="C202" s="57"/>
      <c r="D202" s="57"/>
      <c r="E202" s="57"/>
      <c r="F202" s="57"/>
      <c r="G202" s="57"/>
      <c r="H202" s="57"/>
      <c r="I202" s="57"/>
      <c r="J202" s="57"/>
      <c r="K202" s="57"/>
      <c r="L202" s="57"/>
    </row>
    <row r="203" spans="1:12" s="1" customFormat="1">
      <c r="A203" s="57"/>
      <c r="B203" s="57"/>
      <c r="C203" s="57"/>
      <c r="D203" s="57"/>
      <c r="E203" s="57"/>
      <c r="F203" s="57"/>
      <c r="G203" s="57"/>
      <c r="H203" s="57"/>
      <c r="I203" s="57"/>
      <c r="J203" s="57"/>
      <c r="K203" s="57"/>
      <c r="L203" s="57"/>
    </row>
    <row r="204" spans="1:12" s="1" customFormat="1">
      <c r="A204" s="57"/>
      <c r="B204" s="57"/>
      <c r="C204" s="57"/>
      <c r="D204" s="57"/>
      <c r="E204" s="57"/>
      <c r="F204" s="57"/>
      <c r="G204" s="57"/>
      <c r="H204" s="57"/>
      <c r="I204" s="57"/>
      <c r="J204" s="57"/>
      <c r="K204" s="57"/>
      <c r="L204" s="57"/>
    </row>
    <row r="205" spans="1:12" s="1" customFormat="1">
      <c r="A205" s="57"/>
      <c r="B205" s="57"/>
      <c r="C205" s="57"/>
      <c r="D205" s="57"/>
      <c r="E205" s="57"/>
      <c r="F205" s="57"/>
      <c r="G205" s="57"/>
      <c r="H205" s="57"/>
      <c r="I205" s="57"/>
      <c r="J205" s="57"/>
      <c r="K205" s="57"/>
      <c r="L205" s="57"/>
    </row>
    <row r="206" spans="1:12" s="1" customFormat="1">
      <c r="A206" s="57"/>
      <c r="B206" s="57"/>
      <c r="C206" s="57"/>
      <c r="D206" s="57"/>
      <c r="E206" s="57"/>
      <c r="F206" s="57"/>
      <c r="G206" s="57"/>
      <c r="H206" s="57"/>
      <c r="I206" s="57"/>
      <c r="J206" s="57"/>
      <c r="K206" s="57"/>
      <c r="L206" s="57"/>
    </row>
    <row r="207" spans="1:12" s="1" customFormat="1">
      <c r="A207" s="57"/>
      <c r="B207" s="57"/>
      <c r="C207" s="57"/>
      <c r="D207" s="57"/>
      <c r="E207" s="57"/>
      <c r="F207" s="57"/>
      <c r="G207" s="57"/>
      <c r="H207" s="57"/>
      <c r="I207" s="57"/>
      <c r="J207" s="57"/>
      <c r="K207" s="57"/>
      <c r="L207" s="57"/>
    </row>
    <row r="208" spans="1:12" s="1" customFormat="1">
      <c r="A208" s="57"/>
      <c r="B208" s="57"/>
      <c r="C208" s="57"/>
      <c r="D208" s="57"/>
      <c r="E208" s="57"/>
      <c r="F208" s="57"/>
      <c r="G208" s="57"/>
      <c r="H208" s="57"/>
      <c r="I208" s="57"/>
      <c r="J208" s="57"/>
      <c r="K208" s="57"/>
      <c r="L208" s="57"/>
    </row>
    <row r="209" spans="1:12" s="1" customFormat="1">
      <c r="A209" s="57"/>
      <c r="B209" s="57"/>
      <c r="C209" s="57"/>
      <c r="D209" s="57"/>
      <c r="E209" s="57"/>
      <c r="F209" s="57"/>
      <c r="G209" s="57"/>
      <c r="H209" s="57"/>
      <c r="I209" s="57"/>
      <c r="J209" s="57"/>
      <c r="K209" s="57"/>
      <c r="L209" s="57"/>
    </row>
    <row r="210" spans="1:12" s="1" customFormat="1">
      <c r="A210" s="57"/>
      <c r="B210" s="57"/>
      <c r="C210" s="57"/>
      <c r="D210" s="57"/>
      <c r="E210" s="57"/>
      <c r="F210" s="57"/>
      <c r="G210" s="57"/>
      <c r="H210" s="57"/>
      <c r="I210" s="57"/>
      <c r="J210" s="57"/>
      <c r="K210" s="57"/>
      <c r="L210" s="57"/>
    </row>
    <row r="211" spans="1:12" s="1" customFormat="1">
      <c r="A211" s="57"/>
      <c r="B211" s="57"/>
      <c r="C211" s="57"/>
      <c r="D211" s="57"/>
      <c r="E211" s="57"/>
      <c r="F211" s="57"/>
      <c r="G211" s="57"/>
      <c r="H211" s="57"/>
      <c r="I211" s="57"/>
      <c r="J211" s="57"/>
      <c r="K211" s="57"/>
      <c r="L211" s="57"/>
    </row>
    <row r="212" spans="1:12" s="1" customFormat="1">
      <c r="A212" s="57"/>
      <c r="B212" s="57"/>
      <c r="C212" s="57"/>
      <c r="D212" s="57"/>
      <c r="E212" s="57"/>
      <c r="F212" s="57"/>
      <c r="G212" s="57"/>
      <c r="H212" s="57"/>
      <c r="I212" s="57"/>
      <c r="J212" s="57"/>
      <c r="K212" s="57"/>
      <c r="L212" s="57"/>
    </row>
    <row r="213" spans="1:12" s="1" customFormat="1">
      <c r="A213" s="57"/>
      <c r="B213" s="57"/>
      <c r="C213" s="57"/>
      <c r="D213" s="57"/>
      <c r="E213" s="57"/>
      <c r="F213" s="57"/>
      <c r="G213" s="57"/>
      <c r="H213" s="57"/>
      <c r="I213" s="57"/>
      <c r="J213" s="57"/>
      <c r="K213" s="57"/>
      <c r="L213" s="57"/>
    </row>
    <row r="214" spans="1:12" s="1" customFormat="1">
      <c r="A214" s="57"/>
      <c r="B214" s="57"/>
      <c r="C214" s="57"/>
      <c r="D214" s="57"/>
      <c r="E214" s="57"/>
      <c r="F214" s="57"/>
      <c r="G214" s="57"/>
      <c r="H214" s="57"/>
      <c r="I214" s="57"/>
      <c r="J214" s="57"/>
      <c r="K214" s="57"/>
      <c r="L214" s="57"/>
    </row>
    <row r="215" spans="1:12" s="1" customFormat="1">
      <c r="A215" s="57"/>
      <c r="B215" s="57"/>
      <c r="C215" s="57"/>
      <c r="D215" s="57"/>
      <c r="E215" s="57"/>
      <c r="F215" s="57"/>
      <c r="G215" s="57"/>
      <c r="H215" s="57"/>
      <c r="I215" s="57"/>
      <c r="J215" s="57"/>
      <c r="K215" s="57"/>
      <c r="L215" s="57"/>
    </row>
    <row r="216" spans="1:12" s="1" customFormat="1">
      <c r="A216" s="57"/>
      <c r="B216" s="57"/>
      <c r="C216" s="57"/>
      <c r="D216" s="57"/>
      <c r="E216" s="57"/>
      <c r="F216" s="57"/>
      <c r="G216" s="57"/>
      <c r="H216" s="57"/>
      <c r="I216" s="57"/>
      <c r="J216" s="57"/>
      <c r="K216" s="57"/>
      <c r="L216" s="57"/>
    </row>
    <row r="217" spans="1:12" s="1" customFormat="1">
      <c r="A217" s="57"/>
      <c r="B217" s="57"/>
      <c r="C217" s="57"/>
      <c r="D217" s="57"/>
      <c r="E217" s="57"/>
      <c r="F217" s="57"/>
      <c r="G217" s="57"/>
      <c r="H217" s="57"/>
      <c r="I217" s="57"/>
      <c r="J217" s="57"/>
      <c r="K217" s="57"/>
      <c r="L217" s="57"/>
    </row>
    <row r="218" spans="1:12" s="1" customFormat="1">
      <c r="A218" s="57"/>
      <c r="B218" s="57"/>
      <c r="C218" s="57"/>
      <c r="D218" s="57"/>
      <c r="E218" s="57"/>
      <c r="F218" s="57"/>
      <c r="G218" s="57"/>
      <c r="H218" s="57"/>
      <c r="I218" s="57"/>
      <c r="J218" s="57"/>
      <c r="K218" s="57"/>
      <c r="L218" s="57"/>
    </row>
    <row r="219" spans="1:12" s="1" customFormat="1">
      <c r="A219" s="57"/>
      <c r="B219" s="57"/>
      <c r="C219" s="57"/>
      <c r="D219" s="57"/>
      <c r="E219" s="57"/>
      <c r="F219" s="57"/>
      <c r="G219" s="57"/>
      <c r="H219" s="57"/>
      <c r="I219" s="57"/>
      <c r="J219" s="57"/>
      <c r="K219" s="57"/>
      <c r="L219" s="57"/>
    </row>
    <row r="220" spans="1:12" s="1" customFormat="1">
      <c r="A220" s="57"/>
      <c r="B220" s="57"/>
      <c r="C220" s="57"/>
      <c r="D220" s="57"/>
      <c r="E220" s="57"/>
      <c r="F220" s="57"/>
      <c r="G220" s="57"/>
      <c r="H220" s="57"/>
      <c r="I220" s="57"/>
      <c r="J220" s="57"/>
      <c r="K220" s="57"/>
      <c r="L220" s="57"/>
    </row>
    <row r="221" spans="1:12" s="1" customFormat="1">
      <c r="A221" s="57"/>
      <c r="B221" s="57"/>
      <c r="C221" s="57"/>
      <c r="D221" s="57"/>
      <c r="E221" s="57"/>
      <c r="F221" s="57"/>
      <c r="G221" s="57"/>
      <c r="H221" s="57"/>
      <c r="I221" s="57"/>
      <c r="J221" s="57"/>
      <c r="K221" s="57"/>
      <c r="L221" s="57"/>
    </row>
    <row r="222" spans="1:12" s="1" customFormat="1">
      <c r="A222" s="57"/>
      <c r="B222" s="57"/>
      <c r="C222" s="57"/>
      <c r="D222" s="57"/>
      <c r="E222" s="57"/>
      <c r="F222" s="57"/>
      <c r="G222" s="57"/>
      <c r="H222" s="57"/>
      <c r="I222" s="57"/>
      <c r="J222" s="57"/>
      <c r="K222" s="57"/>
      <c r="L222" s="57"/>
    </row>
    <row r="223" spans="1:12" s="1" customFormat="1">
      <c r="A223" s="57"/>
      <c r="B223" s="57"/>
      <c r="C223" s="57"/>
      <c r="D223" s="57"/>
      <c r="E223" s="57"/>
      <c r="F223" s="57"/>
      <c r="G223" s="57"/>
      <c r="H223" s="57"/>
      <c r="I223" s="57"/>
      <c r="J223" s="57"/>
      <c r="K223" s="57"/>
      <c r="L223" s="57"/>
    </row>
    <row r="224" spans="1:12" s="1" customFormat="1">
      <c r="A224" s="57"/>
      <c r="B224" s="57"/>
      <c r="C224" s="57"/>
      <c r="D224" s="57"/>
      <c r="E224" s="57"/>
      <c r="F224" s="57"/>
      <c r="G224" s="57"/>
      <c r="H224" s="57"/>
      <c r="I224" s="57"/>
      <c r="J224" s="57"/>
      <c r="K224" s="57"/>
      <c r="L224" s="57"/>
    </row>
    <row r="225" spans="1:12" s="1" customFormat="1">
      <c r="A225" s="57"/>
      <c r="B225" s="57"/>
      <c r="C225" s="57"/>
      <c r="D225" s="57"/>
      <c r="E225" s="57"/>
      <c r="F225" s="57"/>
      <c r="G225" s="57"/>
      <c r="H225" s="57"/>
      <c r="I225" s="57"/>
      <c r="J225" s="57"/>
      <c r="K225" s="57"/>
      <c r="L225" s="57"/>
    </row>
    <row r="226" spans="1:12" s="1" customFormat="1">
      <c r="A226" s="57"/>
      <c r="B226" s="57"/>
      <c r="C226" s="57"/>
      <c r="D226" s="57"/>
      <c r="E226" s="57"/>
      <c r="F226" s="57"/>
      <c r="G226" s="57"/>
      <c r="H226" s="57"/>
      <c r="I226" s="57"/>
      <c r="J226" s="57"/>
      <c r="K226" s="57"/>
      <c r="L226" s="57"/>
    </row>
    <row r="227" spans="1:12" s="1" customFormat="1">
      <c r="A227" s="57"/>
      <c r="B227" s="57"/>
      <c r="C227" s="57"/>
      <c r="D227" s="57"/>
      <c r="E227" s="57"/>
      <c r="F227" s="57"/>
      <c r="G227" s="57"/>
      <c r="H227" s="57"/>
      <c r="I227" s="57"/>
      <c r="J227" s="57"/>
      <c r="K227" s="57"/>
      <c r="L227" s="57"/>
    </row>
    <row r="228" spans="1:12" s="1" customFormat="1">
      <c r="A228" s="57"/>
      <c r="B228" s="57"/>
      <c r="C228" s="57"/>
      <c r="D228" s="57"/>
      <c r="E228" s="57"/>
      <c r="F228" s="57"/>
      <c r="G228" s="57"/>
      <c r="H228" s="57"/>
      <c r="I228" s="57"/>
      <c r="J228" s="57"/>
      <c r="K228" s="57"/>
      <c r="L228" s="57"/>
    </row>
    <row r="229" spans="1:12" s="1" customFormat="1">
      <c r="A229" s="57"/>
      <c r="B229" s="57"/>
      <c r="C229" s="57"/>
      <c r="D229" s="57"/>
      <c r="E229" s="57"/>
      <c r="F229" s="57"/>
      <c r="G229" s="57"/>
      <c r="H229" s="57"/>
      <c r="I229" s="57"/>
      <c r="J229" s="57"/>
      <c r="K229" s="57"/>
      <c r="L229" s="57"/>
    </row>
    <row r="230" spans="1:12" s="1" customFormat="1">
      <c r="A230" s="57"/>
      <c r="B230" s="57"/>
      <c r="C230" s="57"/>
      <c r="D230" s="57"/>
      <c r="E230" s="57"/>
      <c r="F230" s="57"/>
      <c r="G230" s="57"/>
      <c r="H230" s="57"/>
      <c r="I230" s="57"/>
      <c r="J230" s="57"/>
      <c r="K230" s="57"/>
      <c r="L230" s="57"/>
    </row>
    <row r="231" spans="1:12" s="1" customFormat="1">
      <c r="A231" s="57"/>
      <c r="B231" s="57"/>
      <c r="C231" s="57"/>
      <c r="D231" s="57"/>
      <c r="E231" s="57"/>
      <c r="F231" s="57"/>
      <c r="G231" s="57"/>
      <c r="H231" s="57"/>
      <c r="I231" s="57"/>
      <c r="J231" s="57"/>
      <c r="K231" s="57"/>
      <c r="L231" s="57"/>
    </row>
    <row r="232" spans="1:12" s="1" customFormat="1">
      <c r="A232" s="57"/>
      <c r="B232" s="57"/>
      <c r="C232" s="57"/>
      <c r="D232" s="57"/>
      <c r="E232" s="57"/>
      <c r="F232" s="57"/>
      <c r="G232" s="57"/>
      <c r="H232" s="57"/>
      <c r="I232" s="57"/>
      <c r="J232" s="57"/>
      <c r="K232" s="57"/>
      <c r="L232" s="57"/>
    </row>
    <row r="233" spans="1:12" s="1" customFormat="1">
      <c r="A233" s="57"/>
      <c r="B233" s="57"/>
      <c r="C233" s="57"/>
      <c r="D233" s="57"/>
      <c r="E233" s="57"/>
      <c r="F233" s="57"/>
      <c r="G233" s="57"/>
      <c r="H233" s="57"/>
      <c r="I233" s="57"/>
      <c r="J233" s="57"/>
      <c r="K233" s="57"/>
      <c r="L233" s="57"/>
    </row>
    <row r="234" spans="1:12" s="1" customFormat="1">
      <c r="A234" s="57"/>
      <c r="B234" s="57"/>
      <c r="C234" s="57"/>
      <c r="D234" s="57"/>
      <c r="E234" s="57"/>
      <c r="F234" s="57"/>
      <c r="G234" s="57"/>
      <c r="H234" s="57"/>
      <c r="I234" s="57"/>
      <c r="J234" s="57"/>
      <c r="K234" s="57"/>
      <c r="L234" s="57"/>
    </row>
    <row r="235" spans="1:12" s="1" customFormat="1">
      <c r="A235" s="57"/>
      <c r="B235" s="57"/>
      <c r="C235" s="57"/>
      <c r="D235" s="57"/>
      <c r="E235" s="57"/>
      <c r="F235" s="57"/>
      <c r="G235" s="57"/>
      <c r="H235" s="57"/>
      <c r="I235" s="57"/>
      <c r="J235" s="57"/>
      <c r="K235" s="57"/>
      <c r="L235" s="57"/>
    </row>
    <row r="236" spans="1:12" s="1" customFormat="1">
      <c r="A236" s="57"/>
      <c r="B236" s="57"/>
      <c r="C236" s="57"/>
      <c r="D236" s="57"/>
      <c r="E236" s="57"/>
      <c r="F236" s="57"/>
      <c r="G236" s="57"/>
      <c r="H236" s="57"/>
      <c r="I236" s="57"/>
      <c r="J236" s="57"/>
      <c r="K236" s="57"/>
      <c r="L236" s="57"/>
    </row>
    <row r="237" spans="1:12" s="1" customFormat="1">
      <c r="A237" s="57"/>
      <c r="B237" s="57"/>
      <c r="C237" s="57"/>
      <c r="D237" s="57"/>
      <c r="E237" s="57"/>
      <c r="F237" s="57"/>
      <c r="G237" s="57"/>
      <c r="H237" s="57"/>
      <c r="I237" s="57"/>
      <c r="J237" s="57"/>
      <c r="K237" s="57"/>
      <c r="L237" s="57"/>
    </row>
    <row r="238" spans="1:12" s="1" customFormat="1">
      <c r="A238" s="57"/>
      <c r="B238" s="57"/>
      <c r="C238" s="57"/>
      <c r="D238" s="57"/>
      <c r="E238" s="57"/>
      <c r="F238" s="57"/>
      <c r="G238" s="57"/>
      <c r="H238" s="57"/>
      <c r="I238" s="57"/>
      <c r="J238" s="57"/>
      <c r="K238" s="57"/>
      <c r="L238" s="57"/>
    </row>
    <row r="239" spans="1:12" s="1" customFormat="1">
      <c r="A239" s="57"/>
      <c r="B239" s="57"/>
      <c r="C239" s="57"/>
      <c r="D239" s="57"/>
      <c r="E239" s="57"/>
      <c r="F239" s="57"/>
      <c r="G239" s="57"/>
      <c r="H239" s="57"/>
      <c r="I239" s="57"/>
      <c r="J239" s="57"/>
      <c r="K239" s="57"/>
      <c r="L239" s="57"/>
    </row>
    <row r="240" spans="1:12" s="1" customFormat="1">
      <c r="A240" s="57"/>
      <c r="B240" s="57"/>
      <c r="C240" s="57"/>
      <c r="D240" s="57"/>
      <c r="E240" s="57"/>
      <c r="F240" s="57"/>
      <c r="G240" s="57"/>
      <c r="H240" s="57"/>
      <c r="I240" s="57"/>
      <c r="J240" s="57"/>
      <c r="K240" s="57"/>
      <c r="L240" s="57"/>
    </row>
    <row r="241" spans="1:12" s="1" customFormat="1">
      <c r="A241" s="57"/>
      <c r="B241" s="57"/>
      <c r="C241" s="57"/>
      <c r="D241" s="57"/>
      <c r="E241" s="57"/>
      <c r="F241" s="57"/>
      <c r="G241" s="57"/>
      <c r="H241" s="57"/>
      <c r="I241" s="57"/>
      <c r="J241" s="57"/>
      <c r="K241" s="57"/>
      <c r="L241" s="57"/>
    </row>
    <row r="242" spans="1:12" s="1" customFormat="1">
      <c r="A242" s="57"/>
      <c r="B242" s="57"/>
      <c r="C242" s="57"/>
      <c r="D242" s="57"/>
      <c r="E242" s="57"/>
      <c r="F242" s="57"/>
      <c r="G242" s="57"/>
      <c r="H242" s="57"/>
      <c r="I242" s="57"/>
      <c r="J242" s="57"/>
      <c r="K242" s="57"/>
      <c r="L242" s="57"/>
    </row>
    <row r="243" spans="1:12" s="1" customFormat="1">
      <c r="A243" s="57"/>
      <c r="B243" s="57"/>
      <c r="C243" s="57"/>
      <c r="D243" s="57"/>
      <c r="E243" s="57"/>
      <c r="F243" s="57"/>
      <c r="G243" s="57"/>
      <c r="H243" s="57"/>
      <c r="I243" s="57"/>
      <c r="J243" s="57"/>
      <c r="K243" s="57"/>
      <c r="L243" s="57"/>
    </row>
    <row r="244" spans="1:12" s="1" customFormat="1">
      <c r="A244" s="57"/>
      <c r="B244" s="57"/>
      <c r="C244" s="57"/>
      <c r="D244" s="57"/>
      <c r="E244" s="57"/>
      <c r="F244" s="57"/>
      <c r="G244" s="57"/>
      <c r="H244" s="57"/>
      <c r="I244" s="57"/>
      <c r="J244" s="57"/>
      <c r="K244" s="57"/>
      <c r="L244" s="57"/>
    </row>
    <row r="245" spans="1:12" s="1" customFormat="1">
      <c r="A245" s="57"/>
      <c r="B245" s="57"/>
      <c r="C245" s="57"/>
      <c r="D245" s="57"/>
      <c r="E245" s="57"/>
      <c r="F245" s="57"/>
      <c r="G245" s="57"/>
      <c r="H245" s="57"/>
      <c r="I245" s="57"/>
      <c r="J245" s="57"/>
      <c r="K245" s="57"/>
      <c r="L245" s="57"/>
    </row>
    <row r="246" spans="1:12" s="1" customFormat="1">
      <c r="A246" s="57"/>
      <c r="B246" s="57"/>
      <c r="C246" s="57"/>
      <c r="D246" s="57"/>
      <c r="E246" s="57"/>
      <c r="F246" s="57"/>
      <c r="G246" s="57"/>
      <c r="H246" s="57"/>
      <c r="I246" s="57"/>
      <c r="J246" s="57"/>
      <c r="K246" s="57"/>
      <c r="L246" s="57"/>
    </row>
    <row r="247" spans="1:12" s="1" customFormat="1">
      <c r="A247" s="57"/>
      <c r="B247" s="57"/>
      <c r="C247" s="57"/>
      <c r="D247" s="57"/>
      <c r="E247" s="57"/>
      <c r="F247" s="57"/>
      <c r="G247" s="57"/>
      <c r="H247" s="57"/>
      <c r="I247" s="57"/>
      <c r="J247" s="57"/>
      <c r="K247" s="57"/>
      <c r="L247" s="57"/>
    </row>
    <row r="248" spans="1:12" s="1" customFormat="1">
      <c r="A248" s="57"/>
      <c r="B248" s="57"/>
      <c r="C248" s="57"/>
      <c r="D248" s="57"/>
      <c r="E248" s="57"/>
      <c r="F248" s="57"/>
      <c r="G248" s="57"/>
      <c r="H248" s="57"/>
      <c r="I248" s="57"/>
      <c r="J248" s="57"/>
      <c r="K248" s="57"/>
      <c r="L248" s="57"/>
    </row>
    <row r="249" spans="1:12" s="1" customFormat="1">
      <c r="A249" s="57"/>
      <c r="B249" s="57"/>
      <c r="C249" s="57"/>
      <c r="D249" s="57"/>
      <c r="E249" s="57"/>
      <c r="F249" s="57"/>
      <c r="G249" s="57"/>
      <c r="H249" s="57"/>
      <c r="I249" s="57"/>
      <c r="J249" s="57"/>
      <c r="K249" s="57"/>
      <c r="L249" s="57"/>
    </row>
    <row r="250" spans="1:12" s="1" customFormat="1">
      <c r="A250" s="57"/>
      <c r="B250" s="57"/>
      <c r="C250" s="57"/>
      <c r="D250" s="57"/>
      <c r="E250" s="57"/>
      <c r="F250" s="57"/>
      <c r="G250" s="57"/>
      <c r="H250" s="57"/>
      <c r="I250" s="57"/>
      <c r="J250" s="57"/>
      <c r="K250" s="57"/>
      <c r="L250" s="57"/>
    </row>
    <row r="251" spans="1:12" s="1" customFormat="1">
      <c r="A251" s="57"/>
      <c r="B251" s="57"/>
      <c r="C251" s="57"/>
      <c r="D251" s="57"/>
      <c r="E251" s="57"/>
      <c r="F251" s="57"/>
      <c r="G251" s="57"/>
      <c r="H251" s="57"/>
      <c r="I251" s="57"/>
      <c r="J251" s="57"/>
      <c r="K251" s="57"/>
      <c r="L251" s="57"/>
    </row>
    <row r="252" spans="1:12" s="1" customFormat="1">
      <c r="A252" s="57"/>
      <c r="B252" s="57"/>
      <c r="C252" s="57"/>
      <c r="D252" s="57"/>
      <c r="E252" s="57"/>
      <c r="F252" s="57"/>
      <c r="G252" s="57"/>
      <c r="H252" s="57"/>
      <c r="I252" s="57"/>
      <c r="J252" s="57"/>
      <c r="K252" s="57"/>
      <c r="L252" s="57"/>
    </row>
    <row r="253" spans="1:12" s="1" customFormat="1">
      <c r="A253" s="57"/>
      <c r="B253" s="57"/>
      <c r="C253" s="57"/>
      <c r="D253" s="57"/>
      <c r="E253" s="57"/>
      <c r="F253" s="57"/>
      <c r="G253" s="57"/>
      <c r="H253" s="57"/>
      <c r="I253" s="57"/>
      <c r="J253" s="57"/>
      <c r="K253" s="57"/>
      <c r="L253" s="57"/>
    </row>
    <row r="254" spans="1:12" s="1" customFormat="1">
      <c r="A254" s="57"/>
      <c r="B254" s="57"/>
      <c r="C254" s="57"/>
      <c r="D254" s="57"/>
      <c r="E254" s="57"/>
      <c r="F254" s="57"/>
      <c r="G254" s="57"/>
      <c r="H254" s="57"/>
      <c r="I254" s="57"/>
      <c r="J254" s="57"/>
      <c r="K254" s="57"/>
      <c r="L254" s="57"/>
    </row>
    <row r="255" spans="1:12" s="1" customFormat="1">
      <c r="A255" s="57"/>
      <c r="B255" s="57"/>
      <c r="C255" s="57"/>
      <c r="D255" s="57"/>
      <c r="E255" s="57"/>
      <c r="F255" s="57"/>
      <c r="G255" s="57"/>
      <c r="H255" s="57"/>
      <c r="I255" s="57"/>
      <c r="J255" s="57"/>
      <c r="K255" s="57"/>
      <c r="L255" s="57"/>
    </row>
    <row r="256" spans="1:12" s="1" customFormat="1">
      <c r="A256" s="57"/>
      <c r="B256" s="57"/>
      <c r="C256" s="57"/>
      <c r="D256" s="57"/>
      <c r="E256" s="57"/>
      <c r="F256" s="57"/>
      <c r="G256" s="57"/>
      <c r="H256" s="57"/>
      <c r="I256" s="57"/>
      <c r="J256" s="57"/>
      <c r="K256" s="57"/>
      <c r="L256" s="57"/>
    </row>
    <row r="257" spans="1:12" s="1" customFormat="1">
      <c r="A257" s="57"/>
      <c r="B257" s="57"/>
      <c r="C257" s="57"/>
      <c r="D257" s="57"/>
      <c r="E257" s="57"/>
      <c r="F257" s="57"/>
      <c r="G257" s="57"/>
      <c r="H257" s="57"/>
      <c r="I257" s="57"/>
      <c r="J257" s="57"/>
      <c r="K257" s="57"/>
      <c r="L257" s="57"/>
    </row>
    <row r="258" spans="1:12" s="1" customFormat="1">
      <c r="A258" s="57"/>
      <c r="B258" s="57"/>
      <c r="C258" s="57"/>
      <c r="D258" s="57"/>
      <c r="E258" s="57"/>
      <c r="F258" s="57"/>
      <c r="G258" s="57"/>
      <c r="H258" s="57"/>
      <c r="I258" s="57"/>
      <c r="J258" s="57"/>
      <c r="K258" s="57"/>
      <c r="L258" s="57"/>
    </row>
    <row r="259" spans="1:12" s="1" customFormat="1">
      <c r="A259" s="57"/>
      <c r="B259" s="57"/>
      <c r="C259" s="57"/>
      <c r="D259" s="57"/>
      <c r="E259" s="57"/>
      <c r="F259" s="57"/>
      <c r="G259" s="57"/>
      <c r="H259" s="57"/>
      <c r="I259" s="57"/>
      <c r="J259" s="57"/>
      <c r="K259" s="57"/>
      <c r="L259" s="57"/>
    </row>
    <row r="260" spans="1:12" s="1" customFormat="1">
      <c r="A260" s="57"/>
      <c r="B260" s="57"/>
      <c r="C260" s="57"/>
      <c r="D260" s="57"/>
      <c r="E260" s="57"/>
      <c r="F260" s="57"/>
      <c r="G260" s="57"/>
      <c r="H260" s="57"/>
      <c r="I260" s="57"/>
      <c r="J260" s="57"/>
      <c r="K260" s="57"/>
      <c r="L260" s="57"/>
    </row>
    <row r="261" spans="1:12" s="1" customFormat="1">
      <c r="A261" s="57"/>
      <c r="B261" s="57"/>
      <c r="C261" s="57"/>
      <c r="D261" s="57"/>
      <c r="E261" s="57"/>
      <c r="F261" s="57"/>
      <c r="G261" s="57"/>
      <c r="H261" s="57"/>
      <c r="I261" s="57"/>
      <c r="J261" s="57"/>
      <c r="K261" s="57"/>
      <c r="L261" s="57"/>
    </row>
    <row r="262" spans="1:12" s="1" customFormat="1">
      <c r="A262" s="57"/>
      <c r="B262" s="57"/>
      <c r="C262" s="57"/>
      <c r="D262" s="57"/>
      <c r="E262" s="57"/>
      <c r="F262" s="57"/>
      <c r="G262" s="57"/>
      <c r="H262" s="57"/>
      <c r="I262" s="57"/>
      <c r="J262" s="57"/>
      <c r="K262" s="57"/>
      <c r="L262" s="57"/>
    </row>
    <row r="263" spans="1:12" s="1" customFormat="1">
      <c r="A263" s="57"/>
      <c r="B263" s="57"/>
      <c r="C263" s="57"/>
      <c r="D263" s="57"/>
      <c r="E263" s="57"/>
      <c r="F263" s="57"/>
      <c r="G263" s="57"/>
      <c r="H263" s="57"/>
      <c r="I263" s="57"/>
      <c r="J263" s="57"/>
      <c r="K263" s="57"/>
      <c r="L263" s="57"/>
    </row>
    <row r="264" spans="1:12" s="1" customFormat="1">
      <c r="A264" s="57"/>
      <c r="B264" s="57"/>
      <c r="C264" s="57"/>
      <c r="D264" s="57"/>
      <c r="E264" s="57"/>
      <c r="F264" s="57"/>
      <c r="G264" s="57"/>
      <c r="H264" s="57"/>
      <c r="I264" s="57"/>
      <c r="J264" s="57"/>
      <c r="K264" s="57"/>
      <c r="L264" s="57"/>
    </row>
    <row r="265" spans="1:12" s="1" customFormat="1">
      <c r="A265" s="57"/>
      <c r="B265" s="57"/>
      <c r="C265" s="57"/>
      <c r="D265" s="57"/>
      <c r="E265" s="57"/>
      <c r="F265" s="57"/>
      <c r="G265" s="57"/>
      <c r="H265" s="57"/>
      <c r="I265" s="57"/>
      <c r="J265" s="57"/>
      <c r="K265" s="57"/>
      <c r="L265" s="57"/>
    </row>
    <row r="266" spans="1:12" s="1" customFormat="1">
      <c r="A266" s="57"/>
      <c r="B266" s="57"/>
      <c r="C266" s="57"/>
      <c r="D266" s="57"/>
      <c r="E266" s="57"/>
      <c r="F266" s="57"/>
      <c r="G266" s="57"/>
      <c r="H266" s="57"/>
      <c r="I266" s="57"/>
      <c r="J266" s="57"/>
      <c r="K266" s="57"/>
      <c r="L266" s="57"/>
    </row>
    <row r="267" spans="1:12" s="1" customFormat="1">
      <c r="A267" s="57"/>
      <c r="B267" s="57"/>
      <c r="C267" s="57"/>
      <c r="D267" s="57"/>
      <c r="E267" s="57"/>
      <c r="F267" s="57"/>
      <c r="G267" s="57"/>
      <c r="H267" s="57"/>
      <c r="I267" s="57"/>
      <c r="J267" s="57"/>
      <c r="K267" s="57"/>
      <c r="L267" s="57"/>
    </row>
    <row r="268" spans="1:12" s="1" customFormat="1">
      <c r="A268" s="57"/>
      <c r="B268" s="57"/>
      <c r="C268" s="57"/>
      <c r="D268" s="57"/>
      <c r="E268" s="57"/>
      <c r="F268" s="57"/>
      <c r="G268" s="57"/>
      <c r="H268" s="57"/>
      <c r="I268" s="57"/>
      <c r="J268" s="57"/>
      <c r="K268" s="57"/>
      <c r="L268" s="57"/>
    </row>
    <row r="269" spans="1:12" s="1" customFormat="1">
      <c r="A269" s="57"/>
      <c r="B269" s="57"/>
      <c r="C269" s="57"/>
      <c r="D269" s="57"/>
      <c r="E269" s="57"/>
      <c r="F269" s="57"/>
      <c r="G269" s="57"/>
      <c r="H269" s="57"/>
      <c r="I269" s="57"/>
      <c r="J269" s="57"/>
      <c r="K269" s="57"/>
      <c r="L269" s="57"/>
    </row>
    <row r="270" spans="1:12" s="1" customFormat="1">
      <c r="A270" s="57"/>
      <c r="B270" s="57"/>
      <c r="C270" s="57"/>
      <c r="D270" s="57"/>
      <c r="E270" s="57"/>
      <c r="F270" s="57"/>
      <c r="G270" s="57"/>
      <c r="H270" s="57"/>
      <c r="I270" s="57"/>
      <c r="J270" s="57"/>
      <c r="K270" s="57"/>
      <c r="L270" s="57"/>
    </row>
    <row r="271" spans="1:12" s="1" customFormat="1">
      <c r="A271" s="57"/>
      <c r="B271" s="57"/>
      <c r="C271" s="57"/>
      <c r="D271" s="57"/>
      <c r="E271" s="57"/>
      <c r="F271" s="57"/>
      <c r="G271" s="57"/>
      <c r="H271" s="57"/>
      <c r="I271" s="57"/>
      <c r="J271" s="57"/>
      <c r="K271" s="57"/>
      <c r="L271" s="57"/>
    </row>
    <row r="272" spans="1:12" s="1" customFormat="1">
      <c r="A272" s="57"/>
      <c r="B272" s="57"/>
      <c r="C272" s="57"/>
      <c r="D272" s="57"/>
      <c r="E272" s="57"/>
      <c r="F272" s="57"/>
      <c r="G272" s="57"/>
      <c r="H272" s="57"/>
      <c r="I272" s="57"/>
      <c r="J272" s="57"/>
      <c r="K272" s="57"/>
      <c r="L272" s="57"/>
    </row>
    <row r="273" spans="1:12" s="1" customFormat="1">
      <c r="A273" s="57"/>
      <c r="B273" s="57"/>
      <c r="C273" s="57"/>
      <c r="D273" s="57"/>
      <c r="E273" s="57"/>
      <c r="F273" s="57"/>
      <c r="G273" s="57"/>
      <c r="H273" s="57"/>
      <c r="I273" s="57"/>
      <c r="J273" s="57"/>
      <c r="K273" s="57"/>
      <c r="L273" s="57"/>
    </row>
    <row r="274" spans="1:12" s="1" customFormat="1">
      <c r="A274" s="57"/>
      <c r="B274" s="57"/>
      <c r="C274" s="57"/>
      <c r="D274" s="57"/>
      <c r="E274" s="57"/>
      <c r="F274" s="57"/>
      <c r="G274" s="57"/>
      <c r="H274" s="57"/>
      <c r="I274" s="57"/>
      <c r="J274" s="57"/>
      <c r="K274" s="57"/>
      <c r="L274" s="57"/>
    </row>
    <row r="275" spans="1:12" s="1" customFormat="1">
      <c r="A275" s="57"/>
      <c r="B275" s="57"/>
      <c r="C275" s="57"/>
      <c r="D275" s="57"/>
      <c r="E275" s="57"/>
      <c r="F275" s="57"/>
      <c r="G275" s="57"/>
      <c r="H275" s="57"/>
      <c r="I275" s="57"/>
      <c r="J275" s="57"/>
      <c r="K275" s="57"/>
      <c r="L275" s="57"/>
    </row>
    <row r="276" spans="1:12" s="1" customFormat="1">
      <c r="A276" s="57"/>
      <c r="B276" s="57"/>
      <c r="C276" s="57"/>
      <c r="D276" s="57"/>
      <c r="E276" s="57"/>
      <c r="F276" s="57"/>
      <c r="G276" s="57"/>
      <c r="H276" s="57"/>
      <c r="I276" s="57"/>
      <c r="J276" s="57"/>
      <c r="K276" s="57"/>
      <c r="L276" s="57"/>
    </row>
    <row r="277" spans="1:12" s="1" customFormat="1">
      <c r="A277" s="57"/>
      <c r="B277" s="57"/>
      <c r="C277" s="57"/>
      <c r="D277" s="57"/>
      <c r="E277" s="57"/>
      <c r="F277" s="57"/>
      <c r="G277" s="57"/>
      <c r="H277" s="57"/>
      <c r="I277" s="57"/>
      <c r="J277" s="57"/>
      <c r="K277" s="57"/>
      <c r="L277" s="57"/>
    </row>
    <row r="278" spans="1:12" s="1" customFormat="1">
      <c r="A278" s="57"/>
      <c r="B278" s="57"/>
      <c r="C278" s="57"/>
      <c r="D278" s="57"/>
      <c r="E278" s="57"/>
      <c r="F278" s="57"/>
      <c r="G278" s="57"/>
      <c r="H278" s="57"/>
      <c r="I278" s="57"/>
      <c r="J278" s="57"/>
      <c r="K278" s="57"/>
      <c r="L278" s="57"/>
    </row>
    <row r="279" spans="1:12" s="1" customFormat="1">
      <c r="A279" s="57"/>
      <c r="B279" s="57"/>
      <c r="C279" s="57"/>
      <c r="D279" s="57"/>
      <c r="E279" s="57"/>
      <c r="F279" s="57"/>
      <c r="G279" s="57"/>
      <c r="H279" s="57"/>
      <c r="I279" s="57"/>
      <c r="J279" s="57"/>
      <c r="K279" s="57"/>
      <c r="L279" s="57"/>
    </row>
    <row r="280" spans="1:12" s="1" customFormat="1">
      <c r="A280" s="57"/>
      <c r="B280" s="57"/>
      <c r="C280" s="57"/>
      <c r="D280" s="57"/>
      <c r="E280" s="57"/>
      <c r="F280" s="57"/>
      <c r="G280" s="57"/>
      <c r="H280" s="57"/>
      <c r="I280" s="57"/>
      <c r="J280" s="57"/>
      <c r="K280" s="57"/>
      <c r="L280" s="57"/>
    </row>
    <row r="281" spans="1:12" s="1" customFormat="1">
      <c r="A281" s="57"/>
      <c r="B281" s="57"/>
      <c r="C281" s="57"/>
      <c r="D281" s="57"/>
      <c r="E281" s="57"/>
      <c r="F281" s="57"/>
      <c r="G281" s="57"/>
      <c r="H281" s="57"/>
      <c r="I281" s="57"/>
      <c r="J281" s="57"/>
      <c r="K281" s="57"/>
      <c r="L281" s="57"/>
    </row>
    <row r="282" spans="1:12" s="1" customFormat="1">
      <c r="A282" s="57"/>
      <c r="B282" s="57"/>
      <c r="C282" s="57"/>
      <c r="D282" s="57"/>
      <c r="E282" s="57"/>
      <c r="F282" s="57"/>
      <c r="G282" s="57"/>
      <c r="H282" s="57"/>
      <c r="I282" s="57"/>
      <c r="J282" s="57"/>
      <c r="K282" s="57"/>
      <c r="L282" s="57"/>
    </row>
    <row r="283" spans="1:12" s="1" customFormat="1">
      <c r="A283" s="57"/>
      <c r="B283" s="57"/>
      <c r="C283" s="57"/>
      <c r="D283" s="57"/>
      <c r="E283" s="57"/>
      <c r="F283" s="57"/>
      <c r="G283" s="57"/>
      <c r="H283" s="57"/>
      <c r="I283" s="57"/>
      <c r="J283" s="57"/>
      <c r="K283" s="57"/>
      <c r="L283" s="57"/>
    </row>
    <row r="284" spans="1:12" s="1" customFormat="1">
      <c r="A284" s="57"/>
      <c r="B284" s="57"/>
      <c r="C284" s="57"/>
      <c r="D284" s="57"/>
      <c r="E284" s="57"/>
      <c r="F284" s="57"/>
      <c r="G284" s="57"/>
      <c r="H284" s="57"/>
      <c r="I284" s="57"/>
      <c r="J284" s="57"/>
      <c r="K284" s="57"/>
      <c r="L284" s="57"/>
    </row>
    <row r="285" spans="1:12" s="1" customFormat="1">
      <c r="A285" s="57"/>
      <c r="B285" s="57"/>
      <c r="C285" s="57"/>
      <c r="D285" s="57"/>
      <c r="E285" s="57"/>
      <c r="F285" s="57"/>
      <c r="G285" s="57"/>
      <c r="H285" s="57"/>
      <c r="I285" s="57"/>
      <c r="J285" s="57"/>
      <c r="K285" s="57"/>
      <c r="L285" s="57"/>
    </row>
    <row r="286" spans="1:12" s="1" customFormat="1">
      <c r="A286" s="57"/>
      <c r="B286" s="57"/>
      <c r="C286" s="57"/>
      <c r="D286" s="57"/>
      <c r="E286" s="57"/>
      <c r="F286" s="57"/>
      <c r="G286" s="57"/>
      <c r="H286" s="57"/>
      <c r="I286" s="57"/>
      <c r="J286" s="57"/>
      <c r="K286" s="57"/>
      <c r="L286" s="57"/>
    </row>
    <row r="287" spans="1:12" s="1" customFormat="1">
      <c r="A287" s="57"/>
      <c r="B287" s="57"/>
      <c r="C287" s="57"/>
      <c r="D287" s="57"/>
      <c r="E287" s="57"/>
      <c r="F287" s="57"/>
      <c r="G287" s="57"/>
      <c r="H287" s="57"/>
      <c r="I287" s="57"/>
      <c r="J287" s="57"/>
      <c r="K287" s="57"/>
      <c r="L287" s="57"/>
    </row>
    <row r="288" spans="1:12" s="1" customFormat="1">
      <c r="A288" s="57"/>
      <c r="B288" s="57"/>
      <c r="C288" s="57"/>
      <c r="D288" s="57"/>
      <c r="E288" s="57"/>
      <c r="F288" s="57"/>
      <c r="G288" s="57"/>
      <c r="H288" s="57"/>
      <c r="I288" s="57"/>
      <c r="J288" s="57"/>
      <c r="K288" s="57"/>
      <c r="L288" s="57"/>
    </row>
    <row r="289" spans="1:12" s="1" customFormat="1">
      <c r="A289" s="57"/>
      <c r="B289" s="57"/>
      <c r="C289" s="57"/>
      <c r="D289" s="57"/>
      <c r="E289" s="57"/>
      <c r="F289" s="57"/>
      <c r="G289" s="57"/>
      <c r="H289" s="57"/>
      <c r="I289" s="57"/>
      <c r="J289" s="57"/>
      <c r="K289" s="57"/>
      <c r="L289" s="57"/>
    </row>
    <row r="290" spans="1:12" s="1" customFormat="1">
      <c r="A290" s="57"/>
      <c r="B290" s="57"/>
      <c r="C290" s="57"/>
      <c r="D290" s="57"/>
      <c r="E290" s="57"/>
      <c r="F290" s="57"/>
      <c r="G290" s="57"/>
      <c r="H290" s="57"/>
      <c r="I290" s="57"/>
      <c r="J290" s="57"/>
      <c r="K290" s="57"/>
      <c r="L290" s="57"/>
    </row>
    <row r="291" spans="1:12" s="1" customFormat="1">
      <c r="A291" s="57"/>
      <c r="B291" s="57"/>
      <c r="C291" s="57"/>
      <c r="D291" s="57"/>
      <c r="E291" s="57"/>
      <c r="F291" s="57"/>
      <c r="G291" s="57"/>
      <c r="H291" s="57"/>
      <c r="I291" s="57"/>
      <c r="J291" s="57"/>
      <c r="K291" s="57"/>
      <c r="L291" s="57"/>
    </row>
    <row r="292" spans="1:12" s="1" customFormat="1">
      <c r="A292" s="57"/>
      <c r="B292" s="57"/>
      <c r="C292" s="57"/>
      <c r="D292" s="57"/>
      <c r="E292" s="57"/>
      <c r="F292" s="57"/>
      <c r="G292" s="57"/>
      <c r="H292" s="57"/>
      <c r="I292" s="57"/>
      <c r="J292" s="57"/>
      <c r="K292" s="57"/>
      <c r="L292" s="57"/>
    </row>
    <row r="293" spans="1:12" s="1" customFormat="1">
      <c r="A293" s="57"/>
      <c r="B293" s="57"/>
      <c r="C293" s="57"/>
      <c r="D293" s="57"/>
      <c r="E293" s="57"/>
      <c r="F293" s="57"/>
      <c r="G293" s="57"/>
      <c r="H293" s="57"/>
      <c r="I293" s="57"/>
      <c r="J293" s="57"/>
      <c r="K293" s="57"/>
      <c r="L293" s="57"/>
    </row>
    <row r="294" spans="1:12" s="1" customFormat="1">
      <c r="A294" s="57"/>
      <c r="B294" s="57"/>
      <c r="C294" s="57"/>
      <c r="D294" s="57"/>
      <c r="E294" s="57"/>
      <c r="F294" s="57"/>
      <c r="G294" s="57"/>
      <c r="H294" s="57"/>
      <c r="I294" s="57"/>
      <c r="J294" s="57"/>
      <c r="K294" s="57"/>
      <c r="L294" s="57"/>
    </row>
    <row r="295" spans="1:12" s="1" customFormat="1">
      <c r="A295" s="57"/>
      <c r="B295" s="57"/>
      <c r="C295" s="57"/>
      <c r="D295" s="57"/>
      <c r="E295" s="57"/>
      <c r="F295" s="57"/>
      <c r="G295" s="57"/>
      <c r="H295" s="57"/>
      <c r="I295" s="57"/>
      <c r="J295" s="57"/>
      <c r="K295" s="57"/>
      <c r="L295" s="57"/>
    </row>
    <row r="296" spans="1:12" s="1" customFormat="1">
      <c r="A296" s="57"/>
      <c r="B296" s="57"/>
      <c r="C296" s="57"/>
      <c r="D296" s="57"/>
      <c r="E296" s="57"/>
      <c r="F296" s="57"/>
      <c r="G296" s="57"/>
      <c r="H296" s="57"/>
      <c r="I296" s="57"/>
      <c r="J296" s="57"/>
      <c r="K296" s="57"/>
      <c r="L296" s="57"/>
    </row>
    <row r="297" spans="1:12" s="1" customFormat="1">
      <c r="A297" s="57"/>
      <c r="B297" s="57"/>
      <c r="C297" s="57"/>
      <c r="D297" s="57"/>
      <c r="E297" s="57"/>
      <c r="F297" s="57"/>
      <c r="G297" s="57"/>
      <c r="H297" s="57"/>
      <c r="I297" s="57"/>
      <c r="J297" s="57"/>
      <c r="K297" s="57"/>
      <c r="L297" s="57"/>
    </row>
    <row r="298" spans="1:12" s="1" customFormat="1">
      <c r="A298" s="57"/>
      <c r="B298" s="57"/>
      <c r="C298" s="57"/>
      <c r="D298" s="57"/>
      <c r="E298" s="57"/>
      <c r="F298" s="57"/>
      <c r="G298" s="57"/>
      <c r="H298" s="57"/>
      <c r="I298" s="57"/>
      <c r="J298" s="57"/>
      <c r="K298" s="57"/>
      <c r="L298" s="57"/>
    </row>
    <row r="299" spans="1:12" s="1" customFormat="1">
      <c r="A299" s="57"/>
      <c r="B299" s="57"/>
      <c r="C299" s="57"/>
      <c r="D299" s="57"/>
      <c r="E299" s="57"/>
      <c r="F299" s="57"/>
      <c r="G299" s="57"/>
      <c r="H299" s="57"/>
      <c r="I299" s="57"/>
      <c r="J299" s="57"/>
      <c r="K299" s="57"/>
      <c r="L299" s="57"/>
    </row>
    <row r="300" spans="1:12" s="1" customFormat="1">
      <c r="A300" s="57"/>
      <c r="B300" s="57"/>
      <c r="C300" s="57"/>
      <c r="D300" s="57"/>
      <c r="E300" s="57"/>
      <c r="F300" s="57"/>
      <c r="G300" s="57"/>
      <c r="H300" s="57"/>
      <c r="I300" s="57"/>
      <c r="J300" s="57"/>
      <c r="K300" s="57"/>
      <c r="L300" s="57"/>
    </row>
    <row r="301" spans="1:12" s="1" customFormat="1">
      <c r="A301" s="57"/>
      <c r="B301" s="57"/>
      <c r="C301" s="57"/>
      <c r="D301" s="57"/>
      <c r="E301" s="57"/>
      <c r="F301" s="57"/>
      <c r="G301" s="57"/>
      <c r="H301" s="57"/>
      <c r="I301" s="57"/>
      <c r="J301" s="57"/>
      <c r="K301" s="57"/>
      <c r="L301" s="57"/>
    </row>
    <row r="302" spans="1:12" s="1" customFormat="1">
      <c r="A302" s="57"/>
      <c r="B302" s="57"/>
      <c r="C302" s="57"/>
      <c r="D302" s="57"/>
      <c r="E302" s="57"/>
      <c r="F302" s="57"/>
      <c r="G302" s="57"/>
      <c r="H302" s="57"/>
      <c r="I302" s="57"/>
      <c r="J302" s="57"/>
      <c r="K302" s="57"/>
      <c r="L302" s="57"/>
    </row>
    <row r="303" spans="1:12" s="1" customFormat="1">
      <c r="A303" s="57"/>
      <c r="B303" s="57"/>
      <c r="C303" s="57"/>
      <c r="D303" s="57"/>
      <c r="E303" s="57"/>
      <c r="F303" s="57"/>
      <c r="G303" s="57"/>
      <c r="H303" s="57"/>
      <c r="I303" s="57"/>
      <c r="J303" s="57"/>
      <c r="K303" s="57"/>
      <c r="L303" s="57"/>
    </row>
    <row r="304" spans="1:12" s="1" customFormat="1">
      <c r="A304" s="57"/>
      <c r="B304" s="57"/>
      <c r="C304" s="57"/>
      <c r="D304" s="57"/>
      <c r="E304" s="57"/>
      <c r="F304" s="57"/>
      <c r="G304" s="57"/>
      <c r="H304" s="57"/>
      <c r="I304" s="57"/>
      <c r="J304" s="57"/>
      <c r="K304" s="57"/>
      <c r="L304" s="57"/>
    </row>
    <row r="305" spans="1:12" s="1" customFormat="1">
      <c r="A305" s="57"/>
      <c r="B305" s="57"/>
      <c r="C305" s="57"/>
      <c r="D305" s="57"/>
      <c r="E305" s="57"/>
      <c r="F305" s="57"/>
      <c r="G305" s="57"/>
      <c r="H305" s="57"/>
      <c r="I305" s="57"/>
      <c r="J305" s="57"/>
      <c r="K305" s="57"/>
      <c r="L305" s="57"/>
    </row>
    <row r="306" spans="1:12" s="1" customFormat="1">
      <c r="A306" s="57"/>
      <c r="B306" s="57"/>
      <c r="C306" s="57"/>
      <c r="D306" s="57"/>
      <c r="E306" s="57"/>
      <c r="F306" s="57"/>
      <c r="G306" s="57"/>
      <c r="H306" s="57"/>
      <c r="I306" s="57"/>
      <c r="J306" s="57"/>
      <c r="K306" s="57"/>
      <c r="L306" s="57"/>
    </row>
    <row r="307" spans="1:12" s="1" customFormat="1">
      <c r="A307" s="57"/>
      <c r="B307" s="57"/>
      <c r="C307" s="57"/>
      <c r="D307" s="57"/>
      <c r="E307" s="57"/>
      <c r="F307" s="57"/>
      <c r="G307" s="57"/>
      <c r="H307" s="57"/>
      <c r="I307" s="57"/>
      <c r="J307" s="57"/>
      <c r="K307" s="57"/>
      <c r="L307" s="57"/>
    </row>
    <row r="308" spans="1:12" s="1" customFormat="1">
      <c r="A308" s="57"/>
      <c r="B308" s="57"/>
      <c r="C308" s="57"/>
      <c r="D308" s="57"/>
      <c r="E308" s="57"/>
      <c r="F308" s="57"/>
      <c r="G308" s="57"/>
      <c r="H308" s="57"/>
      <c r="I308" s="57"/>
      <c r="J308" s="57"/>
      <c r="K308" s="57"/>
      <c r="L308" s="57"/>
    </row>
    <row r="309" spans="1:12" s="1" customFormat="1">
      <c r="A309" s="57"/>
      <c r="B309" s="57"/>
      <c r="C309" s="57"/>
      <c r="D309" s="57"/>
      <c r="E309" s="57"/>
      <c r="F309" s="57"/>
      <c r="G309" s="57"/>
      <c r="H309" s="57"/>
      <c r="I309" s="57"/>
      <c r="J309" s="57"/>
      <c r="K309" s="57"/>
      <c r="L309" s="57"/>
    </row>
    <row r="310" spans="1:12" s="1" customFormat="1">
      <c r="A310" s="57"/>
      <c r="B310" s="57"/>
      <c r="C310" s="57"/>
      <c r="D310" s="57"/>
      <c r="E310" s="57"/>
      <c r="F310" s="57"/>
      <c r="G310" s="57"/>
      <c r="H310" s="57"/>
      <c r="I310" s="57"/>
      <c r="J310" s="57"/>
      <c r="K310" s="57"/>
      <c r="L310" s="57"/>
    </row>
    <row r="311" spans="1:12" s="1" customFormat="1">
      <c r="A311" s="57"/>
      <c r="B311" s="57"/>
      <c r="C311" s="57"/>
      <c r="D311" s="57"/>
      <c r="E311" s="57"/>
      <c r="F311" s="57"/>
      <c r="G311" s="57"/>
      <c r="H311" s="57"/>
      <c r="I311" s="57"/>
      <c r="J311" s="57"/>
      <c r="K311" s="57"/>
      <c r="L311" s="57"/>
    </row>
    <row r="312" spans="1:12" s="1" customFormat="1">
      <c r="A312" s="57"/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</row>
    <row r="313" spans="1:12" s="1" customFormat="1">
      <c r="A313" s="57"/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</row>
    <row r="314" spans="1:12" s="1" customFormat="1">
      <c r="A314" s="57"/>
      <c r="B314" s="57"/>
      <c r="C314" s="57"/>
      <c r="D314" s="57"/>
      <c r="E314" s="57"/>
      <c r="F314" s="57"/>
      <c r="G314" s="57"/>
      <c r="H314" s="57"/>
      <c r="I314" s="57"/>
      <c r="J314" s="57"/>
      <c r="K314" s="57"/>
      <c r="L314" s="57"/>
    </row>
    <row r="315" spans="1:12" s="1" customFormat="1">
      <c r="A315" s="57"/>
      <c r="B315" s="57"/>
      <c r="C315" s="57"/>
      <c r="D315" s="57"/>
      <c r="E315" s="57"/>
      <c r="F315" s="57"/>
      <c r="G315" s="57"/>
      <c r="H315" s="57"/>
      <c r="I315" s="57"/>
      <c r="J315" s="57"/>
      <c r="K315" s="57"/>
      <c r="L315" s="57"/>
    </row>
    <row r="316" spans="1:12" s="1" customFormat="1">
      <c r="A316" s="57"/>
      <c r="B316" s="57"/>
      <c r="C316" s="57"/>
      <c r="D316" s="57"/>
      <c r="E316" s="57"/>
      <c r="F316" s="57"/>
      <c r="G316" s="57"/>
      <c r="H316" s="57"/>
      <c r="I316" s="57"/>
      <c r="J316" s="57"/>
      <c r="K316" s="57"/>
      <c r="L316" s="57"/>
    </row>
    <row r="317" spans="1:12" s="1" customFormat="1">
      <c r="A317" s="57"/>
      <c r="B317" s="57"/>
      <c r="C317" s="57"/>
      <c r="D317" s="57"/>
      <c r="E317" s="57"/>
      <c r="F317" s="57"/>
      <c r="G317" s="57"/>
      <c r="H317" s="57"/>
      <c r="I317" s="57"/>
      <c r="J317" s="57"/>
      <c r="K317" s="57"/>
      <c r="L317" s="57"/>
    </row>
    <row r="318" spans="1:12" s="1" customFormat="1">
      <c r="A318" s="57"/>
      <c r="B318" s="57"/>
      <c r="C318" s="57"/>
      <c r="D318" s="57"/>
      <c r="E318" s="57"/>
      <c r="F318" s="57"/>
      <c r="G318" s="57"/>
      <c r="H318" s="57"/>
      <c r="I318" s="57"/>
      <c r="J318" s="57"/>
      <c r="K318" s="57"/>
      <c r="L318" s="57"/>
    </row>
    <row r="319" spans="1:12" s="1" customFormat="1">
      <c r="A319" s="57"/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</row>
    <row r="320" spans="1:12" s="1" customFormat="1">
      <c r="A320" s="57"/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7"/>
    </row>
    <row r="321" spans="1:12" s="1" customFormat="1">
      <c r="A321" s="57"/>
      <c r="B321" s="57"/>
      <c r="C321" s="57"/>
      <c r="D321" s="57"/>
      <c r="E321" s="57"/>
      <c r="F321" s="57"/>
      <c r="G321" s="57"/>
      <c r="H321" s="57"/>
      <c r="I321" s="57"/>
      <c r="J321" s="57"/>
      <c r="K321" s="57"/>
      <c r="L321" s="57"/>
    </row>
    <row r="322" spans="1:12" s="1" customFormat="1">
      <c r="A322" s="57"/>
      <c r="B322" s="57"/>
      <c r="C322" s="57"/>
      <c r="D322" s="57"/>
      <c r="E322" s="57"/>
      <c r="F322" s="57"/>
      <c r="G322" s="57"/>
      <c r="H322" s="57"/>
      <c r="I322" s="57"/>
      <c r="J322" s="57"/>
      <c r="K322" s="57"/>
      <c r="L322" s="57"/>
    </row>
    <row r="323" spans="1:12" s="1" customFormat="1">
      <c r="A323" s="57"/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</row>
    <row r="324" spans="1:12" s="1" customFormat="1">
      <c r="A324" s="57"/>
      <c r="B324" s="57"/>
      <c r="C324" s="57"/>
      <c r="D324" s="57"/>
      <c r="E324" s="57"/>
      <c r="F324" s="57"/>
      <c r="G324" s="57"/>
      <c r="H324" s="57"/>
      <c r="I324" s="57"/>
      <c r="J324" s="57"/>
      <c r="K324" s="57"/>
      <c r="L324" s="57"/>
    </row>
    <row r="325" spans="1:12" s="1" customFormat="1">
      <c r="A325" s="57"/>
      <c r="B325" s="57"/>
      <c r="C325" s="57"/>
      <c r="D325" s="57"/>
      <c r="E325" s="57"/>
      <c r="F325" s="57"/>
      <c r="G325" s="57"/>
      <c r="H325" s="57"/>
      <c r="I325" s="57"/>
      <c r="J325" s="57"/>
      <c r="K325" s="57"/>
      <c r="L325" s="57"/>
    </row>
    <row r="326" spans="1:12" s="1" customFormat="1">
      <c r="A326" s="57"/>
      <c r="B326" s="57"/>
      <c r="C326" s="57"/>
      <c r="D326" s="57"/>
      <c r="E326" s="57"/>
      <c r="F326" s="57"/>
      <c r="G326" s="57"/>
      <c r="H326" s="57"/>
      <c r="I326" s="57"/>
      <c r="J326" s="57"/>
      <c r="K326" s="57"/>
      <c r="L326" s="57"/>
    </row>
    <row r="327" spans="1:12" s="1" customFormat="1">
      <c r="A327" s="57"/>
      <c r="B327" s="57"/>
      <c r="C327" s="57"/>
      <c r="D327" s="57"/>
      <c r="E327" s="57"/>
      <c r="F327" s="57"/>
      <c r="G327" s="57"/>
      <c r="H327" s="57"/>
      <c r="I327" s="57"/>
      <c r="J327" s="57"/>
      <c r="K327" s="57"/>
      <c r="L327" s="57"/>
    </row>
    <row r="328" spans="1:12" s="1" customFormat="1">
      <c r="A328" s="57"/>
      <c r="B328" s="57"/>
      <c r="C328" s="57"/>
      <c r="D328" s="57"/>
      <c r="E328" s="57"/>
      <c r="F328" s="57"/>
      <c r="G328" s="57"/>
      <c r="H328" s="57"/>
      <c r="I328" s="57"/>
      <c r="J328" s="57"/>
      <c r="K328" s="57"/>
      <c r="L328" s="57"/>
    </row>
    <row r="329" spans="1:12" s="1" customFormat="1">
      <c r="A329" s="57"/>
      <c r="B329" s="57"/>
      <c r="C329" s="57"/>
      <c r="D329" s="57"/>
      <c r="E329" s="57"/>
      <c r="F329" s="57"/>
      <c r="G329" s="57"/>
      <c r="H329" s="57"/>
      <c r="I329" s="57"/>
      <c r="J329" s="57"/>
      <c r="K329" s="57"/>
      <c r="L329" s="57"/>
    </row>
    <row r="330" spans="1:12" s="1" customFormat="1">
      <c r="A330" s="57"/>
      <c r="B330" s="57"/>
      <c r="C330" s="57"/>
      <c r="D330" s="57"/>
      <c r="E330" s="57"/>
      <c r="F330" s="57"/>
      <c r="G330" s="57"/>
      <c r="H330" s="57"/>
      <c r="I330" s="57"/>
      <c r="J330" s="57"/>
      <c r="K330" s="57"/>
      <c r="L330" s="57"/>
    </row>
    <row r="331" spans="1:12" s="1" customFormat="1">
      <c r="A331" s="57"/>
      <c r="B331" s="57"/>
      <c r="C331" s="57"/>
      <c r="D331" s="57"/>
      <c r="E331" s="57"/>
      <c r="F331" s="57"/>
      <c r="G331" s="57"/>
      <c r="H331" s="57"/>
      <c r="I331" s="57"/>
      <c r="J331" s="57"/>
      <c r="K331" s="57"/>
      <c r="L331" s="57"/>
    </row>
    <row r="332" spans="1:12" s="1" customFormat="1">
      <c r="A332" s="57"/>
      <c r="B332" s="57"/>
      <c r="C332" s="57"/>
      <c r="D332" s="57"/>
      <c r="E332" s="57"/>
      <c r="F332" s="57"/>
      <c r="G332" s="57"/>
      <c r="H332" s="57"/>
      <c r="I332" s="57"/>
      <c r="J332" s="57"/>
      <c r="K332" s="57"/>
      <c r="L332" s="57"/>
    </row>
    <row r="333" spans="1:12" s="1" customFormat="1">
      <c r="A333" s="57"/>
      <c r="B333" s="57"/>
      <c r="C333" s="57"/>
      <c r="D333" s="57"/>
      <c r="E333" s="57"/>
      <c r="F333" s="57"/>
      <c r="G333" s="57"/>
      <c r="H333" s="57"/>
      <c r="I333" s="57"/>
      <c r="J333" s="57"/>
      <c r="K333" s="57"/>
      <c r="L333" s="57"/>
    </row>
    <row r="334" spans="1:12" s="1" customFormat="1">
      <c r="A334" s="57"/>
      <c r="B334" s="57"/>
      <c r="C334" s="57"/>
      <c r="D334" s="57"/>
      <c r="E334" s="57"/>
      <c r="F334" s="57"/>
      <c r="G334" s="57"/>
      <c r="H334" s="57"/>
      <c r="I334" s="57"/>
      <c r="J334" s="57"/>
      <c r="K334" s="57"/>
      <c r="L334" s="57"/>
    </row>
    <row r="335" spans="1:12" s="1" customFormat="1">
      <c r="A335" s="57"/>
      <c r="B335" s="57"/>
      <c r="C335" s="57"/>
      <c r="D335" s="57"/>
      <c r="E335" s="57"/>
      <c r="F335" s="57"/>
      <c r="G335" s="57"/>
      <c r="H335" s="57"/>
      <c r="I335" s="57"/>
      <c r="J335" s="57"/>
      <c r="K335" s="57"/>
      <c r="L335" s="57"/>
    </row>
    <row r="336" spans="1:12" s="1" customFormat="1">
      <c r="A336" s="57"/>
      <c r="B336" s="57"/>
      <c r="C336" s="57"/>
      <c r="D336" s="57"/>
      <c r="E336" s="57"/>
      <c r="F336" s="57"/>
      <c r="G336" s="57"/>
      <c r="H336" s="57"/>
      <c r="I336" s="57"/>
      <c r="J336" s="57"/>
      <c r="K336" s="57"/>
      <c r="L336" s="57"/>
    </row>
    <row r="337" spans="1:12" s="1" customFormat="1">
      <c r="A337" s="57"/>
      <c r="B337" s="57"/>
      <c r="C337" s="57"/>
      <c r="D337" s="57"/>
      <c r="E337" s="57"/>
      <c r="F337" s="57"/>
      <c r="G337" s="57"/>
      <c r="H337" s="57"/>
      <c r="I337" s="57"/>
      <c r="J337" s="57"/>
      <c r="K337" s="57"/>
      <c r="L337" s="57"/>
    </row>
    <row r="338" spans="1:12" s="1" customFormat="1">
      <c r="A338" s="57"/>
      <c r="B338" s="57"/>
      <c r="C338" s="57"/>
      <c r="D338" s="57"/>
      <c r="E338" s="57"/>
      <c r="F338" s="57"/>
      <c r="G338" s="57"/>
      <c r="H338" s="57"/>
      <c r="I338" s="57"/>
      <c r="J338" s="57"/>
      <c r="K338" s="57"/>
      <c r="L338" s="57"/>
    </row>
    <row r="339" spans="1:12" s="1" customFormat="1">
      <c r="A339" s="57"/>
      <c r="B339" s="57"/>
      <c r="C339" s="57"/>
      <c r="D339" s="57"/>
      <c r="E339" s="57"/>
      <c r="F339" s="57"/>
      <c r="G339" s="57"/>
      <c r="H339" s="57"/>
      <c r="I339" s="57"/>
      <c r="J339" s="57"/>
      <c r="K339" s="57"/>
      <c r="L339" s="57"/>
    </row>
    <row r="340" spans="1:12" s="1" customFormat="1">
      <c r="A340" s="57"/>
      <c r="B340" s="57"/>
      <c r="C340" s="57"/>
      <c r="D340" s="57"/>
      <c r="E340" s="57"/>
      <c r="F340" s="57"/>
      <c r="G340" s="57"/>
      <c r="H340" s="57"/>
      <c r="I340" s="57"/>
      <c r="J340" s="57"/>
      <c r="K340" s="57"/>
      <c r="L340" s="57"/>
    </row>
    <row r="341" spans="1:12" s="1" customFormat="1">
      <c r="A341" s="57"/>
      <c r="B341" s="57"/>
      <c r="C341" s="57"/>
      <c r="D341" s="57"/>
      <c r="E341" s="57"/>
      <c r="F341" s="57"/>
      <c r="G341" s="57"/>
      <c r="H341" s="57"/>
      <c r="I341" s="57"/>
      <c r="J341" s="57"/>
      <c r="K341" s="57"/>
      <c r="L341" s="57"/>
    </row>
    <row r="342" spans="1:12" s="1" customFormat="1">
      <c r="A342" s="57"/>
      <c r="B342" s="57"/>
      <c r="C342" s="57"/>
      <c r="D342" s="57"/>
      <c r="E342" s="57"/>
      <c r="F342" s="57"/>
      <c r="G342" s="57"/>
      <c r="H342" s="57"/>
      <c r="I342" s="57"/>
      <c r="J342" s="57"/>
      <c r="K342" s="57"/>
      <c r="L342" s="57"/>
    </row>
    <row r="343" spans="1:12" s="1" customFormat="1">
      <c r="A343" s="57"/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</row>
    <row r="344" spans="1:12" s="1" customFormat="1">
      <c r="A344" s="57"/>
      <c r="B344" s="57"/>
      <c r="C344" s="57"/>
      <c r="D344" s="57"/>
      <c r="E344" s="57"/>
      <c r="F344" s="57"/>
      <c r="G344" s="57"/>
      <c r="H344" s="57"/>
      <c r="I344" s="57"/>
      <c r="J344" s="57"/>
      <c r="K344" s="57"/>
      <c r="L344" s="57"/>
    </row>
    <row r="345" spans="1:12" s="1" customFormat="1">
      <c r="A345" s="57"/>
      <c r="B345" s="57"/>
      <c r="C345" s="57"/>
      <c r="D345" s="57"/>
      <c r="E345" s="57"/>
      <c r="F345" s="57"/>
      <c r="G345" s="57"/>
      <c r="H345" s="57"/>
      <c r="I345" s="57"/>
      <c r="J345" s="57"/>
      <c r="K345" s="57"/>
      <c r="L345" s="57"/>
    </row>
    <row r="346" spans="1:12" s="1" customFormat="1">
      <c r="A346" s="57"/>
      <c r="B346" s="57"/>
      <c r="C346" s="57"/>
      <c r="D346" s="57"/>
      <c r="E346" s="57"/>
      <c r="F346" s="57"/>
      <c r="G346" s="57"/>
      <c r="H346" s="57"/>
      <c r="I346" s="57"/>
      <c r="J346" s="57"/>
      <c r="K346" s="57"/>
      <c r="L346" s="57"/>
    </row>
    <row r="347" spans="1:12" s="1" customFormat="1">
      <c r="A347" s="57"/>
      <c r="B347" s="57"/>
      <c r="C347" s="57"/>
      <c r="D347" s="57"/>
      <c r="E347" s="57"/>
      <c r="F347" s="57"/>
      <c r="G347" s="57"/>
      <c r="H347" s="57"/>
      <c r="I347" s="57"/>
      <c r="J347" s="57"/>
      <c r="K347" s="57"/>
      <c r="L347" s="57"/>
    </row>
    <row r="348" spans="1:12" s="1" customFormat="1">
      <c r="A348" s="57"/>
      <c r="B348" s="57"/>
      <c r="C348" s="57"/>
      <c r="D348" s="57"/>
      <c r="E348" s="57"/>
      <c r="F348" s="57"/>
      <c r="G348" s="57"/>
      <c r="H348" s="57"/>
      <c r="I348" s="57"/>
      <c r="J348" s="57"/>
      <c r="K348" s="57"/>
      <c r="L348" s="57"/>
    </row>
    <row r="349" spans="1:12" s="1" customFormat="1">
      <c r="A349" s="57"/>
      <c r="B349" s="57"/>
      <c r="C349" s="57"/>
      <c r="D349" s="57"/>
      <c r="E349" s="57"/>
      <c r="F349" s="57"/>
      <c r="G349" s="57"/>
      <c r="H349" s="57"/>
      <c r="I349" s="57"/>
      <c r="J349" s="57"/>
      <c r="K349" s="57"/>
      <c r="L349" s="57"/>
    </row>
    <row r="350" spans="1:12" s="1" customFormat="1">
      <c r="A350" s="57"/>
      <c r="B350" s="57"/>
      <c r="C350" s="57"/>
      <c r="D350" s="57"/>
      <c r="E350" s="57"/>
      <c r="F350" s="57"/>
      <c r="G350" s="57"/>
      <c r="H350" s="57"/>
      <c r="I350" s="57"/>
      <c r="J350" s="57"/>
      <c r="K350" s="57"/>
      <c r="L350" s="57"/>
    </row>
    <row r="351" spans="1:12" s="1" customFormat="1">
      <c r="A351" s="57"/>
      <c r="B351" s="57"/>
      <c r="C351" s="57"/>
      <c r="D351" s="57"/>
      <c r="E351" s="57"/>
      <c r="F351" s="57"/>
      <c r="G351" s="57"/>
      <c r="H351" s="57"/>
      <c r="I351" s="57"/>
      <c r="J351" s="57"/>
      <c r="K351" s="57"/>
      <c r="L351" s="57"/>
    </row>
    <row r="352" spans="1:12" s="1" customFormat="1">
      <c r="A352" s="57"/>
      <c r="B352" s="57"/>
      <c r="C352" s="57"/>
      <c r="D352" s="57"/>
      <c r="E352" s="57"/>
      <c r="F352" s="57"/>
      <c r="G352" s="57"/>
      <c r="H352" s="57"/>
      <c r="I352" s="57"/>
      <c r="J352" s="57"/>
      <c r="K352" s="57"/>
      <c r="L352" s="57"/>
    </row>
    <row r="353" spans="1:12" s="1" customFormat="1">
      <c r="A353" s="57"/>
      <c r="B353" s="57"/>
      <c r="C353" s="57"/>
      <c r="D353" s="57"/>
      <c r="E353" s="57"/>
      <c r="F353" s="57"/>
      <c r="G353" s="57"/>
      <c r="H353" s="57"/>
      <c r="I353" s="57"/>
      <c r="J353" s="57"/>
      <c r="K353" s="57"/>
      <c r="L353" s="57"/>
    </row>
    <row r="354" spans="1:12" s="1" customFormat="1">
      <c r="A354" s="57"/>
      <c r="B354" s="57"/>
      <c r="C354" s="57"/>
      <c r="D354" s="57"/>
      <c r="E354" s="57"/>
      <c r="F354" s="57"/>
      <c r="G354" s="57"/>
      <c r="H354" s="57"/>
      <c r="I354" s="57"/>
      <c r="J354" s="57"/>
      <c r="K354" s="57"/>
      <c r="L354" s="57"/>
    </row>
    <row r="355" spans="1:12" s="1" customFormat="1">
      <c r="A355" s="57"/>
      <c r="B355" s="57"/>
      <c r="C355" s="57"/>
      <c r="D355" s="57"/>
      <c r="E355" s="57"/>
      <c r="F355" s="57"/>
      <c r="G355" s="57"/>
      <c r="H355" s="57"/>
      <c r="I355" s="57"/>
      <c r="J355" s="57"/>
      <c r="K355" s="57"/>
      <c r="L355" s="57"/>
    </row>
    <row r="356" spans="1:12" s="1" customFormat="1">
      <c r="A356" s="57"/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</row>
    <row r="357" spans="1:12" s="1" customFormat="1">
      <c r="A357" s="57"/>
      <c r="B357" s="57"/>
      <c r="C357" s="57"/>
      <c r="D357" s="57"/>
      <c r="E357" s="57"/>
      <c r="F357" s="57"/>
      <c r="G357" s="57"/>
      <c r="H357" s="57"/>
      <c r="I357" s="57"/>
      <c r="J357" s="57"/>
      <c r="K357" s="57"/>
      <c r="L357" s="57"/>
    </row>
    <row r="358" spans="1:12" s="1" customFormat="1">
      <c r="A358" s="57"/>
      <c r="B358" s="57"/>
      <c r="C358" s="57"/>
      <c r="D358" s="57"/>
      <c r="E358" s="57"/>
      <c r="F358" s="57"/>
      <c r="G358" s="57"/>
      <c r="H358" s="57"/>
      <c r="I358" s="57"/>
      <c r="J358" s="57"/>
      <c r="K358" s="57"/>
      <c r="L358" s="57"/>
    </row>
    <row r="359" spans="1:12" s="1" customFormat="1">
      <c r="A359" s="57"/>
      <c r="B359" s="57"/>
      <c r="C359" s="57"/>
      <c r="D359" s="57"/>
      <c r="E359" s="57"/>
      <c r="F359" s="57"/>
      <c r="G359" s="57"/>
      <c r="H359" s="57"/>
      <c r="I359" s="57"/>
      <c r="J359" s="57"/>
      <c r="K359" s="57"/>
      <c r="L359" s="57"/>
    </row>
    <row r="360" spans="1:12" s="1" customFormat="1">
      <c r="A360" s="57"/>
      <c r="B360" s="57"/>
      <c r="C360" s="57"/>
      <c r="D360" s="57"/>
      <c r="E360" s="57"/>
      <c r="F360" s="57"/>
      <c r="G360" s="57"/>
      <c r="H360" s="57"/>
      <c r="I360" s="57"/>
      <c r="J360" s="57"/>
      <c r="K360" s="57"/>
      <c r="L360" s="57"/>
    </row>
    <row r="361" spans="1:12" s="1" customFormat="1">
      <c r="A361" s="57"/>
      <c r="B361" s="57"/>
      <c r="C361" s="57"/>
      <c r="D361" s="57"/>
      <c r="E361" s="57"/>
      <c r="F361" s="57"/>
      <c r="G361" s="57"/>
      <c r="H361" s="57"/>
      <c r="I361" s="57"/>
      <c r="J361" s="57"/>
      <c r="K361" s="57"/>
      <c r="L361" s="57"/>
    </row>
    <row r="362" spans="1:12" s="1" customFormat="1">
      <c r="A362" s="57"/>
      <c r="B362" s="57"/>
      <c r="C362" s="57"/>
      <c r="D362" s="57"/>
      <c r="E362" s="57"/>
      <c r="F362" s="57"/>
      <c r="G362" s="57"/>
      <c r="H362" s="57"/>
      <c r="I362" s="57"/>
      <c r="J362" s="57"/>
      <c r="K362" s="57"/>
      <c r="L362" s="57"/>
    </row>
    <row r="363" spans="1:12" s="1" customFormat="1">
      <c r="A363" s="57"/>
      <c r="B363" s="57"/>
      <c r="C363" s="57"/>
      <c r="D363" s="57"/>
      <c r="E363" s="57"/>
      <c r="F363" s="57"/>
      <c r="G363" s="57"/>
      <c r="H363" s="57"/>
      <c r="I363" s="57"/>
      <c r="J363" s="57"/>
      <c r="K363" s="57"/>
      <c r="L363" s="57"/>
    </row>
    <row r="364" spans="1:12" s="1" customFormat="1">
      <c r="A364" s="57"/>
      <c r="B364" s="57"/>
      <c r="C364" s="57"/>
      <c r="D364" s="57"/>
      <c r="E364" s="57"/>
      <c r="F364" s="57"/>
      <c r="G364" s="57"/>
      <c r="H364" s="57"/>
      <c r="I364" s="57"/>
      <c r="J364" s="57"/>
      <c r="K364" s="57"/>
      <c r="L364" s="57"/>
    </row>
    <row r="365" spans="1:12" s="1" customFormat="1">
      <c r="A365" s="57"/>
      <c r="B365" s="57"/>
      <c r="C365" s="57"/>
      <c r="D365" s="57"/>
      <c r="E365" s="57"/>
      <c r="F365" s="57"/>
      <c r="G365" s="57"/>
      <c r="H365" s="57"/>
      <c r="I365" s="57"/>
      <c r="J365" s="57"/>
      <c r="K365" s="57"/>
      <c r="L365" s="57"/>
    </row>
    <row r="366" spans="1:12" s="1" customFormat="1">
      <c r="A366" s="57"/>
      <c r="B366" s="57"/>
      <c r="C366" s="57"/>
      <c r="D366" s="57"/>
      <c r="E366" s="57"/>
      <c r="F366" s="57"/>
      <c r="G366" s="57"/>
      <c r="H366" s="57"/>
      <c r="I366" s="57"/>
      <c r="J366" s="57"/>
      <c r="K366" s="57"/>
      <c r="L366" s="57"/>
    </row>
    <row r="367" spans="1:12" s="1" customFormat="1">
      <c r="A367" s="57"/>
      <c r="B367" s="57"/>
      <c r="C367" s="57"/>
      <c r="D367" s="57"/>
      <c r="E367" s="57"/>
      <c r="F367" s="57"/>
      <c r="G367" s="57"/>
      <c r="H367" s="57"/>
      <c r="I367" s="57"/>
      <c r="J367" s="57"/>
      <c r="K367" s="57"/>
      <c r="L367" s="57"/>
    </row>
    <row r="368" spans="1:12" s="1" customFormat="1">
      <c r="A368" s="57"/>
      <c r="B368" s="57"/>
      <c r="C368" s="57"/>
      <c r="D368" s="57"/>
      <c r="E368" s="57"/>
      <c r="F368" s="57"/>
      <c r="G368" s="57"/>
      <c r="H368" s="57"/>
      <c r="I368" s="57"/>
      <c r="J368" s="57"/>
      <c r="K368" s="57"/>
      <c r="L368" s="57"/>
    </row>
    <row r="369" spans="1:12" s="1" customFormat="1">
      <c r="A369" s="57"/>
      <c r="B369" s="57"/>
      <c r="C369" s="57"/>
      <c r="D369" s="57"/>
      <c r="E369" s="57"/>
      <c r="F369" s="57"/>
      <c r="G369" s="57"/>
      <c r="H369" s="57"/>
      <c r="I369" s="57"/>
      <c r="J369" s="57"/>
      <c r="K369" s="57"/>
      <c r="L369" s="57"/>
    </row>
    <row r="370" spans="1:12" s="1" customFormat="1">
      <c r="A370" s="57"/>
      <c r="B370" s="57"/>
      <c r="C370" s="57"/>
      <c r="D370" s="57"/>
      <c r="E370" s="57"/>
      <c r="F370" s="57"/>
      <c r="G370" s="57"/>
      <c r="H370" s="57"/>
      <c r="I370" s="57"/>
      <c r="J370" s="57"/>
      <c r="K370" s="57"/>
      <c r="L370" s="57"/>
    </row>
    <row r="371" spans="1:12" s="1" customFormat="1">
      <c r="A371" s="57"/>
      <c r="B371" s="57"/>
      <c r="C371" s="57"/>
      <c r="D371" s="57"/>
      <c r="E371" s="57"/>
      <c r="F371" s="57"/>
      <c r="G371" s="57"/>
      <c r="H371" s="57"/>
      <c r="I371" s="57"/>
      <c r="J371" s="57"/>
      <c r="K371" s="57"/>
      <c r="L371" s="57"/>
    </row>
  </sheetData>
  <mergeCells count="5">
    <mergeCell ref="A1:L1"/>
    <mergeCell ref="A37:L37"/>
    <mergeCell ref="A73:L73"/>
    <mergeCell ref="A109:L109"/>
    <mergeCell ref="A145:L145"/>
  </mergeCells>
  <pageMargins left="0.511811024" right="0.511811024" top="0.78740157499999996" bottom="0.78740157499999996" header="0.31496062000000002" footer="0.31496062000000002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B050"/>
  </sheetPr>
  <dimension ref="A1:AT35"/>
  <sheetViews>
    <sheetView workbookViewId="0">
      <pane xSplit="1" topLeftCell="B1" activePane="topRight" state="frozen"/>
      <selection pane="topRight" activeCell="A13" sqref="A13:A21"/>
    </sheetView>
  </sheetViews>
  <sheetFormatPr defaultColWidth="8.85546875" defaultRowHeight="15"/>
  <cols>
    <col min="1" max="1" width="23.42578125" style="58" bestFit="1" customWidth="1"/>
    <col min="2" max="5" width="15.42578125" style="57" bestFit="1" customWidth="1"/>
    <col min="6" max="6" width="15.42578125" style="57" customWidth="1"/>
    <col min="7" max="7" width="15.28515625" style="57" customWidth="1"/>
    <col min="8" max="10" width="13.7109375" style="57" bestFit="1" customWidth="1"/>
    <col min="11" max="11" width="13.7109375" style="57" customWidth="1"/>
    <col min="12" max="15" width="14.7109375" style="57" bestFit="1" customWidth="1"/>
    <col min="16" max="16" width="14.7109375" style="57" customWidth="1"/>
    <col min="17" max="18" width="14.28515625" style="3" bestFit="1" customWidth="1"/>
    <col min="19" max="20" width="15.42578125" style="3" bestFit="1" customWidth="1"/>
    <col min="21" max="21" width="13.85546875" style="1" bestFit="1" customWidth="1"/>
    <col min="22" max="46" width="8.85546875" style="1"/>
  </cols>
  <sheetData>
    <row r="1" spans="1:21">
      <c r="A1" s="80" t="s">
        <v>158</v>
      </c>
      <c r="B1" s="1100" t="s">
        <v>159</v>
      </c>
      <c r="C1" s="1101"/>
      <c r="D1" s="1101"/>
      <c r="E1" s="1101"/>
      <c r="F1" s="1102"/>
      <c r="G1" s="1103" t="s">
        <v>160</v>
      </c>
      <c r="H1" s="1101"/>
      <c r="I1" s="1101"/>
      <c r="J1" s="1101"/>
      <c r="K1" s="1102"/>
      <c r="L1" s="1103" t="s">
        <v>161</v>
      </c>
      <c r="M1" s="1101"/>
      <c r="N1" s="1101"/>
      <c r="O1" s="1101"/>
      <c r="P1" s="1102"/>
      <c r="Q1" s="1104" t="s">
        <v>162</v>
      </c>
      <c r="R1" s="1105"/>
      <c r="S1" s="1105"/>
      <c r="T1" s="1105"/>
      <c r="U1" s="1105"/>
    </row>
    <row r="2" spans="1:21">
      <c r="A2" s="81" t="s">
        <v>10</v>
      </c>
      <c r="B2" s="63">
        <v>2009</v>
      </c>
      <c r="C2" s="64">
        <v>2010</v>
      </c>
      <c r="D2" s="63">
        <v>2011</v>
      </c>
      <c r="E2" s="64">
        <v>2012</v>
      </c>
      <c r="F2" s="63">
        <v>2013</v>
      </c>
      <c r="G2" s="63">
        <v>2009</v>
      </c>
      <c r="H2" s="64">
        <v>2010</v>
      </c>
      <c r="I2" s="63">
        <v>2011</v>
      </c>
      <c r="J2" s="64">
        <v>2012</v>
      </c>
      <c r="K2" s="63">
        <v>2013</v>
      </c>
      <c r="L2" s="63">
        <v>2009</v>
      </c>
      <c r="M2" s="64">
        <v>2010</v>
      </c>
      <c r="N2" s="63">
        <v>2011</v>
      </c>
      <c r="O2" s="64">
        <v>2012</v>
      </c>
      <c r="P2" s="63">
        <v>2013</v>
      </c>
      <c r="Q2" s="63">
        <v>2009</v>
      </c>
      <c r="R2" s="64">
        <v>2010</v>
      </c>
      <c r="S2" s="63">
        <v>2011</v>
      </c>
      <c r="T2" s="64">
        <v>2012</v>
      </c>
      <c r="U2" s="63">
        <v>2013</v>
      </c>
    </row>
    <row r="3" spans="1:21">
      <c r="A3" s="82" t="s">
        <v>86</v>
      </c>
      <c r="B3" s="65">
        <f t="shared" ref="B3:U3" si="0">B4+B12+B22+B27+B31</f>
        <v>25409089747.000019</v>
      </c>
      <c r="C3" s="65">
        <f t="shared" si="0"/>
        <v>29843664982</v>
      </c>
      <c r="D3" s="65">
        <f t="shared" si="0"/>
        <v>35491255695</v>
      </c>
      <c r="E3" s="65">
        <f t="shared" si="0"/>
        <v>39697714725</v>
      </c>
      <c r="F3" s="65">
        <f t="shared" si="0"/>
        <v>41426236592</v>
      </c>
      <c r="G3" s="65">
        <f t="shared" si="0"/>
        <v>16470948172.000008</v>
      </c>
      <c r="H3" s="65">
        <f t="shared" si="0"/>
        <v>15074300486</v>
      </c>
      <c r="I3" s="65">
        <f t="shared" si="0"/>
        <v>10899220535</v>
      </c>
      <c r="J3" s="65">
        <f t="shared" si="0"/>
        <v>9850180304</v>
      </c>
      <c r="K3" s="65">
        <f t="shared" si="0"/>
        <v>11754962962</v>
      </c>
      <c r="L3" s="65">
        <f t="shared" si="0"/>
        <v>44298462788.000015</v>
      </c>
      <c r="M3" s="65">
        <f t="shared" si="0"/>
        <v>49239039243.000061</v>
      </c>
      <c r="N3" s="65">
        <f t="shared" si="0"/>
        <v>52263911583</v>
      </c>
      <c r="O3" s="65">
        <f t="shared" si="0"/>
        <v>55900363671</v>
      </c>
      <c r="P3" s="65">
        <f t="shared" si="0"/>
        <v>58572495084</v>
      </c>
      <c r="Q3" s="65">
        <f t="shared" si="0"/>
        <v>2101595310</v>
      </c>
      <c r="R3" s="65">
        <f t="shared" si="0"/>
        <v>2007264580</v>
      </c>
      <c r="S3" s="65">
        <f t="shared" si="0"/>
        <v>1971808910</v>
      </c>
      <c r="T3" s="65">
        <f t="shared" si="0"/>
        <v>1947060300</v>
      </c>
      <c r="U3" s="65">
        <f t="shared" si="0"/>
        <v>0</v>
      </c>
    </row>
    <row r="4" spans="1:21">
      <c r="A4" s="174" t="s">
        <v>87</v>
      </c>
      <c r="B4" s="173">
        <f>SUM(B5:B11)</f>
        <v>1636286944.6008751</v>
      </c>
      <c r="C4" s="173">
        <f t="shared" ref="C4:U4" si="1">SUM(C5:C11)</f>
        <v>1927184313</v>
      </c>
      <c r="D4" s="173">
        <f t="shared" si="1"/>
        <v>2169569578</v>
      </c>
      <c r="E4" s="173">
        <f t="shared" si="1"/>
        <v>2486780899</v>
      </c>
      <c r="F4" s="173">
        <f t="shared" si="1"/>
        <v>2649750811</v>
      </c>
      <c r="G4" s="173">
        <f t="shared" si="1"/>
        <v>275847070.80645871</v>
      </c>
      <c r="H4" s="173">
        <f t="shared" si="1"/>
        <v>221355331.53680998</v>
      </c>
      <c r="I4" s="173">
        <f t="shared" si="1"/>
        <v>154070868.69140473</v>
      </c>
      <c r="J4" s="173">
        <f t="shared" si="1"/>
        <v>129348425.03929426</v>
      </c>
      <c r="K4" s="962">
        <f t="shared" si="1"/>
        <v>145793537</v>
      </c>
      <c r="L4" s="173">
        <f t="shared" si="1"/>
        <v>4074952028.1602564</v>
      </c>
      <c r="M4" s="173">
        <f t="shared" si="1"/>
        <v>4861160090.8844681</v>
      </c>
      <c r="N4" s="173">
        <f t="shared" si="1"/>
        <v>5241694351.6538277</v>
      </c>
      <c r="O4" s="173">
        <f t="shared" si="1"/>
        <v>5690648644.389473</v>
      </c>
      <c r="P4" s="962">
        <f t="shared" si="1"/>
        <v>5852903396</v>
      </c>
      <c r="Q4" s="173">
        <f t="shared" si="1"/>
        <v>912500</v>
      </c>
      <c r="R4" s="173">
        <f t="shared" si="1"/>
        <v>913980</v>
      </c>
      <c r="S4" s="173">
        <f t="shared" si="1"/>
        <v>1297580</v>
      </c>
      <c r="T4" s="173">
        <f t="shared" si="1"/>
        <v>2652690</v>
      </c>
      <c r="U4" s="173">
        <f t="shared" si="1"/>
        <v>0</v>
      </c>
    </row>
    <row r="5" spans="1:21">
      <c r="A5" s="77" t="s">
        <v>163</v>
      </c>
      <c r="B5" s="74">
        <f>75724.2027429179*(1000)</f>
        <v>75724202.742917895</v>
      </c>
      <c r="C5" s="66">
        <f>94983.801*(1000)</f>
        <v>94983801</v>
      </c>
      <c r="D5" s="66">
        <v>106948783</v>
      </c>
      <c r="E5" s="59">
        <v>118891750</v>
      </c>
      <c r="F5" s="973">
        <v>125329986</v>
      </c>
      <c r="G5" s="66">
        <f>11952.0071569465*(1000)</f>
        <v>11952007.156946501</v>
      </c>
      <c r="H5" s="66">
        <f>9494.53167954617*(1000)</f>
        <v>9494531.6795461699</v>
      </c>
      <c r="I5" s="66">
        <v>8584560.4654950388</v>
      </c>
      <c r="J5" s="975">
        <v>5745496.8144601779</v>
      </c>
      <c r="K5" s="973">
        <v>6024830</v>
      </c>
      <c r="L5" s="961">
        <f>126871.822380357*(1000)</f>
        <v>126871822.380357</v>
      </c>
      <c r="M5" s="66">
        <f>152199.167199088*(1000)</f>
        <v>152199167.19908801</v>
      </c>
      <c r="N5" s="66">
        <v>157630985.84996045</v>
      </c>
      <c r="O5" s="975">
        <v>214874337.15499499</v>
      </c>
      <c r="P5" s="973">
        <v>157363623</v>
      </c>
      <c r="Q5" s="961">
        <v>0</v>
      </c>
      <c r="R5" s="69">
        <v>0</v>
      </c>
      <c r="S5" s="69">
        <f>((0*(1000))*1000)*1000</f>
        <v>0</v>
      </c>
      <c r="T5" s="70">
        <f t="shared" ref="P5:U11" si="2">0*(1000)</f>
        <v>0</v>
      </c>
      <c r="U5" s="953">
        <f t="shared" si="2"/>
        <v>0</v>
      </c>
    </row>
    <row r="6" spans="1:21">
      <c r="A6" s="78" t="s">
        <v>164</v>
      </c>
      <c r="B6" s="75">
        <f>86003.946648279*(1000)</f>
        <v>86003946.648278996</v>
      </c>
      <c r="C6" s="59">
        <f>99396.5*(1000)</f>
        <v>99396500</v>
      </c>
      <c r="D6" s="59">
        <v>109515600</v>
      </c>
      <c r="E6" s="59">
        <v>127984499.99999999</v>
      </c>
      <c r="F6" s="973">
        <v>137899800</v>
      </c>
      <c r="G6" s="59">
        <f>8297.10208534934*(1000)</f>
        <v>8297102.0853493391</v>
      </c>
      <c r="H6" s="59">
        <f>6721.64281803755*(1000)</f>
        <v>6721642.81803755</v>
      </c>
      <c r="I6" s="59">
        <v>4933642.8064778959</v>
      </c>
      <c r="J6" s="975">
        <v>3311006.7899022559</v>
      </c>
      <c r="K6" s="973">
        <v>1458800</v>
      </c>
      <c r="L6" s="976">
        <f>292541.422358339*(1000)</f>
        <v>292541422.35833901</v>
      </c>
      <c r="M6" s="59">
        <f>316445.755310506*(1000)</f>
        <v>316445755.31050599</v>
      </c>
      <c r="N6" s="59">
        <v>371337995.86517429</v>
      </c>
      <c r="O6" s="975">
        <v>472281723.83051479</v>
      </c>
      <c r="P6" s="973">
        <v>483124121</v>
      </c>
      <c r="Q6" s="989">
        <v>0</v>
      </c>
      <c r="R6" s="68">
        <v>0</v>
      </c>
      <c r="S6" s="68">
        <f>((0*(1000))*1000)*1000</f>
        <v>0</v>
      </c>
      <c r="T6" s="71">
        <f t="shared" si="2"/>
        <v>0</v>
      </c>
      <c r="U6" s="954">
        <f t="shared" si="2"/>
        <v>0</v>
      </c>
    </row>
    <row r="7" spans="1:21">
      <c r="A7" s="78" t="s">
        <v>165</v>
      </c>
      <c r="B7" s="75">
        <f>403312.309053503*(1000)</f>
        <v>403312309.05350298</v>
      </c>
      <c r="C7" s="59">
        <f>468688.196*(1000)</f>
        <v>468688196</v>
      </c>
      <c r="D7" s="59">
        <v>521355097.00000006</v>
      </c>
      <c r="E7" s="59">
        <v>569396746</v>
      </c>
      <c r="F7" s="973">
        <v>590749207</v>
      </c>
      <c r="G7" s="59">
        <f>79600.7291607514*(1000)</f>
        <v>79600729.160751402</v>
      </c>
      <c r="H7" s="59">
        <f>54875.6937876431*(1000)</f>
        <v>54875693.787643097</v>
      </c>
      <c r="I7" s="59">
        <v>40517314.473370828</v>
      </c>
      <c r="J7" s="975">
        <v>40069262.761759758</v>
      </c>
      <c r="K7" s="973">
        <v>47011250</v>
      </c>
      <c r="L7" s="976">
        <f>873379.423296996*(1000)</f>
        <v>873379423.296996</v>
      </c>
      <c r="M7" s="59">
        <f>1186647.67039799*(1000)</f>
        <v>1186647670.39799</v>
      </c>
      <c r="N7" s="59">
        <v>1348311495.1617823</v>
      </c>
      <c r="O7" s="975">
        <v>1355732353.0634925</v>
      </c>
      <c r="P7" s="973">
        <v>1346465119</v>
      </c>
      <c r="Q7" s="976">
        <v>912500</v>
      </c>
      <c r="R7" s="59">
        <v>913980</v>
      </c>
      <c r="S7" s="59">
        <v>1297580</v>
      </c>
      <c r="T7" s="71">
        <v>2652690</v>
      </c>
      <c r="U7" s="954">
        <f t="shared" si="2"/>
        <v>0</v>
      </c>
    </row>
    <row r="8" spans="1:21">
      <c r="A8" s="78" t="s">
        <v>166</v>
      </c>
      <c r="B8" s="75">
        <f>585376.660474558*(1000)</f>
        <v>585376660.474558</v>
      </c>
      <c r="C8" s="59">
        <f>674940.641*(1000)</f>
        <v>674940641</v>
      </c>
      <c r="D8" s="59">
        <v>768592559</v>
      </c>
      <c r="E8" s="59">
        <v>909505429.00000012</v>
      </c>
      <c r="F8" s="973">
        <v>996631282</v>
      </c>
      <c r="G8" s="59">
        <f>46192.3357381825*(1000)</f>
        <v>46192335.7381825</v>
      </c>
      <c r="H8" s="59">
        <f>46966.6023802375*(1000)</f>
        <v>46966602.380237497</v>
      </c>
      <c r="I8" s="59">
        <v>33566529.104680352</v>
      </c>
      <c r="J8" s="975">
        <v>30715072.19577473</v>
      </c>
      <c r="K8" s="973">
        <v>32956048</v>
      </c>
      <c r="L8" s="976">
        <f>1439084.12209663*(1000)</f>
        <v>1439084122.0966301</v>
      </c>
      <c r="M8" s="59">
        <f>1635380.53847435*(1000)</f>
        <v>1635380538.47435</v>
      </c>
      <c r="N8" s="59">
        <v>1809858661.1225023</v>
      </c>
      <c r="O8" s="975">
        <v>2018739443.3812749</v>
      </c>
      <c r="P8" s="973">
        <v>2134609322</v>
      </c>
      <c r="Q8" s="989">
        <v>0</v>
      </c>
      <c r="R8" s="68">
        <v>0</v>
      </c>
      <c r="S8" s="68">
        <f>((0*(1000))*1000)*1000</f>
        <v>0</v>
      </c>
      <c r="T8" s="71">
        <v>0</v>
      </c>
      <c r="U8" s="954">
        <f t="shared" si="2"/>
        <v>0</v>
      </c>
    </row>
    <row r="9" spans="1:21">
      <c r="A9" s="78" t="s">
        <v>167</v>
      </c>
      <c r="B9" s="75">
        <f>233616.635387871*(1000)</f>
        <v>233616635.387871</v>
      </c>
      <c r="C9" s="59">
        <f>286145.898*(1000)</f>
        <v>286145898</v>
      </c>
      <c r="D9" s="59">
        <v>325210119</v>
      </c>
      <c r="E9" s="59">
        <v>365370290.00000006</v>
      </c>
      <c r="F9" s="973">
        <v>378462950</v>
      </c>
      <c r="G9" s="59">
        <f>57187.672536876*(1000)</f>
        <v>57187672.536876</v>
      </c>
      <c r="H9" s="59">
        <f>40080.7171227892*(1000)</f>
        <v>40080717.122789204</v>
      </c>
      <c r="I9" s="59">
        <v>26509159.252231926</v>
      </c>
      <c r="J9" s="975">
        <v>19696681.483103313</v>
      </c>
      <c r="K9" s="973">
        <v>20747509</v>
      </c>
      <c r="L9" s="976">
        <f>695719.988426827*(1000)</f>
        <v>695719988.42682695</v>
      </c>
      <c r="M9" s="59">
        <f>761900.437410582*(1000)</f>
        <v>761900437.41058195</v>
      </c>
      <c r="N9" s="59">
        <v>775345566.47629392</v>
      </c>
      <c r="O9" s="975">
        <v>772218653.03873086</v>
      </c>
      <c r="P9" s="973">
        <v>777142092</v>
      </c>
      <c r="Q9" s="989">
        <v>0</v>
      </c>
      <c r="R9" s="68">
        <v>0</v>
      </c>
      <c r="S9" s="68">
        <f>((0*(1000))*1000)*1000</f>
        <v>0</v>
      </c>
      <c r="T9" s="71">
        <v>0</v>
      </c>
      <c r="U9" s="954">
        <f t="shared" si="2"/>
        <v>0</v>
      </c>
    </row>
    <row r="10" spans="1:21">
      <c r="A10" s="78" t="s">
        <v>168</v>
      </c>
      <c r="B10" s="75">
        <f>74627.0063727392*(1000)</f>
        <v>74627006.372739196</v>
      </c>
      <c r="C10" s="59">
        <f>85768.4*(1000)</f>
        <v>85768400</v>
      </c>
      <c r="D10" s="59">
        <v>88273250.000000015</v>
      </c>
      <c r="E10" s="59">
        <v>99430000</v>
      </c>
      <c r="F10" s="973">
        <v>108861300</v>
      </c>
      <c r="G10" s="59">
        <f>2908.07215635578*(1000)</f>
        <v>2908072.1563557801</v>
      </c>
      <c r="H10" s="59">
        <f>2756.31500740156*(1000)</f>
        <v>2756315.00740156</v>
      </c>
      <c r="I10" s="59">
        <v>2486817.5534673035</v>
      </c>
      <c r="J10" s="975">
        <v>1928803.422470734</v>
      </c>
      <c r="K10" s="973">
        <v>1822800</v>
      </c>
      <c r="L10" s="976">
        <f>70775.2191739074*(1000)</f>
        <v>70775219.173907399</v>
      </c>
      <c r="M10" s="59">
        <f>143470.173114839*(1000)</f>
        <v>143470173.11483902</v>
      </c>
      <c r="N10" s="59">
        <v>86166881.057038233</v>
      </c>
      <c r="O10" s="975">
        <v>86201471.906828284</v>
      </c>
      <c r="P10" s="973">
        <v>101582900</v>
      </c>
      <c r="Q10" s="989">
        <v>0</v>
      </c>
      <c r="R10" s="68">
        <v>0</v>
      </c>
      <c r="S10" s="68">
        <f>((0*(1000))*1000)*1000</f>
        <v>0</v>
      </c>
      <c r="T10" s="71">
        <v>0</v>
      </c>
      <c r="U10" s="954">
        <f t="shared" si="2"/>
        <v>0</v>
      </c>
    </row>
    <row r="11" spans="1:21">
      <c r="A11" s="79" t="s">
        <v>169</v>
      </c>
      <c r="B11" s="981">
        <f>177626.183921007*(1000)</f>
        <v>177626183.92100701</v>
      </c>
      <c r="C11" s="328">
        <f>217260.877*(1000)</f>
        <v>217260877</v>
      </c>
      <c r="D11" s="328">
        <v>249674169.99999997</v>
      </c>
      <c r="E11" s="328">
        <v>296202184</v>
      </c>
      <c r="F11" s="982">
        <v>311816286</v>
      </c>
      <c r="G11" s="328">
        <f>69709.1519719972*(1000)</f>
        <v>69709151.971997201</v>
      </c>
      <c r="H11" s="328">
        <f>60459.8287411549*(1000)</f>
        <v>60459828.741154902</v>
      </c>
      <c r="I11" s="328">
        <v>37472845.035681389</v>
      </c>
      <c r="J11" s="988">
        <v>27882101.571823303</v>
      </c>
      <c r="K11" s="973">
        <v>35772300</v>
      </c>
      <c r="L11" s="977">
        <f>576580.0304272*(1000)</f>
        <v>576580030.42720008</v>
      </c>
      <c r="M11" s="61">
        <f>665116.348977113*(1000)</f>
        <v>665116348.97711301</v>
      </c>
      <c r="N11" s="61">
        <v>693042766.12107635</v>
      </c>
      <c r="O11" s="975">
        <v>770600662.01363742</v>
      </c>
      <c r="P11" s="973">
        <v>852616219</v>
      </c>
      <c r="Q11" s="990">
        <v>0</v>
      </c>
      <c r="R11" s="72">
        <v>0</v>
      </c>
      <c r="S11" s="72">
        <f>((0*(1000))*1000)*1000</f>
        <v>0</v>
      </c>
      <c r="T11" s="73">
        <v>0</v>
      </c>
      <c r="U11" s="955">
        <f t="shared" si="2"/>
        <v>0</v>
      </c>
    </row>
    <row r="12" spans="1:21">
      <c r="A12" s="174" t="s">
        <v>88</v>
      </c>
      <c r="B12" s="978">
        <f>SUM(B13:B21)</f>
        <v>4178166175.7577772</v>
      </c>
      <c r="C12" s="979">
        <f t="shared" ref="C12:U12" si="3">SUM(C13:C21)</f>
        <v>5212948677</v>
      </c>
      <c r="D12" s="979">
        <f t="shared" si="3"/>
        <v>6239598498</v>
      </c>
      <c r="E12" s="979">
        <f t="shared" si="3"/>
        <v>7313574522</v>
      </c>
      <c r="F12" s="979">
        <f t="shared" si="3"/>
        <v>7840969281</v>
      </c>
      <c r="G12" s="979">
        <f t="shared" si="3"/>
        <v>1625365954.7871554</v>
      </c>
      <c r="H12" s="979">
        <f t="shared" si="3"/>
        <v>1360028912.8659995</v>
      </c>
      <c r="I12" s="979">
        <f t="shared" si="3"/>
        <v>793483427.28254223</v>
      </c>
      <c r="J12" s="980">
        <f t="shared" si="3"/>
        <v>645635035.02776217</v>
      </c>
      <c r="K12" s="172">
        <f t="shared" si="3"/>
        <v>699691637</v>
      </c>
      <c r="L12" s="172">
        <f t="shared" si="3"/>
        <v>6927626229.3914948</v>
      </c>
      <c r="M12" s="172">
        <f t="shared" si="3"/>
        <v>7719735131.5342398</v>
      </c>
      <c r="N12" s="172">
        <f t="shared" si="3"/>
        <v>8230617982.4140615</v>
      </c>
      <c r="O12" s="172">
        <f t="shared" si="3"/>
        <v>9133665157.4197693</v>
      </c>
      <c r="P12" s="172">
        <f t="shared" si="3"/>
        <v>9592427327</v>
      </c>
      <c r="Q12" s="172">
        <f t="shared" si="3"/>
        <v>402944050</v>
      </c>
      <c r="R12" s="172">
        <f t="shared" si="3"/>
        <v>376488990</v>
      </c>
      <c r="S12" s="172">
        <f t="shared" si="3"/>
        <v>355770620</v>
      </c>
      <c r="T12" s="172">
        <f t="shared" si="3"/>
        <v>342221680</v>
      </c>
      <c r="U12" s="172">
        <f t="shared" si="3"/>
        <v>0</v>
      </c>
    </row>
    <row r="13" spans="1:21">
      <c r="A13" s="77" t="s">
        <v>170</v>
      </c>
      <c r="B13" s="983">
        <f>179400.465826906*(1000)</f>
        <v>179400465.826906</v>
      </c>
      <c r="C13" s="984">
        <f>245327.832*(1000)</f>
        <v>245327832</v>
      </c>
      <c r="D13" s="984">
        <v>303096084.00000006</v>
      </c>
      <c r="E13" s="985">
        <v>363832649</v>
      </c>
      <c r="F13" s="986">
        <v>400517967</v>
      </c>
      <c r="G13" s="987">
        <f>104514.393531018*(1000)</f>
        <v>104514393.53101799</v>
      </c>
      <c r="H13" s="984">
        <f>76100.454357137*(1000)</f>
        <v>76100454.357136995</v>
      </c>
      <c r="I13" s="984">
        <v>53238359.642297335</v>
      </c>
      <c r="J13" s="985">
        <v>39553574.269037187</v>
      </c>
      <c r="K13" s="973">
        <v>34967081</v>
      </c>
      <c r="L13" s="961">
        <f>326913.634061931*(1000)</f>
        <v>326913634.06193101</v>
      </c>
      <c r="M13" s="66">
        <f>361465.915747731*(1000)</f>
        <v>361465915.74773097</v>
      </c>
      <c r="N13" s="66">
        <v>399342423.04230601</v>
      </c>
      <c r="O13" s="975">
        <v>405035609.2052654</v>
      </c>
      <c r="P13" s="973">
        <v>401547381</v>
      </c>
      <c r="Q13" s="961">
        <v>37282460</v>
      </c>
      <c r="R13" s="66">
        <v>36079430</v>
      </c>
      <c r="S13" s="66">
        <v>36337680</v>
      </c>
      <c r="T13" s="67">
        <v>36129090.000000007</v>
      </c>
      <c r="U13" s="953">
        <f t="shared" ref="P13:U21" si="4">0*(1000)</f>
        <v>0</v>
      </c>
    </row>
    <row r="14" spans="1:21">
      <c r="A14" s="78" t="s">
        <v>171</v>
      </c>
      <c r="B14" s="75">
        <f>1056462.81472923*(1000)</f>
        <v>1056462814.72923</v>
      </c>
      <c r="C14" s="59">
        <f>1273406.049*(1000)</f>
        <v>1273406049</v>
      </c>
      <c r="D14" s="59">
        <v>1588825697.9999998</v>
      </c>
      <c r="E14" s="975">
        <v>1842729921</v>
      </c>
      <c r="F14" s="973">
        <v>1943731376</v>
      </c>
      <c r="G14" s="976">
        <f>541169.667031448*(1000)</f>
        <v>541169667.03144801</v>
      </c>
      <c r="H14" s="59">
        <f>498360.448761001*(1000)</f>
        <v>498360448.76100099</v>
      </c>
      <c r="I14" s="59">
        <v>254228594.7859495</v>
      </c>
      <c r="J14" s="975">
        <v>197612306.88088453</v>
      </c>
      <c r="K14" s="973">
        <v>245539530</v>
      </c>
      <c r="L14" s="976">
        <f>2464676.93796232*(1000)</f>
        <v>2464676937.9623203</v>
      </c>
      <c r="M14" s="59">
        <f>2729301.58467014*(1000)</f>
        <v>2729301584.6701398</v>
      </c>
      <c r="N14" s="59">
        <v>2904608129.8337913</v>
      </c>
      <c r="O14" s="975">
        <v>3165970616.9376187</v>
      </c>
      <c r="P14" s="973">
        <v>3348947410</v>
      </c>
      <c r="Q14" s="976">
        <v>85857600</v>
      </c>
      <c r="R14" s="59">
        <v>72277570</v>
      </c>
      <c r="S14" s="59">
        <v>70062620</v>
      </c>
      <c r="T14" s="60">
        <v>71336349.999999985</v>
      </c>
      <c r="U14" s="954">
        <f t="shared" si="4"/>
        <v>0</v>
      </c>
    </row>
    <row r="15" spans="1:21">
      <c r="A15" s="78" t="s">
        <v>172</v>
      </c>
      <c r="B15" s="75">
        <f>665907.708038671*(1000)</f>
        <v>665907708.0386709</v>
      </c>
      <c r="C15" s="59">
        <f>820165.031*(1000)</f>
        <v>820165031</v>
      </c>
      <c r="D15" s="59">
        <v>943328047</v>
      </c>
      <c r="E15" s="975">
        <v>1120767704.0000002</v>
      </c>
      <c r="F15" s="973">
        <v>1216335292</v>
      </c>
      <c r="G15" s="976">
        <f>174591.733078744*(1000)</f>
        <v>174591733.07874399</v>
      </c>
      <c r="H15" s="59">
        <f>157505.958998361*(1000)</f>
        <v>157505958.99836099</v>
      </c>
      <c r="I15" s="59">
        <v>113605202.06956717</v>
      </c>
      <c r="J15" s="975">
        <v>93417913.348614618</v>
      </c>
      <c r="K15" s="973">
        <v>97864946</v>
      </c>
      <c r="L15" s="976">
        <f>741773.503207226*(1000)</f>
        <v>741773503.20722604</v>
      </c>
      <c r="M15" s="59">
        <f>848217.090165808*(1000)</f>
        <v>848217090.16580796</v>
      </c>
      <c r="N15" s="59">
        <v>906733974.2437768</v>
      </c>
      <c r="O15" s="975">
        <v>1028555971.272519</v>
      </c>
      <c r="P15" s="973">
        <v>1117640399</v>
      </c>
      <c r="Q15" s="976">
        <v>69084500</v>
      </c>
      <c r="R15" s="59">
        <v>66339740.000000007</v>
      </c>
      <c r="S15" s="59">
        <v>62057520</v>
      </c>
      <c r="T15" s="60">
        <v>57434770</v>
      </c>
      <c r="U15" s="954">
        <f t="shared" si="4"/>
        <v>0</v>
      </c>
    </row>
    <row r="16" spans="1:21">
      <c r="A16" s="78" t="s">
        <v>173</v>
      </c>
      <c r="B16" s="75">
        <f>392331.048659264*(1000)</f>
        <v>392331048.65926397</v>
      </c>
      <c r="C16" s="59">
        <f>522287.338*(1000)</f>
        <v>522287338</v>
      </c>
      <c r="D16" s="59">
        <v>628889231.00000012</v>
      </c>
      <c r="E16" s="975">
        <v>750762899.99999988</v>
      </c>
      <c r="F16" s="974">
        <v>803208635</v>
      </c>
      <c r="G16" s="976">
        <f>142648.178780754*(1000)</f>
        <v>142648178.780754</v>
      </c>
      <c r="H16" s="59">
        <f>88457.5461504067*(1000)</f>
        <v>88457546.150406703</v>
      </c>
      <c r="I16" s="59">
        <v>35199519.337876834</v>
      </c>
      <c r="J16" s="975">
        <v>23838048.443169709</v>
      </c>
      <c r="K16" s="973">
        <v>26444715</v>
      </c>
      <c r="L16" s="976">
        <f>898698.261959704*(1000)</f>
        <v>898698261.95970404</v>
      </c>
      <c r="M16" s="59">
        <f>992051.840997802*(1000)</f>
        <v>992051840.99780202</v>
      </c>
      <c r="N16" s="59">
        <v>1073723938.3452269</v>
      </c>
      <c r="O16" s="975">
        <v>1203183919.1896842</v>
      </c>
      <c r="P16" s="973">
        <v>1214221924</v>
      </c>
      <c r="Q16" s="989">
        <v>0</v>
      </c>
      <c r="R16" s="68">
        <v>0</v>
      </c>
      <c r="S16" s="68">
        <v>0</v>
      </c>
      <c r="T16" s="71">
        <v>0</v>
      </c>
      <c r="U16" s="954">
        <f t="shared" si="4"/>
        <v>0</v>
      </c>
    </row>
    <row r="17" spans="1:24">
      <c r="A17" s="78" t="s">
        <v>174</v>
      </c>
      <c r="B17" s="75">
        <f>359084.67650777*(1000)</f>
        <v>359084676.50777</v>
      </c>
      <c r="C17" s="59">
        <f>444825.636*(1000)</f>
        <v>444825636</v>
      </c>
      <c r="D17" s="59">
        <v>511689325.99999988</v>
      </c>
      <c r="E17" s="975">
        <v>588349213.99999988</v>
      </c>
      <c r="F17" s="974">
        <v>625181695</v>
      </c>
      <c r="G17" s="976">
        <f>112976.617463516*(1000)</f>
        <v>112976617.463516</v>
      </c>
      <c r="H17" s="59">
        <f>86559.8320273026*(1000)</f>
        <v>86559832.027302608</v>
      </c>
      <c r="I17" s="59">
        <v>58018800.25237038</v>
      </c>
      <c r="J17" s="975">
        <v>44717206.848095641</v>
      </c>
      <c r="K17" s="973">
        <v>54253797</v>
      </c>
      <c r="L17" s="976">
        <f>368256.88875392*(1000)</f>
        <v>368256888.75391996</v>
      </c>
      <c r="M17" s="59">
        <f>403687.145517378*(1000)</f>
        <v>403687145.51737797</v>
      </c>
      <c r="N17" s="59">
        <v>429021568.87595439</v>
      </c>
      <c r="O17" s="975">
        <v>467435777.73624778</v>
      </c>
      <c r="P17" s="973">
        <v>482949689</v>
      </c>
      <c r="Q17" s="976">
        <v>37124630</v>
      </c>
      <c r="R17" s="59">
        <v>35061760</v>
      </c>
      <c r="S17" s="59">
        <v>33662520</v>
      </c>
      <c r="T17" s="60">
        <v>31886719.999999996</v>
      </c>
      <c r="U17" s="954">
        <f t="shared" si="4"/>
        <v>0</v>
      </c>
    </row>
    <row r="18" spans="1:24">
      <c r="A18" s="78" t="s">
        <v>175</v>
      </c>
      <c r="B18" s="75">
        <f>701324.890376492*(1000)</f>
        <v>701324890.37649202</v>
      </c>
      <c r="C18" s="59">
        <f>898932.823*(1000)</f>
        <v>898932823</v>
      </c>
      <c r="D18" s="59">
        <v>1106865965</v>
      </c>
      <c r="E18" s="975">
        <v>1290226164</v>
      </c>
      <c r="F18" s="974">
        <v>1379495065</v>
      </c>
      <c r="G18" s="976">
        <f>365487.157213988*(1000)</f>
        <v>365487157.21398801</v>
      </c>
      <c r="H18" s="59">
        <f>315407.473133575*(1000)</f>
        <v>315407473.13357502</v>
      </c>
      <c r="I18" s="59">
        <v>184815719.65820929</v>
      </c>
      <c r="J18" s="975">
        <v>163341849.35174805</v>
      </c>
      <c r="K18" s="973">
        <v>153903009</v>
      </c>
      <c r="L18" s="976">
        <f>1056328.99671246*(1000)</f>
        <v>1056328996.7124599</v>
      </c>
      <c r="M18" s="59">
        <f>1209430.71585289*(1000)</f>
        <v>1209430715.85289</v>
      </c>
      <c r="N18" s="59">
        <v>1298884251.3705549</v>
      </c>
      <c r="O18" s="975">
        <v>1470516816.8470907</v>
      </c>
      <c r="P18" s="973">
        <v>1549418213</v>
      </c>
      <c r="Q18" s="976">
        <v>65243240</v>
      </c>
      <c r="R18" s="59">
        <v>66057329.999999985</v>
      </c>
      <c r="S18" s="59">
        <v>63169420</v>
      </c>
      <c r="T18" s="60">
        <v>60438590.000000007</v>
      </c>
      <c r="U18" s="954">
        <f t="shared" si="4"/>
        <v>0</v>
      </c>
    </row>
    <row r="19" spans="1:24">
      <c r="A19" s="78" t="s">
        <v>176</v>
      </c>
      <c r="B19" s="75">
        <f>279290.036649657*(1000)</f>
        <v>279290036.64965701</v>
      </c>
      <c r="C19" s="59">
        <f>345390.95*(1000)</f>
        <v>345390950</v>
      </c>
      <c r="D19" s="59">
        <v>373985900</v>
      </c>
      <c r="E19" s="975">
        <v>454910226</v>
      </c>
      <c r="F19" s="974">
        <v>500001489</v>
      </c>
      <c r="G19" s="976">
        <f>33108.0912749585*(1000)</f>
        <v>33108091.274958495</v>
      </c>
      <c r="H19" s="59">
        <f>19251.8208576658*(1000)</f>
        <v>19251820.8576658</v>
      </c>
      <c r="I19" s="59">
        <v>13860122.604349308</v>
      </c>
      <c r="J19" s="975">
        <v>15980709.074927276</v>
      </c>
      <c r="K19" s="973">
        <v>17938350</v>
      </c>
      <c r="L19" s="976">
        <f>388291.904226146*(1000)</f>
        <v>388291904.22614598</v>
      </c>
      <c r="M19" s="59">
        <f>439751.043927211*(1000)</f>
        <v>439751043.92721105</v>
      </c>
      <c r="N19" s="59">
        <v>443743209.06409448</v>
      </c>
      <c r="O19" s="975">
        <v>518735555.89228237</v>
      </c>
      <c r="P19" s="973">
        <v>550483151</v>
      </c>
      <c r="Q19" s="989">
        <v>213879.99999999997</v>
      </c>
      <c r="R19" s="59">
        <v>0</v>
      </c>
      <c r="S19" s="59">
        <v>0</v>
      </c>
      <c r="T19" s="60">
        <v>0</v>
      </c>
      <c r="U19" s="954">
        <f t="shared" si="4"/>
        <v>0</v>
      </c>
    </row>
    <row r="20" spans="1:24">
      <c r="A20" s="78" t="s">
        <v>177</v>
      </c>
      <c r="B20" s="75">
        <f>334293.332658033*(1000)</f>
        <v>334293332.65803301</v>
      </c>
      <c r="C20" s="59">
        <f>403549.728*(1000)</f>
        <v>403549728</v>
      </c>
      <c r="D20" s="59">
        <v>484517099</v>
      </c>
      <c r="E20" s="975">
        <v>561903619.00000012</v>
      </c>
      <c r="F20" s="974">
        <v>605600692</v>
      </c>
      <c r="G20" s="976">
        <f>98373.7012650446*(1000)</f>
        <v>98373701.2650446</v>
      </c>
      <c r="H20" s="59">
        <f>79156.0376674712*(1000)</f>
        <v>79156037.6674712</v>
      </c>
      <c r="I20" s="59">
        <v>55271139.101641275</v>
      </c>
      <c r="J20" s="975">
        <v>46051006.066640168</v>
      </c>
      <c r="K20" s="973">
        <v>48016982</v>
      </c>
      <c r="L20" s="976">
        <f>387883.273300649*(1000)</f>
        <v>387883273.30064899</v>
      </c>
      <c r="M20" s="59">
        <f>409139.172970515*(1000)</f>
        <v>409139172.97051495</v>
      </c>
      <c r="N20" s="59">
        <v>437260888.74418187</v>
      </c>
      <c r="O20" s="975">
        <v>518410512.9771046</v>
      </c>
      <c r="P20" s="973">
        <v>562592719</v>
      </c>
      <c r="Q20" s="976">
        <v>67228470</v>
      </c>
      <c r="R20" s="59">
        <v>65665410</v>
      </c>
      <c r="S20" s="59">
        <v>58627470</v>
      </c>
      <c r="T20" s="60">
        <v>53731649.999999993</v>
      </c>
      <c r="U20" s="954">
        <f t="shared" si="4"/>
        <v>0</v>
      </c>
    </row>
    <row r="21" spans="1:24">
      <c r="A21" s="79" t="s">
        <v>178</v>
      </c>
      <c r="B21" s="76">
        <f>210071.202311754*(1000)</f>
        <v>210071202.31175399</v>
      </c>
      <c r="C21" s="61">
        <f>259063.29*(1000)</f>
        <v>259063290</v>
      </c>
      <c r="D21" s="61">
        <v>298401148.00000006</v>
      </c>
      <c r="E21" s="975">
        <v>340092125</v>
      </c>
      <c r="F21" s="974">
        <v>366897070</v>
      </c>
      <c r="G21" s="977">
        <f>52496.4151476841*(1000)</f>
        <v>52496415.147684097</v>
      </c>
      <c r="H21" s="61">
        <f>39229.3409130793*(1000)</f>
        <v>39229340.913079299</v>
      </c>
      <c r="I21" s="61">
        <v>25245969.830281086</v>
      </c>
      <c r="J21" s="975">
        <v>21122420.744644925</v>
      </c>
      <c r="K21" s="973">
        <v>20763227</v>
      </c>
      <c r="L21" s="977">
        <f>294802.829207139*(1000)</f>
        <v>294802829.20713896</v>
      </c>
      <c r="M21" s="61">
        <f>326690.621684766*(1000)</f>
        <v>326690621.68476605</v>
      </c>
      <c r="N21" s="61">
        <v>337299598.89417487</v>
      </c>
      <c r="O21" s="975">
        <v>355820377.3619566</v>
      </c>
      <c r="P21" s="973">
        <v>364626441</v>
      </c>
      <c r="Q21" s="977">
        <v>40909270.000000007</v>
      </c>
      <c r="R21" s="61">
        <v>35007750</v>
      </c>
      <c r="S21" s="61">
        <v>31853390</v>
      </c>
      <c r="T21" s="62">
        <v>31264510.000000004</v>
      </c>
      <c r="U21" s="955">
        <f t="shared" si="4"/>
        <v>0</v>
      </c>
    </row>
    <row r="22" spans="1:24">
      <c r="A22" s="174" t="s">
        <v>90</v>
      </c>
      <c r="B22" s="172">
        <f>SUM(B23:B26)</f>
        <v>11852960587.851254</v>
      </c>
      <c r="C22" s="172">
        <f t="shared" ref="C22:U22" si="5">SUM(C23:C26)</f>
        <v>13619626480</v>
      </c>
      <c r="D22" s="172">
        <f t="shared" si="5"/>
        <v>16557624169</v>
      </c>
      <c r="E22" s="172">
        <f t="shared" si="5"/>
        <v>18057587033</v>
      </c>
      <c r="F22" s="172">
        <f t="shared" si="5"/>
        <v>18610788276</v>
      </c>
      <c r="G22" s="172">
        <f t="shared" si="5"/>
        <v>10860074516.085039</v>
      </c>
      <c r="H22" s="172">
        <f t="shared" si="5"/>
        <v>10044634400.516945</v>
      </c>
      <c r="I22" s="172">
        <f t="shared" si="5"/>
        <v>7646564710.799305</v>
      </c>
      <c r="J22" s="172">
        <f t="shared" si="5"/>
        <v>6841199819.5480185</v>
      </c>
      <c r="K22" s="172">
        <f t="shared" si="5"/>
        <v>8008672542</v>
      </c>
      <c r="L22" s="172">
        <f t="shared" si="5"/>
        <v>19534066819.579735</v>
      </c>
      <c r="M22" s="172">
        <f t="shared" si="5"/>
        <v>21567541478.367958</v>
      </c>
      <c r="N22" s="172">
        <f t="shared" si="5"/>
        <v>22779951253.052807</v>
      </c>
      <c r="O22" s="172">
        <f t="shared" si="5"/>
        <v>23816232087.348534</v>
      </c>
      <c r="P22" s="172">
        <f t="shared" si="5"/>
        <v>24573054291</v>
      </c>
      <c r="Q22" s="172">
        <f t="shared" si="5"/>
        <v>1445934590</v>
      </c>
      <c r="R22" s="172">
        <f t="shared" si="5"/>
        <v>1373251550</v>
      </c>
      <c r="S22" s="172">
        <f t="shared" si="5"/>
        <v>1350011210</v>
      </c>
      <c r="T22" s="172">
        <f t="shared" si="5"/>
        <v>1347947710</v>
      </c>
      <c r="U22" s="172">
        <f t="shared" si="5"/>
        <v>0</v>
      </c>
    </row>
    <row r="23" spans="1:24">
      <c r="A23" s="77" t="s">
        <v>179</v>
      </c>
      <c r="B23" s="74">
        <f>511197.594614104*(1000)</f>
        <v>511197594.61410403</v>
      </c>
      <c r="C23" s="66">
        <f>638223.617*(1000)</f>
        <v>638223617</v>
      </c>
      <c r="D23" s="66">
        <v>715752591</v>
      </c>
      <c r="E23" s="975">
        <v>821777451.99999988</v>
      </c>
      <c r="F23" s="973">
        <v>861718453</v>
      </c>
      <c r="G23" s="961">
        <f>172831.926269959*(1000)</f>
        <v>172831926.269959</v>
      </c>
      <c r="H23" s="66">
        <f>85759.1299166996*(1000)</f>
        <v>85759129.916699603</v>
      </c>
      <c r="I23" s="66">
        <v>55732652.153135248</v>
      </c>
      <c r="J23" s="975">
        <v>47371000.701795287</v>
      </c>
      <c r="K23" s="973">
        <v>41948704</v>
      </c>
      <c r="L23" s="961">
        <f>895382.998058104*(1000)</f>
        <v>895382998.05810392</v>
      </c>
      <c r="M23" s="66">
        <f>1002010.06731332*(1000)</f>
        <v>1002010067.31332</v>
      </c>
      <c r="N23" s="66">
        <v>1104281965.4887547</v>
      </c>
      <c r="O23" s="975">
        <v>1163872026.8935657</v>
      </c>
      <c r="P23" s="973">
        <v>1168038835</v>
      </c>
      <c r="Q23" s="961">
        <v>38835410</v>
      </c>
      <c r="R23" s="66">
        <v>34023090</v>
      </c>
      <c r="S23" s="66">
        <v>37965360</v>
      </c>
      <c r="T23" s="67">
        <v>36890640</v>
      </c>
      <c r="U23" s="953">
        <f t="shared" ref="P23:U26" si="6">0*(1000)</f>
        <v>0</v>
      </c>
    </row>
    <row r="24" spans="1:24">
      <c r="A24" s="78" t="s">
        <v>180</v>
      </c>
      <c r="B24" s="75">
        <f>3008093.69397715*(1000)</f>
        <v>3008093693.97715</v>
      </c>
      <c r="C24" s="59">
        <f>3677903.756*(1000)</f>
        <v>3677903756</v>
      </c>
      <c r="D24" s="59">
        <v>4099918354.9999995</v>
      </c>
      <c r="E24" s="975">
        <v>4459305494</v>
      </c>
      <c r="F24" s="973">
        <v>4655426520</v>
      </c>
      <c r="G24" s="976">
        <f>1204429.52923545*(1000)</f>
        <v>1204429529.23545</v>
      </c>
      <c r="H24" s="59">
        <f>838161.037580847*(1000)</f>
        <v>838161037.58084702</v>
      </c>
      <c r="I24" s="59">
        <v>568764820.79061139</v>
      </c>
      <c r="J24" s="975">
        <v>524092213.75985742</v>
      </c>
      <c r="K24" s="973">
        <v>726896115</v>
      </c>
      <c r="L24" s="976">
        <f>5756419.71817904*(1000)</f>
        <v>5756419718.17904</v>
      </c>
      <c r="M24" s="59">
        <f>6446226.66855481*(1000)</f>
        <v>6446226668.5548096</v>
      </c>
      <c r="N24" s="59">
        <v>6862371865.8683691</v>
      </c>
      <c r="O24" s="975">
        <v>7100499594.7529154</v>
      </c>
      <c r="P24" s="973">
        <v>7383990985</v>
      </c>
      <c r="Q24" s="976">
        <v>53446159.999999993</v>
      </c>
      <c r="R24" s="59">
        <v>44146939.999999985</v>
      </c>
      <c r="S24" s="59">
        <v>40544300</v>
      </c>
      <c r="T24" s="60">
        <v>41546600.000000007</v>
      </c>
      <c r="U24" s="954">
        <f t="shared" si="6"/>
        <v>0</v>
      </c>
    </row>
    <row r="25" spans="1:24">
      <c r="A25" s="78" t="s">
        <v>181</v>
      </c>
      <c r="B25" s="75">
        <f>1636890.67749678*(1000)</f>
        <v>1636890677.4967799</v>
      </c>
      <c r="C25" s="59">
        <f>1867262.452*(1000)</f>
        <v>1867262452</v>
      </c>
      <c r="D25" s="59">
        <v>2280077810.9999995</v>
      </c>
      <c r="E25" s="975">
        <v>2470659318</v>
      </c>
      <c r="F25" s="973">
        <v>2616821210</v>
      </c>
      <c r="G25" s="976">
        <f>872813.849446741*(1000)</f>
        <v>872813849.4467411</v>
      </c>
      <c r="H25" s="59">
        <f>746457.536244469*(1000)</f>
        <v>746457536.24446905</v>
      </c>
      <c r="I25" s="59">
        <v>531759959.78101599</v>
      </c>
      <c r="J25" s="975">
        <v>435277074.83209491</v>
      </c>
      <c r="K25" s="973">
        <v>583074856</v>
      </c>
      <c r="L25" s="976">
        <f>2482817.82928089*(1000)</f>
        <v>2482817829.28089</v>
      </c>
      <c r="M25" s="59">
        <f>2681353.93984543*(1000)</f>
        <v>2681353939.8454304</v>
      </c>
      <c r="N25" s="59">
        <v>2911125700.5160565</v>
      </c>
      <c r="O25" s="975">
        <v>3012725673.7822204</v>
      </c>
      <c r="P25" s="973">
        <v>2994174508</v>
      </c>
      <c r="Q25" s="976">
        <v>957914120</v>
      </c>
      <c r="R25" s="59">
        <v>952872249.99999988</v>
      </c>
      <c r="S25" s="59">
        <v>955900470</v>
      </c>
      <c r="T25" s="60">
        <v>969347120.00000012</v>
      </c>
      <c r="U25" s="954">
        <f t="shared" si="6"/>
        <v>0</v>
      </c>
    </row>
    <row r="26" spans="1:24">
      <c r="A26" s="79" t="s">
        <v>182</v>
      </c>
      <c r="B26" s="76">
        <f>6696778.62176322*(1000)</f>
        <v>6696778621.7632198</v>
      </c>
      <c r="C26" s="61">
        <f>7436236.655*(1000)</f>
        <v>7436236655</v>
      </c>
      <c r="D26" s="61">
        <v>9461875412</v>
      </c>
      <c r="E26" s="975">
        <v>10305844768.999998</v>
      </c>
      <c r="F26" s="973">
        <v>10476822093</v>
      </c>
      <c r="G26" s="977">
        <f>8609999.21113289*(1000)</f>
        <v>8609999211.1328888</v>
      </c>
      <c r="H26" s="61">
        <f>8374256.69677493*(1000)</f>
        <v>8374256696.77493</v>
      </c>
      <c r="I26" s="61">
        <v>6490307278.074542</v>
      </c>
      <c r="J26" s="975">
        <v>5834459530.2542706</v>
      </c>
      <c r="K26" s="973">
        <v>6656752867</v>
      </c>
      <c r="L26" s="977">
        <f>10399446.2740617*(1000)</f>
        <v>10399446274.061701</v>
      </c>
      <c r="M26" s="61">
        <f>11437950.8026544*(1000)</f>
        <v>11437950802.6544</v>
      </c>
      <c r="N26" s="61">
        <v>11902171721.179626</v>
      </c>
      <c r="O26" s="975">
        <v>12539134791.91983</v>
      </c>
      <c r="P26" s="973">
        <v>13026849963</v>
      </c>
      <c r="Q26" s="977">
        <v>395738900</v>
      </c>
      <c r="R26" s="61">
        <v>342209270</v>
      </c>
      <c r="S26" s="61">
        <v>315601080</v>
      </c>
      <c r="T26" s="62">
        <v>300163350</v>
      </c>
      <c r="U26" s="955">
        <f t="shared" si="6"/>
        <v>0</v>
      </c>
    </row>
    <row r="27" spans="1:24">
      <c r="A27" s="174" t="s">
        <v>91</v>
      </c>
      <c r="B27" s="172">
        <f>SUM(B28:B30)</f>
        <v>5301278691.4635601</v>
      </c>
      <c r="C27" s="172">
        <f t="shared" ref="C27:U27" si="7">SUM(C28:C30)</f>
        <v>6255753424</v>
      </c>
      <c r="D27" s="172">
        <f t="shared" si="7"/>
        <v>7225416080</v>
      </c>
      <c r="E27" s="172">
        <f t="shared" si="7"/>
        <v>8078218288</v>
      </c>
      <c r="F27" s="972">
        <f t="shared" si="7"/>
        <v>8413976882</v>
      </c>
      <c r="G27" s="172">
        <f t="shared" si="7"/>
        <v>2094708106.951539</v>
      </c>
      <c r="H27" s="172">
        <f t="shared" si="7"/>
        <v>1878487276.953815</v>
      </c>
      <c r="I27" s="172">
        <f t="shared" si="7"/>
        <v>1071575758.0611553</v>
      </c>
      <c r="J27" s="172">
        <f t="shared" si="7"/>
        <v>1024502755.7509989</v>
      </c>
      <c r="K27" s="172">
        <f t="shared" si="7"/>
        <v>1350847852</v>
      </c>
      <c r="L27" s="172">
        <f t="shared" si="7"/>
        <v>8627412350.8752499</v>
      </c>
      <c r="M27" s="172">
        <f t="shared" si="7"/>
        <v>9467073890.1816311</v>
      </c>
      <c r="N27" s="172">
        <f t="shared" si="7"/>
        <v>10013248222.622086</v>
      </c>
      <c r="O27" s="172">
        <f t="shared" si="7"/>
        <v>10471119228.886753</v>
      </c>
      <c r="P27" s="172">
        <f t="shared" si="7"/>
        <v>11100222134</v>
      </c>
      <c r="Q27" s="172">
        <f t="shared" si="7"/>
        <v>235514820</v>
      </c>
      <c r="R27" s="172">
        <f t="shared" si="7"/>
        <v>241353430</v>
      </c>
      <c r="S27" s="172">
        <f t="shared" si="7"/>
        <v>249027090</v>
      </c>
      <c r="T27" s="172">
        <f t="shared" si="7"/>
        <v>240386020</v>
      </c>
      <c r="U27" s="172">
        <f t="shared" si="7"/>
        <v>0</v>
      </c>
    </row>
    <row r="28" spans="1:24">
      <c r="A28" s="77" t="s">
        <v>183</v>
      </c>
      <c r="B28" s="74">
        <f>1604062.92087627*(1000)</f>
        <v>1604062920.8762698</v>
      </c>
      <c r="C28" s="66">
        <f>1885665.168*(1000)</f>
        <v>1885665168</v>
      </c>
      <c r="D28" s="66">
        <v>2403005273.9999995</v>
      </c>
      <c r="E28" s="975">
        <v>2771272221</v>
      </c>
      <c r="F28" s="973">
        <v>2752702114</v>
      </c>
      <c r="G28" s="961">
        <f>1193029.92345431*(1000)</f>
        <v>1193029923.4543099</v>
      </c>
      <c r="H28" s="66">
        <f>1347000.53175202*(1000)</f>
        <v>1347000531.7520199</v>
      </c>
      <c r="I28" s="66">
        <v>811371728.31188715</v>
      </c>
      <c r="J28" s="975">
        <v>814623776.64645052</v>
      </c>
      <c r="K28" s="973">
        <v>1128902480</v>
      </c>
      <c r="L28" s="961">
        <f>3853964.3133793*(1000)</f>
        <v>3853964313.3792996</v>
      </c>
      <c r="M28" s="66">
        <f>4226262.15089835*(1000)</f>
        <v>4226262150.8983502</v>
      </c>
      <c r="N28" s="66">
        <v>4482583824.7429571</v>
      </c>
      <c r="O28" s="975">
        <v>4758257187.4096069</v>
      </c>
      <c r="P28" s="973">
        <v>5059363048</v>
      </c>
      <c r="Q28" s="961">
        <v>29242170</v>
      </c>
      <c r="R28" s="66">
        <v>29985059.999999996</v>
      </c>
      <c r="S28" s="66">
        <v>32400120</v>
      </c>
      <c r="T28" s="67">
        <v>33066570.000000007</v>
      </c>
      <c r="U28" s="953">
        <f t="shared" ref="P28:U30" si="8">0*(1000)</f>
        <v>0</v>
      </c>
    </row>
    <row r="29" spans="1:24">
      <c r="A29" s="78" t="s">
        <v>184</v>
      </c>
      <c r="B29" s="75">
        <f>2245512.79816754*(1000)</f>
        <v>2245512798.1675401</v>
      </c>
      <c r="C29" s="59">
        <f>2582903.536*(1000)</f>
        <v>2582903536</v>
      </c>
      <c r="D29" s="59">
        <v>2813757284.0000005</v>
      </c>
      <c r="E29" s="975">
        <v>3081486602.0000005</v>
      </c>
      <c r="F29" s="973">
        <v>3297196148</v>
      </c>
      <c r="G29" s="976">
        <f>403028.333460536*(1000)</f>
        <v>403028333.460536</v>
      </c>
      <c r="H29" s="59">
        <f>240893.303868626*(1000)</f>
        <v>240893303.868626</v>
      </c>
      <c r="I29" s="59">
        <v>137121913.11809677</v>
      </c>
      <c r="J29" s="975">
        <v>115215870.71337542</v>
      </c>
      <c r="K29" s="973">
        <v>111449651</v>
      </c>
      <c r="L29" s="976">
        <f>2771815.52931556*(1000)</f>
        <v>2771815529.3155603</v>
      </c>
      <c r="M29" s="59">
        <f>3057884.57043217*(1000)</f>
        <v>3057884570.4321699</v>
      </c>
      <c r="N29" s="59">
        <v>3231545852.1601534</v>
      </c>
      <c r="O29" s="975">
        <v>3334368583.0946288</v>
      </c>
      <c r="P29" s="973">
        <v>3561071019</v>
      </c>
      <c r="Q29" s="976">
        <v>76559670.000000015</v>
      </c>
      <c r="R29" s="59">
        <v>79879590</v>
      </c>
      <c r="S29" s="59">
        <v>82084080</v>
      </c>
      <c r="T29" s="60">
        <v>80706700.000000015</v>
      </c>
      <c r="U29" s="954">
        <f t="shared" si="8"/>
        <v>0</v>
      </c>
    </row>
    <row r="30" spans="1:24">
      <c r="A30" s="79" t="s">
        <v>185</v>
      </c>
      <c r="B30" s="76">
        <f>1451702.97241975*(1000)</f>
        <v>1451702972.41975</v>
      </c>
      <c r="C30" s="61">
        <f>1787184.72*(1000)</f>
        <v>1787184720</v>
      </c>
      <c r="D30" s="61">
        <v>2008653522</v>
      </c>
      <c r="E30" s="975">
        <v>2225459465</v>
      </c>
      <c r="F30" s="973">
        <v>2364078620</v>
      </c>
      <c r="G30" s="977">
        <f>498649.850036693*(1000)</f>
        <v>498649850.03669298</v>
      </c>
      <c r="H30" s="61">
        <f>290593.441333169*(1000)</f>
        <v>290593441.33316898</v>
      </c>
      <c r="I30" s="61">
        <v>123082116.63117148</v>
      </c>
      <c r="J30" s="975">
        <v>94663108.391172841</v>
      </c>
      <c r="K30" s="973">
        <v>110495721</v>
      </c>
      <c r="L30" s="977">
        <f>2001632.50818039*(1000)</f>
        <v>2001632508.1803901</v>
      </c>
      <c r="M30" s="61">
        <f>2182927.16885111*(1000)</f>
        <v>2182927168.85111</v>
      </c>
      <c r="N30" s="61">
        <v>2299118545.7189746</v>
      </c>
      <c r="O30" s="975">
        <v>2378493458.3825169</v>
      </c>
      <c r="P30" s="973">
        <v>2479788067</v>
      </c>
      <c r="Q30" s="977">
        <v>129712980</v>
      </c>
      <c r="R30" s="61">
        <v>131488780</v>
      </c>
      <c r="S30" s="61">
        <v>134542890</v>
      </c>
      <c r="T30" s="62">
        <v>126612749.99999999</v>
      </c>
      <c r="U30" s="955">
        <f t="shared" si="8"/>
        <v>0</v>
      </c>
      <c r="X30" s="59"/>
    </row>
    <row r="31" spans="1:24">
      <c r="A31" s="174" t="s">
        <v>92</v>
      </c>
      <c r="B31" s="172">
        <f>SUM(B32:B35)</f>
        <v>2440397347.3265481</v>
      </c>
      <c r="C31" s="172">
        <f t="shared" ref="C31:U31" si="9">SUM(C32:C35)</f>
        <v>2828152088</v>
      </c>
      <c r="D31" s="172">
        <f t="shared" si="9"/>
        <v>3299047369.9999995</v>
      </c>
      <c r="E31" s="172">
        <f t="shared" si="9"/>
        <v>3761553983</v>
      </c>
      <c r="F31" s="972">
        <f t="shared" si="9"/>
        <v>3910751342</v>
      </c>
      <c r="G31" s="172">
        <f t="shared" si="9"/>
        <v>1614952523.3698161</v>
      </c>
      <c r="H31" s="172">
        <f t="shared" si="9"/>
        <v>1569794564.12643</v>
      </c>
      <c r="I31" s="172">
        <f t="shared" si="9"/>
        <v>1233525770.1655929</v>
      </c>
      <c r="J31" s="172">
        <f t="shared" si="9"/>
        <v>1209494268.6339264</v>
      </c>
      <c r="K31" s="172">
        <f t="shared" si="9"/>
        <v>1549957394</v>
      </c>
      <c r="L31" s="172">
        <f t="shared" si="9"/>
        <v>5134405359.9932823</v>
      </c>
      <c r="M31" s="172">
        <f t="shared" si="9"/>
        <v>5623528652.0317574</v>
      </c>
      <c r="N31" s="172">
        <f t="shared" si="9"/>
        <v>5998399773.2572184</v>
      </c>
      <c r="O31" s="172">
        <f t="shared" si="9"/>
        <v>6788698552.955471</v>
      </c>
      <c r="P31" s="172">
        <f t="shared" si="9"/>
        <v>7453887936</v>
      </c>
      <c r="Q31" s="172">
        <f t="shared" si="9"/>
        <v>16289350</v>
      </c>
      <c r="R31" s="172">
        <f t="shared" si="9"/>
        <v>15256630</v>
      </c>
      <c r="S31" s="172">
        <f t="shared" si="9"/>
        <v>15702410</v>
      </c>
      <c r="T31" s="172">
        <f t="shared" si="9"/>
        <v>13852200</v>
      </c>
      <c r="U31" s="172">
        <f t="shared" si="9"/>
        <v>0</v>
      </c>
    </row>
    <row r="32" spans="1:24">
      <c r="A32" s="77" t="s">
        <v>186</v>
      </c>
      <c r="B32" s="74">
        <f>761670.982532936*(1000)</f>
        <v>761670982.53293598</v>
      </c>
      <c r="C32" s="66">
        <f>899566.911*(1000)</f>
        <v>899566911</v>
      </c>
      <c r="D32" s="66">
        <v>1002018081.9999999</v>
      </c>
      <c r="E32" s="975">
        <v>1079078001.0000002</v>
      </c>
      <c r="F32" s="973">
        <v>1123062260</v>
      </c>
      <c r="G32" s="961">
        <f>239353.890508358*(1000)</f>
        <v>239353890.508358</v>
      </c>
      <c r="H32" s="66">
        <f>134134.603210049*(1000)</f>
        <v>134134603.21004902</v>
      </c>
      <c r="I32" s="66">
        <v>84019777.230146214</v>
      </c>
      <c r="J32" s="975">
        <v>58133628.631815545</v>
      </c>
      <c r="K32" s="973">
        <v>78017273</v>
      </c>
      <c r="L32" s="961">
        <f>366576.795113502*(1000)</f>
        <v>366576795.11350203</v>
      </c>
      <c r="M32" s="66">
        <f>385077.300688088*(1000)</f>
        <v>385077300.688088</v>
      </c>
      <c r="N32" s="66">
        <v>393135295.90257281</v>
      </c>
      <c r="O32" s="975">
        <v>409471614.54592955</v>
      </c>
      <c r="P32" s="973">
        <v>429026715</v>
      </c>
      <c r="Q32" s="961">
        <v>3209550</v>
      </c>
      <c r="R32" s="66">
        <v>3810200.0000000005</v>
      </c>
      <c r="S32" s="66">
        <v>4327510</v>
      </c>
      <c r="T32" s="70">
        <v>3275619.9999999995</v>
      </c>
      <c r="U32" s="957">
        <f t="shared" ref="P32:U35" si="10">0*(1000)</f>
        <v>0</v>
      </c>
    </row>
    <row r="33" spans="1:21">
      <c r="A33" s="78" t="s">
        <v>187</v>
      </c>
      <c r="B33" s="75">
        <f>951247.638267198*(1000)</f>
        <v>951247638.26719797</v>
      </c>
      <c r="C33" s="59">
        <f>1083507.324*(1000)</f>
        <v>1083507324</v>
      </c>
      <c r="D33" s="59">
        <v>1256556805.9999998</v>
      </c>
      <c r="E33" s="975">
        <v>1446209174</v>
      </c>
      <c r="F33" s="973">
        <v>1529630010</v>
      </c>
      <c r="G33" s="976">
        <f>773681.477433324*(1000)</f>
        <v>773681477.43332398</v>
      </c>
      <c r="H33" s="59">
        <f>851077.0896618*(1000)</f>
        <v>851077089.66179991</v>
      </c>
      <c r="I33" s="59">
        <v>705069381.04590428</v>
      </c>
      <c r="J33" s="975">
        <v>688742693.34835494</v>
      </c>
      <c r="K33" s="973">
        <v>852546530</v>
      </c>
      <c r="L33" s="976">
        <f>1920657.87808545*(1000)</f>
        <v>1920657878.0854499</v>
      </c>
      <c r="M33" s="59">
        <f>2166832.46553788*(1000)</f>
        <v>2166832465.5378799</v>
      </c>
      <c r="N33" s="59">
        <v>2310828956.1970582</v>
      </c>
      <c r="O33" s="975">
        <v>2648372871.1433907</v>
      </c>
      <c r="P33" s="973">
        <v>2965275419</v>
      </c>
      <c r="Q33" s="976">
        <v>1094700</v>
      </c>
      <c r="R33" s="59">
        <v>1053330.0000000002</v>
      </c>
      <c r="S33" s="59">
        <v>1196530</v>
      </c>
      <c r="T33" s="60">
        <v>1297350</v>
      </c>
      <c r="U33" s="958">
        <f t="shared" si="10"/>
        <v>0</v>
      </c>
    </row>
    <row r="34" spans="1:21">
      <c r="A34" s="78" t="s">
        <v>188</v>
      </c>
      <c r="B34" s="75">
        <f>354940.56720392*(1000)</f>
        <v>354940567.20392001</v>
      </c>
      <c r="C34" s="59">
        <f>393806.617*(1000)</f>
        <v>393806617</v>
      </c>
      <c r="D34" s="59">
        <v>488407839.99999994</v>
      </c>
      <c r="E34" s="975">
        <v>593011550</v>
      </c>
      <c r="F34" s="973">
        <v>586942405</v>
      </c>
      <c r="G34" s="976">
        <f>393940.623312296*(1000)</f>
        <v>393940623.31229597</v>
      </c>
      <c r="H34" s="59">
        <f>416311.031970575*(1000)</f>
        <v>416311031.97057498</v>
      </c>
      <c r="I34" s="59">
        <v>338644586.25795424</v>
      </c>
      <c r="J34" s="975">
        <v>371859104.05798805</v>
      </c>
      <c r="K34" s="973">
        <v>488525365</v>
      </c>
      <c r="L34" s="976">
        <f>1870468.5293029*(1000)</f>
        <v>1870468529.3029001</v>
      </c>
      <c r="M34" s="59">
        <f>2001637.1990394*(1000)</f>
        <v>2001637199.0394001</v>
      </c>
      <c r="N34" s="59">
        <v>2137732532.5958486</v>
      </c>
      <c r="O34" s="975">
        <v>2485880779.2211285</v>
      </c>
      <c r="P34" s="973">
        <v>2704023994</v>
      </c>
      <c r="Q34" s="976">
        <v>2051450.0000000002</v>
      </c>
      <c r="R34" s="59">
        <v>1734500</v>
      </c>
      <c r="S34" s="59">
        <v>2066260.0000000002</v>
      </c>
      <c r="T34" s="60">
        <v>2326170</v>
      </c>
      <c r="U34" s="958">
        <f t="shared" si="10"/>
        <v>0</v>
      </c>
    </row>
    <row r="35" spans="1:21">
      <c r="A35" s="79" t="s">
        <v>189</v>
      </c>
      <c r="B35" s="76">
        <f>372538.159322494*(1000)</f>
        <v>372538159.32249403</v>
      </c>
      <c r="C35" s="61">
        <f>451271.236*(1000)</f>
        <v>451271236</v>
      </c>
      <c r="D35" s="61">
        <v>552064642</v>
      </c>
      <c r="E35" s="975">
        <v>643255257.99999988</v>
      </c>
      <c r="F35" s="973">
        <v>671116667</v>
      </c>
      <c r="G35" s="977">
        <f>207976.532115838*(1000)</f>
        <v>207976532.11583799</v>
      </c>
      <c r="H35" s="61">
        <f>168271.839284006*(1000)</f>
        <v>168271839.284006</v>
      </c>
      <c r="I35" s="61">
        <v>105792025.63158822</v>
      </c>
      <c r="J35" s="975">
        <v>90758842.595768005</v>
      </c>
      <c r="K35" s="973">
        <v>130868226</v>
      </c>
      <c r="L35" s="977">
        <f>976702.15749143*(1000)</f>
        <v>976702157.49143004</v>
      </c>
      <c r="M35" s="61">
        <f>1069981.68676639*(1000)</f>
        <v>1069981686.76639</v>
      </c>
      <c r="N35" s="61">
        <v>1156702988.5617392</v>
      </c>
      <c r="O35" s="975">
        <v>1244973288.0450234</v>
      </c>
      <c r="P35" s="973">
        <v>1355561808</v>
      </c>
      <c r="Q35" s="977">
        <v>9933650</v>
      </c>
      <c r="R35" s="61">
        <v>8658599.9999999981</v>
      </c>
      <c r="S35" s="61">
        <v>8112110</v>
      </c>
      <c r="T35" s="62">
        <v>6953059.9999999991</v>
      </c>
      <c r="U35" s="959">
        <f t="shared" si="10"/>
        <v>0</v>
      </c>
    </row>
  </sheetData>
  <mergeCells count="4">
    <mergeCell ref="B1:F1"/>
    <mergeCell ref="G1:K1"/>
    <mergeCell ref="L1:P1"/>
    <mergeCell ref="Q1:U1"/>
  </mergeCells>
  <pageMargins left="0.51181102362204722" right="0.51181102362204722" top="0.78740157480314965" bottom="0.78740157480314965" header="0.31496062992125984" footer="0.31496062992125984"/>
  <pageSetup paperSize="9"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6" tint="0.59999389629810485"/>
  </sheetPr>
  <dimension ref="A1:BO409"/>
  <sheetViews>
    <sheetView workbookViewId="0">
      <selection activeCell="Z3" sqref="Z3"/>
    </sheetView>
  </sheetViews>
  <sheetFormatPr defaultColWidth="8.85546875" defaultRowHeight="15"/>
  <cols>
    <col min="1" max="1" width="19.42578125" style="68" customWidth="1"/>
    <col min="2" max="3" width="13.85546875" style="59" bestFit="1" customWidth="1"/>
    <col min="4" max="4" width="14.140625" style="59" bestFit="1" customWidth="1"/>
    <col min="5" max="5" width="12.7109375" style="59" bestFit="1" customWidth="1"/>
    <col min="6" max="6" width="13.85546875" style="57" bestFit="1" customWidth="1"/>
    <col min="7" max="11" width="12.7109375" style="57" customWidth="1"/>
    <col min="12" max="12" width="19.42578125" bestFit="1" customWidth="1"/>
    <col min="13" max="13" width="14.140625" bestFit="1" customWidth="1"/>
    <col min="14" max="15" width="13.85546875" bestFit="1" customWidth="1"/>
    <col min="16" max="21" width="13.85546875" customWidth="1"/>
    <col min="22" max="23" width="14.85546875" bestFit="1" customWidth="1"/>
    <col min="24" max="24" width="16.42578125" bestFit="1" customWidth="1"/>
    <col min="25" max="25" width="13.85546875" bestFit="1" customWidth="1"/>
    <col min="26" max="26" width="8.85546875" style="1"/>
    <col min="27" max="28" width="14.85546875" bestFit="1" customWidth="1"/>
    <col min="29" max="29" width="16.42578125" bestFit="1" customWidth="1"/>
    <col min="30" max="30" width="13.85546875" bestFit="1" customWidth="1"/>
    <col min="31" max="67" width="8.85546875" style="1"/>
  </cols>
  <sheetData>
    <row r="1" spans="1:31">
      <c r="A1" s="1109" t="s">
        <v>190</v>
      </c>
      <c r="B1" s="1100" t="s">
        <v>191</v>
      </c>
      <c r="C1" s="1101"/>
      <c r="D1" s="1101"/>
      <c r="E1" s="1101"/>
      <c r="F1" s="1102"/>
      <c r="G1" s="1103" t="s">
        <v>192</v>
      </c>
      <c r="H1" s="1101"/>
      <c r="I1" s="1101"/>
      <c r="J1" s="1101"/>
      <c r="K1" s="1102"/>
      <c r="L1" s="1103" t="s">
        <v>193</v>
      </c>
      <c r="M1" s="1101"/>
      <c r="N1" s="1101"/>
      <c r="O1" s="1101"/>
      <c r="P1" s="1102"/>
      <c r="Q1" s="1103" t="s">
        <v>193</v>
      </c>
      <c r="R1" s="1101"/>
      <c r="S1" s="1101"/>
      <c r="T1" s="1101"/>
      <c r="U1" s="1102"/>
      <c r="V1" s="1106" t="s">
        <v>194</v>
      </c>
      <c r="W1" s="1107"/>
      <c r="X1" s="1107"/>
      <c r="Y1" s="1107"/>
      <c r="Z1" s="1108"/>
      <c r="AA1" s="1106" t="s">
        <v>194</v>
      </c>
      <c r="AB1" s="1107"/>
      <c r="AC1" s="1107"/>
      <c r="AD1" s="1107"/>
      <c r="AE1" s="1108"/>
    </row>
    <row r="2" spans="1:31">
      <c r="A2" s="1110"/>
      <c r="B2" s="333">
        <v>2009</v>
      </c>
      <c r="C2" s="334">
        <v>2010</v>
      </c>
      <c r="D2" s="334">
        <v>2011</v>
      </c>
      <c r="E2" s="334">
        <v>2012</v>
      </c>
      <c r="F2" s="334">
        <v>2013</v>
      </c>
      <c r="G2" s="333">
        <v>2009</v>
      </c>
      <c r="H2" s="334">
        <v>2010</v>
      </c>
      <c r="I2" s="334">
        <v>2011</v>
      </c>
      <c r="J2" s="334">
        <v>2012</v>
      </c>
      <c r="K2" s="334">
        <v>2013</v>
      </c>
      <c r="L2" s="333">
        <v>2009</v>
      </c>
      <c r="M2" s="334">
        <v>2010</v>
      </c>
      <c r="N2" s="334">
        <v>2011</v>
      </c>
      <c r="O2" s="334">
        <v>2012</v>
      </c>
      <c r="P2" s="334">
        <v>2013</v>
      </c>
      <c r="Q2" s="333">
        <v>2009</v>
      </c>
      <c r="R2" s="334">
        <v>2010</v>
      </c>
      <c r="S2" s="334">
        <v>2011</v>
      </c>
      <c r="T2" s="334">
        <v>2012</v>
      </c>
      <c r="U2" s="334">
        <v>2013</v>
      </c>
      <c r="V2" s="333">
        <v>2009</v>
      </c>
      <c r="W2" s="334">
        <v>2010</v>
      </c>
      <c r="X2" s="334">
        <v>2011</v>
      </c>
      <c r="Y2" s="1008">
        <v>2012</v>
      </c>
      <c r="Z2" s="334">
        <v>2013</v>
      </c>
      <c r="AA2" s="333">
        <v>2009</v>
      </c>
      <c r="AB2" s="334">
        <v>2010</v>
      </c>
      <c r="AC2" s="334">
        <v>2011</v>
      </c>
      <c r="AD2" s="334">
        <v>2012</v>
      </c>
      <c r="AE2" s="334">
        <v>2013</v>
      </c>
    </row>
    <row r="3" spans="1:31">
      <c r="A3" s="340" t="s">
        <v>86</v>
      </c>
      <c r="B3" s="339">
        <f>COMB!G3</f>
        <v>16470948172.000008</v>
      </c>
      <c r="C3" s="339">
        <f>COMB!H3</f>
        <v>15074300486</v>
      </c>
      <c r="D3" s="339">
        <f>COMB!I3</f>
        <v>10899220535</v>
      </c>
      <c r="E3" s="339">
        <f>COMB!J3</f>
        <v>9850180304</v>
      </c>
      <c r="F3" s="339">
        <f>COMB!K3</f>
        <v>11754962962</v>
      </c>
      <c r="G3" s="341">
        <f t="shared" ref="G3:G35" si="0">B3/B$3</f>
        <v>1</v>
      </c>
      <c r="H3" s="341">
        <f t="shared" ref="H3:H35" si="1">C3/C$3</f>
        <v>1</v>
      </c>
      <c r="I3" s="341">
        <f t="shared" ref="I3:I35" si="2">D3/D$3</f>
        <v>1</v>
      </c>
      <c r="J3" s="341">
        <f t="shared" ref="J3:K35" si="3">E3/E$3</f>
        <v>1</v>
      </c>
      <c r="K3" s="341">
        <f t="shared" si="3"/>
        <v>1</v>
      </c>
      <c r="L3" s="342">
        <v>17352000000</v>
      </c>
      <c r="M3" s="342">
        <v>17038000000</v>
      </c>
      <c r="N3" s="342">
        <v>13103000000</v>
      </c>
      <c r="O3" s="342">
        <v>12298000000</v>
      </c>
      <c r="P3" s="997">
        <v>14220000000</v>
      </c>
      <c r="Q3" s="342">
        <f>SUM(Q5:Q11,Q13:Q21,Q23:Q26,Q28:Q30,Q32:Q35)</f>
        <v>0</v>
      </c>
      <c r="R3" s="342">
        <f t="shared" ref="R3:S3" si="4">SUM(R5:R11,R13:R21,R23:R26,R28:R30,R32:R35)</f>
        <v>0</v>
      </c>
      <c r="S3" s="342">
        <f t="shared" si="4"/>
        <v>0</v>
      </c>
      <c r="T3" s="342"/>
      <c r="U3" s="342"/>
      <c r="V3" s="939">
        <f>1-867/17352</f>
        <v>0.9500345781466113</v>
      </c>
      <c r="W3" s="939">
        <f>1-860/17038</f>
        <v>0.94952459208827322</v>
      </c>
      <c r="X3" s="1006">
        <f>1-869/13103</f>
        <v>0.93367931008166072</v>
      </c>
      <c r="Y3" s="1005">
        <f>1-979/12298</f>
        <v>0.92039355992844363</v>
      </c>
      <c r="Z3" s="1007">
        <f>1-1029/14220</f>
        <v>0.92763713080168775</v>
      </c>
      <c r="AA3" s="342">
        <f>SUM(AA5:AA11,AA13:AA21,AA23:AA26,AA28:AA30,AA32:AA35)</f>
        <v>0</v>
      </c>
      <c r="AB3" s="342">
        <f t="shared" ref="AB3:AC3" si="5">SUM(AB5:AB11,AB13:AB21,AB23:AB26,AB28:AB30,AB32:AB35)</f>
        <v>0</v>
      </c>
      <c r="AC3" s="342">
        <f t="shared" si="5"/>
        <v>0</v>
      </c>
      <c r="AD3" s="480"/>
      <c r="AE3" s="481"/>
    </row>
    <row r="4" spans="1:31">
      <c r="A4" s="343"/>
      <c r="B4" s="66"/>
      <c r="C4" s="66"/>
      <c r="D4" s="66"/>
      <c r="E4" s="66"/>
      <c r="F4" s="66"/>
      <c r="G4" s="329"/>
      <c r="H4" s="329"/>
      <c r="I4" s="329"/>
      <c r="J4" s="329"/>
      <c r="K4" s="329"/>
      <c r="L4" s="330"/>
      <c r="M4" s="330"/>
      <c r="N4" s="330"/>
      <c r="O4" s="330"/>
      <c r="P4" s="330"/>
      <c r="Q4" s="330"/>
      <c r="R4" s="330"/>
      <c r="S4" s="330"/>
      <c r="T4" s="330"/>
      <c r="U4" s="330"/>
      <c r="V4" s="330"/>
      <c r="W4" s="330"/>
      <c r="X4" s="330"/>
      <c r="Y4" s="479"/>
      <c r="Z4" s="479"/>
      <c r="AA4" s="330"/>
      <c r="AB4" s="330"/>
      <c r="AC4" s="330"/>
      <c r="AD4" s="479"/>
      <c r="AE4" s="479"/>
    </row>
    <row r="5" spans="1:31">
      <c r="A5" s="336" t="s">
        <v>163</v>
      </c>
      <c r="B5" s="59">
        <f>COMB!G5</f>
        <v>11952007.156946501</v>
      </c>
      <c r="C5" s="59">
        <f>COMB!H5</f>
        <v>9494531.6795461699</v>
      </c>
      <c r="D5" s="59">
        <f>COMB!I5</f>
        <v>8584560.4654950388</v>
      </c>
      <c r="E5" s="59">
        <f>COMB!J5</f>
        <v>5745496.8144601779</v>
      </c>
      <c r="F5" s="59">
        <f>COMB!K5</f>
        <v>6024830</v>
      </c>
      <c r="G5" s="326">
        <f>B5/B$3</f>
        <v>7.2564171971984369E-4</v>
      </c>
      <c r="H5" s="326">
        <f t="shared" si="1"/>
        <v>6.298489066450582E-4</v>
      </c>
      <c r="I5" s="326">
        <f t="shared" si="2"/>
        <v>7.8763067853595268E-4</v>
      </c>
      <c r="J5" s="326">
        <f t="shared" si="3"/>
        <v>5.8328849189968879E-4</v>
      </c>
      <c r="K5" s="326">
        <f t="shared" si="3"/>
        <v>5.125350049571683E-4</v>
      </c>
      <c r="L5" s="876">
        <f>L$3*G5/B5</f>
        <v>1.0534912634536575</v>
      </c>
      <c r="M5" s="876">
        <f t="shared" ref="M5:O5" si="6">M$3*H5/C5</f>
        <v>1.1302680357091031</v>
      </c>
      <c r="N5" s="876">
        <f t="shared" si="6"/>
        <v>1.2021960614452327</v>
      </c>
      <c r="O5" s="876">
        <f t="shared" si="6"/>
        <v>1.2485050649282003</v>
      </c>
      <c r="P5" s="1003">
        <f>P$3*K5/F5</f>
        <v>1.2097018124147791</v>
      </c>
      <c r="Q5" s="327"/>
      <c r="R5" s="327"/>
      <c r="S5" s="327"/>
      <c r="T5" s="327"/>
      <c r="U5" s="327"/>
      <c r="V5" s="327">
        <f>V$3</f>
        <v>0.9500345781466113</v>
      </c>
      <c r="W5" s="327">
        <f t="shared" ref="W5:Z20" si="7">W$3</f>
        <v>0.94952459208827322</v>
      </c>
      <c r="X5" s="327">
        <f t="shared" si="7"/>
        <v>0.93367931008166072</v>
      </c>
      <c r="Y5" s="327">
        <f t="shared" si="7"/>
        <v>0.92039355992844363</v>
      </c>
      <c r="Z5" s="1004">
        <f>Z$3</f>
        <v>0.92763713080168775</v>
      </c>
      <c r="AA5" s="327"/>
      <c r="AB5" s="327"/>
      <c r="AC5" s="327"/>
      <c r="AD5" s="327"/>
      <c r="AE5" s="327"/>
    </row>
    <row r="6" spans="1:31">
      <c r="A6" s="336" t="s">
        <v>164</v>
      </c>
      <c r="B6" s="59">
        <f>COMB!G6</f>
        <v>8297102.0853493391</v>
      </c>
      <c r="C6" s="59">
        <f>COMB!H6</f>
        <v>6721642.81803755</v>
      </c>
      <c r="D6" s="59">
        <f>COMB!I6</f>
        <v>4933642.8064778959</v>
      </c>
      <c r="E6" s="59">
        <f>COMB!J6</f>
        <v>3311006.7899022559</v>
      </c>
      <c r="F6" s="59">
        <f>COMB!K6</f>
        <v>1458800</v>
      </c>
      <c r="G6" s="326">
        <f t="shared" si="0"/>
        <v>5.0374161819379047E-4</v>
      </c>
      <c r="H6" s="326">
        <f t="shared" si="1"/>
        <v>4.45900811402835E-4</v>
      </c>
      <c r="I6" s="326">
        <f t="shared" si="2"/>
        <v>4.5266015038734105E-4</v>
      </c>
      <c r="J6" s="326">
        <f t="shared" si="3"/>
        <v>3.3613666833669117E-4</v>
      </c>
      <c r="K6" s="326">
        <f t="shared" si="3"/>
        <v>1.2410077383619408E-4</v>
      </c>
      <c r="L6" s="876">
        <f t="shared" ref="L6:L35" si="8">L$3*G6/B6</f>
        <v>1.0534912634536575</v>
      </c>
      <c r="M6" s="876">
        <f t="shared" ref="M6:M35" si="9">M$3*H6/C6</f>
        <v>1.1302680357091033</v>
      </c>
      <c r="N6" s="876">
        <f t="shared" ref="N6:N35" si="10">N$3*I6/D6</f>
        <v>1.2021960614452325</v>
      </c>
      <c r="O6" s="876">
        <f t="shared" ref="O6:O35" si="11">O$3*J6/E6</f>
        <v>1.2485050649282003</v>
      </c>
      <c r="P6" s="1003">
        <f t="shared" ref="P6:P35" si="12">P$3*K6/F6</f>
        <v>1.2097018124147791</v>
      </c>
      <c r="Q6" s="327"/>
      <c r="R6" s="327"/>
      <c r="S6" s="327"/>
      <c r="T6" s="327"/>
      <c r="U6" s="327"/>
      <c r="V6" s="327">
        <f t="shared" ref="V6:V11" si="13">V$3</f>
        <v>0.9500345781466113</v>
      </c>
      <c r="W6" s="327">
        <f t="shared" si="7"/>
        <v>0.94952459208827322</v>
      </c>
      <c r="X6" s="327">
        <f t="shared" si="7"/>
        <v>0.93367931008166072</v>
      </c>
      <c r="Y6" s="327">
        <f t="shared" si="7"/>
        <v>0.92039355992844363</v>
      </c>
      <c r="Z6" s="1004">
        <f t="shared" si="7"/>
        <v>0.92763713080168775</v>
      </c>
      <c r="AA6" s="327"/>
      <c r="AB6" s="327"/>
      <c r="AC6" s="327"/>
      <c r="AD6" s="327"/>
      <c r="AE6" s="327"/>
    </row>
    <row r="7" spans="1:31">
      <c r="A7" s="336" t="s">
        <v>165</v>
      </c>
      <c r="B7" s="59">
        <f>COMB!G7</f>
        <v>79600729.160751402</v>
      </c>
      <c r="C7" s="59">
        <f>COMB!H7</f>
        <v>54875693.787643097</v>
      </c>
      <c r="D7" s="59">
        <f>COMB!I7</f>
        <v>40517314.473370828</v>
      </c>
      <c r="E7" s="59">
        <f>COMB!J7</f>
        <v>40069262.761759758</v>
      </c>
      <c r="F7" s="59">
        <f>COMB!K7</f>
        <v>47011250</v>
      </c>
      <c r="G7" s="326">
        <f t="shared" si="0"/>
        <v>4.8327958007948592E-3</v>
      </c>
      <c r="H7" s="326">
        <f t="shared" si="1"/>
        <v>3.6403476127206012E-3</v>
      </c>
      <c r="I7" s="326">
        <f t="shared" si="2"/>
        <v>3.7174506510130752E-3</v>
      </c>
      <c r="J7" s="326">
        <f t="shared" si="3"/>
        <v>4.0678709957713442E-3</v>
      </c>
      <c r="K7" s="326">
        <f t="shared" si="3"/>
        <v>3.9992682369116937E-3</v>
      </c>
      <c r="L7" s="876">
        <f t="shared" si="8"/>
        <v>1.0534912634536575</v>
      </c>
      <c r="M7" s="876">
        <f t="shared" si="9"/>
        <v>1.1302680357091033</v>
      </c>
      <c r="N7" s="876">
        <f t="shared" si="10"/>
        <v>1.2021960614452325</v>
      </c>
      <c r="O7" s="876">
        <f t="shared" si="11"/>
        <v>1.2485050649282003</v>
      </c>
      <c r="P7" s="1003">
        <f t="shared" si="12"/>
        <v>1.2097018124147791</v>
      </c>
      <c r="Q7" s="327"/>
      <c r="R7" s="327"/>
      <c r="S7" s="327"/>
      <c r="T7" s="327"/>
      <c r="U7" s="327"/>
      <c r="V7" s="327">
        <f t="shared" si="13"/>
        <v>0.9500345781466113</v>
      </c>
      <c r="W7" s="327">
        <f t="shared" si="7"/>
        <v>0.94952459208827322</v>
      </c>
      <c r="X7" s="327">
        <f t="shared" si="7"/>
        <v>0.93367931008166072</v>
      </c>
      <c r="Y7" s="327">
        <f t="shared" si="7"/>
        <v>0.92039355992844363</v>
      </c>
      <c r="Z7" s="1004">
        <f t="shared" si="7"/>
        <v>0.92763713080168775</v>
      </c>
      <c r="AA7" s="327"/>
      <c r="AB7" s="327"/>
      <c r="AC7" s="327"/>
      <c r="AD7" s="327"/>
      <c r="AE7" s="327"/>
    </row>
    <row r="8" spans="1:31">
      <c r="A8" s="336" t="s">
        <v>166</v>
      </c>
      <c r="B8" s="59">
        <f>COMB!G8</f>
        <v>46192335.7381825</v>
      </c>
      <c r="C8" s="59">
        <f>COMB!H8</f>
        <v>46966602.380237497</v>
      </c>
      <c r="D8" s="59">
        <f>COMB!I8</f>
        <v>33566529.104680352</v>
      </c>
      <c r="E8" s="59">
        <f>COMB!J8</f>
        <v>30715072.19577473</v>
      </c>
      <c r="F8" s="59">
        <f>COMB!K8</f>
        <v>32956048</v>
      </c>
      <c r="G8" s="326">
        <f t="shared" si="0"/>
        <v>2.8044733828200452E-3</v>
      </c>
      <c r="H8" s="326">
        <f t="shared" si="1"/>
        <v>3.1156737537411392E-3</v>
      </c>
      <c r="I8" s="326">
        <f t="shared" si="2"/>
        <v>3.079718315350186E-3</v>
      </c>
      <c r="J8" s="326">
        <f t="shared" si="3"/>
        <v>3.1182243621775971E-3</v>
      </c>
      <c r="K8" s="326">
        <f t="shared" si="3"/>
        <v>2.8035858646714806E-3</v>
      </c>
      <c r="L8" s="876">
        <f t="shared" si="8"/>
        <v>1.0534912634536575</v>
      </c>
      <c r="M8" s="876">
        <f t="shared" si="9"/>
        <v>1.1302680357091033</v>
      </c>
      <c r="N8" s="876">
        <f t="shared" si="10"/>
        <v>1.2021960614452325</v>
      </c>
      <c r="O8" s="876">
        <f t="shared" si="11"/>
        <v>1.2485050649282003</v>
      </c>
      <c r="P8" s="1003">
        <f t="shared" si="12"/>
        <v>1.2097018124147791</v>
      </c>
      <c r="Q8" s="327"/>
      <c r="R8" s="327"/>
      <c r="S8" s="327"/>
      <c r="T8" s="327"/>
      <c r="U8" s="327"/>
      <c r="V8" s="327">
        <f t="shared" si="13"/>
        <v>0.9500345781466113</v>
      </c>
      <c r="W8" s="327">
        <f t="shared" si="7"/>
        <v>0.94952459208827322</v>
      </c>
      <c r="X8" s="327">
        <f t="shared" si="7"/>
        <v>0.93367931008166072</v>
      </c>
      <c r="Y8" s="327">
        <f t="shared" si="7"/>
        <v>0.92039355992844363</v>
      </c>
      <c r="Z8" s="1004">
        <f t="shared" si="7"/>
        <v>0.92763713080168775</v>
      </c>
      <c r="AA8" s="327"/>
      <c r="AB8" s="327"/>
      <c r="AC8" s="327"/>
      <c r="AD8" s="327"/>
      <c r="AE8" s="327"/>
    </row>
    <row r="9" spans="1:31">
      <c r="A9" s="336" t="s">
        <v>167</v>
      </c>
      <c r="B9" s="59">
        <f>COMB!G9</f>
        <v>57187672.536876</v>
      </c>
      <c r="C9" s="59">
        <f>COMB!H9</f>
        <v>40080717.122789204</v>
      </c>
      <c r="D9" s="59">
        <f>COMB!I9</f>
        <v>26509159.252231926</v>
      </c>
      <c r="E9" s="59">
        <f>COMB!J9</f>
        <v>19696681.483103313</v>
      </c>
      <c r="F9" s="59">
        <f>COMB!K9</f>
        <v>20747509</v>
      </c>
      <c r="G9" s="326">
        <f t="shared" si="0"/>
        <v>3.4720328143641962E-3</v>
      </c>
      <c r="H9" s="326">
        <f t="shared" si="1"/>
        <v>2.65887741590487E-3</v>
      </c>
      <c r="I9" s="326">
        <f t="shared" si="2"/>
        <v>2.4322068873737059E-3</v>
      </c>
      <c r="J9" s="326">
        <f t="shared" si="3"/>
        <v>1.9996264916191235E-3</v>
      </c>
      <c r="K9" s="326">
        <f t="shared" si="3"/>
        <v>1.7649999465817118E-3</v>
      </c>
      <c r="L9" s="876">
        <f t="shared" si="8"/>
        <v>1.0534912634536575</v>
      </c>
      <c r="M9" s="876">
        <f t="shared" si="9"/>
        <v>1.1302680357091033</v>
      </c>
      <c r="N9" s="876">
        <f t="shared" si="10"/>
        <v>1.2021960614452327</v>
      </c>
      <c r="O9" s="876">
        <f t="shared" si="11"/>
        <v>1.2485050649282001</v>
      </c>
      <c r="P9" s="1003">
        <f t="shared" si="12"/>
        <v>1.2097018124147791</v>
      </c>
      <c r="Q9" s="327"/>
      <c r="R9" s="327"/>
      <c r="S9" s="327"/>
      <c r="T9" s="327"/>
      <c r="U9" s="327"/>
      <c r="V9" s="327">
        <f t="shared" si="13"/>
        <v>0.9500345781466113</v>
      </c>
      <c r="W9" s="327">
        <f t="shared" si="7"/>
        <v>0.94952459208827322</v>
      </c>
      <c r="X9" s="327">
        <f t="shared" si="7"/>
        <v>0.93367931008166072</v>
      </c>
      <c r="Y9" s="327">
        <f t="shared" si="7"/>
        <v>0.92039355992844363</v>
      </c>
      <c r="Z9" s="1004">
        <f t="shared" si="7"/>
        <v>0.92763713080168775</v>
      </c>
      <c r="AA9" s="327"/>
      <c r="AB9" s="327"/>
      <c r="AC9" s="327"/>
      <c r="AD9" s="327"/>
      <c r="AE9" s="327"/>
    </row>
    <row r="10" spans="1:31">
      <c r="A10" s="336" t="s">
        <v>168</v>
      </c>
      <c r="B10" s="59">
        <f>COMB!G10</f>
        <v>2908072.1563557801</v>
      </c>
      <c r="C10" s="59">
        <f>COMB!H10</f>
        <v>2756315.00740156</v>
      </c>
      <c r="D10" s="59">
        <f>COMB!I10</f>
        <v>2486817.5534673035</v>
      </c>
      <c r="E10" s="59">
        <f>COMB!J10</f>
        <v>1928803.422470734</v>
      </c>
      <c r="F10" s="59">
        <f>COMB!K10</f>
        <v>1822800</v>
      </c>
      <c r="G10" s="326">
        <f t="shared" si="0"/>
        <v>1.7655766541111419E-4</v>
      </c>
      <c r="H10" s="326">
        <f t="shared" si="1"/>
        <v>1.828486177492243E-4</v>
      </c>
      <c r="I10" s="326">
        <f t="shared" si="2"/>
        <v>2.2816471558507678E-4</v>
      </c>
      <c r="J10" s="326">
        <f t="shared" si="3"/>
        <v>1.958140219715042E-4</v>
      </c>
      <c r="K10" s="326">
        <f t="shared" si="3"/>
        <v>1.5506641797958224E-4</v>
      </c>
      <c r="L10" s="876">
        <f t="shared" si="8"/>
        <v>1.0534912634536575</v>
      </c>
      <c r="M10" s="876">
        <f t="shared" si="9"/>
        <v>1.1302680357091033</v>
      </c>
      <c r="N10" s="876">
        <f t="shared" si="10"/>
        <v>1.2021960614452325</v>
      </c>
      <c r="O10" s="876">
        <f t="shared" si="11"/>
        <v>1.2485050649282001</v>
      </c>
      <c r="P10" s="1003">
        <f t="shared" si="12"/>
        <v>1.2097018124147791</v>
      </c>
      <c r="Q10" s="327"/>
      <c r="R10" s="327"/>
      <c r="S10" s="327"/>
      <c r="T10" s="327"/>
      <c r="U10" s="327"/>
      <c r="V10" s="327">
        <f t="shared" si="13"/>
        <v>0.9500345781466113</v>
      </c>
      <c r="W10" s="327">
        <f t="shared" si="7"/>
        <v>0.94952459208827322</v>
      </c>
      <c r="X10" s="327">
        <f t="shared" si="7"/>
        <v>0.93367931008166072</v>
      </c>
      <c r="Y10" s="327">
        <f t="shared" si="7"/>
        <v>0.92039355992844363</v>
      </c>
      <c r="Z10" s="1004">
        <f t="shared" si="7"/>
        <v>0.92763713080168775</v>
      </c>
      <c r="AA10" s="327"/>
      <c r="AB10" s="327"/>
      <c r="AC10" s="327"/>
      <c r="AD10" s="327"/>
      <c r="AE10" s="327"/>
    </row>
    <row r="11" spans="1:31">
      <c r="A11" s="336" t="s">
        <v>169</v>
      </c>
      <c r="B11" s="59">
        <f>COMB!G11</f>
        <v>69709151.971997201</v>
      </c>
      <c r="C11" s="59">
        <f>COMB!H11</f>
        <v>60459828.741154902</v>
      </c>
      <c r="D11" s="59">
        <f>COMB!I11</f>
        <v>37472845.035681389</v>
      </c>
      <c r="E11" s="59">
        <f>COMB!J11</f>
        <v>27882101.571823303</v>
      </c>
      <c r="F11" s="59">
        <f>COMB!K11</f>
        <v>35772300</v>
      </c>
      <c r="G11" s="326">
        <f t="shared" si="0"/>
        <v>4.2322488811239256E-3</v>
      </c>
      <c r="H11" s="326">
        <f t="shared" si="1"/>
        <v>4.0107883478444611E-3</v>
      </c>
      <c r="I11" s="326">
        <f t="shared" si="2"/>
        <v>3.4381215533117377E-3</v>
      </c>
      <c r="J11" s="326">
        <f t="shared" si="3"/>
        <v>2.8306183959394965E-3</v>
      </c>
      <c r="K11" s="326">
        <f t="shared" si="3"/>
        <v>3.04316569228166E-3</v>
      </c>
      <c r="L11" s="876">
        <f t="shared" si="8"/>
        <v>1.0534912634536575</v>
      </c>
      <c r="M11" s="876">
        <f t="shared" si="9"/>
        <v>1.1302680357091031</v>
      </c>
      <c r="N11" s="876">
        <f t="shared" si="10"/>
        <v>1.2021960614452325</v>
      </c>
      <c r="O11" s="876">
        <f t="shared" si="11"/>
        <v>1.2485050649282003</v>
      </c>
      <c r="P11" s="1003">
        <f t="shared" si="12"/>
        <v>1.2097018124147791</v>
      </c>
      <c r="Q11" s="327"/>
      <c r="R11" s="327"/>
      <c r="S11" s="327"/>
      <c r="T11" s="327"/>
      <c r="U11" s="327"/>
      <c r="V11" s="327">
        <f t="shared" si="13"/>
        <v>0.9500345781466113</v>
      </c>
      <c r="W11" s="327">
        <f t="shared" si="7"/>
        <v>0.94952459208827322</v>
      </c>
      <c r="X11" s="327">
        <f t="shared" si="7"/>
        <v>0.93367931008166072</v>
      </c>
      <c r="Y11" s="327">
        <f t="shared" si="7"/>
        <v>0.92039355992844363</v>
      </c>
      <c r="Z11" s="1004">
        <f t="shared" si="7"/>
        <v>0.92763713080168775</v>
      </c>
      <c r="AA11" s="327"/>
      <c r="AB11" s="327"/>
      <c r="AC11" s="327"/>
      <c r="AD11" s="327"/>
      <c r="AE11" s="327"/>
    </row>
    <row r="12" spans="1:31">
      <c r="A12" s="336"/>
      <c r="F12" s="59"/>
      <c r="G12" s="326"/>
      <c r="H12" s="326"/>
      <c r="I12" s="326"/>
      <c r="J12" s="326"/>
      <c r="K12" s="326"/>
      <c r="L12" s="876"/>
      <c r="M12" s="876"/>
      <c r="N12" s="876"/>
      <c r="O12" s="876"/>
      <c r="P12" s="1003"/>
      <c r="Q12" s="327"/>
      <c r="R12" s="327"/>
      <c r="S12" s="327"/>
      <c r="T12" s="327"/>
      <c r="U12" s="327"/>
      <c r="V12" s="327"/>
      <c r="W12" s="327"/>
      <c r="X12" s="327"/>
      <c r="Y12" s="327"/>
      <c r="Z12" s="1004"/>
      <c r="AA12" s="327"/>
      <c r="AB12" s="327"/>
      <c r="AC12" s="327"/>
      <c r="AD12" s="327"/>
      <c r="AE12" s="327"/>
    </row>
    <row r="13" spans="1:31">
      <c r="A13" s="336" t="s">
        <v>170</v>
      </c>
      <c r="B13" s="59">
        <f>COMB!G13</f>
        <v>104514393.53101799</v>
      </c>
      <c r="C13" s="59">
        <f>COMB!H13</f>
        <v>76100454.357136995</v>
      </c>
      <c r="D13" s="59">
        <f>COMB!I13</f>
        <v>53238359.642297335</v>
      </c>
      <c r="E13" s="59">
        <f>COMB!J13</f>
        <v>39553574.269037187</v>
      </c>
      <c r="F13" s="59">
        <f>COMB!K13</f>
        <v>34967081</v>
      </c>
      <c r="G13" s="326">
        <f t="shared" si="0"/>
        <v>6.3453780826466643E-3</v>
      </c>
      <c r="H13" s="326">
        <f t="shared" si="1"/>
        <v>5.048357263928366E-3</v>
      </c>
      <c r="I13" s="326">
        <f t="shared" si="2"/>
        <v>4.8846024788044475E-3</v>
      </c>
      <c r="J13" s="326">
        <f t="shared" si="3"/>
        <v>4.0155177923976802E-3</v>
      </c>
      <c r="K13" s="326">
        <f t="shared" si="3"/>
        <v>2.9746653488434871E-3</v>
      </c>
      <c r="L13" s="876">
        <f t="shared" si="8"/>
        <v>1.0534912634536575</v>
      </c>
      <c r="M13" s="876">
        <f t="shared" si="9"/>
        <v>1.1302680357091033</v>
      </c>
      <c r="N13" s="876">
        <f t="shared" si="10"/>
        <v>1.2021960614452325</v>
      </c>
      <c r="O13" s="876">
        <f t="shared" si="11"/>
        <v>1.2485050649282003</v>
      </c>
      <c r="P13" s="1003">
        <f t="shared" si="12"/>
        <v>1.2097018124147791</v>
      </c>
      <c r="Q13" s="874"/>
      <c r="R13" s="874"/>
      <c r="S13" s="875"/>
      <c r="T13" s="327"/>
      <c r="U13" s="327"/>
      <c r="V13" s="327">
        <f>V$3</f>
        <v>0.9500345781466113</v>
      </c>
      <c r="W13" s="327">
        <f t="shared" si="7"/>
        <v>0.94952459208827322</v>
      </c>
      <c r="X13" s="327">
        <f t="shared" si="7"/>
        <v>0.93367931008166072</v>
      </c>
      <c r="Y13" s="327">
        <f t="shared" si="7"/>
        <v>0.92039355992844363</v>
      </c>
      <c r="Z13" s="1004">
        <f t="shared" si="7"/>
        <v>0.92763713080168775</v>
      </c>
      <c r="AA13" s="875"/>
      <c r="AB13" s="875"/>
      <c r="AC13" s="875"/>
      <c r="AD13" s="327"/>
      <c r="AE13" s="327"/>
    </row>
    <row r="14" spans="1:31">
      <c r="A14" s="336" t="s">
        <v>171</v>
      </c>
      <c r="B14" s="59">
        <f>COMB!G14</f>
        <v>541169667.03144801</v>
      </c>
      <c r="C14" s="59">
        <f>COMB!H14</f>
        <v>498360448.76100099</v>
      </c>
      <c r="D14" s="59">
        <f>COMB!I14</f>
        <v>254228594.7859495</v>
      </c>
      <c r="E14" s="59">
        <f>COMB!J14</f>
        <v>197612306.88088453</v>
      </c>
      <c r="F14" s="59">
        <f>COMB!K14</f>
        <v>245539530</v>
      </c>
      <c r="G14" s="326">
        <f t="shared" si="0"/>
        <v>3.2856011771770131E-2</v>
      </c>
      <c r="H14" s="326">
        <f t="shared" si="1"/>
        <v>3.3060270307325022E-2</v>
      </c>
      <c r="I14" s="326">
        <f t="shared" si="2"/>
        <v>2.3325392303932265E-2</v>
      </c>
      <c r="J14" s="326">
        <f t="shared" si="3"/>
        <v>2.0061795904450331E-2</v>
      </c>
      <c r="K14" s="326">
        <f t="shared" si="3"/>
        <v>2.0888158541524121E-2</v>
      </c>
      <c r="L14" s="876">
        <f t="shared" si="8"/>
        <v>1.0534912634536575</v>
      </c>
      <c r="M14" s="876">
        <f t="shared" si="9"/>
        <v>1.1302680357091033</v>
      </c>
      <c r="N14" s="876">
        <f t="shared" si="10"/>
        <v>1.2021960614452325</v>
      </c>
      <c r="O14" s="876">
        <f t="shared" si="11"/>
        <v>1.2485050649282001</v>
      </c>
      <c r="P14" s="1003">
        <f t="shared" si="12"/>
        <v>1.2097018124147789</v>
      </c>
      <c r="Q14" s="327"/>
      <c r="R14" s="327"/>
      <c r="S14" s="327"/>
      <c r="T14" s="327"/>
      <c r="U14" s="327"/>
      <c r="V14" s="327">
        <f t="shared" ref="V14:Z29" si="14">V$3</f>
        <v>0.9500345781466113</v>
      </c>
      <c r="W14" s="327">
        <f t="shared" si="7"/>
        <v>0.94952459208827322</v>
      </c>
      <c r="X14" s="327">
        <f t="shared" si="7"/>
        <v>0.93367931008166072</v>
      </c>
      <c r="Y14" s="327">
        <f t="shared" si="7"/>
        <v>0.92039355992844363</v>
      </c>
      <c r="Z14" s="1004">
        <f t="shared" si="7"/>
        <v>0.92763713080168775</v>
      </c>
      <c r="AA14" s="875"/>
      <c r="AB14" s="875"/>
      <c r="AC14" s="875"/>
      <c r="AD14" s="327"/>
      <c r="AE14" s="327"/>
    </row>
    <row r="15" spans="1:31">
      <c r="A15" s="336" t="s">
        <v>172</v>
      </c>
      <c r="B15" s="59">
        <f>COMB!G15</f>
        <v>174591733.07874399</v>
      </c>
      <c r="C15" s="59">
        <f>COMB!H15</f>
        <v>157505958.99836099</v>
      </c>
      <c r="D15" s="59">
        <f>COMB!I15</f>
        <v>113605202.06956717</v>
      </c>
      <c r="E15" s="59">
        <f>COMB!J15</f>
        <v>93417913.348614618</v>
      </c>
      <c r="F15" s="59">
        <f>COMB!K15</f>
        <v>97864946</v>
      </c>
      <c r="G15" s="326">
        <f t="shared" si="0"/>
        <v>1.0599980720936477E-2</v>
      </c>
      <c r="H15" s="326">
        <f t="shared" si="1"/>
        <v>1.0448641324659938E-2</v>
      </c>
      <c r="I15" s="326">
        <f t="shared" si="2"/>
        <v>1.0423240974412228E-2</v>
      </c>
      <c r="J15" s="326">
        <f t="shared" si="3"/>
        <v>9.483878514455122E-3</v>
      </c>
      <c r="K15" s="326">
        <f>F15/F$3</f>
        <v>8.325415087768951E-3</v>
      </c>
      <c r="L15" s="876">
        <f t="shared" si="8"/>
        <v>1.0534912634536575</v>
      </c>
      <c r="M15" s="876">
        <f t="shared" si="9"/>
        <v>1.1302680357091031</v>
      </c>
      <c r="N15" s="876">
        <f t="shared" si="10"/>
        <v>1.2021960614452325</v>
      </c>
      <c r="O15" s="876">
        <f t="shared" si="11"/>
        <v>1.2485050649282003</v>
      </c>
      <c r="P15" s="1003">
        <f t="shared" si="12"/>
        <v>1.2097018124147791</v>
      </c>
      <c r="Q15" s="327"/>
      <c r="R15" s="327"/>
      <c r="S15" s="327"/>
      <c r="T15" s="327"/>
      <c r="U15" s="327"/>
      <c r="V15" s="327">
        <f t="shared" si="14"/>
        <v>0.9500345781466113</v>
      </c>
      <c r="W15" s="327">
        <f t="shared" si="7"/>
        <v>0.94952459208827322</v>
      </c>
      <c r="X15" s="327">
        <f t="shared" si="7"/>
        <v>0.93367931008166072</v>
      </c>
      <c r="Y15" s="327">
        <f t="shared" si="7"/>
        <v>0.92039355992844363</v>
      </c>
      <c r="Z15" s="1004">
        <f t="shared" si="7"/>
        <v>0.92763713080168775</v>
      </c>
      <c r="AA15" s="875"/>
      <c r="AB15" s="875"/>
      <c r="AC15" s="875"/>
      <c r="AD15" s="327"/>
      <c r="AE15" s="327"/>
    </row>
    <row r="16" spans="1:31">
      <c r="A16" s="336" t="s">
        <v>173</v>
      </c>
      <c r="B16" s="59">
        <f>COMB!G16</f>
        <v>142648178.780754</v>
      </c>
      <c r="C16" s="59">
        <f>COMB!H16</f>
        <v>88457546.150406703</v>
      </c>
      <c r="D16" s="59">
        <f>COMB!I16</f>
        <v>35199519.337876834</v>
      </c>
      <c r="E16" s="59">
        <f>COMB!J16</f>
        <v>23838048.443169709</v>
      </c>
      <c r="F16" s="59">
        <f>COMB!K16</f>
        <v>26444715</v>
      </c>
      <c r="G16" s="326">
        <f t="shared" si="0"/>
        <v>8.6605930205797457E-3</v>
      </c>
      <c r="H16" s="326">
        <f t="shared" si="1"/>
        <v>5.8681028836170632E-3</v>
      </c>
      <c r="I16" s="326">
        <f t="shared" si="2"/>
        <v>3.2295446472381003E-3</v>
      </c>
      <c r="J16" s="326">
        <f t="shared" si="3"/>
        <v>2.4200621417548528E-3</v>
      </c>
      <c r="K16" s="326">
        <f t="shared" si="3"/>
        <v>2.2496638301190081E-3</v>
      </c>
      <c r="L16" s="876">
        <f t="shared" si="8"/>
        <v>1.0534912634536575</v>
      </c>
      <c r="M16" s="876">
        <f t="shared" si="9"/>
        <v>1.1302680357091033</v>
      </c>
      <c r="N16" s="876">
        <f t="shared" si="10"/>
        <v>1.2021960614452325</v>
      </c>
      <c r="O16" s="876">
        <f t="shared" si="11"/>
        <v>1.2485050649282001</v>
      </c>
      <c r="P16" s="1003">
        <f t="shared" si="12"/>
        <v>1.2097018124147791</v>
      </c>
      <c r="Q16" s="327"/>
      <c r="R16" s="327"/>
      <c r="S16" s="327"/>
      <c r="T16" s="327"/>
      <c r="U16" s="327"/>
      <c r="V16" s="327">
        <f t="shared" si="14"/>
        <v>0.9500345781466113</v>
      </c>
      <c r="W16" s="327">
        <f t="shared" si="7"/>
        <v>0.94952459208827322</v>
      </c>
      <c r="X16" s="327">
        <f t="shared" si="7"/>
        <v>0.93367931008166072</v>
      </c>
      <c r="Y16" s="327">
        <f t="shared" si="7"/>
        <v>0.92039355992844363</v>
      </c>
      <c r="Z16" s="1004">
        <f t="shared" si="7"/>
        <v>0.92763713080168775</v>
      </c>
      <c r="AA16" s="877"/>
      <c r="AB16" s="877"/>
      <c r="AC16" s="877"/>
      <c r="AD16" s="327"/>
      <c r="AE16" s="327"/>
    </row>
    <row r="17" spans="1:31">
      <c r="A17" s="336" t="s">
        <v>174</v>
      </c>
      <c r="B17" s="59">
        <f>COMB!G17</f>
        <v>112976617.463516</v>
      </c>
      <c r="C17" s="59">
        <f>COMB!H17</f>
        <v>86559832.027302608</v>
      </c>
      <c r="D17" s="59">
        <f>COMB!I17</f>
        <v>58018800.25237038</v>
      </c>
      <c r="E17" s="59">
        <f>COMB!J17</f>
        <v>44717206.848095641</v>
      </c>
      <c r="F17" s="59">
        <f>COMB!K17</f>
        <v>54253797</v>
      </c>
      <c r="G17" s="326">
        <f t="shared" si="0"/>
        <v>6.8591447367657918E-3</v>
      </c>
      <c r="H17" s="326">
        <f t="shared" si="1"/>
        <v>5.7422121913845072E-3</v>
      </c>
      <c r="I17" s="326">
        <f t="shared" si="2"/>
        <v>5.3232063766448399E-3</v>
      </c>
      <c r="J17" s="326">
        <f t="shared" si="3"/>
        <v>4.539734854390097E-3</v>
      </c>
      <c r="K17" s="326">
        <f t="shared" si="3"/>
        <v>4.6153949761802747E-3</v>
      </c>
      <c r="L17" s="876">
        <f t="shared" si="8"/>
        <v>1.0534912634536575</v>
      </c>
      <c r="M17" s="876">
        <f t="shared" si="9"/>
        <v>1.1302680357091033</v>
      </c>
      <c r="N17" s="876">
        <f t="shared" si="10"/>
        <v>1.2021960614452325</v>
      </c>
      <c r="O17" s="876">
        <f t="shared" si="11"/>
        <v>1.2485050649282003</v>
      </c>
      <c r="P17" s="1003">
        <f t="shared" si="12"/>
        <v>1.2097018124147791</v>
      </c>
      <c r="Q17" s="327"/>
      <c r="R17" s="327"/>
      <c r="S17" s="327"/>
      <c r="T17" s="327"/>
      <c r="U17" s="327"/>
      <c r="V17" s="327">
        <f t="shared" si="14"/>
        <v>0.9500345781466113</v>
      </c>
      <c r="W17" s="327">
        <f t="shared" si="7"/>
        <v>0.94952459208827322</v>
      </c>
      <c r="X17" s="327">
        <f t="shared" si="7"/>
        <v>0.93367931008166072</v>
      </c>
      <c r="Y17" s="327">
        <f t="shared" si="7"/>
        <v>0.92039355992844363</v>
      </c>
      <c r="Z17" s="1004">
        <f t="shared" si="7"/>
        <v>0.92763713080168775</v>
      </c>
      <c r="AA17" s="877"/>
      <c r="AB17" s="877"/>
      <c r="AC17" s="877"/>
      <c r="AD17" s="327"/>
      <c r="AE17" s="327"/>
    </row>
    <row r="18" spans="1:31">
      <c r="A18" s="336" t="s">
        <v>175</v>
      </c>
      <c r="B18" s="59">
        <f>COMB!G18</f>
        <v>365487157.21398801</v>
      </c>
      <c r="C18" s="59">
        <f>COMB!H18</f>
        <v>315407473.13357502</v>
      </c>
      <c r="D18" s="59">
        <f>COMB!I18</f>
        <v>184815719.65820929</v>
      </c>
      <c r="E18" s="59">
        <f>COMB!J18</f>
        <v>163341849.35174805</v>
      </c>
      <c r="F18" s="59">
        <f>COMB!K18</f>
        <v>153903009</v>
      </c>
      <c r="G18" s="326">
        <f t="shared" si="0"/>
        <v>2.2189806767487885E-2</v>
      </c>
      <c r="H18" s="326">
        <f t="shared" si="1"/>
        <v>2.0923523013655215E-2</v>
      </c>
      <c r="I18" s="326">
        <f t="shared" si="2"/>
        <v>1.6956783199745511E-2</v>
      </c>
      <c r="J18" s="326">
        <f t="shared" si="3"/>
        <v>1.6582625323662101E-2</v>
      </c>
      <c r="K18" s="326">
        <f t="shared" si="3"/>
        <v>1.3092598377172157E-2</v>
      </c>
      <c r="L18" s="876">
        <f t="shared" si="8"/>
        <v>1.0534912634536575</v>
      </c>
      <c r="M18" s="876">
        <f t="shared" si="9"/>
        <v>1.1302680357091031</v>
      </c>
      <c r="N18" s="876">
        <f t="shared" si="10"/>
        <v>1.2021960614452323</v>
      </c>
      <c r="O18" s="876">
        <f t="shared" si="11"/>
        <v>1.2485050649282003</v>
      </c>
      <c r="P18" s="1003">
        <f t="shared" si="12"/>
        <v>1.2097018124147791</v>
      </c>
      <c r="Q18" s="327"/>
      <c r="R18" s="327"/>
      <c r="S18" s="327"/>
      <c r="T18" s="327"/>
      <c r="U18" s="327"/>
      <c r="V18" s="327">
        <f t="shared" si="14"/>
        <v>0.9500345781466113</v>
      </c>
      <c r="W18" s="327">
        <f t="shared" si="7"/>
        <v>0.94952459208827322</v>
      </c>
      <c r="X18" s="327">
        <f t="shared" si="7"/>
        <v>0.93367931008166072</v>
      </c>
      <c r="Y18" s="327">
        <f t="shared" si="7"/>
        <v>0.92039355992844363</v>
      </c>
      <c r="Z18" s="1004">
        <f t="shared" si="7"/>
        <v>0.92763713080168775</v>
      </c>
      <c r="AA18" s="877"/>
      <c r="AB18" s="877"/>
      <c r="AC18" s="877"/>
      <c r="AD18" s="327"/>
      <c r="AE18" s="327"/>
    </row>
    <row r="19" spans="1:31">
      <c r="A19" s="336" t="s">
        <v>176</v>
      </c>
      <c r="B19" s="59">
        <f>COMB!G19</f>
        <v>33108091.274958495</v>
      </c>
      <c r="C19" s="59">
        <f>COMB!H19</f>
        <v>19251820.8576658</v>
      </c>
      <c r="D19" s="59">
        <f>COMB!I19</f>
        <v>13860122.604349308</v>
      </c>
      <c r="E19" s="59">
        <f>COMB!J19</f>
        <v>15980709.074927276</v>
      </c>
      <c r="F19" s="59">
        <f>COMB!K19</f>
        <v>17938350</v>
      </c>
      <c r="G19" s="326">
        <f t="shared" si="0"/>
        <v>2.0100901860186171E-3</v>
      </c>
      <c r="H19" s="326">
        <f t="shared" si="1"/>
        <v>1.2771286386088429E-3</v>
      </c>
      <c r="I19" s="326">
        <f t="shared" si="2"/>
        <v>1.2716618183695929E-3</v>
      </c>
      <c r="J19" s="326">
        <f t="shared" si="3"/>
        <v>1.6223773151073963E-3</v>
      </c>
      <c r="K19" s="326">
        <f t="shared" si="3"/>
        <v>1.526023523680074E-3</v>
      </c>
      <c r="L19" s="876">
        <f t="shared" si="8"/>
        <v>1.0534912634536575</v>
      </c>
      <c r="M19" s="876">
        <f t="shared" si="9"/>
        <v>1.1302680357091033</v>
      </c>
      <c r="N19" s="876">
        <f t="shared" si="10"/>
        <v>1.2021960614452325</v>
      </c>
      <c r="O19" s="876">
        <f t="shared" si="11"/>
        <v>1.2485050649282003</v>
      </c>
      <c r="P19" s="1003">
        <f t="shared" si="12"/>
        <v>1.2097018124147791</v>
      </c>
      <c r="Q19" s="327"/>
      <c r="R19" s="327"/>
      <c r="S19" s="327"/>
      <c r="T19" s="327"/>
      <c r="U19" s="327"/>
      <c r="V19" s="327">
        <f t="shared" si="14"/>
        <v>0.9500345781466113</v>
      </c>
      <c r="W19" s="327">
        <f t="shared" si="7"/>
        <v>0.94952459208827322</v>
      </c>
      <c r="X19" s="327">
        <f t="shared" si="7"/>
        <v>0.93367931008166072</v>
      </c>
      <c r="Y19" s="327">
        <f t="shared" si="7"/>
        <v>0.92039355992844363</v>
      </c>
      <c r="Z19" s="1004">
        <f t="shared" si="7"/>
        <v>0.92763713080168775</v>
      </c>
      <c r="AA19" s="877"/>
      <c r="AB19" s="877"/>
      <c r="AC19" s="877"/>
      <c r="AD19" s="327"/>
      <c r="AE19" s="327"/>
    </row>
    <row r="20" spans="1:31">
      <c r="A20" s="336" t="s">
        <v>177</v>
      </c>
      <c r="B20" s="59">
        <f>COMB!G20</f>
        <v>98373701.2650446</v>
      </c>
      <c r="C20" s="59">
        <f>COMB!H20</f>
        <v>79156037.6674712</v>
      </c>
      <c r="D20" s="59">
        <f>COMB!I20</f>
        <v>55271139.101641275</v>
      </c>
      <c r="E20" s="59">
        <f>COMB!J20</f>
        <v>46051006.066640168</v>
      </c>
      <c r="F20" s="59">
        <f>COMB!K20</f>
        <v>48016982</v>
      </c>
      <c r="G20" s="326">
        <f t="shared" si="0"/>
        <v>5.9725584852653594E-3</v>
      </c>
      <c r="H20" s="326">
        <f t="shared" si="1"/>
        <v>5.251058763289615E-3</v>
      </c>
      <c r="I20" s="326">
        <f t="shared" si="2"/>
        <v>5.0711093443932482E-3</v>
      </c>
      <c r="J20" s="326">
        <f t="shared" si="3"/>
        <v>4.6751434639160459E-3</v>
      </c>
      <c r="K20" s="326">
        <f t="shared" si="3"/>
        <v>4.0848263116798752E-3</v>
      </c>
      <c r="L20" s="876">
        <f t="shared" si="8"/>
        <v>1.0534912634536577</v>
      </c>
      <c r="M20" s="876">
        <f t="shared" si="9"/>
        <v>1.1302680357091033</v>
      </c>
      <c r="N20" s="876">
        <f t="shared" si="10"/>
        <v>1.2021960614452325</v>
      </c>
      <c r="O20" s="876">
        <f t="shared" si="11"/>
        <v>1.2485050649282003</v>
      </c>
      <c r="P20" s="1003">
        <f t="shared" si="12"/>
        <v>1.2097018124147791</v>
      </c>
      <c r="Q20" s="327"/>
      <c r="R20" s="327"/>
      <c r="S20" s="327"/>
      <c r="T20" s="327"/>
      <c r="U20" s="327"/>
      <c r="V20" s="327">
        <f>V$3</f>
        <v>0.9500345781466113</v>
      </c>
      <c r="W20" s="327">
        <f t="shared" si="7"/>
        <v>0.94952459208827322</v>
      </c>
      <c r="X20" s="327">
        <f t="shared" si="7"/>
        <v>0.93367931008166072</v>
      </c>
      <c r="Y20" s="327">
        <f t="shared" si="7"/>
        <v>0.92039355992844363</v>
      </c>
      <c r="Z20" s="1004">
        <f t="shared" si="7"/>
        <v>0.92763713080168775</v>
      </c>
      <c r="AA20" s="877"/>
      <c r="AB20" s="877"/>
      <c r="AC20" s="877"/>
      <c r="AD20" s="327"/>
      <c r="AE20" s="327"/>
    </row>
    <row r="21" spans="1:31">
      <c r="A21" s="336" t="s">
        <v>178</v>
      </c>
      <c r="B21" s="59">
        <f>COMB!G21</f>
        <v>52496415.147684097</v>
      </c>
      <c r="C21" s="59">
        <f>COMB!H21</f>
        <v>39229340.913079299</v>
      </c>
      <c r="D21" s="59">
        <f>COMB!I21</f>
        <v>25245969.830281086</v>
      </c>
      <c r="E21" s="59">
        <f>COMB!J21</f>
        <v>21122420.744644925</v>
      </c>
      <c r="F21" s="59">
        <f>COMB!K21</f>
        <v>20763227</v>
      </c>
      <c r="G21" s="326">
        <f t="shared" si="0"/>
        <v>3.1872126971370131E-3</v>
      </c>
      <c r="H21" s="326">
        <f t="shared" si="1"/>
        <v>2.6023987613563149E-3</v>
      </c>
      <c r="I21" s="326">
        <f t="shared" si="2"/>
        <v>2.3163096617056468E-3</v>
      </c>
      <c r="J21" s="326">
        <f t="shared" si="3"/>
        <v>2.1443689448067717E-3</v>
      </c>
      <c r="K21" s="326">
        <f t="shared" si="3"/>
        <v>1.7663370839296397E-3</v>
      </c>
      <c r="L21" s="876">
        <f t="shared" si="8"/>
        <v>1.0534912634536577</v>
      </c>
      <c r="M21" s="876">
        <f t="shared" si="9"/>
        <v>1.1302680357091031</v>
      </c>
      <c r="N21" s="876">
        <f t="shared" si="10"/>
        <v>1.2021960614452327</v>
      </c>
      <c r="O21" s="876">
        <f t="shared" si="11"/>
        <v>1.2485050649282003</v>
      </c>
      <c r="P21" s="1003">
        <f t="shared" si="12"/>
        <v>1.2097018124147791</v>
      </c>
      <c r="Q21" s="327"/>
      <c r="R21" s="327"/>
      <c r="S21" s="327"/>
      <c r="T21" s="327"/>
      <c r="U21" s="327"/>
      <c r="V21" s="327">
        <f t="shared" si="14"/>
        <v>0.9500345781466113</v>
      </c>
      <c r="W21" s="327">
        <f t="shared" si="14"/>
        <v>0.94952459208827322</v>
      </c>
      <c r="X21" s="327">
        <f t="shared" si="14"/>
        <v>0.93367931008166072</v>
      </c>
      <c r="Y21" s="327">
        <f t="shared" si="14"/>
        <v>0.92039355992844363</v>
      </c>
      <c r="Z21" s="1004">
        <f t="shared" si="14"/>
        <v>0.92763713080168775</v>
      </c>
      <c r="AA21" s="877"/>
      <c r="AB21" s="877"/>
      <c r="AC21" s="877"/>
      <c r="AD21" s="327"/>
      <c r="AE21" s="327"/>
    </row>
    <row r="22" spans="1:31">
      <c r="A22" s="336"/>
      <c r="F22" s="59"/>
      <c r="G22" s="326"/>
      <c r="H22" s="326"/>
      <c r="I22" s="326"/>
      <c r="J22" s="326"/>
      <c r="K22" s="326"/>
      <c r="L22" s="876"/>
      <c r="M22" s="876"/>
      <c r="N22" s="876"/>
      <c r="O22" s="876"/>
      <c r="P22" s="1003"/>
      <c r="Q22" s="327"/>
      <c r="R22" s="327"/>
      <c r="S22" s="327"/>
      <c r="T22" s="327"/>
      <c r="U22" s="327"/>
      <c r="V22" s="327"/>
      <c r="W22" s="327"/>
      <c r="X22" s="327"/>
      <c r="Y22" s="327"/>
      <c r="Z22" s="1004"/>
      <c r="AA22" s="878"/>
      <c r="AB22" s="878"/>
      <c r="AC22" s="878"/>
      <c r="AD22" s="327"/>
      <c r="AE22" s="327"/>
    </row>
    <row r="23" spans="1:31">
      <c r="A23" s="336" t="s">
        <v>179</v>
      </c>
      <c r="B23" s="59">
        <f>COMB!G23</f>
        <v>172831926.269959</v>
      </c>
      <c r="C23" s="59">
        <f>COMB!H23</f>
        <v>85759129.916699603</v>
      </c>
      <c r="D23" s="59">
        <f>COMB!I23</f>
        <v>55732652.153135248</v>
      </c>
      <c r="E23" s="59">
        <f>COMB!J23</f>
        <v>47371000.701795287</v>
      </c>
      <c r="F23" s="59">
        <f>COMB!K23</f>
        <v>41948704</v>
      </c>
      <c r="G23" s="326">
        <f t="shared" si="0"/>
        <v>1.0493137642419808E-2</v>
      </c>
      <c r="H23" s="326">
        <f t="shared" si="1"/>
        <v>5.689095158766865E-3</v>
      </c>
      <c r="I23" s="326">
        <f t="shared" si="2"/>
        <v>5.1134530193388044E-3</v>
      </c>
      <c r="J23" s="326">
        <f t="shared" si="3"/>
        <v>4.8091506185484424E-3</v>
      </c>
      <c r="K23" s="326">
        <f t="shared" si="3"/>
        <v>3.5685951657701189E-3</v>
      </c>
      <c r="L23" s="876">
        <f t="shared" si="8"/>
        <v>1.0534912634536577</v>
      </c>
      <c r="M23" s="876">
        <f t="shared" si="9"/>
        <v>1.1302680357091031</v>
      </c>
      <c r="N23" s="876">
        <f t="shared" si="10"/>
        <v>1.2021960614452325</v>
      </c>
      <c r="O23" s="876">
        <f t="shared" si="11"/>
        <v>1.2485050649282001</v>
      </c>
      <c r="P23" s="1003">
        <f t="shared" si="12"/>
        <v>1.2097018124147791</v>
      </c>
      <c r="Q23" s="327"/>
      <c r="R23" s="327"/>
      <c r="S23" s="327"/>
      <c r="T23" s="327"/>
      <c r="U23" s="327"/>
      <c r="V23" s="327">
        <f t="shared" si="14"/>
        <v>0.9500345781466113</v>
      </c>
      <c r="W23" s="327">
        <f t="shared" si="14"/>
        <v>0.94952459208827322</v>
      </c>
      <c r="X23" s="327">
        <f t="shared" si="14"/>
        <v>0.93367931008166072</v>
      </c>
      <c r="Y23" s="327">
        <f t="shared" si="14"/>
        <v>0.92039355992844363</v>
      </c>
      <c r="Z23" s="1004">
        <f t="shared" si="14"/>
        <v>0.92763713080168775</v>
      </c>
      <c r="AA23" s="879"/>
      <c r="AB23" s="879"/>
      <c r="AC23" s="879"/>
      <c r="AD23" s="327"/>
      <c r="AE23" s="327"/>
    </row>
    <row r="24" spans="1:31">
      <c r="A24" s="336" t="s">
        <v>180</v>
      </c>
      <c r="B24" s="59">
        <f>COMB!G24</f>
        <v>1204429529.23545</v>
      </c>
      <c r="C24" s="59">
        <f>COMB!H24</f>
        <v>838161037.58084702</v>
      </c>
      <c r="D24" s="59">
        <f>COMB!I24</f>
        <v>568764820.79061139</v>
      </c>
      <c r="E24" s="59">
        <f>COMB!J24</f>
        <v>524092213.75985742</v>
      </c>
      <c r="F24" s="59">
        <f>COMB!K24</f>
        <v>726896115</v>
      </c>
      <c r="G24" s="326">
        <f t="shared" si="0"/>
        <v>7.3124480549512927E-2</v>
      </c>
      <c r="H24" s="326">
        <f t="shared" si="1"/>
        <v>5.5601985535532798E-2</v>
      </c>
      <c r="I24" s="326">
        <f t="shared" si="2"/>
        <v>5.2183990494014842E-2</v>
      </c>
      <c r="J24" s="326">
        <f t="shared" si="3"/>
        <v>5.3206357405156529E-2</v>
      </c>
      <c r="K24" s="326">
        <f t="shared" si="3"/>
        <v>6.1837380292036684E-2</v>
      </c>
      <c r="L24" s="876">
        <f t="shared" si="8"/>
        <v>1.0534912634536577</v>
      </c>
      <c r="M24" s="876">
        <f t="shared" si="9"/>
        <v>1.1302680357091033</v>
      </c>
      <c r="N24" s="876">
        <f t="shared" si="10"/>
        <v>1.2021960614452325</v>
      </c>
      <c r="O24" s="876">
        <f t="shared" si="11"/>
        <v>1.2485050649282003</v>
      </c>
      <c r="P24" s="1003">
        <f t="shared" si="12"/>
        <v>1.2097018124147789</v>
      </c>
      <c r="Q24" s="874"/>
      <c r="R24" s="874"/>
      <c r="S24" s="875"/>
      <c r="T24" s="327"/>
      <c r="U24" s="327"/>
      <c r="V24" s="327">
        <f t="shared" si="14"/>
        <v>0.9500345781466113</v>
      </c>
      <c r="W24" s="327">
        <f t="shared" si="14"/>
        <v>0.94952459208827322</v>
      </c>
      <c r="X24" s="327">
        <f t="shared" si="14"/>
        <v>0.93367931008166072</v>
      </c>
      <c r="Y24" s="327">
        <f t="shared" si="14"/>
        <v>0.92039355992844363</v>
      </c>
      <c r="Z24" s="1004">
        <f t="shared" si="14"/>
        <v>0.92763713080168775</v>
      </c>
      <c r="AA24" s="874"/>
      <c r="AB24" s="874"/>
      <c r="AC24" s="875"/>
      <c r="AD24" s="327"/>
      <c r="AE24" s="327"/>
    </row>
    <row r="25" spans="1:31">
      <c r="A25" s="336" t="s">
        <v>181</v>
      </c>
      <c r="B25" s="59">
        <f>COMB!G25</f>
        <v>872813849.4467411</v>
      </c>
      <c r="C25" s="59">
        <f>COMB!H25</f>
        <v>746457536.24446905</v>
      </c>
      <c r="D25" s="59">
        <f>COMB!I25</f>
        <v>531759959.78101599</v>
      </c>
      <c r="E25" s="59">
        <f>COMB!J25</f>
        <v>435277074.83209491</v>
      </c>
      <c r="F25" s="59">
        <f>COMB!K25</f>
        <v>583074856</v>
      </c>
      <c r="G25" s="326">
        <f t="shared" si="0"/>
        <v>5.299111140004021E-2</v>
      </c>
      <c r="H25" s="326">
        <f t="shared" si="1"/>
        <v>4.9518552249753066E-2</v>
      </c>
      <c r="I25" s="326">
        <f t="shared" si="2"/>
        <v>4.8788806325498944E-2</v>
      </c>
      <c r="J25" s="326">
        <f t="shared" si="3"/>
        <v>4.4189757080419723E-2</v>
      </c>
      <c r="K25" s="326">
        <f t="shared" si="3"/>
        <v>4.9602440933662895E-2</v>
      </c>
      <c r="L25" s="876">
        <f t="shared" si="8"/>
        <v>1.0534912634536575</v>
      </c>
      <c r="M25" s="876">
        <f t="shared" si="9"/>
        <v>1.1302680357091033</v>
      </c>
      <c r="N25" s="876">
        <f t="shared" si="10"/>
        <v>1.2021960614452325</v>
      </c>
      <c r="O25" s="876">
        <f t="shared" si="11"/>
        <v>1.2485050649282001</v>
      </c>
      <c r="P25" s="1003">
        <f t="shared" si="12"/>
        <v>1.2097018124147791</v>
      </c>
      <c r="Q25" s="327"/>
      <c r="R25" s="327"/>
      <c r="S25" s="327"/>
      <c r="T25" s="327"/>
      <c r="U25" s="327"/>
      <c r="V25" s="327">
        <f>V$3</f>
        <v>0.9500345781466113</v>
      </c>
      <c r="W25" s="327">
        <f t="shared" si="14"/>
        <v>0.94952459208827322</v>
      </c>
      <c r="X25" s="327">
        <f t="shared" si="14"/>
        <v>0.93367931008166072</v>
      </c>
      <c r="Y25" s="327">
        <f t="shared" si="14"/>
        <v>0.92039355992844363</v>
      </c>
      <c r="Z25" s="1004">
        <f t="shared" si="14"/>
        <v>0.92763713080168775</v>
      </c>
      <c r="AA25" s="879"/>
      <c r="AB25" s="879"/>
      <c r="AC25" s="879"/>
      <c r="AD25" s="327"/>
      <c r="AE25" s="327"/>
    </row>
    <row r="26" spans="1:31">
      <c r="A26" s="336" t="s">
        <v>182</v>
      </c>
      <c r="B26" s="59">
        <f>COMB!G26</f>
        <v>8609999211.1328888</v>
      </c>
      <c r="C26" s="59">
        <f>COMB!H26</f>
        <v>8374256696.77493</v>
      </c>
      <c r="D26" s="59">
        <f>COMB!I26</f>
        <v>6490307278.074542</v>
      </c>
      <c r="E26" s="59">
        <f>COMB!J26</f>
        <v>5834459530.2542706</v>
      </c>
      <c r="F26" s="59">
        <f>COMB!K26</f>
        <v>6656752867</v>
      </c>
      <c r="G26" s="326">
        <f t="shared" si="0"/>
        <v>0.52273852854261083</v>
      </c>
      <c r="H26" s="326">
        <f t="shared" si="1"/>
        <v>0.55553202648125388</v>
      </c>
      <c r="I26" s="326">
        <f t="shared" si="2"/>
        <v>0.59548361804705352</v>
      </c>
      <c r="J26" s="326">
        <f t="shared" si="3"/>
        <v>0.59232007437315537</v>
      </c>
      <c r="K26" s="326">
        <f t="shared" si="3"/>
        <v>0.56629296821428809</v>
      </c>
      <c r="L26" s="876">
        <f t="shared" si="8"/>
        <v>1.0534912634536577</v>
      </c>
      <c r="M26" s="876">
        <f t="shared" si="9"/>
        <v>1.1302680357091033</v>
      </c>
      <c r="N26" s="876">
        <f t="shared" si="10"/>
        <v>1.2021960614452325</v>
      </c>
      <c r="O26" s="876">
        <f t="shared" si="11"/>
        <v>1.2485050649282001</v>
      </c>
      <c r="P26" s="1003">
        <f t="shared" si="12"/>
        <v>1.2097018124147789</v>
      </c>
      <c r="Q26" s="874"/>
      <c r="R26" s="874"/>
      <c r="S26" s="875"/>
      <c r="T26" s="327"/>
      <c r="U26" s="327"/>
      <c r="V26" s="327">
        <f t="shared" si="14"/>
        <v>0.9500345781466113</v>
      </c>
      <c r="W26" s="327">
        <f t="shared" si="14"/>
        <v>0.94952459208827322</v>
      </c>
      <c r="X26" s="327">
        <f t="shared" si="14"/>
        <v>0.93367931008166072</v>
      </c>
      <c r="Y26" s="327">
        <f t="shared" si="14"/>
        <v>0.92039355992844363</v>
      </c>
      <c r="Z26" s="1004">
        <f t="shared" si="14"/>
        <v>0.92763713080168775</v>
      </c>
      <c r="AA26" s="874"/>
      <c r="AB26" s="874"/>
      <c r="AC26" s="875"/>
      <c r="AD26" s="327"/>
      <c r="AE26" s="327"/>
    </row>
    <row r="27" spans="1:31">
      <c r="A27" s="337"/>
      <c r="F27" s="59"/>
      <c r="G27" s="326"/>
      <c r="H27" s="326"/>
      <c r="I27" s="326"/>
      <c r="J27" s="326"/>
      <c r="K27" s="326"/>
      <c r="L27" s="876"/>
      <c r="M27" s="876"/>
      <c r="N27" s="876"/>
      <c r="O27" s="876"/>
      <c r="P27" s="1003"/>
      <c r="Q27" s="327"/>
      <c r="R27" s="327"/>
      <c r="S27" s="327"/>
      <c r="T27" s="327"/>
      <c r="U27" s="327"/>
      <c r="V27" s="327"/>
      <c r="W27" s="327"/>
      <c r="X27" s="327"/>
      <c r="Y27" s="327"/>
      <c r="Z27" s="1004"/>
      <c r="AA27" s="878"/>
      <c r="AB27" s="878"/>
      <c r="AC27" s="878"/>
      <c r="AD27" s="327"/>
      <c r="AE27" s="327"/>
    </row>
    <row r="28" spans="1:31">
      <c r="A28" s="336" t="s">
        <v>183</v>
      </c>
      <c r="B28" s="59">
        <f>COMB!G28</f>
        <v>1193029923.4543099</v>
      </c>
      <c r="C28" s="59">
        <f>COMB!H28</f>
        <v>1347000531.7520199</v>
      </c>
      <c r="D28" s="59">
        <f>COMB!I28</f>
        <v>811371728.31188715</v>
      </c>
      <c r="E28" s="59">
        <f>COMB!J28</f>
        <v>814623776.64645052</v>
      </c>
      <c r="F28" s="59">
        <f>COMB!K28</f>
        <v>1128902480</v>
      </c>
      <c r="G28" s="326">
        <f t="shared" si="0"/>
        <v>7.2432376751838487E-2</v>
      </c>
      <c r="H28" s="326">
        <f t="shared" si="1"/>
        <v>8.9357415490226147E-2</v>
      </c>
      <c r="I28" s="326">
        <f t="shared" si="2"/>
        <v>7.4443096706445999E-2</v>
      </c>
      <c r="J28" s="326">
        <f t="shared" si="3"/>
        <v>8.2701407639781468E-2</v>
      </c>
      <c r="K28" s="326">
        <f t="shared" si="3"/>
        <v>9.6036243044693312E-2</v>
      </c>
      <c r="L28" s="876">
        <f t="shared" si="8"/>
        <v>1.0534912634536577</v>
      </c>
      <c r="M28" s="876">
        <f t="shared" si="9"/>
        <v>1.1302680357091033</v>
      </c>
      <c r="N28" s="876">
        <f t="shared" si="10"/>
        <v>1.2021960614452325</v>
      </c>
      <c r="O28" s="876">
        <f t="shared" si="11"/>
        <v>1.2485050649282003</v>
      </c>
      <c r="P28" s="1003">
        <f t="shared" si="12"/>
        <v>1.2097018124147791</v>
      </c>
      <c r="Q28" s="327"/>
      <c r="R28" s="327"/>
      <c r="S28" s="327"/>
      <c r="T28" s="327"/>
      <c r="U28" s="327"/>
      <c r="V28" s="327">
        <f t="shared" si="14"/>
        <v>0.9500345781466113</v>
      </c>
      <c r="W28" s="327">
        <f t="shared" si="14"/>
        <v>0.94952459208827322</v>
      </c>
      <c r="X28" s="327">
        <f t="shared" si="14"/>
        <v>0.93367931008166072</v>
      </c>
      <c r="Y28" s="327">
        <f t="shared" si="14"/>
        <v>0.92039355992844363</v>
      </c>
      <c r="Z28" s="1004">
        <f t="shared" si="14"/>
        <v>0.92763713080168775</v>
      </c>
      <c r="AA28" s="877"/>
      <c r="AB28" s="877"/>
      <c r="AC28" s="877"/>
      <c r="AD28" s="327"/>
      <c r="AE28" s="327"/>
    </row>
    <row r="29" spans="1:31">
      <c r="A29" s="336" t="s">
        <v>184</v>
      </c>
      <c r="B29" s="59">
        <f>COMB!G29</f>
        <v>403028333.460536</v>
      </c>
      <c r="C29" s="59">
        <f>COMB!H29</f>
        <v>240893303.868626</v>
      </c>
      <c r="D29" s="59">
        <f>COMB!I29</f>
        <v>137121913.11809677</v>
      </c>
      <c r="E29" s="59">
        <f>COMB!J29</f>
        <v>115215870.71337542</v>
      </c>
      <c r="F29" s="59">
        <f>COMB!K29</f>
        <v>111449651</v>
      </c>
      <c r="G29" s="326">
        <f t="shared" si="0"/>
        <v>2.4469042659345443E-2</v>
      </c>
      <c r="H29" s="326">
        <f t="shared" si="1"/>
        <v>1.5980396841123842E-2</v>
      </c>
      <c r="I29" s="326">
        <f t="shared" si="2"/>
        <v>1.2580891695673609E-2</v>
      </c>
      <c r="J29" s="326">
        <f t="shared" si="3"/>
        <v>1.1696828601867125E-2</v>
      </c>
      <c r="K29" s="326">
        <f t="shared" si="3"/>
        <v>9.4810720680516599E-3</v>
      </c>
      <c r="L29" s="876">
        <f t="shared" si="8"/>
        <v>1.0534912634536577</v>
      </c>
      <c r="M29" s="876">
        <f t="shared" si="9"/>
        <v>1.1302680357091033</v>
      </c>
      <c r="N29" s="876">
        <f t="shared" si="10"/>
        <v>1.2021960614452327</v>
      </c>
      <c r="O29" s="876">
        <f t="shared" si="11"/>
        <v>1.2485050649282003</v>
      </c>
      <c r="P29" s="1003">
        <f t="shared" si="12"/>
        <v>1.2097018124147791</v>
      </c>
      <c r="Q29" s="874"/>
      <c r="R29" s="874"/>
      <c r="S29" s="875"/>
      <c r="T29" s="327"/>
      <c r="U29" s="327"/>
      <c r="V29" s="327">
        <f t="shared" si="14"/>
        <v>0.9500345781466113</v>
      </c>
      <c r="W29" s="327">
        <f t="shared" si="14"/>
        <v>0.94952459208827322</v>
      </c>
      <c r="X29" s="327">
        <f t="shared" si="14"/>
        <v>0.93367931008166072</v>
      </c>
      <c r="Y29" s="327">
        <f t="shared" si="14"/>
        <v>0.92039355992844363</v>
      </c>
      <c r="Z29" s="1004">
        <f t="shared" si="14"/>
        <v>0.92763713080168775</v>
      </c>
      <c r="AA29" s="875"/>
      <c r="AB29" s="875"/>
      <c r="AC29" s="875"/>
      <c r="AD29" s="327"/>
      <c r="AE29" s="327"/>
    </row>
    <row r="30" spans="1:31">
      <c r="A30" s="336" t="s">
        <v>185</v>
      </c>
      <c r="B30" s="59">
        <f>COMB!G30</f>
        <v>498649850.03669298</v>
      </c>
      <c r="C30" s="59">
        <f>COMB!H30</f>
        <v>290593441.33316898</v>
      </c>
      <c r="D30" s="59">
        <f>COMB!I30</f>
        <v>123082116.63117148</v>
      </c>
      <c r="E30" s="59">
        <f>COMB!J30</f>
        <v>94663108.391172841</v>
      </c>
      <c r="F30" s="59">
        <f>COMB!K30</f>
        <v>110495721</v>
      </c>
      <c r="G30" s="326">
        <f t="shared" si="0"/>
        <v>3.0274507868610682E-2</v>
      </c>
      <c r="H30" s="326">
        <f t="shared" si="1"/>
        <v>1.9277408036482535E-2</v>
      </c>
      <c r="I30" s="326">
        <f t="shared" si="2"/>
        <v>1.1292744856012905E-2</v>
      </c>
      <c r="J30" s="326">
        <f t="shared" si="3"/>
        <v>9.6102919408218006E-3</v>
      </c>
      <c r="K30" s="326">
        <f t="shared" si="3"/>
        <v>9.3999208127832461E-3</v>
      </c>
      <c r="L30" s="876">
        <f t="shared" si="8"/>
        <v>1.0534912634536575</v>
      </c>
      <c r="M30" s="876">
        <f t="shared" si="9"/>
        <v>1.1302680357091033</v>
      </c>
      <c r="N30" s="876">
        <f t="shared" si="10"/>
        <v>1.2021960614452323</v>
      </c>
      <c r="O30" s="876">
        <f t="shared" si="11"/>
        <v>1.2485050649282001</v>
      </c>
      <c r="P30" s="1003">
        <f t="shared" si="12"/>
        <v>1.2097018124147789</v>
      </c>
      <c r="Q30" s="327"/>
      <c r="R30" s="327"/>
      <c r="S30" s="327"/>
      <c r="T30" s="327"/>
      <c r="U30" s="327"/>
      <c r="V30" s="327">
        <f>V$3</f>
        <v>0.9500345781466113</v>
      </c>
      <c r="W30" s="327">
        <f t="shared" ref="W30:Z35" si="15">W$3</f>
        <v>0.94952459208827322</v>
      </c>
      <c r="X30" s="327">
        <f t="shared" si="15"/>
        <v>0.93367931008166072</v>
      </c>
      <c r="Y30" s="327">
        <f t="shared" si="15"/>
        <v>0.92039355992844363</v>
      </c>
      <c r="Z30" s="1004">
        <f t="shared" si="15"/>
        <v>0.92763713080168775</v>
      </c>
      <c r="AA30" s="877"/>
      <c r="AB30" s="877"/>
      <c r="AC30" s="877"/>
      <c r="AD30" s="327"/>
      <c r="AE30" s="327"/>
    </row>
    <row r="31" spans="1:31">
      <c r="A31" s="337"/>
      <c r="F31" s="59"/>
      <c r="G31" s="326"/>
      <c r="H31" s="326"/>
      <c r="I31" s="326"/>
      <c r="J31" s="326"/>
      <c r="K31" s="326"/>
      <c r="L31" s="876"/>
      <c r="M31" s="876"/>
      <c r="N31" s="876"/>
      <c r="O31" s="876"/>
      <c r="P31" s="1003"/>
      <c r="Q31" s="327"/>
      <c r="R31" s="327"/>
      <c r="S31" s="327"/>
      <c r="T31" s="327"/>
      <c r="U31" s="327"/>
      <c r="V31" s="327"/>
      <c r="W31" s="327"/>
      <c r="X31" s="327"/>
      <c r="Y31" s="327"/>
      <c r="Z31" s="1004"/>
      <c r="AA31" s="878"/>
      <c r="AB31" s="878"/>
      <c r="AC31" s="878"/>
      <c r="AD31" s="327"/>
      <c r="AE31" s="327"/>
    </row>
    <row r="32" spans="1:31">
      <c r="A32" s="336" t="s">
        <v>186</v>
      </c>
      <c r="B32" s="59">
        <f>COMB!G32</f>
        <v>239353890.508358</v>
      </c>
      <c r="C32" s="59">
        <f>COMB!H32</f>
        <v>134134603.21004902</v>
      </c>
      <c r="D32" s="59">
        <f>COMB!I32</f>
        <v>84019777.230146214</v>
      </c>
      <c r="E32" s="59">
        <f>COMB!J32</f>
        <v>58133628.631815545</v>
      </c>
      <c r="F32" s="59">
        <f>COMB!K32</f>
        <v>78017273</v>
      </c>
      <c r="G32" s="326">
        <f t="shared" si="0"/>
        <v>1.4531882925553163E-2</v>
      </c>
      <c r="H32" s="326">
        <f t="shared" si="1"/>
        <v>8.8982306896843565E-3</v>
      </c>
      <c r="I32" s="326">
        <f t="shared" si="2"/>
        <v>7.7087877027846759E-3</v>
      </c>
      <c r="J32" s="326">
        <f t="shared" si="3"/>
        <v>5.9017831996647221E-3</v>
      </c>
      <c r="K32" s="326">
        <f t="shared" si="3"/>
        <v>6.636964595482321E-3</v>
      </c>
      <c r="L32" s="876">
        <f t="shared" si="8"/>
        <v>1.0534912634536575</v>
      </c>
      <c r="M32" s="876">
        <f t="shared" si="9"/>
        <v>1.1302680357091033</v>
      </c>
      <c r="N32" s="876">
        <f t="shared" si="10"/>
        <v>1.2021960614452325</v>
      </c>
      <c r="O32" s="876">
        <f t="shared" si="11"/>
        <v>1.2485050649282003</v>
      </c>
      <c r="P32" s="1003">
        <f t="shared" si="12"/>
        <v>1.2097018124147791</v>
      </c>
      <c r="Q32" s="327"/>
      <c r="R32" s="327"/>
      <c r="S32" s="327"/>
      <c r="T32" s="327"/>
      <c r="U32" s="327"/>
      <c r="V32" s="327">
        <f t="shared" ref="V32:Y35" si="16">V$3</f>
        <v>0.9500345781466113</v>
      </c>
      <c r="W32" s="327">
        <f t="shared" si="16"/>
        <v>0.94952459208827322</v>
      </c>
      <c r="X32" s="327">
        <f t="shared" si="16"/>
        <v>0.93367931008166072</v>
      </c>
      <c r="Y32" s="327">
        <f t="shared" si="16"/>
        <v>0.92039355992844363</v>
      </c>
      <c r="Z32" s="1004">
        <f t="shared" si="15"/>
        <v>0.92763713080168775</v>
      </c>
      <c r="AA32" s="877"/>
      <c r="AB32" s="877"/>
      <c r="AC32" s="877"/>
      <c r="AD32" s="327"/>
      <c r="AE32" s="327"/>
    </row>
    <row r="33" spans="1:31">
      <c r="A33" s="336" t="s">
        <v>187</v>
      </c>
      <c r="B33" s="59">
        <f>COMB!G33</f>
        <v>773681477.43332398</v>
      </c>
      <c r="C33" s="59">
        <f>COMB!H33</f>
        <v>851077089.66179991</v>
      </c>
      <c r="D33" s="59">
        <f>COMB!I33</f>
        <v>705069381.04590428</v>
      </c>
      <c r="E33" s="59">
        <f>COMB!J33</f>
        <v>688742693.34835494</v>
      </c>
      <c r="F33" s="59">
        <f>COMB!K33</f>
        <v>852546530</v>
      </c>
      <c r="G33" s="326">
        <f t="shared" si="0"/>
        <v>4.6972491768783133E-2</v>
      </c>
      <c r="H33" s="326">
        <f t="shared" si="1"/>
        <v>5.6458811501881846E-2</v>
      </c>
      <c r="I33" s="326">
        <f t="shared" si="2"/>
        <v>6.4689890325804314E-2</v>
      </c>
      <c r="J33" s="326">
        <f t="shared" si="3"/>
        <v>6.9921836158538905E-2</v>
      </c>
      <c r="K33" s="326">
        <f t="shared" si="3"/>
        <v>7.2526517757308784E-2</v>
      </c>
      <c r="L33" s="876">
        <f t="shared" si="8"/>
        <v>1.0534912634536575</v>
      </c>
      <c r="M33" s="876">
        <f t="shared" si="9"/>
        <v>1.1302680357091033</v>
      </c>
      <c r="N33" s="876">
        <f t="shared" si="10"/>
        <v>1.2021960614452325</v>
      </c>
      <c r="O33" s="876">
        <f t="shared" si="11"/>
        <v>1.2485050649282003</v>
      </c>
      <c r="P33" s="1003">
        <f t="shared" si="12"/>
        <v>1.2097018124147791</v>
      </c>
      <c r="Q33" s="875"/>
      <c r="R33" s="875"/>
      <c r="S33" s="875"/>
      <c r="T33" s="327"/>
      <c r="U33" s="327"/>
      <c r="V33" s="327">
        <f t="shared" si="16"/>
        <v>0.9500345781466113</v>
      </c>
      <c r="W33" s="327">
        <f t="shared" si="16"/>
        <v>0.94952459208827322</v>
      </c>
      <c r="X33" s="327">
        <f t="shared" si="16"/>
        <v>0.93367931008166072</v>
      </c>
      <c r="Y33" s="327">
        <f t="shared" si="16"/>
        <v>0.92039355992844363</v>
      </c>
      <c r="Z33" s="1004">
        <f t="shared" si="15"/>
        <v>0.92763713080168775</v>
      </c>
      <c r="AA33" s="875"/>
      <c r="AB33" s="875"/>
      <c r="AC33" s="875"/>
      <c r="AD33" s="327"/>
      <c r="AE33" s="327"/>
    </row>
    <row r="34" spans="1:31">
      <c r="A34" s="336" t="s">
        <v>188</v>
      </c>
      <c r="B34" s="59">
        <f>COMB!G34</f>
        <v>393940623.31229597</v>
      </c>
      <c r="C34" s="59">
        <f>COMB!H34</f>
        <v>416311031.97057498</v>
      </c>
      <c r="D34" s="59">
        <f>COMB!I34</f>
        <v>338644586.25795424</v>
      </c>
      <c r="E34" s="59">
        <f>COMB!J34</f>
        <v>371859104.05798805</v>
      </c>
      <c r="F34" s="59">
        <f>COMB!K34</f>
        <v>488525365</v>
      </c>
      <c r="G34" s="326">
        <f t="shared" si="0"/>
        <v>2.3917300886295071E-2</v>
      </c>
      <c r="H34" s="326">
        <f t="shared" si="1"/>
        <v>2.7617270357401774E-2</v>
      </c>
      <c r="I34" s="326">
        <f t="shared" si="2"/>
        <v>3.1070532536752109E-2</v>
      </c>
      <c r="J34" s="326">
        <f t="shared" si="3"/>
        <v>3.7751502265088693E-2</v>
      </c>
      <c r="K34" s="326">
        <f t="shared" si="3"/>
        <v>4.1559073097826409E-2</v>
      </c>
      <c r="L34" s="876">
        <f t="shared" si="8"/>
        <v>1.0534912634536575</v>
      </c>
      <c r="M34" s="876">
        <f t="shared" si="9"/>
        <v>1.1302680357091033</v>
      </c>
      <c r="N34" s="876">
        <f t="shared" si="10"/>
        <v>1.2021960614452325</v>
      </c>
      <c r="O34" s="876">
        <f t="shared" si="11"/>
        <v>1.2485050649282003</v>
      </c>
      <c r="P34" s="1003">
        <f t="shared" si="12"/>
        <v>1.2097018124147791</v>
      </c>
      <c r="Q34" s="874"/>
      <c r="R34" s="875"/>
      <c r="S34" s="875"/>
      <c r="T34" s="327"/>
      <c r="U34" s="327"/>
      <c r="V34" s="327">
        <f>V$3</f>
        <v>0.9500345781466113</v>
      </c>
      <c r="W34" s="327">
        <f t="shared" si="16"/>
        <v>0.94952459208827322</v>
      </c>
      <c r="X34" s="327">
        <f t="shared" si="16"/>
        <v>0.93367931008166072</v>
      </c>
      <c r="Y34" s="327">
        <f t="shared" si="16"/>
        <v>0.92039355992844363</v>
      </c>
      <c r="Z34" s="1004">
        <f t="shared" si="15"/>
        <v>0.92763713080168775</v>
      </c>
      <c r="AA34" s="875"/>
      <c r="AB34" s="875"/>
      <c r="AC34" s="875"/>
      <c r="AD34" s="327"/>
      <c r="AE34" s="327"/>
    </row>
    <row r="35" spans="1:31" ht="15.75" thickBot="1">
      <c r="A35" s="338" t="s">
        <v>189</v>
      </c>
      <c r="B35" s="61">
        <f>COMB!G35</f>
        <v>207976532.11583799</v>
      </c>
      <c r="C35" s="61">
        <f>COMB!H35</f>
        <v>168271839.284006</v>
      </c>
      <c r="D35" s="61">
        <f>COMB!I35</f>
        <v>105792025.63158822</v>
      </c>
      <c r="E35" s="61">
        <f>COMB!J35</f>
        <v>90758842.595768005</v>
      </c>
      <c r="F35" s="61">
        <f>COMB!K35</f>
        <v>130868226</v>
      </c>
      <c r="G35" s="331">
        <f t="shared" si="0"/>
        <v>1.2626870653954838E-2</v>
      </c>
      <c r="H35" s="331">
        <f t="shared" si="1"/>
        <v>1.116282904405983E-2</v>
      </c>
      <c r="I35" s="331">
        <f t="shared" si="2"/>
        <v>9.7063845338173273E-3</v>
      </c>
      <c r="J35" s="331">
        <f t="shared" si="3"/>
        <v>9.2139270343013207E-3</v>
      </c>
      <c r="K35" s="326">
        <f t="shared" si="3"/>
        <v>1.1133018999979389E-2</v>
      </c>
      <c r="L35" s="876">
        <f t="shared" si="8"/>
        <v>1.0534912634536577</v>
      </c>
      <c r="M35" s="876">
        <f t="shared" si="9"/>
        <v>1.1302680357091033</v>
      </c>
      <c r="N35" s="876">
        <f t="shared" si="10"/>
        <v>1.2021960614452325</v>
      </c>
      <c r="O35" s="876">
        <f t="shared" si="11"/>
        <v>1.2485050649282001</v>
      </c>
      <c r="P35" s="1003">
        <f t="shared" si="12"/>
        <v>1.2097018124147789</v>
      </c>
      <c r="Q35" s="873"/>
      <c r="R35" s="873"/>
      <c r="S35" s="873"/>
      <c r="T35" s="873"/>
      <c r="U35" s="873"/>
      <c r="V35" s="327">
        <f>V$3</f>
        <v>0.9500345781466113</v>
      </c>
      <c r="W35" s="327">
        <f t="shared" si="16"/>
        <v>0.94952459208827322</v>
      </c>
      <c r="X35" s="327">
        <f t="shared" si="16"/>
        <v>0.93367931008166072</v>
      </c>
      <c r="Y35" s="327">
        <f t="shared" si="16"/>
        <v>0.92039355992844363</v>
      </c>
      <c r="Z35" s="1004">
        <f t="shared" si="15"/>
        <v>0.92763713080168775</v>
      </c>
      <c r="AA35" s="332"/>
      <c r="AB35" s="332"/>
      <c r="AC35" s="332"/>
      <c r="AD35" s="332"/>
      <c r="AE35" s="332"/>
    </row>
    <row r="36" spans="1:31" s="1" customFormat="1">
      <c r="A36" s="3"/>
      <c r="B36" s="57"/>
      <c r="C36" s="57"/>
      <c r="D36" s="57"/>
      <c r="E36" s="57"/>
      <c r="F36" s="57"/>
      <c r="G36" s="57"/>
      <c r="H36" s="57"/>
      <c r="I36" s="57"/>
      <c r="J36" s="57"/>
      <c r="K36" s="57"/>
    </row>
    <row r="37" spans="1:31" s="1" customFormat="1">
      <c r="A37" s="3"/>
      <c r="B37" s="57"/>
      <c r="C37" s="57"/>
      <c r="D37" s="57"/>
      <c r="E37" s="57"/>
      <c r="F37" s="57"/>
      <c r="G37" s="57"/>
      <c r="H37" s="57"/>
      <c r="I37" s="57"/>
      <c r="J37" s="57"/>
      <c r="K37" s="57"/>
    </row>
    <row r="38" spans="1:31" s="1" customFormat="1">
      <c r="A38" s="3"/>
      <c r="B38" s="57"/>
      <c r="C38" s="57"/>
      <c r="D38" s="57"/>
      <c r="E38" s="57"/>
      <c r="F38" s="57"/>
      <c r="G38" s="57"/>
      <c r="H38" s="57"/>
      <c r="I38" s="57"/>
      <c r="J38" s="57"/>
      <c r="K38" s="57"/>
    </row>
    <row r="39" spans="1:31" s="1" customFormat="1">
      <c r="A39" s="3"/>
      <c r="B39" s="57"/>
      <c r="C39" s="57"/>
      <c r="D39" s="57"/>
      <c r="E39" s="57"/>
      <c r="F39" s="57"/>
      <c r="G39" s="57"/>
      <c r="H39" s="57"/>
      <c r="I39" s="57"/>
      <c r="J39" s="57"/>
      <c r="K39" s="57"/>
    </row>
    <row r="40" spans="1:31" s="1" customFormat="1">
      <c r="A40" s="3"/>
      <c r="B40" s="57"/>
      <c r="C40" s="57"/>
      <c r="D40" s="57"/>
      <c r="E40" s="57"/>
      <c r="F40" s="57"/>
      <c r="G40" s="57"/>
      <c r="H40" s="57"/>
      <c r="I40" s="57"/>
      <c r="J40" s="57"/>
      <c r="K40" s="57"/>
    </row>
    <row r="41" spans="1:31" s="1" customFormat="1">
      <c r="A41" s="3"/>
      <c r="B41" s="57"/>
      <c r="C41" s="57"/>
      <c r="D41" s="57"/>
      <c r="E41" s="57"/>
      <c r="F41" s="57"/>
      <c r="G41" s="57"/>
      <c r="H41" s="57"/>
      <c r="I41" s="57"/>
      <c r="J41" s="57"/>
      <c r="K41" s="57"/>
    </row>
    <row r="42" spans="1:31" s="1" customFormat="1">
      <c r="A42" s="3"/>
      <c r="B42" s="57"/>
      <c r="C42" s="57"/>
      <c r="D42" s="57"/>
      <c r="E42" s="57"/>
      <c r="F42" s="57"/>
      <c r="G42" s="57"/>
      <c r="H42" s="57"/>
      <c r="I42" s="57"/>
      <c r="J42" s="57"/>
      <c r="K42" s="57"/>
    </row>
    <row r="43" spans="1:31" s="1" customFormat="1">
      <c r="A43" s="3"/>
      <c r="B43" s="57"/>
      <c r="C43" s="57"/>
      <c r="D43" s="57"/>
      <c r="E43" s="57"/>
      <c r="F43" s="57"/>
      <c r="G43" s="57"/>
      <c r="H43" s="57"/>
      <c r="I43" s="57"/>
      <c r="J43" s="57"/>
      <c r="K43" s="57"/>
    </row>
    <row r="44" spans="1:31" s="1" customFormat="1">
      <c r="A44" s="3"/>
      <c r="B44" s="57"/>
      <c r="C44" s="57"/>
      <c r="D44" s="57"/>
      <c r="E44" s="57"/>
      <c r="F44" s="57"/>
      <c r="G44" s="57"/>
      <c r="H44" s="57"/>
      <c r="I44" s="57"/>
      <c r="J44" s="57"/>
      <c r="K44" s="57"/>
    </row>
    <row r="45" spans="1:31" s="1" customFormat="1">
      <c r="A45" s="3"/>
      <c r="B45" s="57"/>
      <c r="C45" s="57"/>
      <c r="D45" s="57"/>
      <c r="E45" s="57"/>
      <c r="F45" s="57"/>
      <c r="G45" s="57"/>
      <c r="H45" s="57"/>
      <c r="I45" s="57"/>
      <c r="J45" s="57"/>
      <c r="K45" s="57"/>
    </row>
    <row r="46" spans="1:31" s="1" customFormat="1">
      <c r="A46" s="3"/>
      <c r="B46" s="57"/>
      <c r="C46" s="57"/>
      <c r="D46" s="57"/>
      <c r="E46" s="57"/>
      <c r="F46" s="57"/>
      <c r="G46" s="57"/>
      <c r="H46" s="57"/>
      <c r="I46" s="57"/>
      <c r="J46" s="57"/>
      <c r="K46" s="57"/>
    </row>
    <row r="47" spans="1:31" s="1" customFormat="1">
      <c r="A47" s="3"/>
      <c r="B47" s="57"/>
      <c r="C47" s="57"/>
      <c r="D47" s="57"/>
      <c r="E47" s="57"/>
      <c r="F47" s="57"/>
      <c r="G47" s="57"/>
      <c r="H47" s="57"/>
      <c r="I47" s="57"/>
      <c r="J47" s="57"/>
      <c r="K47" s="57"/>
    </row>
    <row r="48" spans="1:31" s="1" customFormat="1">
      <c r="A48" s="3"/>
      <c r="B48" s="57"/>
      <c r="C48" s="57"/>
      <c r="D48" s="57"/>
      <c r="E48" s="57"/>
      <c r="F48" s="57"/>
      <c r="G48" s="57"/>
      <c r="H48" s="57"/>
      <c r="I48" s="57"/>
      <c r="J48" s="57"/>
      <c r="K48" s="57"/>
    </row>
    <row r="49" spans="1:11" s="1" customFormat="1">
      <c r="A49" s="3"/>
      <c r="B49" s="57"/>
      <c r="C49" s="57"/>
      <c r="D49" s="57"/>
      <c r="E49" s="57"/>
      <c r="F49" s="57"/>
      <c r="G49" s="57"/>
      <c r="H49" s="57"/>
      <c r="I49" s="57"/>
      <c r="J49" s="57"/>
      <c r="K49" s="57"/>
    </row>
    <row r="50" spans="1:11" s="1" customFormat="1">
      <c r="A50" s="3"/>
      <c r="B50" s="57"/>
      <c r="C50" s="57"/>
      <c r="D50" s="57"/>
      <c r="E50" s="57"/>
      <c r="F50" s="57"/>
      <c r="G50" s="57"/>
      <c r="H50" s="57"/>
      <c r="I50" s="57"/>
      <c r="J50" s="57"/>
      <c r="K50" s="57"/>
    </row>
    <row r="51" spans="1:11" s="1" customFormat="1">
      <c r="A51" s="3"/>
      <c r="B51" s="57"/>
      <c r="C51" s="57"/>
      <c r="D51" s="57"/>
      <c r="E51" s="57"/>
      <c r="F51" s="57"/>
      <c r="G51" s="57"/>
      <c r="H51" s="57"/>
      <c r="I51" s="57"/>
      <c r="J51" s="57"/>
      <c r="K51" s="57"/>
    </row>
    <row r="52" spans="1:11" s="1" customFormat="1">
      <c r="A52" s="3"/>
      <c r="B52" s="57"/>
      <c r="C52" s="57"/>
      <c r="D52" s="57"/>
      <c r="E52" s="57"/>
      <c r="F52" s="57"/>
      <c r="G52" s="57"/>
      <c r="H52" s="57"/>
      <c r="I52" s="57"/>
      <c r="J52" s="57"/>
      <c r="K52" s="57"/>
    </row>
    <row r="53" spans="1:11" s="1" customFormat="1">
      <c r="A53" s="3"/>
      <c r="B53" s="57"/>
      <c r="C53" s="57"/>
      <c r="D53" s="57"/>
      <c r="E53" s="57"/>
      <c r="F53" s="57"/>
      <c r="G53" s="57"/>
      <c r="H53" s="57"/>
      <c r="I53" s="57"/>
      <c r="J53" s="57"/>
      <c r="K53" s="57"/>
    </row>
    <row r="54" spans="1:11" s="1" customFormat="1">
      <c r="A54" s="3"/>
      <c r="B54" s="57"/>
      <c r="C54" s="57"/>
      <c r="D54" s="57"/>
      <c r="E54" s="57"/>
      <c r="F54" s="57"/>
      <c r="G54" s="57"/>
      <c r="H54" s="57"/>
      <c r="I54" s="57"/>
      <c r="J54" s="57"/>
      <c r="K54" s="57"/>
    </row>
    <row r="55" spans="1:11" s="1" customFormat="1">
      <c r="A55" s="3"/>
      <c r="B55" s="57"/>
      <c r="C55" s="57"/>
      <c r="D55" s="57"/>
      <c r="E55" s="57"/>
      <c r="F55" s="57"/>
      <c r="G55" s="57"/>
      <c r="H55" s="57"/>
      <c r="I55" s="57"/>
      <c r="J55" s="57"/>
      <c r="K55" s="57"/>
    </row>
    <row r="56" spans="1:11" s="1" customFormat="1">
      <c r="A56" s="3"/>
      <c r="B56" s="57"/>
      <c r="C56" s="57"/>
      <c r="D56" s="57"/>
      <c r="E56" s="57"/>
      <c r="F56" s="57"/>
      <c r="G56" s="57"/>
      <c r="H56" s="57"/>
      <c r="I56" s="57"/>
      <c r="J56" s="57"/>
      <c r="K56" s="57"/>
    </row>
    <row r="57" spans="1:11" s="1" customFormat="1">
      <c r="A57" s="3"/>
      <c r="B57" s="57"/>
      <c r="C57" s="57"/>
      <c r="D57" s="57"/>
      <c r="E57" s="57"/>
      <c r="F57" s="57"/>
      <c r="G57" s="57"/>
      <c r="H57" s="57"/>
      <c r="I57" s="57"/>
      <c r="J57" s="57"/>
      <c r="K57" s="57"/>
    </row>
    <row r="58" spans="1:11" s="1" customFormat="1">
      <c r="A58" s="3"/>
      <c r="B58" s="57"/>
      <c r="C58" s="57"/>
      <c r="D58" s="57"/>
      <c r="E58" s="57"/>
      <c r="F58" s="57"/>
      <c r="G58" s="57"/>
      <c r="H58" s="57"/>
      <c r="I58" s="57"/>
      <c r="J58" s="57"/>
      <c r="K58" s="57"/>
    </row>
    <row r="59" spans="1:11" s="1" customFormat="1">
      <c r="A59" s="3"/>
      <c r="B59" s="57"/>
      <c r="C59" s="57"/>
      <c r="D59" s="57"/>
      <c r="E59" s="57"/>
      <c r="F59" s="57"/>
      <c r="G59" s="57"/>
      <c r="H59" s="57"/>
      <c r="I59" s="57"/>
      <c r="J59" s="57"/>
      <c r="K59" s="57"/>
    </row>
    <row r="60" spans="1:11" s="1" customFormat="1">
      <c r="A60" s="3"/>
      <c r="B60" s="57"/>
      <c r="C60" s="57"/>
      <c r="D60" s="57"/>
      <c r="E60" s="57"/>
      <c r="F60" s="57"/>
      <c r="G60" s="57"/>
      <c r="H60" s="57"/>
      <c r="I60" s="57"/>
      <c r="J60" s="57"/>
      <c r="K60" s="57"/>
    </row>
    <row r="61" spans="1:11" s="1" customFormat="1">
      <c r="A61" s="3"/>
      <c r="B61" s="57"/>
      <c r="C61" s="57"/>
      <c r="D61" s="57"/>
      <c r="E61" s="57"/>
      <c r="F61" s="57"/>
      <c r="G61" s="57"/>
      <c r="H61" s="57"/>
      <c r="I61" s="57"/>
      <c r="J61" s="57"/>
      <c r="K61" s="57"/>
    </row>
    <row r="62" spans="1:11" s="1" customFormat="1">
      <c r="A62" s="3"/>
      <c r="B62" s="57"/>
      <c r="C62" s="57"/>
      <c r="D62" s="57"/>
      <c r="E62" s="57"/>
      <c r="F62" s="57"/>
      <c r="G62" s="57"/>
      <c r="H62" s="57"/>
      <c r="I62" s="57"/>
      <c r="J62" s="57"/>
      <c r="K62" s="57"/>
    </row>
    <row r="63" spans="1:11" s="1" customFormat="1">
      <c r="A63" s="3"/>
      <c r="B63" s="57"/>
      <c r="C63" s="57"/>
      <c r="D63" s="57"/>
      <c r="E63" s="57"/>
      <c r="F63" s="57"/>
      <c r="G63" s="57"/>
      <c r="H63" s="57"/>
      <c r="I63" s="57"/>
      <c r="J63" s="57"/>
      <c r="K63" s="57"/>
    </row>
    <row r="64" spans="1:11" s="1" customFormat="1">
      <c r="A64" s="3"/>
      <c r="B64" s="57"/>
      <c r="C64" s="57"/>
      <c r="D64" s="57"/>
      <c r="E64" s="57"/>
      <c r="F64" s="57"/>
      <c r="G64" s="57"/>
      <c r="H64" s="57"/>
      <c r="I64" s="57"/>
      <c r="J64" s="57"/>
      <c r="K64" s="57"/>
    </row>
    <row r="65" spans="1:11" s="1" customFormat="1">
      <c r="A65" s="3"/>
      <c r="B65" s="57"/>
      <c r="C65" s="57"/>
      <c r="D65" s="57"/>
      <c r="E65" s="57"/>
      <c r="F65" s="57"/>
      <c r="G65" s="57"/>
      <c r="H65" s="57"/>
      <c r="I65" s="57"/>
      <c r="J65" s="57"/>
      <c r="K65" s="57"/>
    </row>
    <row r="66" spans="1:11" s="1" customFormat="1">
      <c r="A66" s="3"/>
      <c r="B66" s="57"/>
      <c r="C66" s="57"/>
      <c r="D66" s="57"/>
      <c r="E66" s="57"/>
      <c r="F66" s="57"/>
      <c r="G66" s="57"/>
      <c r="H66" s="57"/>
      <c r="I66" s="57"/>
      <c r="J66" s="57"/>
      <c r="K66" s="57"/>
    </row>
    <row r="67" spans="1:11" s="1" customFormat="1">
      <c r="A67" s="3"/>
      <c r="B67" s="57"/>
      <c r="C67" s="57"/>
      <c r="D67" s="57"/>
      <c r="E67" s="57"/>
      <c r="F67" s="57"/>
      <c r="G67" s="57"/>
      <c r="H67" s="57"/>
      <c r="I67" s="57"/>
      <c r="J67" s="57"/>
      <c r="K67" s="57"/>
    </row>
    <row r="68" spans="1:11" s="1" customFormat="1">
      <c r="A68" s="3"/>
      <c r="B68" s="57"/>
      <c r="C68" s="57"/>
      <c r="D68" s="57"/>
      <c r="E68" s="57"/>
      <c r="F68" s="57"/>
      <c r="G68" s="57"/>
      <c r="H68" s="57"/>
      <c r="I68" s="57"/>
      <c r="J68" s="57"/>
      <c r="K68" s="57"/>
    </row>
    <row r="69" spans="1:11" s="1" customFormat="1">
      <c r="A69" s="3"/>
      <c r="B69" s="57"/>
      <c r="C69" s="57"/>
      <c r="D69" s="57"/>
      <c r="E69" s="57"/>
      <c r="F69" s="57"/>
      <c r="G69" s="57"/>
      <c r="H69" s="57"/>
      <c r="I69" s="57"/>
      <c r="J69" s="57"/>
      <c r="K69" s="57"/>
    </row>
    <row r="70" spans="1:11" s="1" customFormat="1">
      <c r="A70" s="3"/>
      <c r="B70" s="57"/>
      <c r="C70" s="57"/>
      <c r="D70" s="57"/>
      <c r="E70" s="57"/>
      <c r="F70" s="57"/>
      <c r="G70" s="57"/>
      <c r="H70" s="57"/>
      <c r="I70" s="57"/>
      <c r="J70" s="57"/>
      <c r="K70" s="57"/>
    </row>
    <row r="71" spans="1:11" s="1" customFormat="1">
      <c r="A71" s="3"/>
      <c r="B71" s="57"/>
      <c r="C71" s="57"/>
      <c r="D71" s="57"/>
      <c r="E71" s="57"/>
      <c r="F71" s="57"/>
      <c r="G71" s="57"/>
      <c r="H71" s="57"/>
      <c r="I71" s="57"/>
      <c r="J71" s="57"/>
      <c r="K71" s="57"/>
    </row>
    <row r="72" spans="1:11" s="1" customFormat="1">
      <c r="A72" s="3"/>
      <c r="B72" s="57"/>
      <c r="C72" s="57"/>
      <c r="D72" s="57"/>
      <c r="E72" s="57"/>
      <c r="F72" s="57"/>
      <c r="G72" s="57"/>
      <c r="H72" s="57"/>
      <c r="I72" s="57"/>
      <c r="J72" s="57"/>
      <c r="K72" s="57"/>
    </row>
    <row r="73" spans="1:11" s="1" customFormat="1">
      <c r="A73" s="3"/>
      <c r="B73" s="57"/>
      <c r="C73" s="57"/>
      <c r="D73" s="57"/>
      <c r="E73" s="57"/>
      <c r="F73" s="57"/>
      <c r="G73" s="57"/>
      <c r="H73" s="57"/>
      <c r="I73" s="57"/>
      <c r="J73" s="57"/>
      <c r="K73" s="57"/>
    </row>
    <row r="74" spans="1:11" s="1" customFormat="1">
      <c r="A74" s="3"/>
      <c r="B74" s="57"/>
      <c r="C74" s="57"/>
      <c r="D74" s="57"/>
      <c r="E74" s="57"/>
      <c r="F74" s="57"/>
      <c r="G74" s="57"/>
      <c r="H74" s="57"/>
      <c r="I74" s="57"/>
      <c r="J74" s="57"/>
      <c r="K74" s="57"/>
    </row>
    <row r="75" spans="1:11" s="1" customFormat="1">
      <c r="A75" s="3"/>
      <c r="B75" s="57"/>
      <c r="C75" s="57"/>
      <c r="D75" s="57"/>
      <c r="E75" s="57"/>
      <c r="F75" s="57"/>
      <c r="G75" s="57"/>
      <c r="H75" s="57"/>
      <c r="I75" s="57"/>
      <c r="J75" s="57"/>
      <c r="K75" s="57"/>
    </row>
    <row r="76" spans="1:11" s="1" customFormat="1">
      <c r="A76" s="3"/>
      <c r="B76" s="57"/>
      <c r="C76" s="57"/>
      <c r="D76" s="57"/>
      <c r="E76" s="57"/>
      <c r="F76" s="57"/>
      <c r="G76" s="57"/>
      <c r="H76" s="57"/>
      <c r="I76" s="57"/>
      <c r="J76" s="57"/>
      <c r="K76" s="57"/>
    </row>
    <row r="77" spans="1:11" s="1" customFormat="1">
      <c r="A77" s="3"/>
      <c r="B77" s="57"/>
      <c r="C77" s="57"/>
      <c r="D77" s="57"/>
      <c r="E77" s="57"/>
      <c r="F77" s="57"/>
      <c r="G77" s="57"/>
      <c r="H77" s="57"/>
      <c r="I77" s="57"/>
      <c r="J77" s="57"/>
      <c r="K77" s="57"/>
    </row>
    <row r="78" spans="1:11" s="1" customFormat="1">
      <c r="A78" s="3"/>
      <c r="B78" s="57"/>
      <c r="C78" s="57"/>
      <c r="D78" s="57"/>
      <c r="E78" s="57"/>
      <c r="F78" s="57"/>
      <c r="G78" s="57"/>
      <c r="H78" s="57"/>
      <c r="I78" s="57"/>
      <c r="J78" s="57"/>
      <c r="K78" s="57"/>
    </row>
    <row r="79" spans="1:11" s="1" customFormat="1">
      <c r="A79" s="3"/>
      <c r="B79" s="57"/>
      <c r="C79" s="57"/>
      <c r="D79" s="57"/>
      <c r="E79" s="57"/>
      <c r="F79" s="57"/>
      <c r="G79" s="57"/>
      <c r="H79" s="57"/>
      <c r="I79" s="57"/>
      <c r="J79" s="57"/>
      <c r="K79" s="57"/>
    </row>
    <row r="80" spans="1:11" s="1" customFormat="1">
      <c r="A80" s="3"/>
      <c r="B80" s="57"/>
      <c r="C80" s="57"/>
      <c r="D80" s="57"/>
      <c r="E80" s="57"/>
      <c r="F80" s="57"/>
      <c r="G80" s="57"/>
      <c r="H80" s="57"/>
      <c r="I80" s="57"/>
      <c r="J80" s="57"/>
      <c r="K80" s="57"/>
    </row>
    <row r="81" spans="1:11" s="1" customFormat="1">
      <c r="A81" s="3"/>
      <c r="B81" s="57"/>
      <c r="C81" s="57"/>
      <c r="D81" s="57"/>
      <c r="E81" s="57"/>
      <c r="F81" s="57"/>
      <c r="G81" s="57"/>
      <c r="H81" s="57"/>
      <c r="I81" s="57"/>
      <c r="J81" s="57"/>
      <c r="K81" s="57"/>
    </row>
    <row r="82" spans="1:11" s="1" customFormat="1">
      <c r="A82" s="3"/>
      <c r="B82" s="57"/>
      <c r="C82" s="57"/>
      <c r="D82" s="57"/>
      <c r="E82" s="57"/>
      <c r="F82" s="57"/>
      <c r="G82" s="57"/>
      <c r="H82" s="57"/>
      <c r="I82" s="57"/>
      <c r="J82" s="57"/>
      <c r="K82" s="57"/>
    </row>
    <row r="83" spans="1:11" s="1" customFormat="1">
      <c r="A83" s="3"/>
      <c r="B83" s="57"/>
      <c r="C83" s="57"/>
      <c r="D83" s="57"/>
      <c r="E83" s="57"/>
      <c r="F83" s="57"/>
      <c r="G83" s="57"/>
      <c r="H83" s="57"/>
      <c r="I83" s="57"/>
      <c r="J83" s="57"/>
      <c r="K83" s="57"/>
    </row>
    <row r="84" spans="1:11" s="1" customFormat="1">
      <c r="A84" s="3"/>
      <c r="B84" s="57"/>
      <c r="C84" s="57"/>
      <c r="D84" s="57"/>
      <c r="E84" s="57"/>
      <c r="F84" s="57"/>
      <c r="G84" s="57"/>
      <c r="H84" s="57"/>
      <c r="I84" s="57"/>
      <c r="J84" s="57"/>
      <c r="K84" s="57"/>
    </row>
    <row r="85" spans="1:11" s="1" customFormat="1">
      <c r="A85" s="3"/>
      <c r="B85" s="57"/>
      <c r="C85" s="57"/>
      <c r="D85" s="57"/>
      <c r="E85" s="57"/>
      <c r="F85" s="57"/>
      <c r="G85" s="57"/>
      <c r="H85" s="57"/>
      <c r="I85" s="57"/>
      <c r="J85" s="57"/>
      <c r="K85" s="57"/>
    </row>
    <row r="86" spans="1:11" s="1" customFormat="1">
      <c r="A86" s="3"/>
      <c r="B86" s="57"/>
      <c r="C86" s="57"/>
      <c r="D86" s="57"/>
      <c r="E86" s="57"/>
      <c r="F86" s="57"/>
      <c r="G86" s="57"/>
      <c r="H86" s="57"/>
      <c r="I86" s="57"/>
      <c r="J86" s="57"/>
      <c r="K86" s="57"/>
    </row>
    <row r="87" spans="1:11" s="1" customFormat="1">
      <c r="A87" s="3"/>
      <c r="B87" s="57"/>
      <c r="C87" s="57"/>
      <c r="D87" s="57"/>
      <c r="E87" s="57"/>
      <c r="F87" s="57"/>
      <c r="G87" s="57"/>
      <c r="H87" s="57"/>
      <c r="I87" s="57"/>
      <c r="J87" s="57"/>
      <c r="K87" s="57"/>
    </row>
    <row r="88" spans="1:11" s="1" customFormat="1">
      <c r="A88" s="3"/>
      <c r="B88" s="57"/>
      <c r="C88" s="57"/>
      <c r="D88" s="57"/>
      <c r="E88" s="57"/>
      <c r="F88" s="57"/>
      <c r="G88" s="57"/>
      <c r="H88" s="57"/>
      <c r="I88" s="57"/>
      <c r="J88" s="57"/>
      <c r="K88" s="57"/>
    </row>
    <row r="89" spans="1:11" s="1" customFormat="1">
      <c r="A89" s="3"/>
      <c r="B89" s="57"/>
      <c r="C89" s="57"/>
      <c r="D89" s="57"/>
      <c r="E89" s="57"/>
      <c r="F89" s="57"/>
      <c r="G89" s="57"/>
      <c r="H89" s="57"/>
      <c r="I89" s="57"/>
      <c r="J89" s="57"/>
      <c r="K89" s="57"/>
    </row>
    <row r="90" spans="1:11" s="1" customFormat="1">
      <c r="A90" s="3"/>
      <c r="B90" s="57"/>
      <c r="C90" s="57"/>
      <c r="D90" s="57"/>
      <c r="E90" s="57"/>
      <c r="F90" s="57"/>
      <c r="G90" s="57"/>
      <c r="H90" s="57"/>
      <c r="I90" s="57"/>
      <c r="J90" s="57"/>
      <c r="K90" s="57"/>
    </row>
    <row r="91" spans="1:11" s="1" customFormat="1">
      <c r="A91" s="3"/>
      <c r="B91" s="57"/>
      <c r="C91" s="57"/>
      <c r="D91" s="57"/>
      <c r="E91" s="57"/>
      <c r="F91" s="57"/>
      <c r="G91" s="57"/>
      <c r="H91" s="57"/>
      <c r="I91" s="57"/>
      <c r="J91" s="57"/>
      <c r="K91" s="57"/>
    </row>
    <row r="92" spans="1:11" s="1" customFormat="1">
      <c r="A92" s="3"/>
      <c r="B92" s="57"/>
      <c r="C92" s="57"/>
      <c r="D92" s="57"/>
      <c r="E92" s="57"/>
      <c r="F92" s="57"/>
      <c r="G92" s="57"/>
      <c r="H92" s="57"/>
      <c r="I92" s="57"/>
      <c r="J92" s="57"/>
      <c r="K92" s="57"/>
    </row>
    <row r="93" spans="1:11" s="1" customFormat="1">
      <c r="A93" s="3"/>
      <c r="B93" s="57"/>
      <c r="C93" s="57"/>
      <c r="D93" s="57"/>
      <c r="E93" s="57"/>
      <c r="F93" s="57"/>
      <c r="G93" s="57"/>
      <c r="H93" s="57"/>
      <c r="I93" s="57"/>
      <c r="J93" s="57"/>
      <c r="K93" s="57"/>
    </row>
    <row r="94" spans="1:11" s="1" customFormat="1">
      <c r="A94" s="3"/>
      <c r="B94" s="57"/>
      <c r="C94" s="57"/>
      <c r="D94" s="57"/>
      <c r="E94" s="57"/>
      <c r="F94" s="57"/>
      <c r="G94" s="57"/>
      <c r="H94" s="57"/>
      <c r="I94" s="57"/>
      <c r="J94" s="57"/>
      <c r="K94" s="57"/>
    </row>
    <row r="95" spans="1:11" s="1" customFormat="1">
      <c r="A95" s="3"/>
      <c r="B95" s="57"/>
      <c r="C95" s="57"/>
      <c r="D95" s="57"/>
      <c r="E95" s="57"/>
      <c r="F95" s="57"/>
      <c r="G95" s="57"/>
      <c r="H95" s="57"/>
      <c r="I95" s="57"/>
      <c r="J95" s="57"/>
      <c r="K95" s="57"/>
    </row>
    <row r="96" spans="1:11" s="1" customFormat="1">
      <c r="A96" s="3"/>
      <c r="B96" s="57"/>
      <c r="C96" s="57"/>
      <c r="D96" s="57"/>
      <c r="E96" s="57"/>
      <c r="F96" s="57"/>
      <c r="G96" s="57"/>
      <c r="H96" s="57"/>
      <c r="I96" s="57"/>
      <c r="J96" s="57"/>
      <c r="K96" s="57"/>
    </row>
    <row r="97" spans="1:11" s="1" customFormat="1">
      <c r="A97" s="3"/>
      <c r="B97" s="57"/>
      <c r="C97" s="57"/>
      <c r="D97" s="57"/>
      <c r="E97" s="57"/>
      <c r="F97" s="57"/>
      <c r="G97" s="57"/>
      <c r="H97" s="57"/>
      <c r="I97" s="57"/>
      <c r="J97" s="57"/>
      <c r="K97" s="57"/>
    </row>
    <row r="98" spans="1:11" s="1" customFormat="1">
      <c r="A98" s="3"/>
      <c r="B98" s="57"/>
      <c r="C98" s="57"/>
      <c r="D98" s="57"/>
      <c r="E98" s="57"/>
      <c r="F98" s="57"/>
      <c r="G98" s="57"/>
      <c r="H98" s="57"/>
      <c r="I98" s="57"/>
      <c r="J98" s="57"/>
      <c r="K98" s="57"/>
    </row>
    <row r="99" spans="1:11" s="1" customFormat="1">
      <c r="A99" s="3"/>
      <c r="B99" s="57"/>
      <c r="C99" s="57"/>
      <c r="D99" s="57"/>
      <c r="E99" s="57"/>
      <c r="F99" s="57"/>
      <c r="G99" s="57"/>
      <c r="H99" s="57"/>
      <c r="I99" s="57"/>
      <c r="J99" s="57"/>
      <c r="K99" s="57"/>
    </row>
    <row r="100" spans="1:11" s="1" customFormat="1">
      <c r="A100" s="3"/>
      <c r="B100" s="57"/>
      <c r="C100" s="57"/>
      <c r="D100" s="57"/>
      <c r="E100" s="57"/>
      <c r="F100" s="57"/>
      <c r="G100" s="57"/>
      <c r="H100" s="57"/>
      <c r="I100" s="57"/>
      <c r="J100" s="57"/>
      <c r="K100" s="57"/>
    </row>
    <row r="101" spans="1:11" s="1" customFormat="1">
      <c r="A101" s="3"/>
      <c r="B101" s="57"/>
      <c r="C101" s="57"/>
      <c r="D101" s="57"/>
      <c r="E101" s="57"/>
      <c r="F101" s="57"/>
      <c r="G101" s="57"/>
      <c r="H101" s="57"/>
      <c r="I101" s="57"/>
      <c r="J101" s="57"/>
      <c r="K101" s="57"/>
    </row>
    <row r="102" spans="1:11" s="1" customFormat="1">
      <c r="A102" s="3"/>
      <c r="B102" s="57"/>
      <c r="C102" s="57"/>
      <c r="D102" s="57"/>
      <c r="E102" s="57"/>
      <c r="F102" s="57"/>
      <c r="G102" s="57"/>
      <c r="H102" s="57"/>
      <c r="I102" s="57"/>
      <c r="J102" s="57"/>
      <c r="K102" s="57"/>
    </row>
    <row r="103" spans="1:11" s="1" customFormat="1">
      <c r="A103" s="3"/>
      <c r="B103" s="57"/>
      <c r="C103" s="57"/>
      <c r="D103" s="57"/>
      <c r="E103" s="57"/>
      <c r="F103" s="57"/>
      <c r="G103" s="57"/>
      <c r="H103" s="57"/>
      <c r="I103" s="57"/>
      <c r="J103" s="57"/>
      <c r="K103" s="57"/>
    </row>
    <row r="104" spans="1:11" s="1" customFormat="1">
      <c r="A104" s="3"/>
      <c r="B104" s="57"/>
      <c r="C104" s="57"/>
      <c r="D104" s="57"/>
      <c r="E104" s="57"/>
      <c r="F104" s="57"/>
      <c r="G104" s="57"/>
      <c r="H104" s="57"/>
      <c r="I104" s="57"/>
      <c r="J104" s="57"/>
      <c r="K104" s="57"/>
    </row>
    <row r="105" spans="1:11" s="1" customFormat="1">
      <c r="A105" s="3"/>
      <c r="B105" s="57"/>
      <c r="C105" s="57"/>
      <c r="D105" s="57"/>
      <c r="E105" s="57"/>
      <c r="F105" s="57"/>
      <c r="G105" s="57"/>
      <c r="H105" s="57"/>
      <c r="I105" s="57"/>
      <c r="J105" s="57"/>
      <c r="K105" s="57"/>
    </row>
    <row r="106" spans="1:11" s="1" customFormat="1">
      <c r="A106" s="3"/>
      <c r="B106" s="57"/>
      <c r="C106" s="57"/>
      <c r="D106" s="57"/>
      <c r="E106" s="57"/>
      <c r="F106" s="57"/>
      <c r="G106" s="57"/>
      <c r="H106" s="57"/>
      <c r="I106" s="57"/>
      <c r="J106" s="57"/>
      <c r="K106" s="57"/>
    </row>
    <row r="107" spans="1:11" s="1" customFormat="1">
      <c r="A107" s="3"/>
      <c r="B107" s="57"/>
      <c r="C107" s="57"/>
      <c r="D107" s="57"/>
      <c r="E107" s="57"/>
      <c r="F107" s="57"/>
      <c r="G107" s="57"/>
      <c r="H107" s="57"/>
      <c r="I107" s="57"/>
      <c r="J107" s="57"/>
      <c r="K107" s="57"/>
    </row>
    <row r="108" spans="1:11" s="1" customFormat="1">
      <c r="A108" s="3"/>
      <c r="B108" s="57"/>
      <c r="C108" s="57"/>
      <c r="D108" s="57"/>
      <c r="E108" s="57"/>
      <c r="F108" s="57"/>
      <c r="G108" s="57"/>
      <c r="H108" s="57"/>
      <c r="I108" s="57"/>
      <c r="J108" s="57"/>
      <c r="K108" s="57"/>
    </row>
    <row r="109" spans="1:11" s="1" customFormat="1">
      <c r="A109" s="3"/>
      <c r="B109" s="57"/>
      <c r="C109" s="57"/>
      <c r="D109" s="57"/>
      <c r="E109" s="57"/>
      <c r="F109" s="57"/>
      <c r="G109" s="57"/>
      <c r="H109" s="57"/>
      <c r="I109" s="57"/>
      <c r="J109" s="57"/>
      <c r="K109" s="57"/>
    </row>
    <row r="110" spans="1:11" s="1" customFormat="1">
      <c r="A110" s="3"/>
      <c r="B110" s="57"/>
      <c r="C110" s="57"/>
      <c r="D110" s="57"/>
      <c r="E110" s="57"/>
      <c r="F110" s="57"/>
      <c r="G110" s="57"/>
      <c r="H110" s="57"/>
      <c r="I110" s="57"/>
      <c r="J110" s="57"/>
      <c r="K110" s="57"/>
    </row>
    <row r="111" spans="1:11" s="1" customFormat="1">
      <c r="A111" s="3"/>
      <c r="B111" s="57"/>
      <c r="C111" s="57"/>
      <c r="D111" s="57"/>
      <c r="E111" s="57"/>
      <c r="F111" s="57"/>
      <c r="G111" s="57"/>
      <c r="H111" s="57"/>
      <c r="I111" s="57"/>
      <c r="J111" s="57"/>
      <c r="K111" s="57"/>
    </row>
    <row r="112" spans="1:11" s="1" customFormat="1">
      <c r="A112" s="3"/>
      <c r="B112" s="57"/>
      <c r="C112" s="57"/>
      <c r="D112" s="57"/>
      <c r="E112" s="57"/>
      <c r="F112" s="57"/>
      <c r="G112" s="57"/>
      <c r="H112" s="57"/>
      <c r="I112" s="57"/>
      <c r="J112" s="57"/>
      <c r="K112" s="57"/>
    </row>
    <row r="113" spans="1:11" s="1" customFormat="1">
      <c r="A113" s="3"/>
      <c r="B113" s="57"/>
      <c r="C113" s="57"/>
      <c r="D113" s="57"/>
      <c r="E113" s="57"/>
      <c r="F113" s="57"/>
      <c r="G113" s="57"/>
      <c r="H113" s="57"/>
      <c r="I113" s="57"/>
      <c r="J113" s="57"/>
      <c r="K113" s="57"/>
    </row>
    <row r="114" spans="1:11" s="1" customFormat="1">
      <c r="A114" s="3"/>
      <c r="B114" s="57"/>
      <c r="C114" s="57"/>
      <c r="D114" s="57"/>
      <c r="E114" s="57"/>
      <c r="F114" s="57"/>
      <c r="G114" s="57"/>
      <c r="H114" s="57"/>
      <c r="I114" s="57"/>
      <c r="J114" s="57"/>
      <c r="K114" s="57"/>
    </row>
    <row r="115" spans="1:11" s="1" customFormat="1">
      <c r="A115" s="3"/>
      <c r="B115" s="57"/>
      <c r="C115" s="57"/>
      <c r="D115" s="57"/>
      <c r="E115" s="57"/>
      <c r="F115" s="57"/>
      <c r="G115" s="57"/>
      <c r="H115" s="57"/>
      <c r="I115" s="57"/>
      <c r="J115" s="57"/>
      <c r="K115" s="57"/>
    </row>
    <row r="116" spans="1:11" s="1" customFormat="1">
      <c r="A116" s="3"/>
      <c r="B116" s="57"/>
      <c r="C116" s="57"/>
      <c r="D116" s="57"/>
      <c r="E116" s="57"/>
      <c r="F116" s="57"/>
      <c r="G116" s="57"/>
      <c r="H116" s="57"/>
      <c r="I116" s="57"/>
      <c r="J116" s="57"/>
      <c r="K116" s="57"/>
    </row>
    <row r="117" spans="1:11" s="1" customFormat="1">
      <c r="A117" s="3"/>
      <c r="B117" s="57"/>
      <c r="C117" s="57"/>
      <c r="D117" s="57"/>
      <c r="E117" s="57"/>
      <c r="F117" s="57"/>
      <c r="G117" s="57"/>
      <c r="H117" s="57"/>
      <c r="I117" s="57"/>
      <c r="J117" s="57"/>
      <c r="K117" s="57"/>
    </row>
    <row r="118" spans="1:11" s="1" customFormat="1">
      <c r="A118" s="3"/>
      <c r="B118" s="57"/>
      <c r="C118" s="57"/>
      <c r="D118" s="57"/>
      <c r="E118" s="57"/>
      <c r="F118" s="57"/>
      <c r="G118" s="57"/>
      <c r="H118" s="57"/>
      <c r="I118" s="57"/>
      <c r="J118" s="57"/>
      <c r="K118" s="57"/>
    </row>
    <row r="119" spans="1:11" s="1" customFormat="1">
      <c r="A119" s="3"/>
      <c r="B119" s="57"/>
      <c r="C119" s="57"/>
      <c r="D119" s="57"/>
      <c r="E119" s="57"/>
      <c r="F119" s="57"/>
      <c r="G119" s="57"/>
      <c r="H119" s="57"/>
      <c r="I119" s="57"/>
      <c r="J119" s="57"/>
      <c r="K119" s="57"/>
    </row>
    <row r="120" spans="1:11" s="1" customFormat="1">
      <c r="A120" s="3"/>
      <c r="B120" s="57"/>
      <c r="C120" s="57"/>
      <c r="D120" s="57"/>
      <c r="E120" s="57"/>
      <c r="F120" s="57"/>
      <c r="G120" s="57"/>
      <c r="H120" s="57"/>
      <c r="I120" s="57"/>
      <c r="J120" s="57"/>
      <c r="K120" s="57"/>
    </row>
    <row r="121" spans="1:11" s="1" customFormat="1">
      <c r="A121" s="3"/>
      <c r="B121" s="57"/>
      <c r="C121" s="57"/>
      <c r="D121" s="57"/>
      <c r="E121" s="57"/>
      <c r="F121" s="57"/>
      <c r="G121" s="57"/>
      <c r="H121" s="57"/>
      <c r="I121" s="57"/>
      <c r="J121" s="57"/>
      <c r="K121" s="57"/>
    </row>
    <row r="122" spans="1:11" s="1" customFormat="1">
      <c r="A122" s="3"/>
      <c r="B122" s="57"/>
      <c r="C122" s="57"/>
      <c r="D122" s="57"/>
      <c r="E122" s="57"/>
      <c r="F122" s="57"/>
      <c r="G122" s="57"/>
      <c r="H122" s="57"/>
      <c r="I122" s="57"/>
      <c r="J122" s="57"/>
      <c r="K122" s="57"/>
    </row>
    <row r="123" spans="1:11" s="1" customFormat="1">
      <c r="A123" s="3"/>
      <c r="B123" s="57"/>
      <c r="C123" s="57"/>
      <c r="D123" s="57"/>
      <c r="E123" s="57"/>
      <c r="F123" s="57"/>
      <c r="G123" s="57"/>
      <c r="H123" s="57"/>
      <c r="I123" s="57"/>
      <c r="J123" s="57"/>
      <c r="K123" s="57"/>
    </row>
    <row r="124" spans="1:11" s="1" customFormat="1">
      <c r="A124" s="3"/>
      <c r="B124" s="57"/>
      <c r="C124" s="57"/>
      <c r="D124" s="57"/>
      <c r="E124" s="57"/>
      <c r="F124" s="57"/>
      <c r="G124" s="57"/>
      <c r="H124" s="57"/>
      <c r="I124" s="57"/>
      <c r="J124" s="57"/>
      <c r="K124" s="57"/>
    </row>
    <row r="125" spans="1:11" s="1" customFormat="1">
      <c r="A125" s="3"/>
      <c r="B125" s="57"/>
      <c r="C125" s="57"/>
      <c r="D125" s="57"/>
      <c r="E125" s="57"/>
      <c r="F125" s="57"/>
      <c r="G125" s="57"/>
      <c r="H125" s="57"/>
      <c r="I125" s="57"/>
      <c r="J125" s="57"/>
      <c r="K125" s="57"/>
    </row>
    <row r="126" spans="1:11" s="1" customFormat="1">
      <c r="A126" s="3"/>
      <c r="B126" s="57"/>
      <c r="C126" s="57"/>
      <c r="D126" s="57"/>
      <c r="E126" s="57"/>
      <c r="F126" s="57"/>
      <c r="G126" s="57"/>
      <c r="H126" s="57"/>
      <c r="I126" s="57"/>
      <c r="J126" s="57"/>
      <c r="K126" s="57"/>
    </row>
    <row r="127" spans="1:11" s="1" customFormat="1">
      <c r="A127" s="3"/>
      <c r="B127" s="57"/>
      <c r="C127" s="57"/>
      <c r="D127" s="57"/>
      <c r="E127" s="57"/>
      <c r="F127" s="57"/>
      <c r="G127" s="57"/>
      <c r="H127" s="57"/>
      <c r="I127" s="57"/>
      <c r="J127" s="57"/>
      <c r="K127" s="57"/>
    </row>
    <row r="128" spans="1:11" s="1" customFormat="1">
      <c r="A128" s="3"/>
      <c r="B128" s="57"/>
      <c r="C128" s="57"/>
      <c r="D128" s="57"/>
      <c r="E128" s="57"/>
      <c r="F128" s="57"/>
      <c r="G128" s="57"/>
      <c r="H128" s="57"/>
      <c r="I128" s="57"/>
      <c r="J128" s="57"/>
      <c r="K128" s="57"/>
    </row>
    <row r="129" spans="1:11" s="1" customFormat="1">
      <c r="A129" s="3"/>
      <c r="B129" s="57"/>
      <c r="C129" s="57"/>
      <c r="D129" s="57"/>
      <c r="E129" s="57"/>
      <c r="F129" s="57"/>
      <c r="G129" s="57"/>
      <c r="H129" s="57"/>
      <c r="I129" s="57"/>
      <c r="J129" s="57"/>
      <c r="K129" s="57"/>
    </row>
    <row r="130" spans="1:11" s="1" customFormat="1">
      <c r="A130" s="3"/>
      <c r="B130" s="57"/>
      <c r="C130" s="57"/>
      <c r="D130" s="57"/>
      <c r="E130" s="57"/>
      <c r="F130" s="57"/>
      <c r="G130" s="57"/>
      <c r="H130" s="57"/>
      <c r="I130" s="57"/>
      <c r="J130" s="57"/>
      <c r="K130" s="57"/>
    </row>
    <row r="131" spans="1:11" s="1" customFormat="1">
      <c r="A131" s="3"/>
      <c r="B131" s="57"/>
      <c r="C131" s="57"/>
      <c r="D131" s="57"/>
      <c r="E131" s="57"/>
      <c r="F131" s="57"/>
      <c r="G131" s="57"/>
      <c r="H131" s="57"/>
      <c r="I131" s="57"/>
      <c r="J131" s="57"/>
      <c r="K131" s="57"/>
    </row>
    <row r="132" spans="1:11" s="1" customFormat="1">
      <c r="A132" s="3"/>
      <c r="B132" s="57"/>
      <c r="C132" s="57"/>
      <c r="D132" s="57"/>
      <c r="E132" s="57"/>
      <c r="F132" s="57"/>
      <c r="G132" s="57"/>
      <c r="H132" s="57"/>
      <c r="I132" s="57"/>
      <c r="J132" s="57"/>
      <c r="K132" s="57"/>
    </row>
    <row r="133" spans="1:11" s="1" customFormat="1">
      <c r="A133" s="3"/>
      <c r="B133" s="57"/>
      <c r="C133" s="57"/>
      <c r="D133" s="57"/>
      <c r="E133" s="57"/>
      <c r="F133" s="57"/>
      <c r="G133" s="57"/>
      <c r="H133" s="57"/>
      <c r="I133" s="57"/>
      <c r="J133" s="57"/>
      <c r="K133" s="57"/>
    </row>
    <row r="134" spans="1:11" s="1" customFormat="1">
      <c r="A134" s="3"/>
      <c r="B134" s="57"/>
      <c r="C134" s="57"/>
      <c r="D134" s="57"/>
      <c r="E134" s="57"/>
      <c r="F134" s="57"/>
      <c r="G134" s="57"/>
      <c r="H134" s="57"/>
      <c r="I134" s="57"/>
      <c r="J134" s="57"/>
      <c r="K134" s="57"/>
    </row>
    <row r="135" spans="1:11" s="1" customFormat="1">
      <c r="A135" s="3"/>
      <c r="B135" s="57"/>
      <c r="C135" s="57"/>
      <c r="D135" s="57"/>
      <c r="E135" s="57"/>
      <c r="F135" s="57"/>
      <c r="G135" s="57"/>
      <c r="H135" s="57"/>
      <c r="I135" s="57"/>
      <c r="J135" s="57"/>
      <c r="K135" s="57"/>
    </row>
    <row r="136" spans="1:11" s="1" customFormat="1">
      <c r="A136" s="3"/>
      <c r="B136" s="57"/>
      <c r="C136" s="57"/>
      <c r="D136" s="57"/>
      <c r="E136" s="57"/>
      <c r="F136" s="57"/>
      <c r="G136" s="57"/>
      <c r="H136" s="57"/>
      <c r="I136" s="57"/>
      <c r="J136" s="57"/>
      <c r="K136" s="57"/>
    </row>
    <row r="137" spans="1:11" s="1" customFormat="1">
      <c r="A137" s="3"/>
      <c r="B137" s="57"/>
      <c r="C137" s="57"/>
      <c r="D137" s="57"/>
      <c r="E137" s="57"/>
      <c r="F137" s="57"/>
      <c r="G137" s="57"/>
      <c r="H137" s="57"/>
      <c r="I137" s="57"/>
      <c r="J137" s="57"/>
      <c r="K137" s="57"/>
    </row>
    <row r="138" spans="1:11" s="1" customFormat="1">
      <c r="A138" s="3"/>
      <c r="B138" s="57"/>
      <c r="C138" s="57"/>
      <c r="D138" s="57"/>
      <c r="E138" s="57"/>
      <c r="F138" s="57"/>
      <c r="G138" s="57"/>
      <c r="H138" s="57"/>
      <c r="I138" s="57"/>
      <c r="J138" s="57"/>
      <c r="K138" s="57"/>
    </row>
    <row r="139" spans="1:11" s="1" customFormat="1">
      <c r="A139" s="3"/>
      <c r="B139" s="57"/>
      <c r="C139" s="57"/>
      <c r="D139" s="57"/>
      <c r="E139" s="57"/>
      <c r="F139" s="57"/>
      <c r="G139" s="57"/>
      <c r="H139" s="57"/>
      <c r="I139" s="57"/>
      <c r="J139" s="57"/>
      <c r="K139" s="57"/>
    </row>
    <row r="140" spans="1:11" s="1" customFormat="1">
      <c r="A140" s="3"/>
      <c r="B140" s="57"/>
      <c r="C140" s="57"/>
      <c r="D140" s="57"/>
      <c r="E140" s="57"/>
      <c r="F140" s="57"/>
      <c r="G140" s="57"/>
      <c r="H140" s="57"/>
      <c r="I140" s="57"/>
      <c r="J140" s="57"/>
      <c r="K140" s="57"/>
    </row>
    <row r="141" spans="1:11" s="1" customFormat="1">
      <c r="A141" s="3"/>
      <c r="B141" s="57"/>
      <c r="C141" s="57"/>
      <c r="D141" s="57"/>
      <c r="E141" s="57"/>
      <c r="F141" s="57"/>
      <c r="G141" s="57"/>
      <c r="H141" s="57"/>
      <c r="I141" s="57"/>
      <c r="J141" s="57"/>
      <c r="K141" s="57"/>
    </row>
    <row r="142" spans="1:11" s="1" customFormat="1">
      <c r="A142" s="3"/>
      <c r="B142" s="57"/>
      <c r="C142" s="57"/>
      <c r="D142" s="57"/>
      <c r="E142" s="57"/>
      <c r="F142" s="57"/>
      <c r="G142" s="57"/>
      <c r="H142" s="57"/>
      <c r="I142" s="57"/>
      <c r="J142" s="57"/>
      <c r="K142" s="57"/>
    </row>
    <row r="143" spans="1:11" s="1" customFormat="1">
      <c r="A143" s="3"/>
      <c r="B143" s="57"/>
      <c r="C143" s="57"/>
      <c r="D143" s="57"/>
      <c r="E143" s="57"/>
      <c r="F143" s="57"/>
      <c r="G143" s="57"/>
      <c r="H143" s="57"/>
      <c r="I143" s="57"/>
      <c r="J143" s="57"/>
      <c r="K143" s="57"/>
    </row>
    <row r="144" spans="1:11" s="1" customFormat="1">
      <c r="A144" s="3"/>
      <c r="B144" s="57"/>
      <c r="C144" s="57"/>
      <c r="D144" s="57"/>
      <c r="E144" s="57"/>
      <c r="F144" s="57"/>
      <c r="G144" s="57"/>
      <c r="H144" s="57"/>
      <c r="I144" s="57"/>
      <c r="J144" s="57"/>
      <c r="K144" s="57"/>
    </row>
    <row r="145" spans="1:11" s="1" customFormat="1">
      <c r="A145" s="3"/>
      <c r="B145" s="57"/>
      <c r="C145" s="57"/>
      <c r="D145" s="57"/>
      <c r="E145" s="57"/>
      <c r="F145" s="57"/>
      <c r="G145" s="57"/>
      <c r="H145" s="57"/>
      <c r="I145" s="57"/>
      <c r="J145" s="57"/>
      <c r="K145" s="57"/>
    </row>
    <row r="146" spans="1:11" s="1" customFormat="1">
      <c r="A146" s="3"/>
      <c r="B146" s="57"/>
      <c r="C146" s="57"/>
      <c r="D146" s="57"/>
      <c r="E146" s="57"/>
      <c r="F146" s="57"/>
      <c r="G146" s="57"/>
      <c r="H146" s="57"/>
      <c r="I146" s="57"/>
      <c r="J146" s="57"/>
      <c r="K146" s="57"/>
    </row>
    <row r="147" spans="1:11" s="1" customFormat="1">
      <c r="A147" s="3"/>
      <c r="B147" s="57"/>
      <c r="C147" s="57"/>
      <c r="D147" s="57"/>
      <c r="E147" s="57"/>
      <c r="F147" s="57"/>
      <c r="G147" s="57"/>
      <c r="H147" s="57"/>
      <c r="I147" s="57"/>
      <c r="J147" s="57"/>
      <c r="K147" s="57"/>
    </row>
    <row r="148" spans="1:11" s="1" customFormat="1">
      <c r="A148" s="3"/>
      <c r="B148" s="57"/>
      <c r="C148" s="57"/>
      <c r="D148" s="57"/>
      <c r="E148" s="57"/>
      <c r="F148" s="57"/>
      <c r="G148" s="57"/>
      <c r="H148" s="57"/>
      <c r="I148" s="57"/>
      <c r="J148" s="57"/>
      <c r="K148" s="57"/>
    </row>
    <row r="149" spans="1:11" s="1" customFormat="1">
      <c r="A149" s="3"/>
      <c r="B149" s="57"/>
      <c r="C149" s="57"/>
      <c r="D149" s="57"/>
      <c r="E149" s="57"/>
      <c r="F149" s="57"/>
      <c r="G149" s="57"/>
      <c r="H149" s="57"/>
      <c r="I149" s="57"/>
      <c r="J149" s="57"/>
      <c r="K149" s="57"/>
    </row>
    <row r="150" spans="1:11" s="1" customFormat="1">
      <c r="A150" s="3"/>
      <c r="B150" s="57"/>
      <c r="C150" s="57"/>
      <c r="D150" s="57"/>
      <c r="E150" s="57"/>
      <c r="F150" s="57"/>
      <c r="G150" s="57"/>
      <c r="H150" s="57"/>
      <c r="I150" s="57"/>
      <c r="J150" s="57"/>
      <c r="K150" s="57"/>
    </row>
    <row r="151" spans="1:11" s="1" customFormat="1">
      <c r="A151" s="3"/>
      <c r="B151" s="57"/>
      <c r="C151" s="57"/>
      <c r="D151" s="57"/>
      <c r="E151" s="57"/>
      <c r="F151" s="57"/>
      <c r="G151" s="57"/>
      <c r="H151" s="57"/>
      <c r="I151" s="57"/>
      <c r="J151" s="57"/>
      <c r="K151" s="57"/>
    </row>
    <row r="152" spans="1:11" s="1" customFormat="1">
      <c r="A152" s="3"/>
      <c r="B152" s="57"/>
      <c r="C152" s="57"/>
      <c r="D152" s="57"/>
      <c r="E152" s="57"/>
      <c r="F152" s="57"/>
      <c r="G152" s="57"/>
      <c r="H152" s="57"/>
      <c r="I152" s="57"/>
      <c r="J152" s="57"/>
      <c r="K152" s="57"/>
    </row>
    <row r="153" spans="1:11" s="1" customFormat="1">
      <c r="A153" s="3"/>
      <c r="B153" s="57"/>
      <c r="C153" s="57"/>
      <c r="D153" s="57"/>
      <c r="E153" s="57"/>
      <c r="F153" s="57"/>
      <c r="G153" s="57"/>
      <c r="H153" s="57"/>
      <c r="I153" s="57"/>
      <c r="J153" s="57"/>
      <c r="K153" s="57"/>
    </row>
    <row r="154" spans="1:11" s="1" customFormat="1">
      <c r="A154" s="3"/>
      <c r="B154" s="57"/>
      <c r="C154" s="57"/>
      <c r="D154" s="57"/>
      <c r="E154" s="57"/>
      <c r="F154" s="57"/>
      <c r="G154" s="57"/>
      <c r="H154" s="57"/>
      <c r="I154" s="57"/>
      <c r="J154" s="57"/>
      <c r="K154" s="57"/>
    </row>
    <row r="155" spans="1:11" s="1" customFormat="1">
      <c r="A155" s="3"/>
      <c r="B155" s="57"/>
      <c r="C155" s="57"/>
      <c r="D155" s="57"/>
      <c r="E155" s="57"/>
      <c r="F155" s="57"/>
      <c r="G155" s="57"/>
      <c r="H155" s="57"/>
      <c r="I155" s="57"/>
      <c r="J155" s="57"/>
      <c r="K155" s="57"/>
    </row>
    <row r="156" spans="1:11" s="1" customFormat="1">
      <c r="A156" s="3"/>
      <c r="B156" s="57"/>
      <c r="C156" s="57"/>
      <c r="D156" s="57"/>
      <c r="E156" s="57"/>
      <c r="F156" s="57"/>
      <c r="G156" s="57"/>
      <c r="H156" s="57"/>
      <c r="I156" s="57"/>
      <c r="J156" s="57"/>
      <c r="K156" s="57"/>
    </row>
    <row r="157" spans="1:11" s="1" customFormat="1">
      <c r="A157" s="3"/>
      <c r="B157" s="57"/>
      <c r="C157" s="57"/>
      <c r="D157" s="57"/>
      <c r="E157" s="57"/>
      <c r="F157" s="57"/>
      <c r="G157" s="57"/>
      <c r="H157" s="57"/>
      <c r="I157" s="57"/>
      <c r="J157" s="57"/>
      <c r="K157" s="57"/>
    </row>
    <row r="158" spans="1:11" s="1" customFormat="1">
      <c r="A158" s="3"/>
      <c r="B158" s="57"/>
      <c r="C158" s="57"/>
      <c r="D158" s="57"/>
      <c r="E158" s="57"/>
      <c r="F158" s="57"/>
      <c r="G158" s="57"/>
      <c r="H158" s="57"/>
      <c r="I158" s="57"/>
      <c r="J158" s="57"/>
      <c r="K158" s="57"/>
    </row>
    <row r="159" spans="1:11" s="1" customFormat="1">
      <c r="A159" s="3"/>
      <c r="B159" s="57"/>
      <c r="C159" s="57"/>
      <c r="D159" s="57"/>
      <c r="E159" s="57"/>
      <c r="F159" s="57"/>
      <c r="G159" s="57"/>
      <c r="H159" s="57"/>
      <c r="I159" s="57"/>
      <c r="J159" s="57"/>
      <c r="K159" s="57"/>
    </row>
    <row r="160" spans="1:11" s="1" customFormat="1">
      <c r="A160" s="3"/>
      <c r="B160" s="57"/>
      <c r="C160" s="57"/>
      <c r="D160" s="57"/>
      <c r="E160" s="57"/>
      <c r="F160" s="57"/>
      <c r="G160" s="57"/>
      <c r="H160" s="57"/>
      <c r="I160" s="57"/>
      <c r="J160" s="57"/>
      <c r="K160" s="57"/>
    </row>
    <row r="161" spans="1:11" s="1" customFormat="1">
      <c r="A161" s="3"/>
      <c r="B161" s="57"/>
      <c r="C161" s="57"/>
      <c r="D161" s="57"/>
      <c r="E161" s="57"/>
      <c r="F161" s="57"/>
      <c r="G161" s="57"/>
      <c r="H161" s="57"/>
      <c r="I161" s="57"/>
      <c r="J161" s="57"/>
      <c r="K161" s="57"/>
    </row>
    <row r="162" spans="1:11" s="1" customFormat="1">
      <c r="A162" s="3"/>
      <c r="B162" s="57"/>
      <c r="C162" s="57"/>
      <c r="D162" s="57"/>
      <c r="E162" s="57"/>
      <c r="F162" s="57"/>
      <c r="G162" s="57"/>
      <c r="H162" s="57"/>
      <c r="I162" s="57"/>
      <c r="J162" s="57"/>
      <c r="K162" s="57"/>
    </row>
    <row r="163" spans="1:11" s="1" customFormat="1">
      <c r="A163" s="3"/>
      <c r="B163" s="57"/>
      <c r="C163" s="57"/>
      <c r="D163" s="57"/>
      <c r="E163" s="57"/>
      <c r="F163" s="57"/>
      <c r="G163" s="57"/>
      <c r="H163" s="57"/>
      <c r="I163" s="57"/>
      <c r="J163" s="57"/>
      <c r="K163" s="57"/>
    </row>
    <row r="164" spans="1:11" s="1" customFormat="1">
      <c r="A164" s="3"/>
      <c r="B164" s="57"/>
      <c r="C164" s="57"/>
      <c r="D164" s="57"/>
      <c r="E164" s="57"/>
      <c r="F164" s="57"/>
      <c r="G164" s="57"/>
      <c r="H164" s="57"/>
      <c r="I164" s="57"/>
      <c r="J164" s="57"/>
      <c r="K164" s="57"/>
    </row>
    <row r="165" spans="1:11" s="1" customFormat="1">
      <c r="A165" s="3"/>
      <c r="B165" s="57"/>
      <c r="C165" s="57"/>
      <c r="D165" s="57"/>
      <c r="E165" s="57"/>
      <c r="F165" s="57"/>
      <c r="G165" s="57"/>
      <c r="H165" s="57"/>
      <c r="I165" s="57"/>
      <c r="J165" s="57"/>
      <c r="K165" s="57"/>
    </row>
    <row r="166" spans="1:11" s="1" customFormat="1">
      <c r="A166" s="3"/>
      <c r="B166" s="57"/>
      <c r="C166" s="57"/>
      <c r="D166" s="57"/>
      <c r="E166" s="57"/>
      <c r="F166" s="57"/>
      <c r="G166" s="57"/>
      <c r="H166" s="57"/>
      <c r="I166" s="57"/>
      <c r="J166" s="57"/>
      <c r="K166" s="57"/>
    </row>
    <row r="167" spans="1:11" s="1" customFormat="1">
      <c r="A167" s="3"/>
      <c r="B167" s="57"/>
      <c r="C167" s="57"/>
      <c r="D167" s="57"/>
      <c r="E167" s="57"/>
      <c r="F167" s="57"/>
      <c r="G167" s="57"/>
      <c r="H167" s="57"/>
      <c r="I167" s="57"/>
      <c r="J167" s="57"/>
      <c r="K167" s="57"/>
    </row>
    <row r="168" spans="1:11" s="1" customFormat="1">
      <c r="A168" s="3"/>
      <c r="B168" s="57"/>
      <c r="C168" s="57"/>
      <c r="D168" s="57"/>
      <c r="E168" s="57"/>
      <c r="F168" s="57"/>
      <c r="G168" s="57"/>
      <c r="H168" s="57"/>
      <c r="I168" s="57"/>
      <c r="J168" s="57"/>
      <c r="K168" s="57"/>
    </row>
    <row r="169" spans="1:11" s="1" customFormat="1">
      <c r="A169" s="3"/>
      <c r="B169" s="57"/>
      <c r="C169" s="57"/>
      <c r="D169" s="57"/>
      <c r="E169" s="57"/>
      <c r="F169" s="57"/>
      <c r="G169" s="57"/>
      <c r="H169" s="57"/>
      <c r="I169" s="57"/>
      <c r="J169" s="57"/>
      <c r="K169" s="57"/>
    </row>
    <row r="170" spans="1:11" s="1" customFormat="1">
      <c r="A170" s="3"/>
      <c r="B170" s="57"/>
      <c r="C170" s="57"/>
      <c r="D170" s="57"/>
      <c r="E170" s="57"/>
      <c r="F170" s="57"/>
      <c r="G170" s="57"/>
      <c r="H170" s="57"/>
      <c r="I170" s="57"/>
      <c r="J170" s="57"/>
      <c r="K170" s="57"/>
    </row>
    <row r="171" spans="1:11" s="1" customFormat="1">
      <c r="A171" s="3"/>
      <c r="B171" s="57"/>
      <c r="C171" s="57"/>
      <c r="D171" s="57"/>
      <c r="E171" s="57"/>
      <c r="F171" s="57"/>
      <c r="G171" s="57"/>
      <c r="H171" s="57"/>
      <c r="I171" s="57"/>
      <c r="J171" s="57"/>
      <c r="K171" s="57"/>
    </row>
    <row r="172" spans="1:11" s="1" customFormat="1">
      <c r="A172" s="3"/>
      <c r="B172" s="57"/>
      <c r="C172" s="57"/>
      <c r="D172" s="57"/>
      <c r="E172" s="57"/>
      <c r="F172" s="57"/>
      <c r="G172" s="57"/>
      <c r="H172" s="57"/>
      <c r="I172" s="57"/>
      <c r="J172" s="57"/>
      <c r="K172" s="57"/>
    </row>
    <row r="173" spans="1:11" s="1" customFormat="1">
      <c r="A173" s="3"/>
      <c r="B173" s="57"/>
      <c r="C173" s="57"/>
      <c r="D173" s="57"/>
      <c r="E173" s="57"/>
      <c r="F173" s="57"/>
      <c r="G173" s="57"/>
      <c r="H173" s="57"/>
      <c r="I173" s="57"/>
      <c r="J173" s="57"/>
      <c r="K173" s="57"/>
    </row>
    <row r="174" spans="1:11" s="1" customFormat="1">
      <c r="A174" s="3"/>
      <c r="B174" s="57"/>
      <c r="C174" s="57"/>
      <c r="D174" s="57"/>
      <c r="E174" s="57"/>
      <c r="F174" s="57"/>
      <c r="G174" s="57"/>
      <c r="H174" s="57"/>
      <c r="I174" s="57"/>
      <c r="J174" s="57"/>
      <c r="K174" s="57"/>
    </row>
    <row r="175" spans="1:11" s="1" customFormat="1">
      <c r="A175" s="3"/>
      <c r="B175" s="57"/>
      <c r="C175" s="57"/>
      <c r="D175" s="57"/>
      <c r="E175" s="57"/>
      <c r="F175" s="57"/>
      <c r="G175" s="57"/>
      <c r="H175" s="57"/>
      <c r="I175" s="57"/>
      <c r="J175" s="57"/>
      <c r="K175" s="57"/>
    </row>
    <row r="176" spans="1:11" s="1" customFormat="1">
      <c r="A176" s="3"/>
      <c r="B176" s="57"/>
      <c r="C176" s="57"/>
      <c r="D176" s="57"/>
      <c r="E176" s="57"/>
      <c r="F176" s="57"/>
      <c r="G176" s="57"/>
      <c r="H176" s="57"/>
      <c r="I176" s="57"/>
      <c r="J176" s="57"/>
      <c r="K176" s="57"/>
    </row>
    <row r="177" spans="1:11" s="1" customFormat="1">
      <c r="A177" s="3"/>
      <c r="B177" s="57"/>
      <c r="C177" s="57"/>
      <c r="D177" s="57"/>
      <c r="E177" s="57"/>
      <c r="F177" s="57"/>
      <c r="G177" s="57"/>
      <c r="H177" s="57"/>
      <c r="I177" s="57"/>
      <c r="J177" s="57"/>
      <c r="K177" s="57"/>
    </row>
    <row r="178" spans="1:11" s="1" customFormat="1">
      <c r="A178" s="3"/>
      <c r="B178" s="57"/>
      <c r="C178" s="57"/>
      <c r="D178" s="57"/>
      <c r="E178" s="57"/>
      <c r="F178" s="57"/>
      <c r="G178" s="57"/>
      <c r="H178" s="57"/>
      <c r="I178" s="57"/>
      <c r="J178" s="57"/>
      <c r="K178" s="57"/>
    </row>
    <row r="179" spans="1:11" s="1" customFormat="1">
      <c r="A179" s="3"/>
      <c r="B179" s="57"/>
      <c r="C179" s="57"/>
      <c r="D179" s="57"/>
      <c r="E179" s="57"/>
      <c r="F179" s="57"/>
      <c r="G179" s="57"/>
      <c r="H179" s="57"/>
      <c r="I179" s="57"/>
      <c r="J179" s="57"/>
      <c r="K179" s="57"/>
    </row>
    <row r="180" spans="1:11" s="1" customFormat="1">
      <c r="A180" s="3"/>
      <c r="B180" s="57"/>
      <c r="C180" s="57"/>
      <c r="D180" s="57"/>
      <c r="E180" s="57"/>
      <c r="F180" s="57"/>
      <c r="G180" s="57"/>
      <c r="H180" s="57"/>
      <c r="I180" s="57"/>
      <c r="J180" s="57"/>
      <c r="K180" s="57"/>
    </row>
    <row r="181" spans="1:11" s="1" customFormat="1">
      <c r="A181" s="3"/>
      <c r="B181" s="57"/>
      <c r="C181" s="57"/>
      <c r="D181" s="57"/>
      <c r="E181" s="57"/>
      <c r="F181" s="57"/>
      <c r="G181" s="57"/>
      <c r="H181" s="57"/>
      <c r="I181" s="57"/>
      <c r="J181" s="57"/>
      <c r="K181" s="57"/>
    </row>
    <row r="182" spans="1:11" s="1" customFormat="1">
      <c r="A182" s="3"/>
      <c r="B182" s="57"/>
      <c r="C182" s="57"/>
      <c r="D182" s="57"/>
      <c r="E182" s="57"/>
      <c r="F182" s="57"/>
      <c r="G182" s="57"/>
      <c r="H182" s="57"/>
      <c r="I182" s="57"/>
      <c r="J182" s="57"/>
      <c r="K182" s="57"/>
    </row>
    <row r="183" spans="1:11" s="1" customFormat="1">
      <c r="A183" s="3"/>
      <c r="B183" s="57"/>
      <c r="C183" s="57"/>
      <c r="D183" s="57"/>
      <c r="E183" s="57"/>
      <c r="F183" s="57"/>
      <c r="G183" s="57"/>
      <c r="H183" s="57"/>
      <c r="I183" s="57"/>
      <c r="J183" s="57"/>
      <c r="K183" s="57"/>
    </row>
    <row r="184" spans="1:11" s="1" customFormat="1">
      <c r="A184" s="3"/>
      <c r="B184" s="57"/>
      <c r="C184" s="57"/>
      <c r="D184" s="57"/>
      <c r="E184" s="57"/>
      <c r="F184" s="57"/>
      <c r="G184" s="57"/>
      <c r="H184" s="57"/>
      <c r="I184" s="57"/>
      <c r="J184" s="57"/>
      <c r="K184" s="57"/>
    </row>
    <row r="185" spans="1:11" s="1" customFormat="1">
      <c r="A185" s="3"/>
      <c r="B185" s="57"/>
      <c r="C185" s="57"/>
      <c r="D185" s="57"/>
      <c r="E185" s="57"/>
      <c r="F185" s="57"/>
      <c r="G185" s="57"/>
      <c r="H185" s="57"/>
      <c r="I185" s="57"/>
      <c r="J185" s="57"/>
      <c r="K185" s="57"/>
    </row>
    <row r="186" spans="1:11" s="1" customFormat="1">
      <c r="A186" s="3"/>
      <c r="B186" s="57"/>
      <c r="C186" s="57"/>
      <c r="D186" s="57"/>
      <c r="E186" s="57"/>
      <c r="F186" s="57"/>
      <c r="G186" s="57"/>
      <c r="H186" s="57"/>
      <c r="I186" s="57"/>
      <c r="J186" s="57"/>
      <c r="K186" s="57"/>
    </row>
    <row r="187" spans="1:11" s="1" customFormat="1">
      <c r="A187" s="3"/>
      <c r="B187" s="57"/>
      <c r="C187" s="57"/>
      <c r="D187" s="57"/>
      <c r="E187" s="57"/>
      <c r="F187" s="57"/>
      <c r="G187" s="57"/>
      <c r="H187" s="57"/>
      <c r="I187" s="57"/>
      <c r="J187" s="57"/>
      <c r="K187" s="57"/>
    </row>
    <row r="188" spans="1:11" s="1" customFormat="1">
      <c r="A188" s="3"/>
      <c r="B188" s="57"/>
      <c r="C188" s="57"/>
      <c r="D188" s="57"/>
      <c r="E188" s="57"/>
      <c r="F188" s="57"/>
      <c r="G188" s="57"/>
      <c r="H188" s="57"/>
      <c r="I188" s="57"/>
      <c r="J188" s="57"/>
      <c r="K188" s="57"/>
    </row>
    <row r="189" spans="1:11" s="1" customFormat="1">
      <c r="A189" s="3"/>
      <c r="B189" s="57"/>
      <c r="C189" s="57"/>
      <c r="D189" s="57"/>
      <c r="E189" s="57"/>
      <c r="F189" s="57"/>
      <c r="G189" s="57"/>
      <c r="H189" s="57"/>
      <c r="I189" s="57"/>
      <c r="J189" s="57"/>
      <c r="K189" s="57"/>
    </row>
    <row r="190" spans="1:11" s="1" customFormat="1">
      <c r="A190" s="3"/>
      <c r="B190" s="57"/>
      <c r="C190" s="57"/>
      <c r="D190" s="57"/>
      <c r="E190" s="57"/>
      <c r="F190" s="57"/>
      <c r="G190" s="57"/>
      <c r="H190" s="57"/>
      <c r="I190" s="57"/>
      <c r="J190" s="57"/>
      <c r="K190" s="57"/>
    </row>
    <row r="191" spans="1:11" s="1" customFormat="1">
      <c r="A191" s="3"/>
      <c r="B191" s="57"/>
      <c r="C191" s="57"/>
      <c r="D191" s="57"/>
      <c r="E191" s="57"/>
      <c r="F191" s="57"/>
      <c r="G191" s="57"/>
      <c r="H191" s="57"/>
      <c r="I191" s="57"/>
      <c r="J191" s="57"/>
      <c r="K191" s="57"/>
    </row>
    <row r="192" spans="1:11" s="1" customFormat="1">
      <c r="A192" s="3"/>
      <c r="B192" s="57"/>
      <c r="C192" s="57"/>
      <c r="D192" s="57"/>
      <c r="E192" s="57"/>
      <c r="F192" s="57"/>
      <c r="G192" s="57"/>
      <c r="H192" s="57"/>
      <c r="I192" s="57"/>
      <c r="J192" s="57"/>
      <c r="K192" s="57"/>
    </row>
    <row r="193" spans="1:11" s="1" customFormat="1">
      <c r="A193" s="3"/>
      <c r="B193" s="57"/>
      <c r="C193" s="57"/>
      <c r="D193" s="57"/>
      <c r="E193" s="57"/>
      <c r="F193" s="57"/>
      <c r="G193" s="57"/>
      <c r="H193" s="57"/>
      <c r="I193" s="57"/>
      <c r="J193" s="57"/>
      <c r="K193" s="57"/>
    </row>
    <row r="194" spans="1:11" s="1" customFormat="1">
      <c r="A194" s="3"/>
      <c r="B194" s="57"/>
      <c r="C194" s="57"/>
      <c r="D194" s="57"/>
      <c r="E194" s="57"/>
      <c r="F194" s="57"/>
      <c r="G194" s="57"/>
      <c r="H194" s="57"/>
      <c r="I194" s="57"/>
      <c r="J194" s="57"/>
      <c r="K194" s="57"/>
    </row>
    <row r="195" spans="1:11" s="1" customFormat="1">
      <c r="A195" s="3"/>
      <c r="B195" s="57"/>
      <c r="C195" s="57"/>
      <c r="D195" s="57"/>
      <c r="E195" s="57"/>
      <c r="F195" s="57"/>
      <c r="G195" s="57"/>
      <c r="H195" s="57"/>
      <c r="I195" s="57"/>
      <c r="J195" s="57"/>
      <c r="K195" s="57"/>
    </row>
    <row r="196" spans="1:11" s="1" customFormat="1">
      <c r="A196" s="3"/>
      <c r="B196" s="57"/>
      <c r="C196" s="57"/>
      <c r="D196" s="57"/>
      <c r="E196" s="57"/>
      <c r="F196" s="57"/>
      <c r="G196" s="57"/>
      <c r="H196" s="57"/>
      <c r="I196" s="57"/>
      <c r="J196" s="57"/>
      <c r="K196" s="57"/>
    </row>
    <row r="197" spans="1:11" s="1" customFormat="1">
      <c r="A197" s="3"/>
      <c r="B197" s="57"/>
      <c r="C197" s="57"/>
      <c r="D197" s="57"/>
      <c r="E197" s="57"/>
      <c r="F197" s="57"/>
      <c r="G197" s="57"/>
      <c r="H197" s="57"/>
      <c r="I197" s="57"/>
      <c r="J197" s="57"/>
      <c r="K197" s="57"/>
    </row>
    <row r="198" spans="1:11" s="1" customFormat="1">
      <c r="A198" s="3"/>
      <c r="B198" s="57"/>
      <c r="C198" s="57"/>
      <c r="D198" s="57"/>
      <c r="E198" s="57"/>
      <c r="F198" s="57"/>
      <c r="G198" s="57"/>
      <c r="H198" s="57"/>
      <c r="I198" s="57"/>
      <c r="J198" s="57"/>
      <c r="K198" s="57"/>
    </row>
    <row r="199" spans="1:11" s="1" customFormat="1">
      <c r="A199" s="3"/>
      <c r="B199" s="57"/>
      <c r="C199" s="57"/>
      <c r="D199" s="57"/>
      <c r="E199" s="57"/>
      <c r="F199" s="57"/>
      <c r="G199" s="57"/>
      <c r="H199" s="57"/>
      <c r="I199" s="57"/>
      <c r="J199" s="57"/>
      <c r="K199" s="57"/>
    </row>
    <row r="200" spans="1:11" s="1" customFormat="1">
      <c r="A200" s="3"/>
      <c r="B200" s="57"/>
      <c r="C200" s="57"/>
      <c r="D200" s="57"/>
      <c r="E200" s="57"/>
      <c r="F200" s="57"/>
      <c r="G200" s="57"/>
      <c r="H200" s="57"/>
      <c r="I200" s="57"/>
      <c r="J200" s="57"/>
      <c r="K200" s="57"/>
    </row>
    <row r="201" spans="1:11" s="1" customFormat="1">
      <c r="A201" s="3"/>
      <c r="B201" s="57"/>
      <c r="C201" s="57"/>
      <c r="D201" s="57"/>
      <c r="E201" s="57"/>
      <c r="F201" s="57"/>
      <c r="G201" s="57"/>
      <c r="H201" s="57"/>
      <c r="I201" s="57"/>
      <c r="J201" s="57"/>
      <c r="K201" s="57"/>
    </row>
    <row r="202" spans="1:11" s="1" customFormat="1">
      <c r="A202" s="3"/>
      <c r="B202" s="57"/>
      <c r="C202" s="57"/>
      <c r="D202" s="57"/>
      <c r="E202" s="57"/>
      <c r="F202" s="57"/>
      <c r="G202" s="57"/>
      <c r="H202" s="57"/>
      <c r="I202" s="57"/>
      <c r="J202" s="57"/>
      <c r="K202" s="57"/>
    </row>
    <row r="203" spans="1:11" s="1" customFormat="1">
      <c r="A203" s="3"/>
      <c r="B203" s="57"/>
      <c r="C203" s="57"/>
      <c r="D203" s="57"/>
      <c r="E203" s="57"/>
      <c r="F203" s="57"/>
      <c r="G203" s="57"/>
      <c r="H203" s="57"/>
      <c r="I203" s="57"/>
      <c r="J203" s="57"/>
      <c r="K203" s="57"/>
    </row>
    <row r="204" spans="1:11" s="1" customFormat="1">
      <c r="A204" s="3"/>
      <c r="B204" s="57"/>
      <c r="C204" s="57"/>
      <c r="D204" s="57"/>
      <c r="E204" s="57"/>
      <c r="F204" s="57"/>
      <c r="G204" s="57"/>
      <c r="H204" s="57"/>
      <c r="I204" s="57"/>
      <c r="J204" s="57"/>
      <c r="K204" s="57"/>
    </row>
    <row r="205" spans="1:11" s="1" customFormat="1">
      <c r="A205" s="3"/>
      <c r="B205" s="57"/>
      <c r="C205" s="57"/>
      <c r="D205" s="57"/>
      <c r="E205" s="57"/>
      <c r="F205" s="57"/>
      <c r="G205" s="57"/>
      <c r="H205" s="57"/>
      <c r="I205" s="57"/>
      <c r="J205" s="57"/>
      <c r="K205" s="57"/>
    </row>
    <row r="206" spans="1:11" s="1" customFormat="1">
      <c r="A206" s="3"/>
      <c r="B206" s="57"/>
      <c r="C206" s="57"/>
      <c r="D206" s="57"/>
      <c r="E206" s="57"/>
      <c r="F206" s="57"/>
      <c r="G206" s="57"/>
      <c r="H206" s="57"/>
      <c r="I206" s="57"/>
      <c r="J206" s="57"/>
      <c r="K206" s="57"/>
    </row>
    <row r="207" spans="1:11" s="1" customFormat="1">
      <c r="A207" s="3"/>
      <c r="B207" s="57"/>
      <c r="C207" s="57"/>
      <c r="D207" s="57"/>
      <c r="E207" s="57"/>
      <c r="F207" s="57"/>
      <c r="G207" s="57"/>
      <c r="H207" s="57"/>
      <c r="I207" s="57"/>
      <c r="J207" s="57"/>
      <c r="K207" s="57"/>
    </row>
    <row r="208" spans="1:11" s="1" customFormat="1">
      <c r="A208" s="3"/>
      <c r="B208" s="57"/>
      <c r="C208" s="57"/>
      <c r="D208" s="57"/>
      <c r="E208" s="57"/>
      <c r="F208" s="57"/>
      <c r="G208" s="57"/>
      <c r="H208" s="57"/>
      <c r="I208" s="57"/>
      <c r="J208" s="57"/>
      <c r="K208" s="57"/>
    </row>
    <row r="209" spans="1:11" s="1" customFormat="1">
      <c r="A209" s="3"/>
      <c r="B209" s="57"/>
      <c r="C209" s="57"/>
      <c r="D209" s="57"/>
      <c r="E209" s="57"/>
      <c r="F209" s="57"/>
      <c r="G209" s="57"/>
      <c r="H209" s="57"/>
      <c r="I209" s="57"/>
      <c r="J209" s="57"/>
      <c r="K209" s="57"/>
    </row>
    <row r="210" spans="1:11" s="1" customFormat="1">
      <c r="A210" s="3"/>
      <c r="B210" s="57"/>
      <c r="C210" s="57"/>
      <c r="D210" s="57"/>
      <c r="E210" s="57"/>
      <c r="F210" s="57"/>
      <c r="G210" s="57"/>
      <c r="H210" s="57"/>
      <c r="I210" s="57"/>
      <c r="J210" s="57"/>
      <c r="K210" s="57"/>
    </row>
    <row r="211" spans="1:11" s="1" customFormat="1">
      <c r="A211" s="3"/>
      <c r="B211" s="57"/>
      <c r="C211" s="57"/>
      <c r="D211" s="57"/>
      <c r="E211" s="57"/>
      <c r="F211" s="57"/>
      <c r="G211" s="57"/>
      <c r="H211" s="57"/>
      <c r="I211" s="57"/>
      <c r="J211" s="57"/>
      <c r="K211" s="57"/>
    </row>
    <row r="212" spans="1:11" s="1" customFormat="1">
      <c r="A212" s="3"/>
      <c r="B212" s="57"/>
      <c r="C212" s="57"/>
      <c r="D212" s="57"/>
      <c r="E212" s="57"/>
      <c r="F212" s="57"/>
      <c r="G212" s="57"/>
      <c r="H212" s="57"/>
      <c r="I212" s="57"/>
      <c r="J212" s="57"/>
      <c r="K212" s="57"/>
    </row>
    <row r="213" spans="1:11" s="1" customFormat="1">
      <c r="A213" s="3"/>
      <c r="B213" s="57"/>
      <c r="C213" s="57"/>
      <c r="D213" s="57"/>
      <c r="E213" s="57"/>
      <c r="F213" s="57"/>
      <c r="G213" s="57"/>
      <c r="H213" s="57"/>
      <c r="I213" s="57"/>
      <c r="J213" s="57"/>
      <c r="K213" s="57"/>
    </row>
    <row r="214" spans="1:11" s="1" customFormat="1">
      <c r="A214" s="3"/>
      <c r="B214" s="57"/>
      <c r="C214" s="57"/>
      <c r="D214" s="57"/>
      <c r="E214" s="57"/>
      <c r="F214" s="57"/>
      <c r="G214" s="57"/>
      <c r="H214" s="57"/>
      <c r="I214" s="57"/>
      <c r="J214" s="57"/>
      <c r="K214" s="57"/>
    </row>
    <row r="215" spans="1:11" s="1" customFormat="1">
      <c r="A215" s="3"/>
      <c r="B215" s="57"/>
      <c r="C215" s="57"/>
      <c r="D215" s="57"/>
      <c r="E215" s="57"/>
      <c r="F215" s="57"/>
      <c r="G215" s="57"/>
      <c r="H215" s="57"/>
      <c r="I215" s="57"/>
      <c r="J215" s="57"/>
      <c r="K215" s="57"/>
    </row>
    <row r="216" spans="1:11" s="1" customFormat="1">
      <c r="A216" s="3"/>
      <c r="B216" s="57"/>
      <c r="C216" s="57"/>
      <c r="D216" s="57"/>
      <c r="E216" s="57"/>
      <c r="F216" s="57"/>
      <c r="G216" s="57"/>
      <c r="H216" s="57"/>
      <c r="I216" s="57"/>
      <c r="J216" s="57"/>
      <c r="K216" s="57"/>
    </row>
    <row r="217" spans="1:11" s="1" customFormat="1">
      <c r="A217" s="3"/>
      <c r="B217" s="57"/>
      <c r="C217" s="57"/>
      <c r="D217" s="57"/>
      <c r="E217" s="57"/>
      <c r="F217" s="57"/>
      <c r="G217" s="57"/>
      <c r="H217" s="57"/>
      <c r="I217" s="57"/>
      <c r="J217" s="57"/>
      <c r="K217" s="57"/>
    </row>
    <row r="218" spans="1:11" s="1" customFormat="1">
      <c r="A218" s="3"/>
      <c r="B218" s="57"/>
      <c r="C218" s="57"/>
      <c r="D218" s="57"/>
      <c r="E218" s="57"/>
      <c r="F218" s="57"/>
      <c r="G218" s="57"/>
      <c r="H218" s="57"/>
      <c r="I218" s="57"/>
      <c r="J218" s="57"/>
      <c r="K218" s="57"/>
    </row>
    <row r="219" spans="1:11" s="1" customFormat="1">
      <c r="A219" s="3"/>
      <c r="B219" s="57"/>
      <c r="C219" s="57"/>
      <c r="D219" s="57"/>
      <c r="E219" s="57"/>
      <c r="F219" s="57"/>
      <c r="G219" s="57"/>
      <c r="H219" s="57"/>
      <c r="I219" s="57"/>
      <c r="J219" s="57"/>
      <c r="K219" s="57"/>
    </row>
    <row r="220" spans="1:11" s="1" customFormat="1">
      <c r="A220" s="3"/>
      <c r="B220" s="57"/>
      <c r="C220" s="57"/>
      <c r="D220" s="57"/>
      <c r="E220" s="57"/>
      <c r="F220" s="57"/>
      <c r="G220" s="57"/>
      <c r="H220" s="57"/>
      <c r="I220" s="57"/>
      <c r="J220" s="57"/>
      <c r="K220" s="57"/>
    </row>
    <row r="221" spans="1:11" s="1" customFormat="1">
      <c r="A221" s="3"/>
      <c r="B221" s="57"/>
      <c r="C221" s="57"/>
      <c r="D221" s="57"/>
      <c r="E221" s="57"/>
      <c r="F221" s="57"/>
      <c r="G221" s="57"/>
      <c r="H221" s="57"/>
      <c r="I221" s="57"/>
      <c r="J221" s="57"/>
      <c r="K221" s="57"/>
    </row>
    <row r="222" spans="1:11" s="1" customFormat="1">
      <c r="A222" s="3"/>
      <c r="B222" s="57"/>
      <c r="C222" s="57"/>
      <c r="D222" s="57"/>
      <c r="E222" s="57"/>
      <c r="F222" s="57"/>
      <c r="G222" s="57"/>
      <c r="H222" s="57"/>
      <c r="I222" s="57"/>
      <c r="J222" s="57"/>
      <c r="K222" s="57"/>
    </row>
    <row r="223" spans="1:11" s="1" customFormat="1">
      <c r="A223" s="3"/>
      <c r="B223" s="57"/>
      <c r="C223" s="57"/>
      <c r="D223" s="57"/>
      <c r="E223" s="57"/>
      <c r="F223" s="57"/>
      <c r="G223" s="57"/>
      <c r="H223" s="57"/>
      <c r="I223" s="57"/>
      <c r="J223" s="57"/>
      <c r="K223" s="57"/>
    </row>
    <row r="224" spans="1:11" s="1" customFormat="1">
      <c r="A224" s="3"/>
      <c r="B224" s="57"/>
      <c r="C224" s="57"/>
      <c r="D224" s="57"/>
      <c r="E224" s="57"/>
      <c r="F224" s="57"/>
      <c r="G224" s="57"/>
      <c r="H224" s="57"/>
      <c r="I224" s="57"/>
      <c r="J224" s="57"/>
      <c r="K224" s="57"/>
    </row>
    <row r="225" spans="1:11" s="1" customFormat="1">
      <c r="A225" s="3"/>
      <c r="B225" s="57"/>
      <c r="C225" s="57"/>
      <c r="D225" s="57"/>
      <c r="E225" s="57"/>
      <c r="F225" s="57"/>
      <c r="G225" s="57"/>
      <c r="H225" s="57"/>
      <c r="I225" s="57"/>
      <c r="J225" s="57"/>
      <c r="K225" s="57"/>
    </row>
    <row r="226" spans="1:11" s="1" customFormat="1">
      <c r="A226" s="3"/>
      <c r="B226" s="57"/>
      <c r="C226" s="57"/>
      <c r="D226" s="57"/>
      <c r="E226" s="57"/>
      <c r="F226" s="57"/>
      <c r="G226" s="57"/>
      <c r="H226" s="57"/>
      <c r="I226" s="57"/>
      <c r="J226" s="57"/>
      <c r="K226" s="57"/>
    </row>
    <row r="227" spans="1:11" s="1" customFormat="1">
      <c r="A227" s="3"/>
      <c r="B227" s="57"/>
      <c r="C227" s="57"/>
      <c r="D227" s="57"/>
      <c r="E227" s="57"/>
      <c r="F227" s="57"/>
      <c r="G227" s="57"/>
      <c r="H227" s="57"/>
      <c r="I227" s="57"/>
      <c r="J227" s="57"/>
      <c r="K227" s="57"/>
    </row>
    <row r="228" spans="1:11" s="1" customFormat="1">
      <c r="A228" s="3"/>
      <c r="B228" s="57"/>
      <c r="C228" s="57"/>
      <c r="D228" s="57"/>
      <c r="E228" s="57"/>
      <c r="F228" s="57"/>
      <c r="G228" s="57"/>
      <c r="H228" s="57"/>
      <c r="I228" s="57"/>
      <c r="J228" s="57"/>
      <c r="K228" s="57"/>
    </row>
    <row r="229" spans="1:11" s="1" customFormat="1">
      <c r="A229" s="3"/>
      <c r="B229" s="57"/>
      <c r="C229" s="57"/>
      <c r="D229" s="57"/>
      <c r="E229" s="57"/>
      <c r="F229" s="57"/>
      <c r="G229" s="57"/>
      <c r="H229" s="57"/>
      <c r="I229" s="57"/>
      <c r="J229" s="57"/>
      <c r="K229" s="57"/>
    </row>
    <row r="230" spans="1:11" s="1" customFormat="1">
      <c r="A230" s="3"/>
      <c r="B230" s="57"/>
      <c r="C230" s="57"/>
      <c r="D230" s="57"/>
      <c r="E230" s="57"/>
      <c r="F230" s="57"/>
      <c r="G230" s="57"/>
      <c r="H230" s="57"/>
      <c r="I230" s="57"/>
      <c r="J230" s="57"/>
      <c r="K230" s="57"/>
    </row>
    <row r="231" spans="1:11" s="1" customFormat="1">
      <c r="A231" s="3"/>
      <c r="B231" s="57"/>
      <c r="C231" s="57"/>
      <c r="D231" s="57"/>
      <c r="E231" s="57"/>
      <c r="F231" s="57"/>
      <c r="G231" s="57"/>
      <c r="H231" s="57"/>
      <c r="I231" s="57"/>
      <c r="J231" s="57"/>
      <c r="K231" s="57"/>
    </row>
    <row r="232" spans="1:11" s="1" customFormat="1">
      <c r="A232" s="3"/>
      <c r="B232" s="57"/>
      <c r="C232" s="57"/>
      <c r="D232" s="57"/>
      <c r="E232" s="57"/>
      <c r="F232" s="57"/>
      <c r="G232" s="57"/>
      <c r="H232" s="57"/>
      <c r="I232" s="57"/>
      <c r="J232" s="57"/>
      <c r="K232" s="57"/>
    </row>
    <row r="233" spans="1:11" s="1" customFormat="1">
      <c r="A233" s="3"/>
      <c r="B233" s="57"/>
      <c r="C233" s="57"/>
      <c r="D233" s="57"/>
      <c r="E233" s="57"/>
      <c r="F233" s="57"/>
      <c r="G233" s="57"/>
      <c r="H233" s="57"/>
      <c r="I233" s="57"/>
      <c r="J233" s="57"/>
      <c r="K233" s="57"/>
    </row>
    <row r="234" spans="1:11" s="1" customFormat="1">
      <c r="A234" s="3"/>
      <c r="B234" s="57"/>
      <c r="C234" s="57"/>
      <c r="D234" s="57"/>
      <c r="E234" s="57"/>
      <c r="F234" s="57"/>
      <c r="G234" s="57"/>
      <c r="H234" s="57"/>
      <c r="I234" s="57"/>
      <c r="J234" s="57"/>
      <c r="K234" s="57"/>
    </row>
    <row r="235" spans="1:11" s="1" customFormat="1">
      <c r="A235" s="3"/>
      <c r="B235" s="57"/>
      <c r="C235" s="57"/>
      <c r="D235" s="57"/>
      <c r="E235" s="57"/>
      <c r="F235" s="57"/>
      <c r="G235" s="57"/>
      <c r="H235" s="57"/>
      <c r="I235" s="57"/>
      <c r="J235" s="57"/>
      <c r="K235" s="57"/>
    </row>
    <row r="236" spans="1:11" s="1" customFormat="1">
      <c r="A236" s="3"/>
      <c r="B236" s="57"/>
      <c r="C236" s="57"/>
      <c r="D236" s="57"/>
      <c r="E236" s="57"/>
      <c r="F236" s="57"/>
      <c r="G236" s="57"/>
      <c r="H236" s="57"/>
      <c r="I236" s="57"/>
      <c r="J236" s="57"/>
      <c r="K236" s="57"/>
    </row>
    <row r="237" spans="1:11" s="1" customFormat="1">
      <c r="A237" s="3"/>
      <c r="B237" s="57"/>
      <c r="C237" s="57"/>
      <c r="D237" s="57"/>
      <c r="E237" s="57"/>
      <c r="F237" s="57"/>
      <c r="G237" s="57"/>
      <c r="H237" s="57"/>
      <c r="I237" s="57"/>
      <c r="J237" s="57"/>
      <c r="K237" s="57"/>
    </row>
    <row r="238" spans="1:11" s="1" customFormat="1">
      <c r="A238" s="3"/>
      <c r="B238" s="57"/>
      <c r="C238" s="57"/>
      <c r="D238" s="57"/>
      <c r="E238" s="57"/>
      <c r="F238" s="57"/>
      <c r="G238" s="57"/>
      <c r="H238" s="57"/>
      <c r="I238" s="57"/>
      <c r="J238" s="57"/>
      <c r="K238" s="57"/>
    </row>
    <row r="239" spans="1:11" s="1" customFormat="1">
      <c r="A239" s="3"/>
      <c r="B239" s="57"/>
      <c r="C239" s="57"/>
      <c r="D239" s="57"/>
      <c r="E239" s="57"/>
      <c r="F239" s="57"/>
      <c r="G239" s="57"/>
      <c r="H239" s="57"/>
      <c r="I239" s="57"/>
      <c r="J239" s="57"/>
      <c r="K239" s="57"/>
    </row>
    <row r="240" spans="1:11" s="1" customFormat="1">
      <c r="A240" s="3"/>
      <c r="B240" s="57"/>
      <c r="C240" s="57"/>
      <c r="D240" s="57"/>
      <c r="E240" s="57"/>
      <c r="F240" s="57"/>
      <c r="G240" s="57"/>
      <c r="H240" s="57"/>
      <c r="I240" s="57"/>
      <c r="J240" s="57"/>
      <c r="K240" s="57"/>
    </row>
    <row r="241" spans="1:11" s="1" customFormat="1">
      <c r="A241" s="3"/>
      <c r="B241" s="57"/>
      <c r="C241" s="57"/>
      <c r="D241" s="57"/>
      <c r="E241" s="57"/>
      <c r="F241" s="57"/>
      <c r="G241" s="57"/>
      <c r="H241" s="57"/>
      <c r="I241" s="57"/>
      <c r="J241" s="57"/>
      <c r="K241" s="57"/>
    </row>
    <row r="242" spans="1:11" s="1" customFormat="1">
      <c r="A242" s="3"/>
      <c r="B242" s="57"/>
      <c r="C242" s="57"/>
      <c r="D242" s="57"/>
      <c r="E242" s="57"/>
      <c r="F242" s="57"/>
      <c r="G242" s="57"/>
      <c r="H242" s="57"/>
      <c r="I242" s="57"/>
      <c r="J242" s="57"/>
      <c r="K242" s="57"/>
    </row>
    <row r="243" spans="1:11" s="1" customFormat="1">
      <c r="A243" s="3"/>
      <c r="B243" s="57"/>
      <c r="C243" s="57"/>
      <c r="D243" s="57"/>
      <c r="E243" s="57"/>
      <c r="F243" s="57"/>
      <c r="G243" s="57"/>
      <c r="H243" s="57"/>
      <c r="I243" s="57"/>
      <c r="J243" s="57"/>
      <c r="K243" s="57"/>
    </row>
    <row r="244" spans="1:11" s="1" customFormat="1">
      <c r="A244" s="3"/>
      <c r="B244" s="57"/>
      <c r="C244" s="57"/>
      <c r="D244" s="57"/>
      <c r="E244" s="57"/>
      <c r="F244" s="57"/>
      <c r="G244" s="57"/>
      <c r="H244" s="57"/>
      <c r="I244" s="57"/>
      <c r="J244" s="57"/>
      <c r="K244" s="57"/>
    </row>
    <row r="245" spans="1:11" s="1" customFormat="1">
      <c r="A245" s="3"/>
      <c r="B245" s="57"/>
      <c r="C245" s="57"/>
      <c r="D245" s="57"/>
      <c r="E245" s="57"/>
      <c r="F245" s="57"/>
      <c r="G245" s="57"/>
      <c r="H245" s="57"/>
      <c r="I245" s="57"/>
      <c r="J245" s="57"/>
      <c r="K245" s="57"/>
    </row>
    <row r="246" spans="1:11" s="1" customFormat="1">
      <c r="A246" s="3"/>
      <c r="B246" s="57"/>
      <c r="C246" s="57"/>
      <c r="D246" s="57"/>
      <c r="E246" s="57"/>
      <c r="F246" s="57"/>
      <c r="G246" s="57"/>
      <c r="H246" s="57"/>
      <c r="I246" s="57"/>
      <c r="J246" s="57"/>
      <c r="K246" s="57"/>
    </row>
    <row r="247" spans="1:11" s="1" customFormat="1">
      <c r="A247" s="3"/>
      <c r="B247" s="57"/>
      <c r="C247" s="57"/>
      <c r="D247" s="57"/>
      <c r="E247" s="57"/>
      <c r="F247" s="57"/>
      <c r="G247" s="57"/>
      <c r="H247" s="57"/>
      <c r="I247" s="57"/>
      <c r="J247" s="57"/>
      <c r="K247" s="57"/>
    </row>
    <row r="248" spans="1:11" s="1" customFormat="1">
      <c r="A248" s="3"/>
      <c r="B248" s="57"/>
      <c r="C248" s="57"/>
      <c r="D248" s="57"/>
      <c r="E248" s="57"/>
      <c r="F248" s="57"/>
      <c r="G248" s="57"/>
      <c r="H248" s="57"/>
      <c r="I248" s="57"/>
      <c r="J248" s="57"/>
      <c r="K248" s="57"/>
    </row>
    <row r="249" spans="1:11" s="1" customFormat="1">
      <c r="A249" s="3"/>
      <c r="B249" s="57"/>
      <c r="C249" s="57"/>
      <c r="D249" s="57"/>
      <c r="E249" s="57"/>
      <c r="F249" s="57"/>
      <c r="G249" s="57"/>
      <c r="H249" s="57"/>
      <c r="I249" s="57"/>
      <c r="J249" s="57"/>
      <c r="K249" s="57"/>
    </row>
    <row r="250" spans="1:11" s="1" customFormat="1">
      <c r="A250" s="3"/>
      <c r="B250" s="57"/>
      <c r="C250" s="57"/>
      <c r="D250" s="57"/>
      <c r="E250" s="57"/>
      <c r="F250" s="57"/>
      <c r="G250" s="57"/>
      <c r="H250" s="57"/>
      <c r="I250" s="57"/>
      <c r="J250" s="57"/>
      <c r="K250" s="57"/>
    </row>
    <row r="251" spans="1:11" s="1" customFormat="1">
      <c r="A251" s="3"/>
      <c r="B251" s="57"/>
      <c r="C251" s="57"/>
      <c r="D251" s="57"/>
      <c r="E251" s="57"/>
      <c r="F251" s="57"/>
      <c r="G251" s="57"/>
      <c r="H251" s="57"/>
      <c r="I251" s="57"/>
      <c r="J251" s="57"/>
      <c r="K251" s="57"/>
    </row>
    <row r="252" spans="1:11" s="1" customFormat="1">
      <c r="A252" s="3"/>
      <c r="B252" s="57"/>
      <c r="C252" s="57"/>
      <c r="D252" s="57"/>
      <c r="E252" s="57"/>
      <c r="F252" s="57"/>
      <c r="G252" s="57"/>
      <c r="H252" s="57"/>
      <c r="I252" s="57"/>
      <c r="J252" s="57"/>
      <c r="K252" s="57"/>
    </row>
    <row r="253" spans="1:11" s="1" customFormat="1">
      <c r="A253" s="3"/>
      <c r="B253" s="57"/>
      <c r="C253" s="57"/>
      <c r="D253" s="57"/>
      <c r="E253" s="57"/>
      <c r="F253" s="57"/>
      <c r="G253" s="57"/>
      <c r="H253" s="57"/>
      <c r="I253" s="57"/>
      <c r="J253" s="57"/>
      <c r="K253" s="57"/>
    </row>
    <row r="254" spans="1:11" s="1" customFormat="1">
      <c r="A254" s="3"/>
      <c r="B254" s="57"/>
      <c r="C254" s="57"/>
      <c r="D254" s="57"/>
      <c r="E254" s="57"/>
      <c r="F254" s="57"/>
      <c r="G254" s="57"/>
      <c r="H254" s="57"/>
      <c r="I254" s="57"/>
      <c r="J254" s="57"/>
      <c r="K254" s="57"/>
    </row>
    <row r="255" spans="1:11" s="1" customFormat="1">
      <c r="A255" s="3"/>
      <c r="B255" s="57"/>
      <c r="C255" s="57"/>
      <c r="D255" s="57"/>
      <c r="E255" s="57"/>
      <c r="F255" s="57"/>
      <c r="G255" s="57"/>
      <c r="H255" s="57"/>
      <c r="I255" s="57"/>
      <c r="J255" s="57"/>
      <c r="K255" s="57"/>
    </row>
    <row r="256" spans="1:11" s="1" customFormat="1">
      <c r="A256" s="3"/>
      <c r="B256" s="57"/>
      <c r="C256" s="57"/>
      <c r="D256" s="57"/>
      <c r="E256" s="57"/>
      <c r="F256" s="57"/>
      <c r="G256" s="57"/>
      <c r="H256" s="57"/>
      <c r="I256" s="57"/>
      <c r="J256" s="57"/>
      <c r="K256" s="57"/>
    </row>
    <row r="257" spans="1:11" s="1" customFormat="1">
      <c r="A257" s="3"/>
      <c r="B257" s="57"/>
      <c r="C257" s="57"/>
      <c r="D257" s="57"/>
      <c r="E257" s="57"/>
      <c r="F257" s="57"/>
      <c r="G257" s="57"/>
      <c r="H257" s="57"/>
      <c r="I257" s="57"/>
      <c r="J257" s="57"/>
      <c r="K257" s="57"/>
    </row>
    <row r="258" spans="1:11" s="1" customFormat="1">
      <c r="A258" s="3"/>
      <c r="B258" s="57"/>
      <c r="C258" s="57"/>
      <c r="D258" s="57"/>
      <c r="E258" s="57"/>
      <c r="F258" s="57"/>
      <c r="G258" s="57"/>
      <c r="H258" s="57"/>
      <c r="I258" s="57"/>
      <c r="J258" s="57"/>
      <c r="K258" s="57"/>
    </row>
    <row r="259" spans="1:11" s="1" customFormat="1">
      <c r="A259" s="3"/>
      <c r="B259" s="57"/>
      <c r="C259" s="57"/>
      <c r="D259" s="57"/>
      <c r="E259" s="57"/>
      <c r="F259" s="57"/>
      <c r="G259" s="57"/>
      <c r="H259" s="57"/>
      <c r="I259" s="57"/>
      <c r="J259" s="57"/>
      <c r="K259" s="57"/>
    </row>
    <row r="260" spans="1:11" s="1" customFormat="1">
      <c r="A260" s="3"/>
      <c r="B260" s="57"/>
      <c r="C260" s="57"/>
      <c r="D260" s="57"/>
      <c r="E260" s="57"/>
      <c r="F260" s="57"/>
      <c r="G260" s="57"/>
      <c r="H260" s="57"/>
      <c r="I260" s="57"/>
      <c r="J260" s="57"/>
      <c r="K260" s="57"/>
    </row>
    <row r="261" spans="1:11" s="1" customFormat="1">
      <c r="A261" s="3"/>
      <c r="B261" s="57"/>
      <c r="C261" s="57"/>
      <c r="D261" s="57"/>
      <c r="E261" s="57"/>
      <c r="F261" s="57"/>
      <c r="G261" s="57"/>
      <c r="H261" s="57"/>
      <c r="I261" s="57"/>
      <c r="J261" s="57"/>
      <c r="K261" s="57"/>
    </row>
    <row r="262" spans="1:11" s="1" customFormat="1">
      <c r="A262" s="3"/>
      <c r="B262" s="57"/>
      <c r="C262" s="57"/>
      <c r="D262" s="57"/>
      <c r="E262" s="57"/>
      <c r="F262" s="57"/>
      <c r="G262" s="57"/>
      <c r="H262" s="57"/>
      <c r="I262" s="57"/>
      <c r="J262" s="57"/>
      <c r="K262" s="57"/>
    </row>
    <row r="263" spans="1:11" s="1" customFormat="1">
      <c r="A263" s="3"/>
      <c r="B263" s="57"/>
      <c r="C263" s="57"/>
      <c r="D263" s="57"/>
      <c r="E263" s="57"/>
      <c r="F263" s="57"/>
      <c r="G263" s="57"/>
      <c r="H263" s="57"/>
      <c r="I263" s="57"/>
      <c r="J263" s="57"/>
      <c r="K263" s="57"/>
    </row>
    <row r="264" spans="1:11" s="1" customFormat="1">
      <c r="A264" s="3"/>
      <c r="B264" s="57"/>
      <c r="C264" s="57"/>
      <c r="D264" s="57"/>
      <c r="E264" s="57"/>
      <c r="F264" s="57"/>
      <c r="G264" s="57"/>
      <c r="H264" s="57"/>
      <c r="I264" s="57"/>
      <c r="J264" s="57"/>
      <c r="K264" s="57"/>
    </row>
    <row r="265" spans="1:11" s="1" customFormat="1">
      <c r="A265" s="3"/>
      <c r="B265" s="57"/>
      <c r="C265" s="57"/>
      <c r="D265" s="57"/>
      <c r="E265" s="57"/>
      <c r="F265" s="57"/>
      <c r="G265" s="57"/>
      <c r="H265" s="57"/>
      <c r="I265" s="57"/>
      <c r="J265" s="57"/>
      <c r="K265" s="57"/>
    </row>
    <row r="266" spans="1:11" s="1" customFormat="1">
      <c r="A266" s="3"/>
      <c r="B266" s="57"/>
      <c r="C266" s="57"/>
      <c r="D266" s="57"/>
      <c r="E266" s="57"/>
      <c r="F266" s="57"/>
      <c r="G266" s="57"/>
      <c r="H266" s="57"/>
      <c r="I266" s="57"/>
      <c r="J266" s="57"/>
      <c r="K266" s="57"/>
    </row>
    <row r="267" spans="1:11" s="1" customFormat="1">
      <c r="A267" s="3"/>
      <c r="B267" s="57"/>
      <c r="C267" s="57"/>
      <c r="D267" s="57"/>
      <c r="E267" s="57"/>
      <c r="F267" s="57"/>
      <c r="G267" s="57"/>
      <c r="H267" s="57"/>
      <c r="I267" s="57"/>
      <c r="J267" s="57"/>
      <c r="K267" s="57"/>
    </row>
    <row r="268" spans="1:11" s="1" customFormat="1">
      <c r="A268" s="3"/>
      <c r="B268" s="57"/>
      <c r="C268" s="57"/>
      <c r="D268" s="57"/>
      <c r="E268" s="57"/>
      <c r="F268" s="57"/>
      <c r="G268" s="57"/>
      <c r="H268" s="57"/>
      <c r="I268" s="57"/>
      <c r="J268" s="57"/>
      <c r="K268" s="57"/>
    </row>
    <row r="269" spans="1:11" s="1" customFormat="1">
      <c r="A269" s="3"/>
      <c r="B269" s="57"/>
      <c r="C269" s="57"/>
      <c r="D269" s="57"/>
      <c r="E269" s="57"/>
      <c r="F269" s="57"/>
      <c r="G269" s="57"/>
      <c r="H269" s="57"/>
      <c r="I269" s="57"/>
      <c r="J269" s="57"/>
      <c r="K269" s="57"/>
    </row>
    <row r="270" spans="1:11" s="1" customFormat="1">
      <c r="A270" s="3"/>
      <c r="B270" s="57"/>
      <c r="C270" s="57"/>
      <c r="D270" s="57"/>
      <c r="E270" s="57"/>
      <c r="F270" s="57"/>
      <c r="G270" s="57"/>
      <c r="H270" s="57"/>
      <c r="I270" s="57"/>
      <c r="J270" s="57"/>
      <c r="K270" s="57"/>
    </row>
    <row r="271" spans="1:11" s="1" customFormat="1">
      <c r="A271" s="3"/>
      <c r="B271" s="57"/>
      <c r="C271" s="57"/>
      <c r="D271" s="57"/>
      <c r="E271" s="57"/>
      <c r="F271" s="57"/>
      <c r="G271" s="57"/>
      <c r="H271" s="57"/>
      <c r="I271" s="57"/>
      <c r="J271" s="57"/>
      <c r="K271" s="57"/>
    </row>
    <row r="272" spans="1:11" s="1" customFormat="1">
      <c r="A272" s="3"/>
      <c r="B272" s="57"/>
      <c r="C272" s="57"/>
      <c r="D272" s="57"/>
      <c r="E272" s="57"/>
      <c r="F272" s="57"/>
      <c r="G272" s="57"/>
      <c r="H272" s="57"/>
      <c r="I272" s="57"/>
      <c r="J272" s="57"/>
      <c r="K272" s="57"/>
    </row>
    <row r="273" spans="1:11" s="1" customFormat="1">
      <c r="A273" s="3"/>
      <c r="B273" s="57"/>
      <c r="C273" s="57"/>
      <c r="D273" s="57"/>
      <c r="E273" s="57"/>
      <c r="F273" s="57"/>
      <c r="G273" s="57"/>
      <c r="H273" s="57"/>
      <c r="I273" s="57"/>
      <c r="J273" s="57"/>
      <c r="K273" s="57"/>
    </row>
    <row r="274" spans="1:11" s="1" customFormat="1">
      <c r="A274" s="3"/>
      <c r="B274" s="57"/>
      <c r="C274" s="57"/>
      <c r="D274" s="57"/>
      <c r="E274" s="57"/>
      <c r="F274" s="57"/>
      <c r="G274" s="57"/>
      <c r="H274" s="57"/>
      <c r="I274" s="57"/>
      <c r="J274" s="57"/>
      <c r="K274" s="57"/>
    </row>
    <row r="275" spans="1:11" s="1" customFormat="1">
      <c r="A275" s="3"/>
      <c r="B275" s="57"/>
      <c r="C275" s="57"/>
      <c r="D275" s="57"/>
      <c r="E275" s="57"/>
      <c r="F275" s="57"/>
      <c r="G275" s="57"/>
      <c r="H275" s="57"/>
      <c r="I275" s="57"/>
      <c r="J275" s="57"/>
      <c r="K275" s="57"/>
    </row>
    <row r="276" spans="1:11" s="1" customFormat="1">
      <c r="A276" s="3"/>
      <c r="B276" s="57"/>
      <c r="C276" s="57"/>
      <c r="D276" s="57"/>
      <c r="E276" s="57"/>
      <c r="F276" s="57"/>
      <c r="G276" s="57"/>
      <c r="H276" s="57"/>
      <c r="I276" s="57"/>
      <c r="J276" s="57"/>
      <c r="K276" s="57"/>
    </row>
    <row r="277" spans="1:11" s="1" customFormat="1">
      <c r="A277" s="3"/>
      <c r="B277" s="57"/>
      <c r="C277" s="57"/>
      <c r="D277" s="57"/>
      <c r="E277" s="57"/>
      <c r="F277" s="57"/>
      <c r="G277" s="57"/>
      <c r="H277" s="57"/>
      <c r="I277" s="57"/>
      <c r="J277" s="57"/>
      <c r="K277" s="57"/>
    </row>
    <row r="278" spans="1:11" s="1" customFormat="1">
      <c r="A278" s="3"/>
      <c r="B278" s="57"/>
      <c r="C278" s="57"/>
      <c r="D278" s="57"/>
      <c r="E278" s="57"/>
      <c r="F278" s="57"/>
      <c r="G278" s="57"/>
      <c r="H278" s="57"/>
      <c r="I278" s="57"/>
      <c r="J278" s="57"/>
      <c r="K278" s="57"/>
    </row>
    <row r="279" spans="1:11" s="1" customFormat="1">
      <c r="A279" s="3"/>
      <c r="B279" s="57"/>
      <c r="C279" s="57"/>
      <c r="D279" s="57"/>
      <c r="E279" s="57"/>
      <c r="F279" s="57"/>
      <c r="G279" s="57"/>
      <c r="H279" s="57"/>
      <c r="I279" s="57"/>
      <c r="J279" s="57"/>
      <c r="K279" s="57"/>
    </row>
    <row r="280" spans="1:11" s="1" customFormat="1">
      <c r="A280" s="3"/>
      <c r="B280" s="57"/>
      <c r="C280" s="57"/>
      <c r="D280" s="57"/>
      <c r="E280" s="57"/>
      <c r="F280" s="57"/>
      <c r="G280" s="57"/>
      <c r="H280" s="57"/>
      <c r="I280" s="57"/>
      <c r="J280" s="57"/>
      <c r="K280" s="57"/>
    </row>
    <row r="281" spans="1:11" s="1" customFormat="1">
      <c r="A281" s="3"/>
      <c r="B281" s="57"/>
      <c r="C281" s="57"/>
      <c r="D281" s="57"/>
      <c r="E281" s="57"/>
      <c r="F281" s="57"/>
      <c r="G281" s="57"/>
      <c r="H281" s="57"/>
      <c r="I281" s="57"/>
      <c r="J281" s="57"/>
      <c r="K281" s="57"/>
    </row>
    <row r="282" spans="1:11" s="1" customFormat="1">
      <c r="A282" s="3"/>
      <c r="B282" s="57"/>
      <c r="C282" s="57"/>
      <c r="D282" s="57"/>
      <c r="E282" s="57"/>
      <c r="F282" s="57"/>
      <c r="G282" s="57"/>
      <c r="H282" s="57"/>
      <c r="I282" s="57"/>
      <c r="J282" s="57"/>
      <c r="K282" s="57"/>
    </row>
    <row r="283" spans="1:11" s="1" customFormat="1">
      <c r="A283" s="3"/>
      <c r="B283" s="57"/>
      <c r="C283" s="57"/>
      <c r="D283" s="57"/>
      <c r="E283" s="57"/>
      <c r="F283" s="57"/>
      <c r="G283" s="57"/>
      <c r="H283" s="57"/>
      <c r="I283" s="57"/>
      <c r="J283" s="57"/>
      <c r="K283" s="57"/>
    </row>
    <row r="284" spans="1:11" s="1" customFormat="1">
      <c r="A284" s="3"/>
      <c r="B284" s="57"/>
      <c r="C284" s="57"/>
      <c r="D284" s="57"/>
      <c r="E284" s="57"/>
      <c r="F284" s="57"/>
      <c r="G284" s="57"/>
      <c r="H284" s="57"/>
      <c r="I284" s="57"/>
      <c r="J284" s="57"/>
      <c r="K284" s="57"/>
    </row>
    <row r="285" spans="1:11" s="1" customFormat="1">
      <c r="A285" s="3"/>
      <c r="B285" s="57"/>
      <c r="C285" s="57"/>
      <c r="D285" s="57"/>
      <c r="E285" s="57"/>
      <c r="F285" s="57"/>
      <c r="G285" s="57"/>
      <c r="H285" s="57"/>
      <c r="I285" s="57"/>
      <c r="J285" s="57"/>
      <c r="K285" s="57"/>
    </row>
    <row r="286" spans="1:11" s="1" customFormat="1">
      <c r="A286" s="3"/>
      <c r="B286" s="57"/>
      <c r="C286" s="57"/>
      <c r="D286" s="57"/>
      <c r="E286" s="57"/>
      <c r="F286" s="57"/>
      <c r="G286" s="57"/>
      <c r="H286" s="57"/>
      <c r="I286" s="57"/>
      <c r="J286" s="57"/>
      <c r="K286" s="57"/>
    </row>
    <row r="287" spans="1:11" s="1" customFormat="1">
      <c r="A287" s="3"/>
      <c r="B287" s="57"/>
      <c r="C287" s="57"/>
      <c r="D287" s="57"/>
      <c r="E287" s="57"/>
      <c r="F287" s="57"/>
      <c r="G287" s="57"/>
      <c r="H287" s="57"/>
      <c r="I287" s="57"/>
      <c r="J287" s="57"/>
      <c r="K287" s="57"/>
    </row>
    <row r="288" spans="1:11" s="1" customFormat="1">
      <c r="A288" s="3"/>
      <c r="B288" s="57"/>
      <c r="C288" s="57"/>
      <c r="D288" s="57"/>
      <c r="E288" s="57"/>
      <c r="F288" s="57"/>
      <c r="G288" s="57"/>
      <c r="H288" s="57"/>
      <c r="I288" s="57"/>
      <c r="J288" s="57"/>
      <c r="K288" s="57"/>
    </row>
    <row r="289" spans="1:11" s="1" customFormat="1">
      <c r="A289" s="3"/>
      <c r="B289" s="57"/>
      <c r="C289" s="57"/>
      <c r="D289" s="57"/>
      <c r="E289" s="57"/>
      <c r="F289" s="57"/>
      <c r="G289" s="57"/>
      <c r="H289" s="57"/>
      <c r="I289" s="57"/>
      <c r="J289" s="57"/>
      <c r="K289" s="57"/>
    </row>
    <row r="290" spans="1:11" s="1" customFormat="1">
      <c r="A290" s="3"/>
      <c r="B290" s="57"/>
      <c r="C290" s="57"/>
      <c r="D290" s="57"/>
      <c r="E290" s="57"/>
      <c r="F290" s="57"/>
      <c r="G290" s="57"/>
      <c r="H290" s="57"/>
      <c r="I290" s="57"/>
      <c r="J290" s="57"/>
      <c r="K290" s="57"/>
    </row>
    <row r="291" spans="1:11" s="1" customFormat="1">
      <c r="A291" s="3"/>
      <c r="B291" s="57"/>
      <c r="C291" s="57"/>
      <c r="D291" s="57"/>
      <c r="E291" s="57"/>
      <c r="F291" s="57"/>
      <c r="G291" s="57"/>
      <c r="H291" s="57"/>
      <c r="I291" s="57"/>
      <c r="J291" s="57"/>
      <c r="K291" s="57"/>
    </row>
    <row r="292" spans="1:11" s="1" customFormat="1">
      <c r="A292" s="3"/>
      <c r="B292" s="57"/>
      <c r="C292" s="57"/>
      <c r="D292" s="57"/>
      <c r="E292" s="57"/>
      <c r="F292" s="57"/>
      <c r="G292" s="57"/>
      <c r="H292" s="57"/>
      <c r="I292" s="57"/>
      <c r="J292" s="57"/>
      <c r="K292" s="57"/>
    </row>
    <row r="293" spans="1:11" s="1" customFormat="1">
      <c r="A293" s="3"/>
      <c r="B293" s="57"/>
      <c r="C293" s="57"/>
      <c r="D293" s="57"/>
      <c r="E293" s="57"/>
      <c r="F293" s="57"/>
      <c r="G293" s="57"/>
      <c r="H293" s="57"/>
      <c r="I293" s="57"/>
      <c r="J293" s="57"/>
      <c r="K293" s="57"/>
    </row>
    <row r="294" spans="1:11" s="1" customFormat="1">
      <c r="A294" s="3"/>
      <c r="B294" s="57"/>
      <c r="C294" s="57"/>
      <c r="D294" s="57"/>
      <c r="E294" s="57"/>
      <c r="F294" s="57"/>
      <c r="G294" s="57"/>
      <c r="H294" s="57"/>
      <c r="I294" s="57"/>
      <c r="J294" s="57"/>
      <c r="K294" s="57"/>
    </row>
    <row r="295" spans="1:11" s="1" customFormat="1">
      <c r="A295" s="3"/>
      <c r="B295" s="57"/>
      <c r="C295" s="57"/>
      <c r="D295" s="57"/>
      <c r="E295" s="57"/>
      <c r="F295" s="57"/>
      <c r="G295" s="57"/>
      <c r="H295" s="57"/>
      <c r="I295" s="57"/>
      <c r="J295" s="57"/>
      <c r="K295" s="57"/>
    </row>
    <row r="296" spans="1:11" s="1" customFormat="1">
      <c r="A296" s="3"/>
      <c r="B296" s="57"/>
      <c r="C296" s="57"/>
      <c r="D296" s="57"/>
      <c r="E296" s="57"/>
      <c r="F296" s="57"/>
      <c r="G296" s="57"/>
      <c r="H296" s="57"/>
      <c r="I296" s="57"/>
      <c r="J296" s="57"/>
      <c r="K296" s="57"/>
    </row>
    <row r="297" spans="1:11" s="1" customFormat="1">
      <c r="A297" s="3"/>
      <c r="B297" s="57"/>
      <c r="C297" s="57"/>
      <c r="D297" s="57"/>
      <c r="E297" s="57"/>
      <c r="F297" s="57"/>
      <c r="G297" s="57"/>
      <c r="H297" s="57"/>
      <c r="I297" s="57"/>
      <c r="J297" s="57"/>
      <c r="K297" s="57"/>
    </row>
    <row r="298" spans="1:11" s="1" customFormat="1">
      <c r="A298" s="3"/>
      <c r="B298" s="57"/>
      <c r="C298" s="57"/>
      <c r="D298" s="57"/>
      <c r="E298" s="57"/>
      <c r="F298" s="57"/>
      <c r="G298" s="57"/>
      <c r="H298" s="57"/>
      <c r="I298" s="57"/>
      <c r="J298" s="57"/>
      <c r="K298" s="57"/>
    </row>
    <row r="299" spans="1:11" s="1" customFormat="1">
      <c r="A299" s="3"/>
      <c r="B299" s="57"/>
      <c r="C299" s="57"/>
      <c r="D299" s="57"/>
      <c r="E299" s="57"/>
      <c r="F299" s="57"/>
      <c r="G299" s="57"/>
      <c r="H299" s="57"/>
      <c r="I299" s="57"/>
      <c r="J299" s="57"/>
      <c r="K299" s="57"/>
    </row>
    <row r="300" spans="1:11" s="1" customFormat="1">
      <c r="A300" s="3"/>
      <c r="B300" s="57"/>
      <c r="C300" s="57"/>
      <c r="D300" s="57"/>
      <c r="E300" s="57"/>
      <c r="F300" s="57"/>
      <c r="G300" s="57"/>
      <c r="H300" s="57"/>
      <c r="I300" s="57"/>
      <c r="J300" s="57"/>
      <c r="K300" s="57"/>
    </row>
    <row r="301" spans="1:11" s="1" customFormat="1">
      <c r="A301" s="3"/>
      <c r="B301" s="57"/>
      <c r="C301" s="57"/>
      <c r="D301" s="57"/>
      <c r="E301" s="57"/>
      <c r="F301" s="57"/>
      <c r="G301" s="57"/>
      <c r="H301" s="57"/>
      <c r="I301" s="57"/>
      <c r="J301" s="57"/>
      <c r="K301" s="57"/>
    </row>
    <row r="302" spans="1:11" s="1" customFormat="1">
      <c r="A302" s="3"/>
      <c r="B302" s="57"/>
      <c r="C302" s="57"/>
      <c r="D302" s="57"/>
      <c r="E302" s="57"/>
      <c r="F302" s="57"/>
      <c r="G302" s="57"/>
      <c r="H302" s="57"/>
      <c r="I302" s="57"/>
      <c r="J302" s="57"/>
      <c r="K302" s="57"/>
    </row>
    <row r="303" spans="1:11" s="1" customFormat="1">
      <c r="A303" s="3"/>
      <c r="B303" s="57"/>
      <c r="C303" s="57"/>
      <c r="D303" s="57"/>
      <c r="E303" s="57"/>
      <c r="F303" s="57"/>
      <c r="G303" s="57"/>
      <c r="H303" s="57"/>
      <c r="I303" s="57"/>
      <c r="J303" s="57"/>
      <c r="K303" s="57"/>
    </row>
    <row r="304" spans="1:11" s="1" customFormat="1">
      <c r="A304" s="3"/>
      <c r="B304" s="57"/>
      <c r="C304" s="57"/>
      <c r="D304" s="57"/>
      <c r="E304" s="57"/>
      <c r="F304" s="57"/>
      <c r="G304" s="57"/>
      <c r="H304" s="57"/>
      <c r="I304" s="57"/>
      <c r="J304" s="57"/>
      <c r="K304" s="57"/>
    </row>
    <row r="305" spans="1:11" s="1" customFormat="1">
      <c r="A305" s="3"/>
      <c r="B305" s="57"/>
      <c r="C305" s="57"/>
      <c r="D305" s="57"/>
      <c r="E305" s="57"/>
      <c r="F305" s="57"/>
      <c r="G305" s="57"/>
      <c r="H305" s="57"/>
      <c r="I305" s="57"/>
      <c r="J305" s="57"/>
      <c r="K305" s="57"/>
    </row>
    <row r="306" spans="1:11" s="1" customFormat="1">
      <c r="A306" s="3"/>
      <c r="B306" s="57"/>
      <c r="C306" s="57"/>
      <c r="D306" s="57"/>
      <c r="E306" s="57"/>
      <c r="F306" s="57"/>
      <c r="G306" s="57"/>
      <c r="H306" s="57"/>
      <c r="I306" s="57"/>
      <c r="J306" s="57"/>
      <c r="K306" s="57"/>
    </row>
    <row r="307" spans="1:11" s="1" customFormat="1">
      <c r="A307" s="3"/>
      <c r="B307" s="57"/>
      <c r="C307" s="57"/>
      <c r="D307" s="57"/>
      <c r="E307" s="57"/>
      <c r="F307" s="57"/>
      <c r="G307" s="57"/>
      <c r="H307" s="57"/>
      <c r="I307" s="57"/>
      <c r="J307" s="57"/>
      <c r="K307" s="57"/>
    </row>
    <row r="308" spans="1:11" s="1" customFormat="1">
      <c r="A308" s="3"/>
      <c r="B308" s="57"/>
      <c r="C308" s="57"/>
      <c r="D308" s="57"/>
      <c r="E308" s="57"/>
      <c r="F308" s="57"/>
      <c r="G308" s="57"/>
      <c r="H308" s="57"/>
      <c r="I308" s="57"/>
      <c r="J308" s="57"/>
      <c r="K308" s="57"/>
    </row>
    <row r="309" spans="1:11" s="1" customFormat="1">
      <c r="A309" s="3"/>
      <c r="B309" s="57"/>
      <c r="C309" s="57"/>
      <c r="D309" s="57"/>
      <c r="E309" s="57"/>
      <c r="F309" s="57"/>
      <c r="G309" s="57"/>
      <c r="H309" s="57"/>
      <c r="I309" s="57"/>
      <c r="J309" s="57"/>
      <c r="K309" s="57"/>
    </row>
    <row r="310" spans="1:11" s="1" customFormat="1">
      <c r="A310" s="3"/>
      <c r="B310" s="57"/>
      <c r="C310" s="57"/>
      <c r="D310" s="57"/>
      <c r="E310" s="57"/>
      <c r="F310" s="57"/>
      <c r="G310" s="57"/>
      <c r="H310" s="57"/>
      <c r="I310" s="57"/>
      <c r="J310" s="57"/>
      <c r="K310" s="57"/>
    </row>
    <row r="311" spans="1:11" s="1" customFormat="1">
      <c r="A311" s="3"/>
      <c r="B311" s="57"/>
      <c r="C311" s="57"/>
      <c r="D311" s="57"/>
      <c r="E311" s="57"/>
      <c r="F311" s="57"/>
      <c r="G311" s="57"/>
      <c r="H311" s="57"/>
      <c r="I311" s="57"/>
      <c r="J311" s="57"/>
      <c r="K311" s="57"/>
    </row>
    <row r="312" spans="1:11" s="1" customFormat="1">
      <c r="A312" s="3"/>
      <c r="B312" s="57"/>
      <c r="C312" s="57"/>
      <c r="D312" s="57"/>
      <c r="E312" s="57"/>
      <c r="F312" s="57"/>
      <c r="G312" s="57"/>
      <c r="H312" s="57"/>
      <c r="I312" s="57"/>
      <c r="J312" s="57"/>
      <c r="K312" s="57"/>
    </row>
    <row r="313" spans="1:11" s="1" customFormat="1">
      <c r="A313" s="3"/>
      <c r="B313" s="57"/>
      <c r="C313" s="57"/>
      <c r="D313" s="57"/>
      <c r="E313" s="57"/>
      <c r="F313" s="57"/>
      <c r="G313" s="57"/>
      <c r="H313" s="57"/>
      <c r="I313" s="57"/>
      <c r="J313" s="57"/>
      <c r="K313" s="57"/>
    </row>
    <row r="314" spans="1:11" s="1" customFormat="1">
      <c r="A314" s="3"/>
      <c r="B314" s="57"/>
      <c r="C314" s="57"/>
      <c r="D314" s="57"/>
      <c r="E314" s="57"/>
      <c r="F314" s="57"/>
      <c r="G314" s="57"/>
      <c r="H314" s="57"/>
      <c r="I314" s="57"/>
      <c r="J314" s="57"/>
      <c r="K314" s="57"/>
    </row>
    <row r="315" spans="1:11" s="1" customFormat="1">
      <c r="A315" s="3"/>
      <c r="B315" s="57"/>
      <c r="C315" s="57"/>
      <c r="D315" s="57"/>
      <c r="E315" s="57"/>
      <c r="F315" s="57"/>
      <c r="G315" s="57"/>
      <c r="H315" s="57"/>
      <c r="I315" s="57"/>
      <c r="J315" s="57"/>
      <c r="K315" s="57"/>
    </row>
    <row r="316" spans="1:11" s="1" customFormat="1">
      <c r="A316" s="3"/>
      <c r="B316" s="57"/>
      <c r="C316" s="57"/>
      <c r="D316" s="57"/>
      <c r="E316" s="57"/>
      <c r="F316" s="57"/>
      <c r="G316" s="57"/>
      <c r="H316" s="57"/>
      <c r="I316" s="57"/>
      <c r="J316" s="57"/>
      <c r="K316" s="57"/>
    </row>
    <row r="317" spans="1:11" s="1" customFormat="1">
      <c r="A317" s="3"/>
      <c r="B317" s="57"/>
      <c r="C317" s="57"/>
      <c r="D317" s="57"/>
      <c r="E317" s="57"/>
      <c r="F317" s="57"/>
      <c r="G317" s="57"/>
      <c r="H317" s="57"/>
      <c r="I317" s="57"/>
      <c r="J317" s="57"/>
      <c r="K317" s="57"/>
    </row>
    <row r="318" spans="1:11" s="1" customFormat="1">
      <c r="A318" s="3"/>
      <c r="B318" s="57"/>
      <c r="C318" s="57"/>
      <c r="D318" s="57"/>
      <c r="E318" s="57"/>
      <c r="F318" s="57"/>
      <c r="G318" s="57"/>
      <c r="H318" s="57"/>
      <c r="I318" s="57"/>
      <c r="J318" s="57"/>
      <c r="K318" s="57"/>
    </row>
    <row r="319" spans="1:11" s="1" customFormat="1">
      <c r="A319" s="3"/>
      <c r="B319" s="57"/>
      <c r="C319" s="57"/>
      <c r="D319" s="57"/>
      <c r="E319" s="57"/>
      <c r="F319" s="57"/>
      <c r="G319" s="57"/>
      <c r="H319" s="57"/>
      <c r="I319" s="57"/>
      <c r="J319" s="57"/>
      <c r="K319" s="57"/>
    </row>
    <row r="320" spans="1:11" s="1" customFormat="1">
      <c r="A320" s="3"/>
      <c r="B320" s="57"/>
      <c r="C320" s="57"/>
      <c r="D320" s="57"/>
      <c r="E320" s="57"/>
      <c r="F320" s="57"/>
      <c r="G320" s="57"/>
      <c r="H320" s="57"/>
      <c r="I320" s="57"/>
      <c r="J320" s="57"/>
      <c r="K320" s="57"/>
    </row>
    <row r="321" spans="1:11" s="1" customFormat="1">
      <c r="A321" s="3"/>
      <c r="B321" s="57"/>
      <c r="C321" s="57"/>
      <c r="D321" s="57"/>
      <c r="E321" s="57"/>
      <c r="F321" s="57"/>
      <c r="G321" s="57"/>
      <c r="H321" s="57"/>
      <c r="I321" s="57"/>
      <c r="J321" s="57"/>
      <c r="K321" s="57"/>
    </row>
    <row r="322" spans="1:11" s="1" customFormat="1">
      <c r="A322" s="3"/>
      <c r="B322" s="57"/>
      <c r="C322" s="57"/>
      <c r="D322" s="57"/>
      <c r="E322" s="57"/>
      <c r="F322" s="57"/>
      <c r="G322" s="57"/>
      <c r="H322" s="57"/>
      <c r="I322" s="57"/>
      <c r="J322" s="57"/>
      <c r="K322" s="57"/>
    </row>
    <row r="323" spans="1:11" s="1" customFormat="1">
      <c r="A323" s="3"/>
      <c r="B323" s="57"/>
      <c r="C323" s="57"/>
      <c r="D323" s="57"/>
      <c r="E323" s="57"/>
      <c r="F323" s="57"/>
      <c r="G323" s="57"/>
      <c r="H323" s="57"/>
      <c r="I323" s="57"/>
      <c r="J323" s="57"/>
      <c r="K323" s="57"/>
    </row>
    <row r="324" spans="1:11" s="1" customFormat="1">
      <c r="A324" s="3"/>
      <c r="B324" s="57"/>
      <c r="C324" s="57"/>
      <c r="D324" s="57"/>
      <c r="E324" s="57"/>
      <c r="F324" s="57"/>
      <c r="G324" s="57"/>
      <c r="H324" s="57"/>
      <c r="I324" s="57"/>
      <c r="J324" s="57"/>
      <c r="K324" s="57"/>
    </row>
    <row r="325" spans="1:11" s="1" customFormat="1">
      <c r="A325" s="3"/>
      <c r="B325" s="57"/>
      <c r="C325" s="57"/>
      <c r="D325" s="57"/>
      <c r="E325" s="57"/>
      <c r="F325" s="57"/>
      <c r="G325" s="57"/>
      <c r="H325" s="57"/>
      <c r="I325" s="57"/>
      <c r="J325" s="57"/>
      <c r="K325" s="57"/>
    </row>
    <row r="326" spans="1:11" s="1" customFormat="1">
      <c r="A326" s="3"/>
      <c r="B326" s="57"/>
      <c r="C326" s="57"/>
      <c r="D326" s="57"/>
      <c r="E326" s="57"/>
      <c r="F326" s="57"/>
      <c r="G326" s="57"/>
      <c r="H326" s="57"/>
      <c r="I326" s="57"/>
      <c r="J326" s="57"/>
      <c r="K326" s="57"/>
    </row>
    <row r="327" spans="1:11" s="1" customFormat="1">
      <c r="A327" s="3"/>
      <c r="B327" s="57"/>
      <c r="C327" s="57"/>
      <c r="D327" s="57"/>
      <c r="E327" s="57"/>
      <c r="F327" s="57"/>
      <c r="G327" s="57"/>
      <c r="H327" s="57"/>
      <c r="I327" s="57"/>
      <c r="J327" s="57"/>
      <c r="K327" s="57"/>
    </row>
    <row r="328" spans="1:11" s="1" customFormat="1">
      <c r="A328" s="3"/>
      <c r="B328" s="57"/>
      <c r="C328" s="57"/>
      <c r="D328" s="57"/>
      <c r="E328" s="57"/>
      <c r="F328" s="57"/>
      <c r="G328" s="57"/>
      <c r="H328" s="57"/>
      <c r="I328" s="57"/>
      <c r="J328" s="57"/>
      <c r="K328" s="57"/>
    </row>
    <row r="329" spans="1:11" s="1" customFormat="1">
      <c r="A329" s="3"/>
      <c r="B329" s="57"/>
      <c r="C329" s="57"/>
      <c r="D329" s="57"/>
      <c r="E329" s="57"/>
      <c r="F329" s="57"/>
      <c r="G329" s="57"/>
      <c r="H329" s="57"/>
      <c r="I329" s="57"/>
      <c r="J329" s="57"/>
      <c r="K329" s="57"/>
    </row>
    <row r="330" spans="1:11" s="1" customFormat="1">
      <c r="A330" s="3"/>
      <c r="B330" s="57"/>
      <c r="C330" s="57"/>
      <c r="D330" s="57"/>
      <c r="E330" s="57"/>
      <c r="F330" s="57"/>
      <c r="G330" s="57"/>
      <c r="H330" s="57"/>
      <c r="I330" s="57"/>
      <c r="J330" s="57"/>
      <c r="K330" s="57"/>
    </row>
    <row r="331" spans="1:11" s="1" customFormat="1">
      <c r="A331" s="3"/>
      <c r="B331" s="57"/>
      <c r="C331" s="57"/>
      <c r="D331" s="57"/>
      <c r="E331" s="57"/>
      <c r="F331" s="57"/>
      <c r="G331" s="57"/>
      <c r="H331" s="57"/>
      <c r="I331" s="57"/>
      <c r="J331" s="57"/>
      <c r="K331" s="57"/>
    </row>
    <row r="332" spans="1:11" s="1" customFormat="1">
      <c r="A332" s="3"/>
      <c r="B332" s="57"/>
      <c r="C332" s="57"/>
      <c r="D332" s="57"/>
      <c r="E332" s="57"/>
      <c r="F332" s="57"/>
      <c r="G332" s="57"/>
      <c r="H332" s="57"/>
      <c r="I332" s="57"/>
      <c r="J332" s="57"/>
      <c r="K332" s="57"/>
    </row>
    <row r="333" spans="1:11" s="1" customFormat="1">
      <c r="A333" s="3"/>
      <c r="B333" s="57"/>
      <c r="C333" s="57"/>
      <c r="D333" s="57"/>
      <c r="E333" s="57"/>
      <c r="F333" s="57"/>
      <c r="G333" s="57"/>
      <c r="H333" s="57"/>
      <c r="I333" s="57"/>
      <c r="J333" s="57"/>
      <c r="K333" s="57"/>
    </row>
    <row r="334" spans="1:11" s="1" customFormat="1">
      <c r="A334" s="3"/>
      <c r="B334" s="57"/>
      <c r="C334" s="57"/>
      <c r="D334" s="57"/>
      <c r="E334" s="57"/>
      <c r="F334" s="57"/>
      <c r="G334" s="57"/>
      <c r="H334" s="57"/>
      <c r="I334" s="57"/>
      <c r="J334" s="57"/>
      <c r="K334" s="57"/>
    </row>
    <row r="335" spans="1:11" s="1" customFormat="1">
      <c r="A335" s="3"/>
      <c r="B335" s="57"/>
      <c r="C335" s="57"/>
      <c r="D335" s="57"/>
      <c r="E335" s="57"/>
      <c r="F335" s="57"/>
      <c r="G335" s="57"/>
      <c r="H335" s="57"/>
      <c r="I335" s="57"/>
      <c r="J335" s="57"/>
      <c r="K335" s="57"/>
    </row>
    <row r="336" spans="1:11" s="1" customFormat="1">
      <c r="A336" s="3"/>
      <c r="B336" s="57"/>
      <c r="C336" s="57"/>
      <c r="D336" s="57"/>
      <c r="E336" s="57"/>
      <c r="F336" s="57"/>
      <c r="G336" s="57"/>
      <c r="H336" s="57"/>
      <c r="I336" s="57"/>
      <c r="J336" s="57"/>
      <c r="K336" s="57"/>
    </row>
    <row r="337" spans="1:11" s="1" customFormat="1">
      <c r="A337" s="3"/>
      <c r="B337" s="57"/>
      <c r="C337" s="57"/>
      <c r="D337" s="57"/>
      <c r="E337" s="57"/>
      <c r="F337" s="57"/>
      <c r="G337" s="57"/>
      <c r="H337" s="57"/>
      <c r="I337" s="57"/>
      <c r="J337" s="57"/>
      <c r="K337" s="57"/>
    </row>
    <row r="338" spans="1:11" s="1" customFormat="1">
      <c r="A338" s="3"/>
      <c r="B338" s="57"/>
      <c r="C338" s="57"/>
      <c r="D338" s="57"/>
      <c r="E338" s="57"/>
      <c r="F338" s="57"/>
      <c r="G338" s="57"/>
      <c r="H338" s="57"/>
      <c r="I338" s="57"/>
      <c r="J338" s="57"/>
      <c r="K338" s="57"/>
    </row>
    <row r="339" spans="1:11" s="1" customFormat="1">
      <c r="A339" s="3"/>
      <c r="B339" s="57"/>
      <c r="C339" s="57"/>
      <c r="D339" s="57"/>
      <c r="E339" s="57"/>
      <c r="F339" s="57"/>
      <c r="G339" s="57"/>
      <c r="H339" s="57"/>
      <c r="I339" s="57"/>
      <c r="J339" s="57"/>
      <c r="K339" s="57"/>
    </row>
    <row r="340" spans="1:11" s="1" customFormat="1">
      <c r="A340" s="3"/>
      <c r="B340" s="57"/>
      <c r="C340" s="57"/>
      <c r="D340" s="57"/>
      <c r="E340" s="57"/>
      <c r="F340" s="57"/>
      <c r="G340" s="57"/>
      <c r="H340" s="57"/>
      <c r="I340" s="57"/>
      <c r="J340" s="57"/>
      <c r="K340" s="57"/>
    </row>
    <row r="341" spans="1:11" s="1" customFormat="1">
      <c r="A341" s="3"/>
      <c r="B341" s="57"/>
      <c r="C341" s="57"/>
      <c r="D341" s="57"/>
      <c r="E341" s="57"/>
      <c r="F341" s="57"/>
      <c r="G341" s="57"/>
      <c r="H341" s="57"/>
      <c r="I341" s="57"/>
      <c r="J341" s="57"/>
      <c r="K341" s="57"/>
    </row>
    <row r="342" spans="1:11" s="1" customFormat="1">
      <c r="A342" s="3"/>
      <c r="B342" s="57"/>
      <c r="C342" s="57"/>
      <c r="D342" s="57"/>
      <c r="E342" s="57"/>
      <c r="F342" s="57"/>
      <c r="G342" s="57"/>
      <c r="H342" s="57"/>
      <c r="I342" s="57"/>
      <c r="J342" s="57"/>
      <c r="K342" s="57"/>
    </row>
    <row r="343" spans="1:11" s="1" customFormat="1">
      <c r="A343" s="3"/>
      <c r="B343" s="57"/>
      <c r="C343" s="57"/>
      <c r="D343" s="57"/>
      <c r="E343" s="57"/>
      <c r="F343" s="57"/>
      <c r="G343" s="57"/>
      <c r="H343" s="57"/>
      <c r="I343" s="57"/>
      <c r="J343" s="57"/>
      <c r="K343" s="57"/>
    </row>
    <row r="344" spans="1:11" s="1" customFormat="1">
      <c r="A344" s="3"/>
      <c r="B344" s="57"/>
      <c r="C344" s="57"/>
      <c r="D344" s="57"/>
      <c r="E344" s="57"/>
      <c r="F344" s="57"/>
      <c r="G344" s="57"/>
      <c r="H344" s="57"/>
      <c r="I344" s="57"/>
      <c r="J344" s="57"/>
      <c r="K344" s="57"/>
    </row>
    <row r="345" spans="1:11" s="1" customFormat="1">
      <c r="A345" s="3"/>
      <c r="B345" s="57"/>
      <c r="C345" s="57"/>
      <c r="D345" s="57"/>
      <c r="E345" s="57"/>
      <c r="F345" s="57"/>
      <c r="G345" s="57"/>
      <c r="H345" s="57"/>
      <c r="I345" s="57"/>
      <c r="J345" s="57"/>
      <c r="K345" s="57"/>
    </row>
    <row r="346" spans="1:11" s="1" customFormat="1">
      <c r="A346" s="3"/>
      <c r="B346" s="57"/>
      <c r="C346" s="57"/>
      <c r="D346" s="57"/>
      <c r="E346" s="57"/>
      <c r="F346" s="57"/>
      <c r="G346" s="57"/>
      <c r="H346" s="57"/>
      <c r="I346" s="57"/>
      <c r="J346" s="57"/>
      <c r="K346" s="57"/>
    </row>
    <row r="347" spans="1:11" s="1" customFormat="1">
      <c r="A347" s="3"/>
      <c r="B347" s="57"/>
      <c r="C347" s="57"/>
      <c r="D347" s="57"/>
      <c r="E347" s="57"/>
      <c r="F347" s="57"/>
      <c r="G347" s="57"/>
      <c r="H347" s="57"/>
      <c r="I347" s="57"/>
      <c r="J347" s="57"/>
      <c r="K347" s="57"/>
    </row>
    <row r="348" spans="1:11" s="1" customFormat="1">
      <c r="A348" s="3"/>
      <c r="B348" s="57"/>
      <c r="C348" s="57"/>
      <c r="D348" s="57"/>
      <c r="E348" s="57"/>
      <c r="F348" s="57"/>
      <c r="G348" s="57"/>
      <c r="H348" s="57"/>
      <c r="I348" s="57"/>
      <c r="J348" s="57"/>
      <c r="K348" s="57"/>
    </row>
    <row r="349" spans="1:11" s="1" customFormat="1">
      <c r="A349" s="3"/>
      <c r="B349" s="57"/>
      <c r="C349" s="57"/>
      <c r="D349" s="57"/>
      <c r="E349" s="57"/>
      <c r="F349" s="57"/>
      <c r="G349" s="57"/>
      <c r="H349" s="57"/>
      <c r="I349" s="57"/>
      <c r="J349" s="57"/>
      <c r="K349" s="57"/>
    </row>
    <row r="350" spans="1:11" s="1" customFormat="1">
      <c r="A350" s="3"/>
      <c r="B350" s="57"/>
      <c r="C350" s="57"/>
      <c r="D350" s="57"/>
      <c r="E350" s="57"/>
      <c r="F350" s="57"/>
      <c r="G350" s="57"/>
      <c r="H350" s="57"/>
      <c r="I350" s="57"/>
      <c r="J350" s="57"/>
      <c r="K350" s="57"/>
    </row>
    <row r="351" spans="1:11" s="1" customFormat="1">
      <c r="A351" s="3"/>
      <c r="B351" s="57"/>
      <c r="C351" s="57"/>
      <c r="D351" s="57"/>
      <c r="E351" s="57"/>
      <c r="F351" s="57"/>
      <c r="G351" s="57"/>
      <c r="H351" s="57"/>
      <c r="I351" s="57"/>
      <c r="J351" s="57"/>
      <c r="K351" s="57"/>
    </row>
    <row r="352" spans="1:11" s="1" customFormat="1">
      <c r="A352" s="3"/>
      <c r="B352" s="57"/>
      <c r="C352" s="57"/>
      <c r="D352" s="57"/>
      <c r="E352" s="57"/>
      <c r="F352" s="57"/>
      <c r="G352" s="57"/>
      <c r="H352" s="57"/>
      <c r="I352" s="57"/>
      <c r="J352" s="57"/>
      <c r="K352" s="57"/>
    </row>
    <row r="353" spans="1:11" s="1" customFormat="1">
      <c r="A353" s="3"/>
      <c r="B353" s="57"/>
      <c r="C353" s="57"/>
      <c r="D353" s="57"/>
      <c r="E353" s="57"/>
      <c r="F353" s="57"/>
      <c r="G353" s="57"/>
      <c r="H353" s="57"/>
      <c r="I353" s="57"/>
      <c r="J353" s="57"/>
      <c r="K353" s="57"/>
    </row>
    <row r="354" spans="1:11" s="1" customFormat="1">
      <c r="A354" s="3"/>
      <c r="B354" s="57"/>
      <c r="C354" s="57"/>
      <c r="D354" s="57"/>
      <c r="E354" s="57"/>
      <c r="F354" s="57"/>
      <c r="G354" s="57"/>
      <c r="H354" s="57"/>
      <c r="I354" s="57"/>
      <c r="J354" s="57"/>
      <c r="K354" s="57"/>
    </row>
    <row r="355" spans="1:11" s="1" customFormat="1">
      <c r="A355" s="3"/>
      <c r="B355" s="57"/>
      <c r="C355" s="57"/>
      <c r="D355" s="57"/>
      <c r="E355" s="57"/>
      <c r="F355" s="57"/>
      <c r="G355" s="57"/>
      <c r="H355" s="57"/>
      <c r="I355" s="57"/>
      <c r="J355" s="57"/>
      <c r="K355" s="57"/>
    </row>
    <row r="356" spans="1:11" s="1" customFormat="1">
      <c r="A356" s="3"/>
      <c r="B356" s="57"/>
      <c r="C356" s="57"/>
      <c r="D356" s="57"/>
      <c r="E356" s="57"/>
      <c r="F356" s="57"/>
      <c r="G356" s="57"/>
      <c r="H356" s="57"/>
      <c r="I356" s="57"/>
      <c r="J356" s="57"/>
      <c r="K356" s="57"/>
    </row>
    <row r="357" spans="1:11" s="1" customFormat="1">
      <c r="A357" s="3"/>
      <c r="B357" s="57"/>
      <c r="C357" s="57"/>
      <c r="D357" s="57"/>
      <c r="E357" s="57"/>
      <c r="F357" s="57"/>
      <c r="G357" s="57"/>
      <c r="H357" s="57"/>
      <c r="I357" s="57"/>
      <c r="J357" s="57"/>
      <c r="K357" s="57"/>
    </row>
    <row r="358" spans="1:11" s="1" customFormat="1">
      <c r="A358" s="3"/>
      <c r="B358" s="57"/>
      <c r="C358" s="57"/>
      <c r="D358" s="57"/>
      <c r="E358" s="57"/>
      <c r="F358" s="57"/>
      <c r="G358" s="57"/>
      <c r="H358" s="57"/>
      <c r="I358" s="57"/>
      <c r="J358" s="57"/>
      <c r="K358" s="57"/>
    </row>
    <row r="359" spans="1:11" s="1" customFormat="1">
      <c r="A359" s="3"/>
      <c r="B359" s="57"/>
      <c r="C359" s="57"/>
      <c r="D359" s="57"/>
      <c r="E359" s="57"/>
      <c r="F359" s="57"/>
      <c r="G359" s="57"/>
      <c r="H359" s="57"/>
      <c r="I359" s="57"/>
      <c r="J359" s="57"/>
      <c r="K359" s="57"/>
    </row>
    <row r="360" spans="1:11" s="1" customFormat="1">
      <c r="A360" s="3"/>
      <c r="B360" s="57"/>
      <c r="C360" s="57"/>
      <c r="D360" s="57"/>
      <c r="E360" s="57"/>
      <c r="F360" s="57"/>
      <c r="G360" s="57"/>
      <c r="H360" s="57"/>
      <c r="I360" s="57"/>
      <c r="J360" s="57"/>
      <c r="K360" s="57"/>
    </row>
    <row r="361" spans="1:11" s="1" customFormat="1">
      <c r="A361" s="3"/>
      <c r="B361" s="57"/>
      <c r="C361" s="57"/>
      <c r="D361" s="57"/>
      <c r="E361" s="57"/>
      <c r="F361" s="57"/>
      <c r="G361" s="57"/>
      <c r="H361" s="57"/>
      <c r="I361" s="57"/>
      <c r="J361" s="57"/>
      <c r="K361" s="57"/>
    </row>
    <row r="362" spans="1:11" s="1" customFormat="1">
      <c r="A362" s="3"/>
      <c r="B362" s="57"/>
      <c r="C362" s="57"/>
      <c r="D362" s="57"/>
      <c r="E362" s="57"/>
      <c r="F362" s="57"/>
      <c r="G362" s="57"/>
      <c r="H362" s="57"/>
      <c r="I362" s="57"/>
      <c r="J362" s="57"/>
      <c r="K362" s="57"/>
    </row>
    <row r="363" spans="1:11" s="1" customFormat="1">
      <c r="A363" s="3"/>
      <c r="B363" s="57"/>
      <c r="C363" s="57"/>
      <c r="D363" s="57"/>
      <c r="E363" s="57"/>
      <c r="F363" s="57"/>
      <c r="G363" s="57"/>
      <c r="H363" s="57"/>
      <c r="I363" s="57"/>
      <c r="J363" s="57"/>
      <c r="K363" s="57"/>
    </row>
    <row r="364" spans="1:11" s="1" customFormat="1">
      <c r="A364" s="3"/>
      <c r="B364" s="57"/>
      <c r="C364" s="57"/>
      <c r="D364" s="57"/>
      <c r="E364" s="57"/>
      <c r="F364" s="57"/>
      <c r="G364" s="57"/>
      <c r="H364" s="57"/>
      <c r="I364" s="57"/>
      <c r="J364" s="57"/>
      <c r="K364" s="57"/>
    </row>
    <row r="365" spans="1:11" s="1" customFormat="1">
      <c r="A365" s="3"/>
      <c r="B365" s="57"/>
      <c r="C365" s="57"/>
      <c r="D365" s="57"/>
      <c r="E365" s="57"/>
      <c r="F365" s="57"/>
      <c r="G365" s="57"/>
      <c r="H365" s="57"/>
      <c r="I365" s="57"/>
      <c r="J365" s="57"/>
      <c r="K365" s="57"/>
    </row>
    <row r="366" spans="1:11" s="1" customFormat="1">
      <c r="A366" s="3"/>
      <c r="B366" s="57"/>
      <c r="C366" s="57"/>
      <c r="D366" s="57"/>
      <c r="E366" s="57"/>
      <c r="F366" s="57"/>
      <c r="G366" s="57"/>
      <c r="H366" s="57"/>
      <c r="I366" s="57"/>
      <c r="J366" s="57"/>
      <c r="K366" s="57"/>
    </row>
    <row r="367" spans="1:11" s="1" customFormat="1">
      <c r="A367" s="3"/>
      <c r="B367" s="57"/>
      <c r="C367" s="57"/>
      <c r="D367" s="57"/>
      <c r="E367" s="57"/>
      <c r="F367" s="57"/>
      <c r="G367" s="57"/>
      <c r="H367" s="57"/>
      <c r="I367" s="57"/>
      <c r="J367" s="57"/>
      <c r="K367" s="57"/>
    </row>
    <row r="368" spans="1:11" s="1" customFormat="1">
      <c r="A368" s="3"/>
      <c r="B368" s="57"/>
      <c r="C368" s="57"/>
      <c r="D368" s="57"/>
      <c r="E368" s="57"/>
      <c r="F368" s="57"/>
      <c r="G368" s="57"/>
      <c r="H368" s="57"/>
      <c r="I368" s="57"/>
      <c r="J368" s="57"/>
      <c r="K368" s="57"/>
    </row>
    <row r="369" spans="1:11" s="1" customFormat="1">
      <c r="A369" s="3"/>
      <c r="B369" s="57"/>
      <c r="C369" s="57"/>
      <c r="D369" s="57"/>
      <c r="E369" s="57"/>
      <c r="F369" s="57"/>
      <c r="G369" s="57"/>
      <c r="H369" s="57"/>
      <c r="I369" s="57"/>
      <c r="J369" s="57"/>
      <c r="K369" s="57"/>
    </row>
    <row r="370" spans="1:11" s="1" customFormat="1">
      <c r="A370" s="3"/>
      <c r="B370" s="57"/>
      <c r="C370" s="57"/>
      <c r="D370" s="57"/>
      <c r="E370" s="57"/>
      <c r="F370" s="57"/>
      <c r="G370" s="57"/>
      <c r="H370" s="57"/>
      <c r="I370" s="57"/>
      <c r="J370" s="57"/>
      <c r="K370" s="57"/>
    </row>
    <row r="371" spans="1:11" s="1" customFormat="1">
      <c r="A371" s="3"/>
      <c r="B371" s="57"/>
      <c r="C371" s="57"/>
      <c r="D371" s="57"/>
      <c r="E371" s="57"/>
      <c r="F371" s="57"/>
      <c r="G371" s="57"/>
      <c r="H371" s="57"/>
      <c r="I371" s="57"/>
      <c r="J371" s="57"/>
      <c r="K371" s="57"/>
    </row>
    <row r="372" spans="1:11" s="1" customFormat="1">
      <c r="A372" s="3"/>
      <c r="B372" s="57"/>
      <c r="C372" s="57"/>
      <c r="D372" s="57"/>
      <c r="E372" s="57"/>
      <c r="F372" s="57"/>
      <c r="G372" s="57"/>
      <c r="H372" s="57"/>
      <c r="I372" s="57"/>
      <c r="J372" s="57"/>
      <c r="K372" s="57"/>
    </row>
    <row r="373" spans="1:11" s="1" customFormat="1">
      <c r="A373" s="3"/>
      <c r="B373" s="57"/>
      <c r="C373" s="57"/>
      <c r="D373" s="57"/>
      <c r="E373" s="57"/>
      <c r="F373" s="57"/>
      <c r="G373" s="57"/>
      <c r="H373" s="57"/>
      <c r="I373" s="57"/>
      <c r="J373" s="57"/>
      <c r="K373" s="57"/>
    </row>
    <row r="374" spans="1:11" s="1" customFormat="1">
      <c r="A374" s="3"/>
      <c r="B374" s="57"/>
      <c r="C374" s="57"/>
      <c r="D374" s="57"/>
      <c r="E374" s="57"/>
      <c r="F374" s="57"/>
      <c r="G374" s="57"/>
      <c r="H374" s="57"/>
      <c r="I374" s="57"/>
      <c r="J374" s="57"/>
      <c r="K374" s="57"/>
    </row>
    <row r="375" spans="1:11" s="1" customFormat="1">
      <c r="A375" s="3"/>
      <c r="B375" s="57"/>
      <c r="C375" s="57"/>
      <c r="D375" s="57"/>
      <c r="E375" s="57"/>
      <c r="F375" s="57"/>
      <c r="G375" s="57"/>
      <c r="H375" s="57"/>
      <c r="I375" s="57"/>
      <c r="J375" s="57"/>
      <c r="K375" s="57"/>
    </row>
    <row r="376" spans="1:11" s="1" customFormat="1">
      <c r="A376" s="3"/>
      <c r="B376" s="57"/>
      <c r="C376" s="57"/>
      <c r="D376" s="57"/>
      <c r="E376" s="57"/>
      <c r="F376" s="57"/>
      <c r="G376" s="57"/>
      <c r="H376" s="57"/>
      <c r="I376" s="57"/>
      <c r="J376" s="57"/>
      <c r="K376" s="57"/>
    </row>
    <row r="377" spans="1:11" s="1" customFormat="1">
      <c r="A377" s="3"/>
      <c r="B377" s="57"/>
      <c r="C377" s="57"/>
      <c r="D377" s="57"/>
      <c r="E377" s="57"/>
      <c r="F377" s="57"/>
      <c r="G377" s="57"/>
      <c r="H377" s="57"/>
      <c r="I377" s="57"/>
      <c r="J377" s="57"/>
      <c r="K377" s="57"/>
    </row>
    <row r="378" spans="1:11" s="1" customFormat="1">
      <c r="A378" s="3"/>
      <c r="B378" s="57"/>
      <c r="C378" s="57"/>
      <c r="D378" s="57"/>
      <c r="E378" s="57"/>
      <c r="F378" s="57"/>
      <c r="G378" s="57"/>
      <c r="H378" s="57"/>
      <c r="I378" s="57"/>
      <c r="J378" s="57"/>
      <c r="K378" s="57"/>
    </row>
    <row r="379" spans="1:11" s="1" customFormat="1">
      <c r="A379" s="3"/>
      <c r="B379" s="57"/>
      <c r="C379" s="57"/>
      <c r="D379" s="57"/>
      <c r="E379" s="57"/>
      <c r="F379" s="57"/>
      <c r="G379" s="57"/>
      <c r="H379" s="57"/>
      <c r="I379" s="57"/>
      <c r="J379" s="57"/>
      <c r="K379" s="57"/>
    </row>
    <row r="380" spans="1:11" s="1" customFormat="1">
      <c r="A380" s="3"/>
      <c r="B380" s="57"/>
      <c r="C380" s="57"/>
      <c r="D380" s="57"/>
      <c r="E380" s="57"/>
      <c r="F380" s="57"/>
      <c r="G380" s="57"/>
      <c r="H380" s="57"/>
      <c r="I380" s="57"/>
      <c r="J380" s="57"/>
      <c r="K380" s="57"/>
    </row>
    <row r="381" spans="1:11" s="1" customFormat="1">
      <c r="A381" s="3"/>
      <c r="B381" s="57"/>
      <c r="C381" s="57"/>
      <c r="D381" s="57"/>
      <c r="E381" s="57"/>
      <c r="F381" s="57"/>
      <c r="G381" s="57"/>
      <c r="H381" s="57"/>
      <c r="I381" s="57"/>
      <c r="J381" s="57"/>
      <c r="K381" s="57"/>
    </row>
    <row r="382" spans="1:11" s="1" customFormat="1">
      <c r="A382" s="3"/>
      <c r="B382" s="57"/>
      <c r="C382" s="57"/>
      <c r="D382" s="57"/>
      <c r="E382" s="57"/>
      <c r="F382" s="57"/>
      <c r="G382" s="57"/>
      <c r="H382" s="57"/>
      <c r="I382" s="57"/>
      <c r="J382" s="57"/>
      <c r="K382" s="57"/>
    </row>
    <row r="383" spans="1:11" s="1" customFormat="1">
      <c r="A383" s="3"/>
      <c r="B383" s="57"/>
      <c r="C383" s="57"/>
      <c r="D383" s="57"/>
      <c r="E383" s="57"/>
      <c r="F383" s="57"/>
      <c r="G383" s="57"/>
      <c r="H383" s="57"/>
      <c r="I383" s="57"/>
      <c r="J383" s="57"/>
      <c r="K383" s="57"/>
    </row>
    <row r="384" spans="1:11" s="1" customFormat="1">
      <c r="A384" s="3"/>
      <c r="B384" s="57"/>
      <c r="C384" s="57"/>
      <c r="D384" s="57"/>
      <c r="E384" s="57"/>
      <c r="F384" s="57"/>
      <c r="G384" s="57"/>
      <c r="H384" s="57"/>
      <c r="I384" s="57"/>
      <c r="J384" s="57"/>
      <c r="K384" s="57"/>
    </row>
    <row r="385" spans="1:11" s="1" customFormat="1">
      <c r="A385" s="3"/>
      <c r="B385" s="57"/>
      <c r="C385" s="57"/>
      <c r="D385" s="57"/>
      <c r="E385" s="57"/>
      <c r="F385" s="57"/>
      <c r="G385" s="57"/>
      <c r="H385" s="57"/>
      <c r="I385" s="57"/>
      <c r="J385" s="57"/>
      <c r="K385" s="57"/>
    </row>
    <row r="386" spans="1:11" s="1" customFormat="1">
      <c r="A386" s="3"/>
      <c r="B386" s="57"/>
      <c r="C386" s="57"/>
      <c r="D386" s="57"/>
      <c r="E386" s="57"/>
      <c r="F386" s="57"/>
      <c r="G386" s="57"/>
      <c r="H386" s="57"/>
      <c r="I386" s="57"/>
      <c r="J386" s="57"/>
      <c r="K386" s="57"/>
    </row>
    <row r="387" spans="1:11" s="1" customFormat="1">
      <c r="A387" s="3"/>
      <c r="B387" s="57"/>
      <c r="C387" s="57"/>
      <c r="D387" s="57"/>
      <c r="E387" s="57"/>
      <c r="F387" s="57"/>
      <c r="G387" s="57"/>
      <c r="H387" s="57"/>
      <c r="I387" s="57"/>
      <c r="J387" s="57"/>
      <c r="K387" s="57"/>
    </row>
    <row r="388" spans="1:11" s="1" customFormat="1">
      <c r="A388" s="3"/>
      <c r="B388" s="57"/>
      <c r="C388" s="57"/>
      <c r="D388" s="57"/>
      <c r="E388" s="57"/>
      <c r="F388" s="57"/>
      <c r="G388" s="57"/>
      <c r="H388" s="57"/>
      <c r="I388" s="57"/>
      <c r="J388" s="57"/>
      <c r="K388" s="57"/>
    </row>
    <row r="389" spans="1:11" s="1" customFormat="1">
      <c r="A389" s="3"/>
      <c r="B389" s="57"/>
      <c r="C389" s="57"/>
      <c r="D389" s="57"/>
      <c r="E389" s="57"/>
      <c r="F389" s="57"/>
      <c r="G389" s="57"/>
      <c r="H389" s="57"/>
      <c r="I389" s="57"/>
      <c r="J389" s="57"/>
      <c r="K389" s="57"/>
    </row>
    <row r="390" spans="1:11" s="1" customFormat="1">
      <c r="A390" s="3"/>
      <c r="B390" s="57"/>
      <c r="C390" s="57"/>
      <c r="D390" s="57"/>
      <c r="E390" s="57"/>
      <c r="F390" s="57"/>
      <c r="G390" s="57"/>
      <c r="H390" s="57"/>
      <c r="I390" s="57"/>
      <c r="J390" s="57"/>
      <c r="K390" s="57"/>
    </row>
    <row r="391" spans="1:11" s="1" customFormat="1">
      <c r="A391" s="3"/>
      <c r="B391" s="57"/>
      <c r="C391" s="57"/>
      <c r="D391" s="57"/>
      <c r="E391" s="57"/>
      <c r="F391" s="57"/>
      <c r="G391" s="57"/>
      <c r="H391" s="57"/>
      <c r="I391" s="57"/>
      <c r="J391" s="57"/>
      <c r="K391" s="57"/>
    </row>
    <row r="392" spans="1:11" s="1" customFormat="1">
      <c r="A392" s="3"/>
      <c r="B392" s="57"/>
      <c r="C392" s="57"/>
      <c r="D392" s="57"/>
      <c r="E392" s="57"/>
      <c r="F392" s="57"/>
      <c r="G392" s="57"/>
      <c r="H392" s="57"/>
      <c r="I392" s="57"/>
      <c r="J392" s="57"/>
      <c r="K392" s="57"/>
    </row>
    <row r="393" spans="1:11" s="1" customFormat="1">
      <c r="A393" s="3"/>
      <c r="B393" s="57"/>
      <c r="C393" s="57"/>
      <c r="D393" s="57"/>
      <c r="E393" s="57"/>
      <c r="F393" s="57"/>
      <c r="G393" s="57"/>
      <c r="H393" s="57"/>
      <c r="I393" s="57"/>
      <c r="J393" s="57"/>
      <c r="K393" s="57"/>
    </row>
    <row r="394" spans="1:11" s="1" customFormat="1">
      <c r="A394" s="3"/>
      <c r="B394" s="57"/>
      <c r="C394" s="57"/>
      <c r="D394" s="57"/>
      <c r="E394" s="57"/>
      <c r="F394" s="57"/>
      <c r="G394" s="57"/>
      <c r="H394" s="57"/>
      <c r="I394" s="57"/>
      <c r="J394" s="57"/>
      <c r="K394" s="57"/>
    </row>
    <row r="395" spans="1:11" s="1" customFormat="1">
      <c r="A395" s="3"/>
      <c r="B395" s="57"/>
      <c r="C395" s="57"/>
      <c r="D395" s="57"/>
      <c r="E395" s="57"/>
      <c r="F395" s="57"/>
      <c r="G395" s="57"/>
      <c r="H395" s="57"/>
      <c r="I395" s="57"/>
      <c r="J395" s="57"/>
      <c r="K395" s="57"/>
    </row>
    <row r="396" spans="1:11" s="1" customFormat="1">
      <c r="A396" s="3"/>
      <c r="B396" s="57"/>
      <c r="C396" s="57"/>
      <c r="D396" s="57"/>
      <c r="E396" s="57"/>
      <c r="F396" s="57"/>
      <c r="G396" s="57"/>
      <c r="H396" s="57"/>
      <c r="I396" s="57"/>
      <c r="J396" s="57"/>
      <c r="K396" s="57"/>
    </row>
    <row r="397" spans="1:11" s="1" customFormat="1">
      <c r="A397" s="3"/>
      <c r="B397" s="57"/>
      <c r="C397" s="57"/>
      <c r="D397" s="57"/>
      <c r="E397" s="57"/>
      <c r="F397" s="57"/>
      <c r="G397" s="57"/>
      <c r="H397" s="57"/>
      <c r="I397" s="57"/>
      <c r="J397" s="57"/>
      <c r="K397" s="57"/>
    </row>
    <row r="398" spans="1:11" s="1" customFormat="1">
      <c r="A398" s="3"/>
      <c r="B398" s="57"/>
      <c r="C398" s="57"/>
      <c r="D398" s="57"/>
      <c r="E398" s="57"/>
      <c r="F398" s="57"/>
      <c r="G398" s="57"/>
      <c r="H398" s="57"/>
      <c r="I398" s="57"/>
      <c r="J398" s="57"/>
      <c r="K398" s="57"/>
    </row>
    <row r="399" spans="1:11" s="1" customFormat="1">
      <c r="A399" s="3"/>
      <c r="B399" s="57"/>
      <c r="C399" s="57"/>
      <c r="D399" s="57"/>
      <c r="E399" s="57"/>
      <c r="F399" s="57"/>
      <c r="G399" s="57"/>
      <c r="H399" s="57"/>
      <c r="I399" s="57"/>
      <c r="J399" s="57"/>
      <c r="K399" s="57"/>
    </row>
    <row r="400" spans="1:11" s="1" customFormat="1">
      <c r="A400" s="3"/>
      <c r="B400" s="57"/>
      <c r="C400" s="57"/>
      <c r="D400" s="57"/>
      <c r="E400" s="57"/>
      <c r="F400" s="57"/>
      <c r="G400" s="57"/>
      <c r="H400" s="57"/>
      <c r="I400" s="57"/>
      <c r="J400" s="57"/>
      <c r="K400" s="57"/>
    </row>
    <row r="401" spans="1:11" s="1" customFormat="1">
      <c r="A401" s="3"/>
      <c r="B401" s="57"/>
      <c r="C401" s="57"/>
      <c r="D401" s="57"/>
      <c r="E401" s="57"/>
      <c r="F401" s="57"/>
      <c r="G401" s="57"/>
      <c r="H401" s="57"/>
      <c r="I401" s="57"/>
      <c r="J401" s="57"/>
      <c r="K401" s="57"/>
    </row>
    <row r="402" spans="1:11" s="1" customFormat="1">
      <c r="A402" s="3"/>
      <c r="B402" s="57"/>
      <c r="C402" s="57"/>
      <c r="D402" s="57"/>
      <c r="E402" s="57"/>
      <c r="F402" s="57"/>
      <c r="G402" s="57"/>
      <c r="H402" s="57"/>
      <c r="I402" s="57"/>
      <c r="J402" s="57"/>
      <c r="K402" s="57"/>
    </row>
    <row r="403" spans="1:11" s="1" customFormat="1">
      <c r="A403" s="3"/>
      <c r="B403" s="57"/>
      <c r="C403" s="57"/>
      <c r="D403" s="57"/>
      <c r="E403" s="57"/>
      <c r="F403" s="57"/>
      <c r="G403" s="57"/>
      <c r="H403" s="57"/>
      <c r="I403" s="57"/>
      <c r="J403" s="57"/>
      <c r="K403" s="57"/>
    </row>
    <row r="404" spans="1:11" s="1" customFormat="1">
      <c r="A404" s="3"/>
      <c r="B404" s="57"/>
      <c r="C404" s="57"/>
      <c r="D404" s="57"/>
      <c r="E404" s="57"/>
      <c r="F404" s="57"/>
      <c r="G404" s="57"/>
      <c r="H404" s="57"/>
      <c r="I404" s="57"/>
      <c r="J404" s="57"/>
      <c r="K404" s="57"/>
    </row>
    <row r="405" spans="1:11" s="1" customFormat="1">
      <c r="A405" s="3"/>
      <c r="B405" s="57"/>
      <c r="C405" s="57"/>
      <c r="D405" s="57"/>
      <c r="E405" s="57"/>
      <c r="F405" s="57"/>
      <c r="G405" s="57"/>
      <c r="H405" s="57"/>
      <c r="I405" s="57"/>
      <c r="J405" s="57"/>
      <c r="K405" s="57"/>
    </row>
    <row r="406" spans="1:11" s="1" customFormat="1">
      <c r="A406" s="3"/>
      <c r="B406" s="57"/>
      <c r="C406" s="57"/>
      <c r="D406" s="57"/>
      <c r="E406" s="57"/>
      <c r="F406" s="57"/>
      <c r="G406" s="57"/>
      <c r="H406" s="57"/>
      <c r="I406" s="57"/>
      <c r="J406" s="57"/>
      <c r="K406" s="57"/>
    </row>
    <row r="407" spans="1:11" s="1" customFormat="1">
      <c r="A407" s="3"/>
      <c r="B407" s="57"/>
      <c r="C407" s="57"/>
      <c r="D407" s="57"/>
      <c r="E407" s="57"/>
      <c r="F407" s="57"/>
      <c r="G407" s="57"/>
      <c r="H407" s="57"/>
      <c r="I407" s="57"/>
      <c r="J407" s="57"/>
      <c r="K407" s="57"/>
    </row>
    <row r="408" spans="1:11" s="1" customFormat="1">
      <c r="A408" s="3"/>
      <c r="B408" s="57"/>
      <c r="C408" s="57"/>
      <c r="D408" s="57"/>
      <c r="E408" s="57"/>
      <c r="F408" s="57"/>
      <c r="G408" s="57"/>
      <c r="H408" s="57"/>
      <c r="I408" s="57"/>
      <c r="J408" s="57"/>
      <c r="K408" s="57"/>
    </row>
    <row r="409" spans="1:11" s="1" customFormat="1">
      <c r="A409" s="3"/>
      <c r="B409" s="57"/>
      <c r="C409" s="57"/>
      <c r="D409" s="57"/>
      <c r="E409" s="57"/>
      <c r="F409" s="57"/>
      <c r="G409" s="57"/>
      <c r="H409" s="57"/>
      <c r="I409" s="57"/>
      <c r="J409" s="57"/>
      <c r="K409" s="57"/>
    </row>
  </sheetData>
  <mergeCells count="7">
    <mergeCell ref="AA1:AE1"/>
    <mergeCell ref="A1:A2"/>
    <mergeCell ref="G1:K1"/>
    <mergeCell ref="B1:F1"/>
    <mergeCell ref="L1:P1"/>
    <mergeCell ref="V1:Z1"/>
    <mergeCell ref="Q1:U1"/>
  </mergeCells>
  <pageMargins left="0.511811024" right="0.511811024" top="0.78740157499999996" bottom="0.78740157499999996" header="0.31496062000000002" footer="0.31496062000000002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</sheetPr>
  <dimension ref="A1:AH57"/>
  <sheetViews>
    <sheetView zoomScale="80" zoomScaleNormal="80" zoomScalePageLayoutView="80" workbookViewId="0">
      <pane xSplit="1" topLeftCell="B1" activePane="topRight" state="frozen"/>
      <selection pane="topRight" activeCell="J28" sqref="J28"/>
    </sheetView>
  </sheetViews>
  <sheetFormatPr defaultColWidth="8.85546875" defaultRowHeight="15"/>
  <cols>
    <col min="1" max="1" width="23.7109375" style="408" bestFit="1" customWidth="1"/>
    <col min="2" max="2" width="12.7109375" bestFit="1" customWidth="1"/>
    <col min="3" max="5" width="12.7109375" customWidth="1"/>
    <col min="6" max="6" width="15.28515625" bestFit="1" customWidth="1"/>
    <col min="7" max="7" width="17.28515625" bestFit="1" customWidth="1"/>
    <col min="8" max="10" width="17.28515625" customWidth="1"/>
    <col min="11" max="13" width="22.28515625" bestFit="1" customWidth="1"/>
    <col min="14" max="14" width="18.42578125" customWidth="1"/>
    <col min="15" max="15" width="19.140625" customWidth="1"/>
    <col min="16" max="16" width="19" customWidth="1"/>
    <col min="17" max="18" width="12.7109375" bestFit="1" customWidth="1"/>
    <col min="19" max="19" width="16.7109375" customWidth="1"/>
    <col min="20" max="20" width="17.7109375" customWidth="1"/>
    <col min="21" max="21" width="18.85546875" style="1" customWidth="1"/>
    <col min="22" max="23" width="17.85546875" style="1" customWidth="1"/>
    <col min="24" max="26" width="8.85546875" style="1"/>
    <col min="27" max="27" width="11.140625" style="1" bestFit="1" customWidth="1"/>
    <col min="28" max="34" width="8.85546875" style="1"/>
  </cols>
  <sheetData>
    <row r="1" spans="1:27" ht="15.75" thickBot="1">
      <c r="A1" s="1111" t="s">
        <v>195</v>
      </c>
      <c r="B1" s="1112"/>
      <c r="C1" s="1112"/>
      <c r="D1" s="1112"/>
      <c r="E1" s="1112"/>
      <c r="F1" s="1112"/>
      <c r="G1" s="1112"/>
      <c r="H1" s="1112"/>
      <c r="I1" s="845">
        <v>2009</v>
      </c>
      <c r="J1" s="844">
        <v>2010</v>
      </c>
      <c r="K1" s="844">
        <v>2011</v>
      </c>
      <c r="L1" s="844">
        <v>2012</v>
      </c>
      <c r="M1" s="849">
        <v>2013</v>
      </c>
      <c r="N1" s="1"/>
      <c r="O1" s="1115" t="s">
        <v>196</v>
      </c>
      <c r="P1" s="843">
        <v>2009</v>
      </c>
      <c r="Q1" s="844">
        <v>2010</v>
      </c>
      <c r="R1" s="844">
        <v>2011</v>
      </c>
      <c r="S1" s="845">
        <v>2012</v>
      </c>
      <c r="T1" s="844">
        <v>2013</v>
      </c>
    </row>
    <row r="2" spans="1:27" ht="15.75" thickBot="1">
      <c r="A2" s="1113"/>
      <c r="B2" s="1114"/>
      <c r="C2" s="1114"/>
      <c r="D2" s="1114"/>
      <c r="E2" s="1114"/>
      <c r="F2" s="1114"/>
      <c r="G2" s="1114"/>
      <c r="H2" s="1114"/>
      <c r="I2" s="846">
        <f>IF((1165000000-P2)&lt;0,0,(1165000000-P2))</f>
        <v>304044792.45283008</v>
      </c>
      <c r="J2" s="847">
        <f>IF((1170000000-Q2)&lt;0,0,(1170000000-Q2))</f>
        <v>326322924.52830184</v>
      </c>
      <c r="K2" s="847">
        <f>IF((1181000000-R2)&lt;0,0,(1181000000-R2))</f>
        <v>337322924.52830184</v>
      </c>
      <c r="L2" s="847">
        <f>IF((1212000000-S2)&lt;0,0,(1212000000-S2))</f>
        <v>368322924.52830184</v>
      </c>
      <c r="M2" s="956" t="e">
        <f>J28-T2</f>
        <v>#REF!</v>
      </c>
      <c r="N2" s="1"/>
      <c r="O2" s="1116"/>
      <c r="P2" s="846">
        <f>SUM(F7,F8,F9,F11,F13,F14,F16,F17,F20,F22,F27)</f>
        <v>860955207.54716992</v>
      </c>
      <c r="Q2" s="847">
        <f>SUM(G7,G8,G9,G11,G13,G14,G16,G17,G20,G22,G27)</f>
        <v>843677075.47169816</v>
      </c>
      <c r="R2" s="847">
        <f>SUM(H7,H8,H9,H11,H13,H14,H16,H17,H20,H22,H27)</f>
        <v>843677075.47169816</v>
      </c>
      <c r="S2" s="847">
        <f>SUM(I7,I8,I9,I11,I13,I14,I16,I17,I20,I22,I27)</f>
        <v>843677075.47169816</v>
      </c>
      <c r="T2" s="848" t="e">
        <f>SUM(J7,J8,J9,J11,J13,J14,J16,J17,J20,J22,J27)</f>
        <v>#REF!</v>
      </c>
    </row>
    <row r="3" spans="1:27" ht="15.75">
      <c r="A3" s="397"/>
      <c r="B3" s="397"/>
      <c r="C3" s="397"/>
      <c r="D3" s="397"/>
      <c r="E3" s="397"/>
      <c r="F3" s="397"/>
      <c r="G3" s="397"/>
      <c r="H3" s="397"/>
      <c r="I3" s="232"/>
      <c r="J3" s="232"/>
      <c r="K3" s="232"/>
      <c r="L3" s="232"/>
      <c r="M3" s="232"/>
      <c r="N3" s="232"/>
      <c r="O3" s="396"/>
      <c r="P3" s="396"/>
      <c r="Q3" s="396"/>
      <c r="R3" s="396"/>
      <c r="S3" s="396"/>
      <c r="T3" s="1"/>
    </row>
    <row r="4" spans="1:27" ht="15.75" thickBot="1">
      <c r="A4" s="399"/>
      <c r="B4" s="1"/>
      <c r="C4" s="1"/>
      <c r="D4" s="1"/>
      <c r="E4" s="1"/>
      <c r="F4" s="2"/>
      <c r="G4" s="400"/>
      <c r="H4" s="400"/>
      <c r="I4" s="400"/>
      <c r="J4" s="400"/>
      <c r="K4" s="400"/>
      <c r="L4" s="400"/>
      <c r="M4" s="1"/>
      <c r="N4" s="1"/>
      <c r="O4" s="401"/>
      <c r="P4" s="401"/>
      <c r="Q4" s="401"/>
      <c r="R4" s="401"/>
      <c r="S4" s="401"/>
      <c r="T4" s="1"/>
    </row>
    <row r="5" spans="1:27" ht="15.75" thickBot="1">
      <c r="A5" s="399"/>
      <c r="B5" s="1"/>
      <c r="C5" s="1117" t="s">
        <v>197</v>
      </c>
      <c r="D5" s="1123" t="s">
        <v>198</v>
      </c>
      <c r="E5" s="1123" t="s">
        <v>199</v>
      </c>
      <c r="F5" s="1119" t="s">
        <v>200</v>
      </c>
      <c r="G5" s="1120"/>
      <c r="H5" s="1120"/>
      <c r="I5" s="1120"/>
      <c r="J5" s="1121"/>
      <c r="K5" s="1119" t="s">
        <v>201</v>
      </c>
      <c r="L5" s="1120"/>
      <c r="M5" s="1120"/>
      <c r="N5" s="1120"/>
      <c r="O5" s="1121"/>
      <c r="P5" s="1119" t="s">
        <v>201</v>
      </c>
      <c r="Q5" s="1120"/>
      <c r="R5" s="1120"/>
      <c r="S5" s="1120"/>
      <c r="T5" s="1120"/>
      <c r="U5" s="1117" t="s">
        <v>197</v>
      </c>
      <c r="V5" s="790"/>
      <c r="W5" s="790"/>
      <c r="X5" s="790"/>
      <c r="Y5" s="790"/>
    </row>
    <row r="6" spans="1:27" ht="15.75" thickBot="1">
      <c r="A6" s="399"/>
      <c r="B6" s="1"/>
      <c r="C6" s="1118"/>
      <c r="D6" s="1124"/>
      <c r="E6" s="1124"/>
      <c r="F6" s="835">
        <v>2009</v>
      </c>
      <c r="G6" s="836">
        <v>2010</v>
      </c>
      <c r="H6" s="836">
        <v>2011</v>
      </c>
      <c r="I6" s="836">
        <v>2012</v>
      </c>
      <c r="J6" s="840">
        <v>2013</v>
      </c>
      <c r="K6" s="476">
        <v>2009</v>
      </c>
      <c r="L6" s="398">
        <v>2010</v>
      </c>
      <c r="M6" s="398">
        <v>2011</v>
      </c>
      <c r="N6" s="398">
        <v>2012</v>
      </c>
      <c r="O6" s="785">
        <v>2013</v>
      </c>
      <c r="P6" s="476">
        <v>2009</v>
      </c>
      <c r="Q6" s="398">
        <v>2010</v>
      </c>
      <c r="R6" s="398">
        <v>2011</v>
      </c>
      <c r="S6" s="398">
        <v>2012</v>
      </c>
      <c r="T6" s="785">
        <v>2013</v>
      </c>
      <c r="U6" s="1122"/>
      <c r="V6" s="232"/>
      <c r="W6" s="232"/>
      <c r="X6" s="232"/>
      <c r="Y6" s="232"/>
    </row>
    <row r="7" spans="1:27" ht="15.75" thickBot="1">
      <c r="A7" s="402"/>
      <c r="B7" s="1"/>
      <c r="C7" s="831" t="s">
        <v>202</v>
      </c>
      <c r="D7" s="403" t="s">
        <v>203</v>
      </c>
      <c r="E7" s="855" t="s">
        <v>203</v>
      </c>
      <c r="F7" s="851">
        <v>187000000</v>
      </c>
      <c r="G7" s="837">
        <v>173000000</v>
      </c>
      <c r="H7" s="841">
        <v>173000000</v>
      </c>
      <c r="I7" s="933">
        <f t="shared" ref="I7:I8" si="0">H7</f>
        <v>173000000</v>
      </c>
      <c r="J7" s="842" t="e">
        <f>#REF!+#REF!+#REF!+#REF!+#REF!+#REF!</f>
        <v>#REF!</v>
      </c>
      <c r="K7" s="839">
        <f>COMB!L26</f>
        <v>10399446274.061701</v>
      </c>
      <c r="L7" s="404">
        <f>COMB!M26</f>
        <v>11437950802.6544</v>
      </c>
      <c r="M7" s="404">
        <f>COMB!N26</f>
        <v>11902171721.179626</v>
      </c>
      <c r="N7" s="404">
        <f>COMB!O26</f>
        <v>12539134791.91983</v>
      </c>
      <c r="O7" s="404">
        <f>COMB!P26</f>
        <v>13026849963</v>
      </c>
      <c r="P7" s="787">
        <f>(K7-F7)/K7</f>
        <v>0.98201827337034131</v>
      </c>
      <c r="Q7" s="787">
        <f t="shared" ref="Q7:T7" si="1">(L7-G7)/L7</f>
        <v>0.98487491308671726</v>
      </c>
      <c r="R7" s="787">
        <f t="shared" si="1"/>
        <v>0.9854648375059023</v>
      </c>
      <c r="S7" s="787">
        <f t="shared" si="1"/>
        <v>0.98620319480802765</v>
      </c>
      <c r="T7" s="788" t="e">
        <f t="shared" si="1"/>
        <v>#REF!</v>
      </c>
      <c r="U7" s="403" t="s">
        <v>202</v>
      </c>
      <c r="V7" s="789"/>
      <c r="W7" s="789"/>
      <c r="X7" s="789"/>
      <c r="Y7" s="789"/>
      <c r="AA7" s="2"/>
    </row>
    <row r="8" spans="1:27" ht="15.75" thickBot="1">
      <c r="A8" s="402"/>
      <c r="B8" s="1"/>
      <c r="C8" s="808" t="s">
        <v>204</v>
      </c>
      <c r="D8" s="405" t="s">
        <v>203</v>
      </c>
      <c r="E8" s="856" t="s">
        <v>203</v>
      </c>
      <c r="F8" s="852">
        <v>129716981.13207547</v>
      </c>
      <c r="G8" s="829">
        <v>191037735.8490566</v>
      </c>
      <c r="H8" s="830">
        <v>191037735.8490566</v>
      </c>
      <c r="I8" s="933">
        <f t="shared" si="0"/>
        <v>191037735.8490566</v>
      </c>
      <c r="J8" s="804" t="e">
        <f>#REF!+#REF!+#REF!+#REF!</f>
        <v>#REF!</v>
      </c>
      <c r="K8" s="839">
        <f>COMB!L24</f>
        <v>5756419718.17904</v>
      </c>
      <c r="L8" s="404">
        <f>COMB!M24</f>
        <v>6446226668.5548096</v>
      </c>
      <c r="M8" s="404">
        <f>COMB!N24</f>
        <v>6862371865.8683691</v>
      </c>
      <c r="N8" s="404">
        <f>COMB!O24</f>
        <v>7100499594.7529154</v>
      </c>
      <c r="O8" s="404">
        <f>COMB!P24</f>
        <v>7383990985</v>
      </c>
      <c r="P8" s="787">
        <f t="shared" ref="P8:P27" si="2">(K8-F8)/K8</f>
        <v>0.97746568396977329</v>
      </c>
      <c r="Q8" s="787">
        <f t="shared" ref="Q8:Q27" si="3">(L8-G8)/L8</f>
        <v>0.97036440918515121</v>
      </c>
      <c r="R8" s="787">
        <f t="shared" ref="R8:R27" si="4">(M8-H8)/M8</f>
        <v>0.97216155877543919</v>
      </c>
      <c r="S8" s="787">
        <f t="shared" ref="S8:S27" si="5">(N8-I8)/N8</f>
        <v>0.97309516981168087</v>
      </c>
      <c r="T8" s="788" t="e">
        <f t="shared" ref="T8:T27" si="6">(O8-J8)/O8</f>
        <v>#REF!</v>
      </c>
      <c r="U8" s="405" t="s">
        <v>204</v>
      </c>
      <c r="V8" s="789"/>
      <c r="W8" s="789"/>
      <c r="X8" s="789"/>
      <c r="Y8" s="789"/>
    </row>
    <row r="9" spans="1:27" ht="15.75" thickBot="1">
      <c r="A9" s="402"/>
      <c r="B9" s="1"/>
      <c r="C9" s="808" t="s">
        <v>205</v>
      </c>
      <c r="D9" s="405" t="s">
        <v>203</v>
      </c>
      <c r="E9" s="856" t="s">
        <v>203</v>
      </c>
      <c r="F9" s="853">
        <v>7075471.6981132077</v>
      </c>
      <c r="G9" s="830">
        <v>7075471.6981132077</v>
      </c>
      <c r="H9" s="830">
        <v>7075471.6981132077</v>
      </c>
      <c r="I9" s="933">
        <f>H9</f>
        <v>7075471.6981132077</v>
      </c>
      <c r="J9" s="804" t="e">
        <f>#REF!</f>
        <v>#REF!</v>
      </c>
      <c r="K9" s="839">
        <f>COMB!L33</f>
        <v>1920657878.0854499</v>
      </c>
      <c r="L9" s="404">
        <f>COMB!M33</f>
        <v>2166832465.5378799</v>
      </c>
      <c r="M9" s="404">
        <f>COMB!N33</f>
        <v>2310828956.1970582</v>
      </c>
      <c r="N9" s="404">
        <f>COMB!O33</f>
        <v>2648372871.1433907</v>
      </c>
      <c r="O9" s="404">
        <f>COMB!P33</f>
        <v>2965275419</v>
      </c>
      <c r="P9" s="787">
        <f t="shared" si="2"/>
        <v>0.99631612075276721</v>
      </c>
      <c r="Q9" s="787">
        <f t="shared" si="3"/>
        <v>0.99673464755090924</v>
      </c>
      <c r="R9" s="787">
        <f t="shared" si="4"/>
        <v>0.99693812400994075</v>
      </c>
      <c r="S9" s="787">
        <f t="shared" si="5"/>
        <v>0.99732837027021093</v>
      </c>
      <c r="T9" s="788" t="e">
        <f t="shared" si="6"/>
        <v>#REF!</v>
      </c>
      <c r="U9" s="405" t="s">
        <v>205</v>
      </c>
      <c r="V9" s="789"/>
      <c r="W9" s="789"/>
      <c r="X9" s="789"/>
      <c r="Y9" s="789"/>
    </row>
    <row r="10" spans="1:27" ht="15.75" thickBot="1">
      <c r="A10" s="402"/>
      <c r="B10" s="2"/>
      <c r="C10" s="808" t="s">
        <v>206</v>
      </c>
      <c r="D10" s="405">
        <f>45</f>
        <v>45</v>
      </c>
      <c r="E10" s="856">
        <f t="shared" ref="E10:E26" si="7">D10/D$28</f>
        <v>6.2796539212950043E-3</v>
      </c>
      <c r="F10" s="833">
        <f>I$2*$E10</f>
        <v>1909296.0731757402</v>
      </c>
      <c r="G10" s="833">
        <f t="shared" ref="G10:I10" si="8">J$2*$E10</f>
        <v>2049195.0326226044</v>
      </c>
      <c r="H10" s="833">
        <f t="shared" si="8"/>
        <v>2118271.2257568496</v>
      </c>
      <c r="I10" s="833">
        <f t="shared" si="8"/>
        <v>2312940.4973169947</v>
      </c>
      <c r="J10" s="804" t="e">
        <f>#REF!</f>
        <v>#REF!</v>
      </c>
      <c r="K10" s="839">
        <f>COMB!L32</f>
        <v>366576795.11350203</v>
      </c>
      <c r="L10" s="404">
        <f>COMB!M32</f>
        <v>385077300.688088</v>
      </c>
      <c r="M10" s="404">
        <f>COMB!N32</f>
        <v>393135295.90257281</v>
      </c>
      <c r="N10" s="404">
        <f>COMB!O32</f>
        <v>409471614.54592955</v>
      </c>
      <c r="O10" s="404">
        <f>COMB!P32</f>
        <v>429026715</v>
      </c>
      <c r="P10" s="787">
        <f t="shared" si="2"/>
        <v>0.99479155227873994</v>
      </c>
      <c r="Q10" s="787">
        <f t="shared" si="3"/>
        <v>0.99467848395903657</v>
      </c>
      <c r="R10" s="787">
        <f t="shared" si="4"/>
        <v>0.9946118518285324</v>
      </c>
      <c r="S10" s="787">
        <f t="shared" si="5"/>
        <v>0.99435140211151907</v>
      </c>
      <c r="T10" s="788" t="e">
        <f t="shared" si="6"/>
        <v>#REF!</v>
      </c>
      <c r="U10" s="405" t="s">
        <v>206</v>
      </c>
      <c r="V10" s="789"/>
      <c r="W10" s="789"/>
      <c r="X10" s="789"/>
      <c r="Y10" s="789"/>
    </row>
    <row r="11" spans="1:27" ht="15.75" thickBot="1">
      <c r="A11" s="402"/>
      <c r="B11" s="1"/>
      <c r="C11" s="808" t="s">
        <v>207</v>
      </c>
      <c r="D11" s="405" t="s">
        <v>203</v>
      </c>
      <c r="E11" s="856" t="s">
        <v>203</v>
      </c>
      <c r="F11" s="852">
        <v>1179245.283018868</v>
      </c>
      <c r="G11" s="830">
        <v>1179245.283018868</v>
      </c>
      <c r="H11" s="830">
        <v>1179245.283018868</v>
      </c>
      <c r="I11" s="933">
        <f>H11</f>
        <v>1179245.283018868</v>
      </c>
      <c r="J11" s="804" t="e">
        <f>#REF!</f>
        <v>#REF!</v>
      </c>
      <c r="K11" s="839">
        <f>COMB!L14</f>
        <v>2464676937.9623203</v>
      </c>
      <c r="L11" s="404">
        <f>COMB!M14</f>
        <v>2729301584.6701398</v>
      </c>
      <c r="M11" s="404">
        <f>COMB!N14</f>
        <v>2904608129.8337913</v>
      </c>
      <c r="N11" s="404">
        <f>COMB!O14</f>
        <v>3165970616.9376187</v>
      </c>
      <c r="O11" s="404">
        <f>COMB!P14</f>
        <v>3348947410</v>
      </c>
      <c r="P11" s="787">
        <f t="shared" si="2"/>
        <v>0.99952154164107443</v>
      </c>
      <c r="Q11" s="787">
        <f t="shared" si="3"/>
        <v>0.99956793148487411</v>
      </c>
      <c r="R11" s="787">
        <f t="shared" si="4"/>
        <v>0.99959400881967286</v>
      </c>
      <c r="S11" s="787">
        <f t="shared" si="5"/>
        <v>0.99962752488077111</v>
      </c>
      <c r="T11" s="788" t="e">
        <f t="shared" si="6"/>
        <v>#REF!</v>
      </c>
      <c r="U11" s="405" t="s">
        <v>207</v>
      </c>
      <c r="V11" s="789"/>
      <c r="W11" s="789"/>
      <c r="X11" s="789"/>
      <c r="Y11" s="789"/>
    </row>
    <row r="12" spans="1:27" ht="15.75" thickBot="1">
      <c r="A12" s="402"/>
      <c r="B12" s="1"/>
      <c r="C12" s="808" t="s">
        <v>30</v>
      </c>
      <c r="D12" s="405">
        <f>278</f>
        <v>278</v>
      </c>
      <c r="E12" s="856">
        <f t="shared" si="7"/>
        <v>3.8794306447111362E-2</v>
      </c>
      <c r="F12" s="833">
        <f>I$2*$E12</f>
        <v>11795206.852063462</v>
      </c>
      <c r="G12" s="833">
        <f t="shared" ref="G12" si="9">J$2*$E12</f>
        <v>12659471.534868535</v>
      </c>
      <c r="H12" s="833">
        <f t="shared" ref="H12:I12" si="10">K$2*$E12</f>
        <v>13086208.90578676</v>
      </c>
      <c r="I12" s="833">
        <f t="shared" si="10"/>
        <v>14288832.405647211</v>
      </c>
      <c r="J12" s="804" t="e">
        <f>#REF!</f>
        <v>#REF!</v>
      </c>
      <c r="K12" s="839">
        <f>COMB!L21</f>
        <v>294802829.20713896</v>
      </c>
      <c r="L12" s="404">
        <f>COMB!M21</f>
        <v>326690621.68476605</v>
      </c>
      <c r="M12" s="404">
        <f>COMB!N21</f>
        <v>337299598.89417487</v>
      </c>
      <c r="N12" s="404">
        <f>COMB!O21</f>
        <v>355820377.3619566</v>
      </c>
      <c r="O12" s="404">
        <f>COMB!P21</f>
        <v>364626441</v>
      </c>
      <c r="P12" s="787">
        <f t="shared" si="2"/>
        <v>0.95998950592236088</v>
      </c>
      <c r="Q12" s="787">
        <f t="shared" si="3"/>
        <v>0.96124935735962436</v>
      </c>
      <c r="R12" s="787">
        <f t="shared" si="4"/>
        <v>0.96120301076938885</v>
      </c>
      <c r="S12" s="787">
        <f t="shared" si="5"/>
        <v>0.95984256856905081</v>
      </c>
      <c r="T12" s="788" t="e">
        <f t="shared" si="6"/>
        <v>#REF!</v>
      </c>
      <c r="U12" s="405" t="s">
        <v>30</v>
      </c>
      <c r="V12" s="789"/>
      <c r="W12" s="789"/>
      <c r="X12" s="789"/>
      <c r="Y12" s="789"/>
    </row>
    <row r="13" spans="1:27" ht="15.75" thickBot="1">
      <c r="A13" s="402"/>
      <c r="B13" s="1"/>
      <c r="C13" s="808" t="s">
        <v>208</v>
      </c>
      <c r="D13" s="405" t="s">
        <v>203</v>
      </c>
      <c r="E13" s="856" t="s">
        <v>203</v>
      </c>
      <c r="F13" s="853">
        <v>172641509.43396229</v>
      </c>
      <c r="G13" s="830">
        <v>172641509.43396229</v>
      </c>
      <c r="H13" s="829">
        <v>172641509.43396229</v>
      </c>
      <c r="I13" s="933">
        <f>H13</f>
        <v>172641509.43396229</v>
      </c>
      <c r="J13" s="804" t="e">
        <f>#REF!+#REF!</f>
        <v>#REF!</v>
      </c>
      <c r="K13" s="839">
        <f>COMB!L23</f>
        <v>895382998.05810392</v>
      </c>
      <c r="L13" s="404">
        <f>COMB!M23</f>
        <v>1002010067.31332</v>
      </c>
      <c r="M13" s="404">
        <f>COMB!N23</f>
        <v>1104281965.4887547</v>
      </c>
      <c r="N13" s="404">
        <f>COMB!O23</f>
        <v>1163872026.8935657</v>
      </c>
      <c r="O13" s="404">
        <f>COMB!P23</f>
        <v>1168038835</v>
      </c>
      <c r="P13" s="787">
        <f t="shared" si="2"/>
        <v>0.80718696936575174</v>
      </c>
      <c r="Q13" s="787">
        <f t="shared" si="3"/>
        <v>0.82770481548467445</v>
      </c>
      <c r="R13" s="787">
        <f t="shared" si="4"/>
        <v>0.84366175050449976</v>
      </c>
      <c r="S13" s="787">
        <f t="shared" si="5"/>
        <v>0.85166624384404921</v>
      </c>
      <c r="T13" s="788" t="e">
        <f t="shared" si="6"/>
        <v>#REF!</v>
      </c>
      <c r="U13" s="405" t="s">
        <v>208</v>
      </c>
      <c r="V13" s="789"/>
      <c r="W13" s="789"/>
      <c r="X13" s="789"/>
      <c r="Y13" s="789"/>
    </row>
    <row r="14" spans="1:27" ht="15.75" thickBot="1">
      <c r="A14" s="402"/>
      <c r="B14" s="1"/>
      <c r="C14" s="808" t="s">
        <v>209</v>
      </c>
      <c r="D14" s="405" t="s">
        <v>203</v>
      </c>
      <c r="E14" s="856" t="s">
        <v>203</v>
      </c>
      <c r="F14" s="852">
        <v>132193396.2264151</v>
      </c>
      <c r="G14" s="829">
        <v>135141509.43396226</v>
      </c>
      <c r="H14" s="830">
        <v>135141509.43396226</v>
      </c>
      <c r="I14" s="933">
        <f>H14</f>
        <v>135141509.43396226</v>
      </c>
      <c r="J14" s="804" t="e">
        <f>#REF!+#REF!+#REF!</f>
        <v>#REF!</v>
      </c>
      <c r="K14" s="839">
        <f>COMB!L25</f>
        <v>2482817829.28089</v>
      </c>
      <c r="L14" s="404">
        <f>COMB!M25</f>
        <v>2681353939.8454304</v>
      </c>
      <c r="M14" s="404">
        <f>COMB!N25</f>
        <v>2911125700.5160565</v>
      </c>
      <c r="N14" s="404">
        <f>COMB!O25</f>
        <v>3012725673.7822204</v>
      </c>
      <c r="O14" s="404">
        <f>COMB!P25</f>
        <v>2994174508</v>
      </c>
      <c r="P14" s="787">
        <f t="shared" si="2"/>
        <v>0.94675670737200124</v>
      </c>
      <c r="Q14" s="787">
        <f t="shared" si="3"/>
        <v>0.94959952603580833</v>
      </c>
      <c r="R14" s="787">
        <f t="shared" si="4"/>
        <v>0.9535775767394703</v>
      </c>
      <c r="S14" s="787">
        <f t="shared" si="5"/>
        <v>0.95514310824579529</v>
      </c>
      <c r="T14" s="788" t="e">
        <f t="shared" si="6"/>
        <v>#REF!</v>
      </c>
      <c r="U14" s="405" t="s">
        <v>209</v>
      </c>
      <c r="V14" s="789"/>
      <c r="W14" s="789"/>
      <c r="X14" s="789"/>
      <c r="Y14" s="789"/>
    </row>
    <row r="15" spans="1:27" ht="15.75" thickBot="1">
      <c r="A15" s="402"/>
      <c r="B15" s="1"/>
      <c r="C15" s="808" t="s">
        <v>210</v>
      </c>
      <c r="D15" s="405">
        <f>164+1201</f>
        <v>1365</v>
      </c>
      <c r="E15" s="856">
        <f t="shared" si="7"/>
        <v>0.19048283561261511</v>
      </c>
      <c r="F15" s="833">
        <f>I$2*$E15</f>
        <v>57915314.219664112</v>
      </c>
      <c r="G15" s="833">
        <f t="shared" ref="G15" si="11">J$2*$E15</f>
        <v>62158915.989552327</v>
      </c>
      <c r="H15" s="833">
        <f t="shared" ref="H15:I15" si="12">K$2*$E15</f>
        <v>64254227.181291096</v>
      </c>
      <c r="I15" s="833">
        <f t="shared" si="12"/>
        <v>70159195.085282162</v>
      </c>
      <c r="J15" s="804" t="e">
        <f>#REF!+#REF!</f>
        <v>#REF!</v>
      </c>
      <c r="K15" s="839">
        <f>COMB!L30</f>
        <v>2001632508.1803901</v>
      </c>
      <c r="L15" s="404">
        <f>COMB!M30</f>
        <v>2182927168.85111</v>
      </c>
      <c r="M15" s="404">
        <f>COMB!N30</f>
        <v>2299118545.7189746</v>
      </c>
      <c r="N15" s="404">
        <f>COMB!O30</f>
        <v>2378493458.3825169</v>
      </c>
      <c r="O15" s="404">
        <f>COMB!P30</f>
        <v>2479788067</v>
      </c>
      <c r="P15" s="787">
        <f t="shared" si="2"/>
        <v>0.97106596041832238</v>
      </c>
      <c r="Q15" s="787">
        <f t="shared" si="3"/>
        <v>0.97152497028919804</v>
      </c>
      <c r="R15" s="787">
        <f t="shared" si="4"/>
        <v>0.97205266892351661</v>
      </c>
      <c r="S15" s="787">
        <f t="shared" si="5"/>
        <v>0.9705026747759089</v>
      </c>
      <c r="T15" s="788" t="e">
        <f t="shared" si="6"/>
        <v>#REF!</v>
      </c>
      <c r="U15" s="405" t="s">
        <v>210</v>
      </c>
      <c r="V15" s="789"/>
      <c r="W15" s="789"/>
      <c r="X15" s="789"/>
      <c r="Y15" s="789"/>
    </row>
    <row r="16" spans="1:27" ht="15.75" thickBot="1">
      <c r="A16" s="402"/>
      <c r="B16" s="1"/>
      <c r="C16" s="808" t="s">
        <v>211</v>
      </c>
      <c r="D16" s="405" t="s">
        <v>203</v>
      </c>
      <c r="E16" s="856" t="s">
        <v>203</v>
      </c>
      <c r="F16" s="852">
        <v>100842000</v>
      </c>
      <c r="G16" s="829">
        <v>33295000</v>
      </c>
      <c r="H16" s="829">
        <v>33295000</v>
      </c>
      <c r="I16" s="933">
        <f>H16</f>
        <v>33295000</v>
      </c>
      <c r="J16" s="804" t="e">
        <f>#REF!</f>
        <v>#REF!</v>
      </c>
      <c r="K16" s="839">
        <f>COMB!L29</f>
        <v>2771815529.3155603</v>
      </c>
      <c r="L16" s="404">
        <f>COMB!M29</f>
        <v>3057884570.4321699</v>
      </c>
      <c r="M16" s="404">
        <f>COMB!N29</f>
        <v>3231545852.1601534</v>
      </c>
      <c r="N16" s="404">
        <f>COMB!O29</f>
        <v>3334368583.0946288</v>
      </c>
      <c r="O16" s="404">
        <f>COMB!P29</f>
        <v>3561071019</v>
      </c>
      <c r="P16" s="787">
        <f t="shared" si="2"/>
        <v>0.96361879102939407</v>
      </c>
      <c r="Q16" s="787">
        <f t="shared" si="3"/>
        <v>0.98911175381767458</v>
      </c>
      <c r="R16" s="787">
        <f t="shared" si="4"/>
        <v>0.98969688145450774</v>
      </c>
      <c r="S16" s="787">
        <f t="shared" si="5"/>
        <v>0.99001460121451268</v>
      </c>
      <c r="T16" s="788" t="e">
        <f t="shared" si="6"/>
        <v>#REF!</v>
      </c>
      <c r="U16" s="405" t="s">
        <v>211</v>
      </c>
      <c r="V16" s="789"/>
      <c r="W16" s="789"/>
      <c r="X16" s="789"/>
      <c r="Y16" s="789"/>
    </row>
    <row r="17" spans="1:25" ht="15.75" thickBot="1">
      <c r="A17" s="402"/>
      <c r="B17" s="1"/>
      <c r="C17" s="808" t="s">
        <v>212</v>
      </c>
      <c r="D17" s="405" t="s">
        <v>203</v>
      </c>
      <c r="E17" s="856" t="s">
        <v>203</v>
      </c>
      <c r="F17" s="852">
        <v>112028301.88679245</v>
      </c>
      <c r="G17" s="830">
        <v>112028301.88679245</v>
      </c>
      <c r="H17" s="830">
        <v>112028301.88679245</v>
      </c>
      <c r="I17" s="933">
        <f>H17</f>
        <v>112028301.88679245</v>
      </c>
      <c r="J17" s="804" t="e">
        <f>#REF!+#REF!</f>
        <v>#REF!</v>
      </c>
      <c r="K17" s="839">
        <f>COMB!L28</f>
        <v>3853964313.3792996</v>
      </c>
      <c r="L17" s="404">
        <f>COMB!M28</f>
        <v>4226262150.8983502</v>
      </c>
      <c r="M17" s="404">
        <f>COMB!N28</f>
        <v>4482583824.7429571</v>
      </c>
      <c r="N17" s="404">
        <f>COMB!O28</f>
        <v>4758257187.4096069</v>
      </c>
      <c r="O17" s="404">
        <f>COMB!P28</f>
        <v>5059363048</v>
      </c>
      <c r="P17" s="787">
        <f t="shared" si="2"/>
        <v>0.97093167118909773</v>
      </c>
      <c r="Q17" s="787">
        <f t="shared" si="3"/>
        <v>0.97349234432535625</v>
      </c>
      <c r="R17" s="787">
        <f t="shared" si="4"/>
        <v>0.97500809660972343</v>
      </c>
      <c r="S17" s="787">
        <f t="shared" si="5"/>
        <v>0.97645602213700844</v>
      </c>
      <c r="T17" s="788" t="e">
        <f t="shared" si="6"/>
        <v>#REF!</v>
      </c>
      <c r="U17" s="405" t="s">
        <v>212</v>
      </c>
      <c r="V17" s="789"/>
      <c r="W17" s="789"/>
      <c r="X17" s="789"/>
      <c r="Y17" s="789"/>
    </row>
    <row r="18" spans="1:25" ht="15.75" thickBot="1">
      <c r="A18" s="402"/>
      <c r="B18" s="1"/>
      <c r="C18" s="808" t="s">
        <v>213</v>
      </c>
      <c r="D18" s="405">
        <f>459+668+215</f>
        <v>1342</v>
      </c>
      <c r="E18" s="856">
        <f t="shared" si="7"/>
        <v>0.1872732347195088</v>
      </c>
      <c r="F18" s="833">
        <f>I$2*$E18</f>
        <v>56939451.782263182</v>
      </c>
      <c r="G18" s="833">
        <f t="shared" ref="G18:G19" si="13">J$2*$E18</f>
        <v>61111549.639545225</v>
      </c>
      <c r="H18" s="833">
        <f t="shared" ref="H18:I19" si="14">K$2*$E18</f>
        <v>63171555.221459821</v>
      </c>
      <c r="I18" s="833">
        <f t="shared" si="14"/>
        <v>68977025.497764587</v>
      </c>
      <c r="J18" s="804" t="e">
        <f>#REF!+#REF!+#REF!</f>
        <v>#REF!</v>
      </c>
      <c r="K18" s="839">
        <f>COMB!L16</f>
        <v>898698261.95970404</v>
      </c>
      <c r="L18" s="404">
        <f>COMB!M16</f>
        <v>992051840.99780202</v>
      </c>
      <c r="M18" s="404">
        <f>COMB!N16</f>
        <v>1073723938.3452269</v>
      </c>
      <c r="N18" s="404">
        <f>COMB!O16</f>
        <v>1203183919.1896842</v>
      </c>
      <c r="O18" s="404">
        <f>COMB!P16</f>
        <v>1214221924</v>
      </c>
      <c r="P18" s="787">
        <f t="shared" si="2"/>
        <v>0.93664230343775134</v>
      </c>
      <c r="Q18" s="787">
        <f t="shared" si="3"/>
        <v>0.93839883450235884</v>
      </c>
      <c r="R18" s="787">
        <f t="shared" si="4"/>
        <v>0.94116592453101411</v>
      </c>
      <c r="S18" s="787">
        <f t="shared" si="5"/>
        <v>0.94267125383106931</v>
      </c>
      <c r="T18" s="788" t="e">
        <f t="shared" si="6"/>
        <v>#REF!</v>
      </c>
      <c r="U18" s="405" t="s">
        <v>213</v>
      </c>
      <c r="V18" s="789"/>
      <c r="W18" s="789"/>
      <c r="X18" s="789"/>
      <c r="Y18" s="789"/>
    </row>
    <row r="19" spans="1:25" ht="15.75" thickBot="1">
      <c r="A19" s="402"/>
      <c r="B19" s="1"/>
      <c r="C19" s="808" t="s">
        <v>214</v>
      </c>
      <c r="D19" s="405">
        <f>240</f>
        <v>240</v>
      </c>
      <c r="E19" s="856">
        <f t="shared" si="7"/>
        <v>3.3491487580240023E-2</v>
      </c>
      <c r="F19" s="833">
        <f>I$2*$E19</f>
        <v>10182912.390270613</v>
      </c>
      <c r="G19" s="833">
        <f t="shared" si="13"/>
        <v>10929040.173987223</v>
      </c>
      <c r="H19" s="833">
        <f t="shared" si="14"/>
        <v>11297446.537369864</v>
      </c>
      <c r="I19" s="833">
        <f t="shared" si="14"/>
        <v>12335682.652357304</v>
      </c>
      <c r="J19" s="804" t="e">
        <f>#REF!</f>
        <v>#REF!</v>
      </c>
      <c r="K19" s="839">
        <f>COMB!L19</f>
        <v>388291904.22614598</v>
      </c>
      <c r="L19" s="404">
        <f>COMB!M19</f>
        <v>439751043.92721105</v>
      </c>
      <c r="M19" s="404">
        <f>COMB!N19</f>
        <v>443743209.06409448</v>
      </c>
      <c r="N19" s="404">
        <f>COMB!O19</f>
        <v>518735555.89228237</v>
      </c>
      <c r="O19" s="404">
        <f>COMB!P19</f>
        <v>550483151</v>
      </c>
      <c r="P19" s="787">
        <f t="shared" si="2"/>
        <v>0.97377511022135566</v>
      </c>
      <c r="Q19" s="787">
        <f t="shared" si="3"/>
        <v>0.97514721039344199</v>
      </c>
      <c r="R19" s="787">
        <f t="shared" si="4"/>
        <v>0.97454057593084642</v>
      </c>
      <c r="S19" s="787">
        <f t="shared" si="5"/>
        <v>0.9762197086507044</v>
      </c>
      <c r="T19" s="788" t="e">
        <f t="shared" si="6"/>
        <v>#REF!</v>
      </c>
      <c r="U19" s="405" t="s">
        <v>214</v>
      </c>
      <c r="V19" s="789"/>
      <c r="W19" s="789"/>
      <c r="X19" s="789"/>
      <c r="Y19" s="789"/>
    </row>
    <row r="20" spans="1:25" ht="15.75" thickBot="1">
      <c r="A20" s="402"/>
      <c r="B20" s="1"/>
      <c r="C20" s="808" t="s">
        <v>215</v>
      </c>
      <c r="D20" s="405" t="s">
        <v>203</v>
      </c>
      <c r="E20" s="856" t="s">
        <v>203</v>
      </c>
      <c r="F20" s="853">
        <v>5896226.4150943402</v>
      </c>
      <c r="G20" s="830">
        <v>5896226.4150943402</v>
      </c>
      <c r="H20" s="830">
        <v>5896226.4150943402</v>
      </c>
      <c r="I20" s="933">
        <f>H20</f>
        <v>5896226.4150943402</v>
      </c>
      <c r="J20" s="804" t="e">
        <f>#REF!</f>
        <v>#REF!</v>
      </c>
      <c r="K20" s="839">
        <f>COMB!L15</f>
        <v>741773503.20722604</v>
      </c>
      <c r="L20" s="404">
        <f>COMB!M15</f>
        <v>848217090.16580796</v>
      </c>
      <c r="M20" s="404">
        <f>COMB!N15</f>
        <v>906733974.2437768</v>
      </c>
      <c r="N20" s="404">
        <f>COMB!O15</f>
        <v>1028555971.272519</v>
      </c>
      <c r="O20" s="404">
        <f>COMB!P15</f>
        <v>1117640399</v>
      </c>
      <c r="P20" s="787">
        <f t="shared" si="2"/>
        <v>0.99205117682203436</v>
      </c>
      <c r="Q20" s="787">
        <f t="shared" si="3"/>
        <v>0.99304868236745647</v>
      </c>
      <c r="R20" s="787">
        <f t="shared" si="4"/>
        <v>0.99349729183798163</v>
      </c>
      <c r="S20" s="787">
        <f t="shared" si="5"/>
        <v>0.99426747150395756</v>
      </c>
      <c r="T20" s="788" t="e">
        <f t="shared" si="6"/>
        <v>#REF!</v>
      </c>
      <c r="U20" s="405" t="s">
        <v>215</v>
      </c>
      <c r="V20" s="789"/>
      <c r="W20" s="789"/>
      <c r="X20" s="789"/>
      <c r="Y20" s="789"/>
    </row>
    <row r="21" spans="1:25" ht="15.75" thickBot="1">
      <c r="A21" s="402"/>
      <c r="B21" s="1"/>
      <c r="C21" s="808" t="s">
        <v>216</v>
      </c>
      <c r="D21" s="405">
        <f>364+56</f>
        <v>420</v>
      </c>
      <c r="E21" s="856">
        <f t="shared" si="7"/>
        <v>5.8610103265420037E-2</v>
      </c>
      <c r="F21" s="833">
        <f>I$2*$E21</f>
        <v>17820096.682973575</v>
      </c>
      <c r="G21" s="833">
        <f t="shared" ref="G21" si="15">J$2*$E21</f>
        <v>19125820.304477639</v>
      </c>
      <c r="H21" s="833">
        <f>K$2*$E21</f>
        <v>19770531.440397259</v>
      </c>
      <c r="I21" s="833">
        <f>L$2*$E21</f>
        <v>21587444.641625281</v>
      </c>
      <c r="J21" s="804" t="e">
        <f>#REF!+#REF!</f>
        <v>#REF!</v>
      </c>
      <c r="K21" s="839">
        <f>COMB!L20</f>
        <v>387883273.30064899</v>
      </c>
      <c r="L21" s="404">
        <f>COMB!M20</f>
        <v>409139172.97051495</v>
      </c>
      <c r="M21" s="404">
        <f>COMB!N20</f>
        <v>437260888.74418187</v>
      </c>
      <c r="N21" s="404">
        <f>COMB!O20</f>
        <v>518410512.9771046</v>
      </c>
      <c r="O21" s="404">
        <f>COMB!P20</f>
        <v>562592719</v>
      </c>
      <c r="P21" s="787">
        <f t="shared" si="2"/>
        <v>0.95405809451040402</v>
      </c>
      <c r="Q21" s="787">
        <f t="shared" si="3"/>
        <v>0.95325350988609459</v>
      </c>
      <c r="R21" s="787">
        <f t="shared" si="4"/>
        <v>0.95478550231835635</v>
      </c>
      <c r="S21" s="787">
        <f t="shared" si="5"/>
        <v>0.95835839725229743</v>
      </c>
      <c r="T21" s="788" t="e">
        <f t="shared" si="6"/>
        <v>#REF!</v>
      </c>
      <c r="U21" s="405" t="s">
        <v>216</v>
      </c>
      <c r="V21" s="789"/>
      <c r="W21" s="789"/>
      <c r="X21" s="789"/>
      <c r="Y21" s="789"/>
    </row>
    <row r="22" spans="1:25" ht="15.75" thickBot="1">
      <c r="A22" s="402"/>
      <c r="B22" s="1"/>
      <c r="C22" s="808" t="s">
        <v>217</v>
      </c>
      <c r="D22" s="405" t="s">
        <v>203</v>
      </c>
      <c r="E22" s="856" t="s">
        <v>203</v>
      </c>
      <c r="F22" s="853">
        <v>0</v>
      </c>
      <c r="G22" s="830">
        <v>0</v>
      </c>
      <c r="H22" s="830">
        <v>0</v>
      </c>
      <c r="I22" s="933">
        <f>H2</f>
        <v>0</v>
      </c>
      <c r="J22" s="804" t="e">
        <f>#REF!+#REF!</f>
        <v>#REF!</v>
      </c>
      <c r="K22" s="839">
        <f>COMB!L13</f>
        <v>326913634.06193101</v>
      </c>
      <c r="L22" s="404">
        <f>COMB!M13</f>
        <v>361465915.74773097</v>
      </c>
      <c r="M22" s="404">
        <f>COMB!N13</f>
        <v>399342423.04230601</v>
      </c>
      <c r="N22" s="404">
        <f>COMB!O13</f>
        <v>405035609.2052654</v>
      </c>
      <c r="O22" s="404">
        <f>COMB!P13</f>
        <v>401547381</v>
      </c>
      <c r="P22" s="787">
        <f t="shared" si="2"/>
        <v>1</v>
      </c>
      <c r="Q22" s="787">
        <f t="shared" si="3"/>
        <v>1</v>
      </c>
      <c r="R22" s="787">
        <f t="shared" si="4"/>
        <v>1</v>
      </c>
      <c r="S22" s="787">
        <f t="shared" si="5"/>
        <v>1</v>
      </c>
      <c r="T22" s="788" t="e">
        <f t="shared" si="6"/>
        <v>#REF!</v>
      </c>
      <c r="U22" s="405" t="s">
        <v>217</v>
      </c>
      <c r="V22" s="789"/>
      <c r="W22" s="789"/>
      <c r="X22" s="789"/>
      <c r="Y22" s="789"/>
    </row>
    <row r="23" spans="1:25" ht="15.75" thickBot="1">
      <c r="A23" s="402"/>
      <c r="B23" s="1"/>
      <c r="C23" s="808" t="s">
        <v>218</v>
      </c>
      <c r="D23" s="405">
        <f>660+30</f>
        <v>690</v>
      </c>
      <c r="E23" s="856">
        <f t="shared" si="7"/>
        <v>9.6288026793190068E-2</v>
      </c>
      <c r="F23" s="833">
        <f>I$2*$E23</f>
        <v>29275873.122028016</v>
      </c>
      <c r="G23" s="833">
        <f t="shared" ref="G23:G26" si="16">J$2*$E23</f>
        <v>31420990.500213269</v>
      </c>
      <c r="H23" s="833">
        <f t="shared" ref="H23:I26" si="17">K$2*$E23</f>
        <v>32480158.794938359</v>
      </c>
      <c r="I23" s="833">
        <f t="shared" si="17"/>
        <v>35465087.625527248</v>
      </c>
      <c r="J23" s="804" t="e">
        <f>#REF!+#REF!</f>
        <v>#REF!</v>
      </c>
      <c r="K23" s="839">
        <f>COMB!L17</f>
        <v>368256888.75391996</v>
      </c>
      <c r="L23" s="404">
        <f>COMB!M17</f>
        <v>403687145.51737797</v>
      </c>
      <c r="M23" s="404">
        <f>COMB!N17</f>
        <v>429021568.87595439</v>
      </c>
      <c r="N23" s="404">
        <f>COMB!O17</f>
        <v>467435777.73624778</v>
      </c>
      <c r="O23" s="404">
        <f>COMB!P17</f>
        <v>482949689</v>
      </c>
      <c r="P23" s="787">
        <f t="shared" si="2"/>
        <v>0.92050149225696909</v>
      </c>
      <c r="Q23" s="787">
        <f t="shared" si="3"/>
        <v>0.92216499621274006</v>
      </c>
      <c r="R23" s="787">
        <f t="shared" si="4"/>
        <v>0.92429248049221135</v>
      </c>
      <c r="S23" s="787">
        <f t="shared" si="5"/>
        <v>0.92412842723062039</v>
      </c>
      <c r="T23" s="788" t="e">
        <f t="shared" si="6"/>
        <v>#REF!</v>
      </c>
      <c r="U23" s="405" t="s">
        <v>218</v>
      </c>
      <c r="V23" s="789"/>
      <c r="W23" s="789"/>
      <c r="X23" s="789"/>
      <c r="Y23" s="789"/>
    </row>
    <row r="24" spans="1:25" ht="15.75" thickBot="1">
      <c r="A24" s="402"/>
      <c r="B24" s="1"/>
      <c r="C24" s="808" t="s">
        <v>219</v>
      </c>
      <c r="D24" s="405">
        <f>926+32</f>
        <v>958</v>
      </c>
      <c r="E24" s="856">
        <f t="shared" si="7"/>
        <v>0.13368685459112475</v>
      </c>
      <c r="F24" s="833">
        <f>I$2*$E24</f>
        <v>40646791.957830198</v>
      </c>
      <c r="G24" s="833">
        <f t="shared" si="16"/>
        <v>43625085.361165665</v>
      </c>
      <c r="H24" s="833">
        <f t="shared" si="17"/>
        <v>45095640.761668034</v>
      </c>
      <c r="I24" s="833">
        <f t="shared" si="17"/>
        <v>49239933.253992908</v>
      </c>
      <c r="J24" s="804" t="e">
        <f>#REF!+#REF!</f>
        <v>#REF!</v>
      </c>
      <c r="K24" s="839">
        <f>COMB!L18</f>
        <v>1056328996.7124599</v>
      </c>
      <c r="L24" s="404">
        <f>COMB!M18</f>
        <v>1209430715.85289</v>
      </c>
      <c r="M24" s="404">
        <f>COMB!N18</f>
        <v>1298884251.3705549</v>
      </c>
      <c r="N24" s="404">
        <f>COMB!O18</f>
        <v>1470516816.8470907</v>
      </c>
      <c r="O24" s="404">
        <f>COMB!P18</f>
        <v>1549418213</v>
      </c>
      <c r="P24" s="787">
        <f t="shared" si="2"/>
        <v>0.96152070795714928</v>
      </c>
      <c r="Q24" s="787">
        <f t="shared" si="3"/>
        <v>0.96392923977426737</v>
      </c>
      <c r="R24" s="787">
        <f t="shared" si="4"/>
        <v>0.96528124756760736</v>
      </c>
      <c r="S24" s="787">
        <f t="shared" si="5"/>
        <v>0.96651521921417582</v>
      </c>
      <c r="T24" s="788" t="e">
        <f t="shared" si="6"/>
        <v>#REF!</v>
      </c>
      <c r="U24" s="405" t="s">
        <v>219</v>
      </c>
      <c r="V24" s="789"/>
      <c r="W24" s="789"/>
      <c r="X24" s="789"/>
      <c r="Y24" s="789"/>
    </row>
    <row r="25" spans="1:25" ht="15.75" thickBot="1">
      <c r="A25" s="402"/>
      <c r="B25" s="1"/>
      <c r="C25" s="808" t="s">
        <v>220</v>
      </c>
      <c r="D25" s="405">
        <f>224</f>
        <v>224</v>
      </c>
      <c r="E25" s="856">
        <f>D25/D$28</f>
        <v>3.1258721741557353E-2</v>
      </c>
      <c r="F25" s="833">
        <f>I$2*$E25</f>
        <v>9504051.5642525721</v>
      </c>
      <c r="G25" s="833">
        <f t="shared" si="16"/>
        <v>10200437.495721407</v>
      </c>
      <c r="H25" s="833">
        <f t="shared" si="17"/>
        <v>10544283.434878539</v>
      </c>
      <c r="I25" s="833">
        <f t="shared" si="17"/>
        <v>11513303.808866818</v>
      </c>
      <c r="J25" s="804" t="e">
        <f>#REF!+#REF!+#REF!</f>
        <v>#REF!</v>
      </c>
      <c r="K25" s="839">
        <f>COMB!L8</f>
        <v>1439084122.0966301</v>
      </c>
      <c r="L25" s="404">
        <f>COMB!M8</f>
        <v>1635380538.47435</v>
      </c>
      <c r="M25" s="404">
        <f>COMB!N8</f>
        <v>1809858661.1225023</v>
      </c>
      <c r="N25" s="404">
        <f>COMB!O8</f>
        <v>2018739443.3812749</v>
      </c>
      <c r="O25" s="404">
        <f>COMB!P8</f>
        <v>2134609322</v>
      </c>
      <c r="P25" s="787">
        <f t="shared" si="2"/>
        <v>0.99339576372338401</v>
      </c>
      <c r="Q25" s="787">
        <f t="shared" si="3"/>
        <v>0.99376265202150604</v>
      </c>
      <c r="R25" s="787">
        <f t="shared" si="4"/>
        <v>0.99417397410008868</v>
      </c>
      <c r="S25" s="787">
        <f t="shared" si="5"/>
        <v>0.99429678562698387</v>
      </c>
      <c r="T25" s="788" t="e">
        <f t="shared" si="6"/>
        <v>#REF!</v>
      </c>
      <c r="U25" s="405" t="s">
        <v>220</v>
      </c>
      <c r="V25" s="789"/>
      <c r="W25" s="789"/>
      <c r="X25" s="789"/>
      <c r="Y25" s="789"/>
    </row>
    <row r="26" spans="1:25" ht="15.75" thickBot="1">
      <c r="A26" s="402"/>
      <c r="B26" s="1"/>
      <c r="C26" s="808" t="s">
        <v>221</v>
      </c>
      <c r="D26" s="405">
        <f>1208+396</f>
        <v>1604</v>
      </c>
      <c r="E26" s="856">
        <f t="shared" si="7"/>
        <v>0.2238347753279375</v>
      </c>
      <c r="F26" s="833">
        <f>I$2*$E26</f>
        <v>68055797.808308601</v>
      </c>
      <c r="G26" s="833">
        <f t="shared" si="16"/>
        <v>73042418.496147946</v>
      </c>
      <c r="H26" s="833">
        <f t="shared" si="17"/>
        <v>75504601.024755254</v>
      </c>
      <c r="I26" s="833">
        <f t="shared" si="17"/>
        <v>82443479.059921324</v>
      </c>
      <c r="J26" s="804" t="e">
        <f>#REF!+#REF!</f>
        <v>#REF!</v>
      </c>
      <c r="K26" s="839">
        <f>COMB!L35</f>
        <v>976702157.49143004</v>
      </c>
      <c r="L26" s="404">
        <f>COMB!M35</f>
        <v>1069981686.76639</v>
      </c>
      <c r="M26" s="404">
        <f>COMB!N35</f>
        <v>1156702988.5617392</v>
      </c>
      <c r="N26" s="404">
        <f>COMB!O35</f>
        <v>1244973288.0450234</v>
      </c>
      <c r="O26" s="404">
        <f>COMB!P35</f>
        <v>1355561808</v>
      </c>
      <c r="P26" s="787">
        <f t="shared" si="2"/>
        <v>0.93032082781192615</v>
      </c>
      <c r="Q26" s="787">
        <f t="shared" si="3"/>
        <v>0.93173488911114855</v>
      </c>
      <c r="R26" s="787">
        <f t="shared" si="4"/>
        <v>0.93472429675431312</v>
      </c>
      <c r="S26" s="787">
        <f t="shared" si="5"/>
        <v>0.9337789173056219</v>
      </c>
      <c r="T26" s="788" t="e">
        <f t="shared" si="6"/>
        <v>#REF!</v>
      </c>
      <c r="U26" s="406" t="s">
        <v>221</v>
      </c>
      <c r="V26" s="789"/>
      <c r="W26" s="789"/>
      <c r="X26" s="789"/>
      <c r="Y26" s="789"/>
    </row>
    <row r="27" spans="1:25" ht="15.75" thickBot="1">
      <c r="A27" s="402"/>
      <c r="B27" s="1"/>
      <c r="C27" s="832" t="s">
        <v>222</v>
      </c>
      <c r="D27" s="406" t="s">
        <v>203</v>
      </c>
      <c r="E27" s="857" t="s">
        <v>203</v>
      </c>
      <c r="F27" s="854">
        <v>12382075.471698113</v>
      </c>
      <c r="G27" s="838">
        <v>12382075.471698113</v>
      </c>
      <c r="H27" s="838">
        <v>12382075.471698113</v>
      </c>
      <c r="I27" s="934">
        <f>H27</f>
        <v>12382075.471698113</v>
      </c>
      <c r="J27" s="786" t="e">
        <f>#REF!</f>
        <v>#REF!</v>
      </c>
      <c r="K27" s="839">
        <f>COMB!L34</f>
        <v>1870468529.3029001</v>
      </c>
      <c r="L27" s="404">
        <f>COMB!M34</f>
        <v>2001637199.0394001</v>
      </c>
      <c r="M27" s="404">
        <f>COMB!N34</f>
        <v>2137732532.5958486</v>
      </c>
      <c r="N27" s="404">
        <f>COMB!O34</f>
        <v>2485880779.2211285</v>
      </c>
      <c r="O27" s="404">
        <f>COMB!P34</f>
        <v>2704023994</v>
      </c>
      <c r="P27" s="787">
        <f t="shared" si="2"/>
        <v>0.99338022785322522</v>
      </c>
      <c r="Q27" s="787">
        <f t="shared" si="3"/>
        <v>0.99381402609941483</v>
      </c>
      <c r="R27" s="787">
        <f t="shared" si="4"/>
        <v>0.99420784626565861</v>
      </c>
      <c r="S27" s="787">
        <f t="shared" si="5"/>
        <v>0.99501903889551058</v>
      </c>
      <c r="T27" s="788" t="e">
        <f t="shared" si="6"/>
        <v>#REF!</v>
      </c>
      <c r="U27" s="407" t="s">
        <v>222</v>
      </c>
      <c r="V27" s="789"/>
      <c r="W27" s="789"/>
      <c r="X27" s="789"/>
      <c r="Y27" s="789"/>
    </row>
    <row r="28" spans="1:25" ht="15.75" thickBot="1">
      <c r="A28" s="399"/>
      <c r="B28" s="1"/>
      <c r="C28" s="1"/>
      <c r="D28" s="850">
        <f>SUM(D7:D27)</f>
        <v>7166</v>
      </c>
      <c r="E28" s="858">
        <f>SUM(E7:E27)</f>
        <v>0.99999999999999989</v>
      </c>
      <c r="F28" s="834">
        <f>SUM(F7:F27)</f>
        <v>1165000000</v>
      </c>
      <c r="G28" s="834">
        <f t="shared" ref="G28:J28" si="18">SUM(G7:G27)</f>
        <v>1170000000</v>
      </c>
      <c r="H28" s="834">
        <f>SUM(H7:H27)</f>
        <v>1180999999.9999998</v>
      </c>
      <c r="I28" s="834">
        <f t="shared" si="18"/>
        <v>1211999999.9999998</v>
      </c>
      <c r="J28" s="834">
        <v>1202000000</v>
      </c>
      <c r="K28" s="401"/>
      <c r="L28" s="401"/>
      <c r="M28" s="1"/>
      <c r="N28" s="1"/>
      <c r="O28" s="1"/>
      <c r="P28" s="1"/>
      <c r="Q28" s="1"/>
      <c r="R28" s="1"/>
      <c r="S28" s="1"/>
      <c r="T28" s="1"/>
    </row>
    <row r="29" spans="1:25">
      <c r="A29" s="399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5">
      <c r="A30" s="399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5">
      <c r="A31" s="399"/>
      <c r="B31" s="1"/>
      <c r="C31" s="2"/>
      <c r="D31" s="2"/>
      <c r="E31" s="2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5">
      <c r="A32" s="399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>
      <c r="A33" s="399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>
      <c r="A34" s="399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>
      <c r="A35" s="399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>
      <c r="A36" s="399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>
      <c r="A37" s="399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>
      <c r="A38" s="399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>
      <c r="A39" s="399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>
      <c r="A40" s="399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>
      <c r="A41" s="399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>
      <c r="A42" s="399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>
      <c r="A43" s="399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>
      <c r="A44" s="399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>
      <c r="A45" s="399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>
      <c r="A46" s="399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>
      <c r="A47" s="399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>
      <c r="A48" s="399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>
      <c r="A49" s="399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>
      <c r="A50" s="399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>
      <c r="A51" s="399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>
      <c r="A52" s="399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>
      <c r="A53" s="399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>
      <c r="A54" s="399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>
      <c r="A55" s="399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>
      <c r="A56" s="399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>
      <c r="A57" s="399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</sheetData>
  <mergeCells count="9">
    <mergeCell ref="A1:H2"/>
    <mergeCell ref="O1:O2"/>
    <mergeCell ref="C5:C6"/>
    <mergeCell ref="K5:O5"/>
    <mergeCell ref="U5:U6"/>
    <mergeCell ref="F5:J5"/>
    <mergeCell ref="P5:T5"/>
    <mergeCell ref="D5:D6"/>
    <mergeCell ref="E5:E6"/>
  </mergeCells>
  <pageMargins left="0.511811024" right="0.511811024" top="0.78740157499999996" bottom="0.78740157499999996" header="0.31496062000000002" footer="0.31496062000000002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CA410"/>
  <sheetViews>
    <sheetView workbookViewId="0">
      <pane xSplit="1" topLeftCell="R1" activePane="topRight" state="frozen"/>
      <selection pane="topRight" activeCell="U6" sqref="U6"/>
    </sheetView>
  </sheetViews>
  <sheetFormatPr defaultColWidth="8.85546875" defaultRowHeight="15"/>
  <cols>
    <col min="1" max="1" width="23.7109375" style="68" bestFit="1" customWidth="1"/>
    <col min="2" max="5" width="13.85546875" style="59" bestFit="1" customWidth="1"/>
    <col min="6" max="6" width="13.85546875" style="57" customWidth="1"/>
    <col min="7" max="11" width="12.7109375" style="57" customWidth="1"/>
    <col min="12" max="12" width="15.140625" customWidth="1"/>
    <col min="13" max="13" width="15.85546875" customWidth="1"/>
    <col min="14" max="14" width="15.5703125" customWidth="1"/>
    <col min="15" max="15" width="15.7109375" customWidth="1"/>
    <col min="16" max="16" width="14.140625" style="1" bestFit="1" customWidth="1"/>
    <col min="17" max="21" width="13.85546875" style="1" customWidth="1"/>
    <col min="22" max="22" width="13.85546875" style="1" bestFit="1" customWidth="1"/>
    <col min="23" max="26" width="13" style="1" bestFit="1" customWidth="1"/>
    <col min="27" max="29" width="10.85546875" style="1" bestFit="1" customWidth="1"/>
    <col min="30" max="31" width="8.85546875" style="1"/>
    <col min="32" max="32" width="11.42578125" style="1" bestFit="1" customWidth="1"/>
    <col min="33" max="33" width="13" style="1" bestFit="1" customWidth="1"/>
    <col min="34" max="34" width="12.7109375" style="1" bestFit="1" customWidth="1"/>
    <col min="35" max="36" width="13" style="1" bestFit="1" customWidth="1"/>
    <col min="37" max="39" width="10.85546875" style="1" bestFit="1" customWidth="1"/>
    <col min="40" max="41" width="8.85546875" style="1"/>
    <col min="42" max="42" width="13.28515625" style="1" bestFit="1" customWidth="1"/>
    <col min="43" max="43" width="10.42578125" style="1" bestFit="1" customWidth="1"/>
    <col min="44" max="44" width="10.140625" style="1" bestFit="1" customWidth="1"/>
    <col min="45" max="45" width="10.42578125" style="1" bestFit="1" customWidth="1"/>
    <col min="46" max="46" width="9.42578125" style="1" bestFit="1" customWidth="1"/>
    <col min="47" max="49" width="11.140625" style="1" bestFit="1" customWidth="1"/>
    <col min="50" max="51" width="8.85546875" style="1"/>
    <col min="52" max="52" width="11.140625" style="1" bestFit="1" customWidth="1"/>
    <col min="53" max="53" width="10.140625" style="1" bestFit="1" customWidth="1"/>
    <col min="54" max="56" width="9.42578125" style="1" bestFit="1" customWidth="1"/>
    <col min="57" max="59" width="10.85546875" style="1" bestFit="1" customWidth="1"/>
    <col min="60" max="61" width="8.85546875" style="1"/>
    <col min="62" max="63" width="11.42578125" style="1" bestFit="1" customWidth="1"/>
    <col min="64" max="66" width="13" style="1" bestFit="1" customWidth="1"/>
    <col min="67" max="69" width="12.7109375" style="1" bestFit="1" customWidth="1"/>
    <col min="70" max="79" width="8.85546875" style="1"/>
  </cols>
  <sheetData>
    <row r="1" spans="1:71">
      <c r="A1" s="1109" t="s">
        <v>223</v>
      </c>
      <c r="B1" s="1100" t="s">
        <v>191</v>
      </c>
      <c r="C1" s="1101"/>
      <c r="D1" s="1101"/>
      <c r="E1" s="1101"/>
      <c r="F1" s="1102"/>
      <c r="G1" s="1103" t="s">
        <v>192</v>
      </c>
      <c r="H1" s="1101"/>
      <c r="I1" s="1101"/>
      <c r="J1" s="1101"/>
      <c r="K1" s="1102"/>
      <c r="L1" s="1125" t="s">
        <v>224</v>
      </c>
      <c r="M1" s="1126"/>
      <c r="N1" s="1126"/>
      <c r="O1" s="1126"/>
      <c r="P1" s="1127"/>
      <c r="Q1" s="1125" t="s">
        <v>224</v>
      </c>
      <c r="R1" s="1126"/>
      <c r="S1" s="1126"/>
      <c r="T1" s="1126"/>
      <c r="U1" s="1127"/>
      <c r="V1" s="1125" t="s">
        <v>225</v>
      </c>
      <c r="W1" s="1126"/>
      <c r="X1" s="1126"/>
      <c r="Y1" s="1126"/>
      <c r="Z1" s="1127"/>
      <c r="AA1" s="1125" t="s">
        <v>225</v>
      </c>
      <c r="AB1" s="1126"/>
      <c r="AC1" s="1126"/>
      <c r="AD1" s="1126"/>
      <c r="AE1" s="1127"/>
      <c r="AF1" s="1125" t="s">
        <v>226</v>
      </c>
      <c r="AG1" s="1126"/>
      <c r="AH1" s="1126"/>
      <c r="AI1" s="1126"/>
      <c r="AJ1" s="1127"/>
      <c r="AK1" s="1125" t="s">
        <v>226</v>
      </c>
      <c r="AL1" s="1126"/>
      <c r="AM1" s="1126"/>
      <c r="AN1" s="1126"/>
      <c r="AO1" s="1127"/>
      <c r="AP1" s="1125" t="s">
        <v>227</v>
      </c>
      <c r="AQ1" s="1126"/>
      <c r="AR1" s="1126"/>
      <c r="AS1" s="1126"/>
      <c r="AT1" s="1127"/>
      <c r="AU1" s="813"/>
      <c r="AV1" s="813"/>
      <c r="AW1" s="813"/>
      <c r="AX1" s="813"/>
      <c r="AY1" s="813"/>
      <c r="AZ1" s="1125" t="s">
        <v>228</v>
      </c>
      <c r="BA1" s="1126"/>
      <c r="BB1" s="1126"/>
      <c r="BC1" s="1126"/>
      <c r="BD1" s="1127"/>
      <c r="BE1" s="813"/>
      <c r="BF1" s="813"/>
      <c r="BG1" s="813"/>
      <c r="BH1" s="813"/>
      <c r="BI1" s="813"/>
      <c r="BJ1" s="1125" t="s">
        <v>229</v>
      </c>
      <c r="BK1" s="1126"/>
      <c r="BL1" s="1126"/>
      <c r="BM1" s="1126"/>
      <c r="BN1" s="1127"/>
      <c r="BO1" s="1125" t="s">
        <v>229</v>
      </c>
      <c r="BP1" s="1126"/>
      <c r="BQ1" s="1126"/>
      <c r="BR1" s="1126"/>
      <c r="BS1" s="1127"/>
    </row>
    <row r="2" spans="1:71" ht="15.75" thickBot="1">
      <c r="A2" s="1110"/>
      <c r="B2" s="334">
        <v>2009</v>
      </c>
      <c r="C2" s="334">
        <v>2010</v>
      </c>
      <c r="D2" s="334">
        <v>2011</v>
      </c>
      <c r="E2" s="334">
        <v>2012</v>
      </c>
      <c r="F2" s="334">
        <v>2013</v>
      </c>
      <c r="G2" s="334">
        <v>2009</v>
      </c>
      <c r="H2" s="334">
        <v>2010</v>
      </c>
      <c r="I2" s="334">
        <v>2011</v>
      </c>
      <c r="J2" s="334">
        <v>2012</v>
      </c>
      <c r="K2" s="334">
        <v>2013</v>
      </c>
      <c r="L2" s="334">
        <v>2009</v>
      </c>
      <c r="M2" s="334">
        <v>2010</v>
      </c>
      <c r="N2" s="334">
        <v>2011</v>
      </c>
      <c r="O2" s="334">
        <v>2012</v>
      </c>
      <c r="P2" s="334">
        <v>2013</v>
      </c>
      <c r="Q2" s="869">
        <v>2009</v>
      </c>
      <c r="R2" s="869">
        <v>2010</v>
      </c>
      <c r="S2" s="869">
        <v>2011</v>
      </c>
      <c r="T2" s="334">
        <v>2012</v>
      </c>
      <c r="U2" s="334">
        <v>2013</v>
      </c>
      <c r="V2" s="334">
        <v>2009</v>
      </c>
      <c r="W2" s="334">
        <v>2010</v>
      </c>
      <c r="X2" s="334">
        <v>2011</v>
      </c>
      <c r="Y2" s="334">
        <v>2012</v>
      </c>
      <c r="Z2" s="334">
        <v>2013</v>
      </c>
      <c r="AA2" s="334">
        <v>2009</v>
      </c>
      <c r="AB2" s="334">
        <v>2010</v>
      </c>
      <c r="AC2" s="334">
        <v>2011</v>
      </c>
      <c r="AD2" s="334">
        <v>2012</v>
      </c>
      <c r="AE2" s="334">
        <v>2013</v>
      </c>
      <c r="AF2" s="334">
        <v>2009</v>
      </c>
      <c r="AG2" s="334">
        <v>2010</v>
      </c>
      <c r="AH2" s="334">
        <v>2011</v>
      </c>
      <c r="AI2" s="334">
        <v>2012</v>
      </c>
      <c r="AJ2" s="334">
        <v>2013</v>
      </c>
      <c r="AK2" s="334">
        <v>2009</v>
      </c>
      <c r="AL2" s="334">
        <v>2010</v>
      </c>
      <c r="AM2" s="334">
        <v>2011</v>
      </c>
      <c r="AN2" s="334">
        <v>2012</v>
      </c>
      <c r="AO2" s="334">
        <v>2013</v>
      </c>
      <c r="AP2" s="334">
        <v>2009</v>
      </c>
      <c r="AQ2" s="334">
        <v>2010</v>
      </c>
      <c r="AR2" s="334">
        <v>2011</v>
      </c>
      <c r="AS2" s="334">
        <v>2012</v>
      </c>
      <c r="AT2" s="334">
        <v>2013</v>
      </c>
      <c r="AU2" s="334"/>
      <c r="AV2" s="334"/>
      <c r="AW2" s="334"/>
      <c r="AX2" s="334"/>
      <c r="AY2" s="334"/>
      <c r="AZ2" s="334">
        <v>2009</v>
      </c>
      <c r="BA2" s="334">
        <v>2010</v>
      </c>
      <c r="BB2" s="334">
        <v>2011</v>
      </c>
      <c r="BC2" s="334">
        <v>2012</v>
      </c>
      <c r="BD2" s="334">
        <v>2013</v>
      </c>
      <c r="BE2" s="334"/>
      <c r="BF2" s="334"/>
      <c r="BG2" s="334"/>
      <c r="BH2" s="334"/>
      <c r="BI2" s="334"/>
      <c r="BJ2" s="334">
        <v>2009</v>
      </c>
      <c r="BK2" s="334">
        <v>2010</v>
      </c>
      <c r="BL2" s="334">
        <v>2011</v>
      </c>
      <c r="BM2" s="334">
        <v>2012</v>
      </c>
      <c r="BN2" s="334">
        <v>2013</v>
      </c>
      <c r="BO2" s="334">
        <v>2009</v>
      </c>
      <c r="BP2" s="334">
        <v>2010</v>
      </c>
      <c r="BQ2" s="334">
        <v>2011</v>
      </c>
      <c r="BR2" s="334">
        <v>2012</v>
      </c>
      <c r="BS2" s="334">
        <v>2013</v>
      </c>
    </row>
    <row r="3" spans="1:71" ht="15.75" thickBot="1">
      <c r="A3" s="344" t="s">
        <v>86</v>
      </c>
      <c r="B3" s="328">
        <f>COMB!L3</f>
        <v>44298462788.000015</v>
      </c>
      <c r="C3" s="328">
        <f>COMB!M3</f>
        <v>49239039243.000061</v>
      </c>
      <c r="D3" s="328">
        <f>COMB!N3</f>
        <v>52263911583</v>
      </c>
      <c r="E3" s="328">
        <f>COMB!O3</f>
        <v>55900363671</v>
      </c>
      <c r="F3" s="328">
        <f>COMB!P3</f>
        <v>58572495084</v>
      </c>
      <c r="G3" s="341">
        <f>SUM(G5:G35)</f>
        <v>1</v>
      </c>
      <c r="H3" s="341">
        <f t="shared" ref="H3:J3" si="0">SUM(H5:H35)</f>
        <v>0.99999999999999978</v>
      </c>
      <c r="I3" s="341">
        <f t="shared" si="0"/>
        <v>0.99999999999999989</v>
      </c>
      <c r="J3" s="341">
        <f t="shared" si="0"/>
        <v>0.99999999999999989</v>
      </c>
      <c r="K3" s="341">
        <f t="shared" ref="K3" si="1">SUM(K5:K11,K16:K21,K30,K32,K35)</f>
        <v>0.25338808090239967</v>
      </c>
      <c r="L3" s="342">
        <f>B38*1000000</f>
        <v>45947000000</v>
      </c>
      <c r="M3" s="342">
        <f>C38*1000000</f>
        <v>51399000000</v>
      </c>
      <c r="N3" s="342">
        <f>D38*1000000</f>
        <v>53817000000</v>
      </c>
      <c r="O3" s="342">
        <f>E38*1000000</f>
        <v>57598000000</v>
      </c>
      <c r="P3" s="490">
        <f>F38*1000000</f>
        <v>60668000000</v>
      </c>
      <c r="Q3" s="870">
        <f>SUM(Q5:Q11,Q13:Q21,Q23:Q26,Q28:Q30,Q32:Q35)</f>
        <v>0</v>
      </c>
      <c r="R3" s="870">
        <f t="shared" ref="R3:T3" si="2">SUM(R5:R11,R13:R21,R23:R26,R28:R30,R32:R35)</f>
        <v>0</v>
      </c>
      <c r="S3" s="870">
        <f t="shared" si="2"/>
        <v>0</v>
      </c>
      <c r="T3" s="870">
        <f t="shared" si="2"/>
        <v>0</v>
      </c>
      <c r="U3" s="342"/>
      <c r="V3" s="342">
        <f>B39*1000000</f>
        <v>2006000000</v>
      </c>
      <c r="W3" s="342">
        <f t="shared" ref="W3:Y3" si="3">C39*1000000</f>
        <v>2552000000</v>
      </c>
      <c r="X3" s="342">
        <f t="shared" si="3"/>
        <v>2460000000</v>
      </c>
      <c r="Y3" s="342">
        <f>E39*1000000</f>
        <v>3128000000</v>
      </c>
      <c r="Z3" s="997">
        <f>F39*1000000</f>
        <v>3125000000</v>
      </c>
      <c r="AA3" s="342">
        <f>SUM(AA5:AA11,AA13:AA21,AA23:AA26,AA28:AA30,AA32:AA35)</f>
        <v>0</v>
      </c>
      <c r="AB3" s="342">
        <f t="shared" ref="AB3:AC3" si="4">SUM(AB5:AB11,AB13:AB21,AB23:AB26,AB28:AB30,AB32:AB35)</f>
        <v>0</v>
      </c>
      <c r="AC3" s="342">
        <f t="shared" si="4"/>
        <v>0</v>
      </c>
      <c r="AD3" s="342"/>
      <c r="AE3" s="342"/>
      <c r="AF3" s="342">
        <f>B40*1000000</f>
        <v>196000000</v>
      </c>
      <c r="AG3" s="342">
        <f t="shared" ref="AG3:AI3" si="5">C40*1000000</f>
        <v>1071000000</v>
      </c>
      <c r="AH3" s="342">
        <f t="shared" si="5"/>
        <v>1115000000</v>
      </c>
      <c r="AI3" s="342">
        <f>E40*1000000</f>
        <v>1402000000</v>
      </c>
      <c r="AJ3" s="490">
        <f>F40*1000000</f>
        <v>1541000000</v>
      </c>
      <c r="AK3" s="342">
        <f>SUM(AK5:AK11,AK13:AK21,AK23:AK26,AK28:AK30,AK32:AK35)</f>
        <v>0</v>
      </c>
      <c r="AL3" s="342">
        <f t="shared" ref="AL3:AM3" si="6">SUM(AL5:AL11,AL13:AL21,AL23:AL26,AL28:AL30,AL32:AL35)</f>
        <v>0</v>
      </c>
      <c r="AM3" s="342">
        <f t="shared" si="6"/>
        <v>0</v>
      </c>
      <c r="AN3" s="342"/>
      <c r="AO3" s="342"/>
      <c r="AP3" s="342">
        <f>B41*1000000</f>
        <v>67000000</v>
      </c>
      <c r="AQ3" s="342">
        <f t="shared" ref="AQ3:AS3" si="7">C41*1000000</f>
        <v>42000000</v>
      </c>
      <c r="AR3" s="342">
        <f t="shared" si="7"/>
        <v>10000000</v>
      </c>
      <c r="AS3" s="342">
        <f>E41*1000000</f>
        <v>11000000</v>
      </c>
      <c r="AT3" s="490">
        <f>F41*1000000</f>
        <v>7000000</v>
      </c>
      <c r="AU3" s="342">
        <f>SUM(AU5:AU11,AU13:AU21,AU23:AU26,AU28:AU30,AU32:AU35)</f>
        <v>0</v>
      </c>
      <c r="AV3" s="342">
        <f t="shared" ref="AV3:AW3" si="8">SUM(AV5:AV11,AV13:AV21,AV23:AV26,AV28:AV30,AV32:AV35)</f>
        <v>0</v>
      </c>
      <c r="AW3" s="342">
        <f t="shared" si="8"/>
        <v>0</v>
      </c>
      <c r="AX3" s="342"/>
      <c r="AY3" s="342"/>
      <c r="AZ3" s="342">
        <f>B42*1000000</f>
        <v>114000000</v>
      </c>
      <c r="BA3" s="342">
        <f t="shared" ref="BA3:BC3" si="9">C42*1000000</f>
        <v>14000000</v>
      </c>
      <c r="BB3" s="342">
        <f t="shared" si="9"/>
        <v>5000000</v>
      </c>
      <c r="BC3" s="342">
        <f>E42*1000000</f>
        <v>9000000</v>
      </c>
      <c r="BD3" s="490">
        <f>F42*1000000</f>
        <v>6000000</v>
      </c>
      <c r="BE3" s="342">
        <f>SUM(BE5:BE11,BE13:BE21,BE23:BE26,BE28:BE30,BE32:BE35)</f>
        <v>0</v>
      </c>
      <c r="BF3" s="342">
        <f t="shared" ref="BF3:BG3" si="10">SUM(BF5:BF11,BF13:BF21,BF23:BF26,BF28:BF30,BF32:BF35)</f>
        <v>0</v>
      </c>
      <c r="BG3" s="342">
        <f t="shared" si="10"/>
        <v>0</v>
      </c>
      <c r="BH3" s="342"/>
      <c r="BI3" s="342"/>
      <c r="BJ3" s="342">
        <f>B43*1000000</f>
        <v>834000000</v>
      </c>
      <c r="BK3" s="342">
        <f t="shared" ref="BK3:BM3" si="11">C43*1000000</f>
        <v>855000000</v>
      </c>
      <c r="BL3" s="342">
        <f t="shared" si="11"/>
        <v>1180000000</v>
      </c>
      <c r="BM3" s="342">
        <f>E43*1000000</f>
        <v>1247000000</v>
      </c>
      <c r="BN3" s="490">
        <f>F43*1000000</f>
        <v>1361000000</v>
      </c>
      <c r="BO3" s="342">
        <f>SUM(BO5:BO11,BO13:BO21,BO23:BO26,BO28:BO30,BO32:BO35)</f>
        <v>0</v>
      </c>
      <c r="BP3" s="342">
        <f t="shared" ref="BP3:BQ3" si="12">SUM(BP5:BP11,BP13:BP21,BP23:BP26,BP28:BP30,BP32:BP35)</f>
        <v>0</v>
      </c>
      <c r="BQ3" s="342">
        <f t="shared" si="12"/>
        <v>0</v>
      </c>
      <c r="BR3" s="482"/>
      <c r="BS3" s="482"/>
    </row>
    <row r="4" spans="1:71">
      <c r="A4" s="335"/>
      <c r="B4" s="74">
        <f>COMB!L4</f>
        <v>4074952028.1602564</v>
      </c>
      <c r="C4" s="66">
        <f>COMB!M4</f>
        <v>4861160090.8844681</v>
      </c>
      <c r="D4" s="66">
        <f>COMB!N4</f>
        <v>5241694351.6538277</v>
      </c>
      <c r="E4" s="66">
        <f>COMB!O4</f>
        <v>5690648644.389473</v>
      </c>
      <c r="F4" s="66">
        <f>COMB!P4</f>
        <v>5852903396</v>
      </c>
      <c r="G4" s="329"/>
      <c r="H4" s="329"/>
      <c r="I4" s="329"/>
      <c r="J4" s="329"/>
      <c r="K4" s="329"/>
      <c r="L4" s="330"/>
      <c r="M4" s="330"/>
      <c r="N4" s="330"/>
      <c r="O4" s="479"/>
      <c r="P4" s="479"/>
      <c r="Q4" s="814"/>
      <c r="R4" s="814"/>
      <c r="S4" s="814"/>
      <c r="T4" s="479"/>
      <c r="U4" s="479"/>
      <c r="V4" s="330"/>
      <c r="W4" s="330"/>
      <c r="X4" s="330"/>
      <c r="Y4" s="330"/>
      <c r="Z4" s="479"/>
      <c r="AA4" s="814"/>
      <c r="AB4" s="814"/>
      <c r="AC4" s="814"/>
      <c r="AD4" s="479"/>
      <c r="AE4" s="479"/>
      <c r="AF4" s="330"/>
      <c r="AG4" s="330"/>
      <c r="AH4" s="330"/>
      <c r="AI4" s="330"/>
      <c r="AJ4" s="479"/>
      <c r="AK4" s="814"/>
      <c r="AL4" s="814"/>
      <c r="AM4" s="814"/>
      <c r="AN4" s="479"/>
      <c r="AO4" s="479"/>
      <c r="AP4" s="330"/>
      <c r="AQ4" s="330"/>
      <c r="AR4" s="330"/>
      <c r="AS4" s="330"/>
      <c r="AT4" s="479"/>
      <c r="AU4" s="814"/>
      <c r="AV4" s="814"/>
      <c r="AW4" s="814"/>
      <c r="AX4" s="479"/>
      <c r="AY4" s="479"/>
      <c r="AZ4" s="330"/>
      <c r="BA4" s="330"/>
      <c r="BB4" s="330"/>
      <c r="BC4" s="330"/>
      <c r="BD4" s="479"/>
      <c r="BE4" s="814"/>
      <c r="BF4" s="814"/>
      <c r="BG4" s="814"/>
      <c r="BH4" s="479"/>
      <c r="BI4" s="479"/>
      <c r="BJ4" s="330"/>
      <c r="BK4" s="330"/>
      <c r="BL4" s="330"/>
      <c r="BM4" s="330"/>
      <c r="BN4" s="479"/>
      <c r="BO4" s="814"/>
      <c r="BP4" s="814"/>
      <c r="BQ4" s="814"/>
      <c r="BR4" s="479"/>
      <c r="BS4" s="479"/>
    </row>
    <row r="5" spans="1:71">
      <c r="A5" s="336" t="s">
        <v>163</v>
      </c>
      <c r="B5" s="75">
        <f>COMB!L5</f>
        <v>126871822.380357</v>
      </c>
      <c r="C5" s="59">
        <f>COMB!M5</f>
        <v>152199167.19908801</v>
      </c>
      <c r="D5" s="59">
        <f>COMB!N5</f>
        <v>157630985.84996045</v>
      </c>
      <c r="E5" s="59">
        <f>COMB!O5</f>
        <v>214874337.15499499</v>
      </c>
      <c r="F5" s="59">
        <f>COMB!P5</f>
        <v>157363623</v>
      </c>
      <c r="G5" s="872">
        <f>B5/B$3</f>
        <v>2.8640231374964377E-3</v>
      </c>
      <c r="H5" s="872">
        <f t="shared" ref="H5:J5" si="13">C5/C$3</f>
        <v>3.0910263388359066E-3</v>
      </c>
      <c r="I5" s="872">
        <f t="shared" si="13"/>
        <v>3.0160579465933705E-3</v>
      </c>
      <c r="J5" s="872">
        <f t="shared" si="13"/>
        <v>3.8438808452057986E-3</v>
      </c>
      <c r="K5" s="326">
        <f t="shared" ref="K5:K35" si="14">F5/F$3</f>
        <v>2.6866470819506944E-3</v>
      </c>
      <c r="L5" s="327">
        <f t="shared" ref="L5:L11" si="15">(G5*(L$3-Q$3))/B5</f>
        <v>1.0372143209548697</v>
      </c>
      <c r="M5" s="327">
        <f t="shared" ref="M5:O11" si="16">(H5*(M$3-R$3))/C5</f>
        <v>1.0438668339229833</v>
      </c>
      <c r="N5" s="327">
        <f t="shared" si="16"/>
        <v>1.0297162682615815</v>
      </c>
      <c r="O5" s="327">
        <f>(J5*(O$3-T$3))/E5</f>
        <v>1.0303689675257104</v>
      </c>
      <c r="P5" s="327">
        <f>(K5*(P$3-U$3))/F5</f>
        <v>1.0357762617589499</v>
      </c>
      <c r="Q5" s="814"/>
      <c r="R5" s="814"/>
      <c r="S5" s="814"/>
      <c r="T5" s="327"/>
      <c r="U5" s="871">
        <f>IF(V5=V6,1,2)</f>
        <v>1</v>
      </c>
      <c r="V5" s="327">
        <f>1-G5*(V$3-AA$3)/B5</f>
        <v>0.95471626160934409</v>
      </c>
      <c r="W5" s="327">
        <f t="shared" ref="W5:Y11" si="17">1-H5*(W$3-AB$3)/C5</f>
        <v>0.94817120644036934</v>
      </c>
      <c r="X5" s="327">
        <f t="shared" si="17"/>
        <v>0.95293119237557855</v>
      </c>
      <c r="Y5" s="327">
        <f>1-J5*(Y$3-AD$3)/E5</f>
        <v>0.9440432978502652</v>
      </c>
      <c r="Z5" s="327">
        <f>1-K5*(Z$3-AE$3)/F5</f>
        <v>0.94664731294922</v>
      </c>
      <c r="AA5" s="814"/>
      <c r="AB5" s="814"/>
      <c r="AC5" s="814"/>
      <c r="AD5" s="327"/>
      <c r="AE5" s="871"/>
      <c r="AF5" s="327">
        <f>IF((AF$3-AL$3)&lt;0,1,(1-G5*(AF$3-AK$3)/B5))</f>
        <v>0.99557546723600765</v>
      </c>
      <c r="AG5" s="327">
        <f t="shared" ref="AG5:AI11" si="18">IF((AG$3-AM$3)&lt;0,1,(1-H5*(AG$3-AL$3)/C5))</f>
        <v>0.97824896633919889</v>
      </c>
      <c r="AH5" s="327">
        <f t="shared" si="18"/>
        <v>0.97866596727592281</v>
      </c>
      <c r="AI5" s="327">
        <f>IF((AI$3-AO$3)&lt;0,1,(1-J5*(AI$3-AN$3)/E5))</f>
        <v>0.97491966227176208</v>
      </c>
      <c r="AJ5" s="327">
        <f>IF((AJ$3-AP$3)&lt;0,1,(1-K5*(AJ$3-AO$3)/F5))</f>
        <v>0.97369072296151937</v>
      </c>
      <c r="AK5" s="814"/>
      <c r="AL5" s="814"/>
      <c r="AM5" s="814"/>
      <c r="AN5" s="327"/>
      <c r="AO5" s="327"/>
      <c r="AP5" s="327">
        <f>IF((AP$3-AU$3)&lt;0,1,(1-G5*(AP$3-AU$3)/B5))</f>
        <v>0.99848753216741082</v>
      </c>
      <c r="AQ5" s="327">
        <f t="shared" ref="AQ5:AS5" si="19">IF((AQ$3-AV$3)&lt;0,1,(1-H5*(AQ$3-AV$3)/C5))</f>
        <v>0.99914701828781172</v>
      </c>
      <c r="AR5" s="327">
        <f t="shared" si="19"/>
        <v>0.99980866338364061</v>
      </c>
      <c r="AS5" s="327">
        <f>IF((AS$3-AX$3)&lt;0,1,(1-J5*(AS$3-AX$3)/E5))</f>
        <v>0.99980322131596955</v>
      </c>
      <c r="AT5" s="327">
        <f>IF((AT$3-AY$3)&lt;0,1,(1-K5*(AT$3-AY$3)/F5))</f>
        <v>0.9998804899810062</v>
      </c>
      <c r="AU5" s="814"/>
      <c r="AV5" s="814"/>
      <c r="AW5" s="814"/>
      <c r="AX5" s="327"/>
      <c r="AY5" s="327"/>
      <c r="AZ5" s="327">
        <f>IF((AZ$3-BE$3)&lt;0,1,(1-G5*(AZ$3-BE$3)/B5))</f>
        <v>0.99742654726992286</v>
      </c>
      <c r="BA5" s="327">
        <f t="shared" ref="BA5:BC5" si="20">IF((BA$3-BF$3)&lt;0,1,(1-H5*(BA$3-BF$3)/C5))</f>
        <v>0.99971567276260387</v>
      </c>
      <c r="BB5" s="327">
        <f t="shared" si="20"/>
        <v>0.99990433169182025</v>
      </c>
      <c r="BC5" s="327">
        <f>IF((BC$3-BH$3)&lt;0,1,(1-J5*(BC$3-BH$3)/E5))</f>
        <v>0.9998389992585206</v>
      </c>
      <c r="BD5" s="327">
        <f>IF((BD$3-BI$3)&lt;0,1,(1-K5*(BD$3-BI$3)/F5))</f>
        <v>0.99989756284086251</v>
      </c>
      <c r="BE5" s="814"/>
      <c r="BF5" s="814"/>
      <c r="BG5" s="814"/>
      <c r="BH5" s="327"/>
      <c r="BI5" s="327"/>
      <c r="BJ5" s="327">
        <f>IF((AZ$3-BE$3)&lt;0,1,(1-G5*(BJ$3-BO$3)/B5))</f>
        <v>0.98117316160627766</v>
      </c>
      <c r="BK5" s="327">
        <f t="shared" ref="BK5:BM11" si="21">IF((BA$3-BF$3)&lt;0,1,(1-H5*(BK$3-BP$3)/C5))</f>
        <v>0.98263572943045296</v>
      </c>
      <c r="BL5" s="327">
        <f t="shared" si="21"/>
        <v>0.97742227926958647</v>
      </c>
      <c r="BM5" s="327">
        <f>IF((BC$3-BH$3)&lt;0,1,(1-J5*(BM$3-BR$3)/E5))</f>
        <v>0.97769245281946315</v>
      </c>
      <c r="BN5" s="327">
        <f>IF((BD$3-BI$3)&lt;0,1,(1-K5*(BN$3-BS$3)/F5))</f>
        <v>0.97676383773564435</v>
      </c>
      <c r="BO5" s="814"/>
      <c r="BP5" s="814"/>
      <c r="BQ5" s="814"/>
      <c r="BR5" s="327"/>
      <c r="BS5" s="327"/>
    </row>
    <row r="6" spans="1:71">
      <c r="A6" s="336" t="s">
        <v>164</v>
      </c>
      <c r="B6" s="75">
        <f>COMB!L6</f>
        <v>292541422.35833901</v>
      </c>
      <c r="C6" s="59">
        <f>COMB!M6</f>
        <v>316445755.31050599</v>
      </c>
      <c r="D6" s="59">
        <f>COMB!N6</f>
        <v>371337995.86517429</v>
      </c>
      <c r="E6" s="59">
        <f>COMB!O6</f>
        <v>472281723.83051479</v>
      </c>
      <c r="F6" s="59">
        <f>COMB!P6</f>
        <v>483124121</v>
      </c>
      <c r="G6" s="872">
        <f t="shared" ref="G6:G11" si="22">B6/B$3</f>
        <v>6.6038730002519501E-3</v>
      </c>
      <c r="H6" s="872">
        <f t="shared" ref="H6:H11" si="23">C6/C$3</f>
        <v>6.4267248137968623E-3</v>
      </c>
      <c r="I6" s="872">
        <f t="shared" ref="I6:I11" si="24">D6/D$3</f>
        <v>7.1050555654537011E-3</v>
      </c>
      <c r="J6" s="872">
        <f t="shared" ref="J6:J11" si="25">E6/E$3</f>
        <v>8.4486341915432864E-3</v>
      </c>
      <c r="K6" s="326">
        <f t="shared" si="14"/>
        <v>8.2483104110067686E-3</v>
      </c>
      <c r="L6" s="327">
        <f t="shared" si="15"/>
        <v>1.0372143209548699</v>
      </c>
      <c r="M6" s="327">
        <f t="shared" si="16"/>
        <v>1.0438668339229833</v>
      </c>
      <c r="N6" s="327">
        <f t="shared" si="16"/>
        <v>1.0297162682615815</v>
      </c>
      <c r="O6" s="327">
        <f t="shared" si="16"/>
        <v>1.0303689675257104</v>
      </c>
      <c r="P6" s="327">
        <f t="shared" ref="P6:P35" si="26">(K6*(P$3-U$3))/F6</f>
        <v>1.0357762617589499</v>
      </c>
      <c r="Q6" s="814"/>
      <c r="R6" s="814"/>
      <c r="S6" s="814"/>
      <c r="T6" s="327"/>
      <c r="U6" s="327"/>
      <c r="V6" s="327">
        <f t="shared" ref="V6:V11" si="27">1-G6*(V$3-AA$3)/B6</f>
        <v>0.95471626160934409</v>
      </c>
      <c r="W6" s="327">
        <f t="shared" si="17"/>
        <v>0.94817120644036945</v>
      </c>
      <c r="X6" s="327">
        <f t="shared" si="17"/>
        <v>0.95293119237557855</v>
      </c>
      <c r="Y6" s="327">
        <f t="shared" si="17"/>
        <v>0.94404329785026531</v>
      </c>
      <c r="Z6" s="327">
        <f t="shared" ref="Z6:Z35" si="28">1-K6*(Z$3-AE$3)/F6</f>
        <v>0.94664731294922</v>
      </c>
      <c r="AA6" s="814"/>
      <c r="AB6" s="814"/>
      <c r="AC6" s="814"/>
      <c r="AD6" s="327"/>
      <c r="AE6" s="871"/>
      <c r="AF6" s="327">
        <f t="shared" ref="AF6:AF11" si="29">IF((AF$3-AL$3)&lt;0,1,(1-G6*(AF$3-AK$3)/B6))</f>
        <v>0.99557546723600765</v>
      </c>
      <c r="AG6" s="327">
        <f t="shared" si="18"/>
        <v>0.97824896633919889</v>
      </c>
      <c r="AH6" s="327">
        <f t="shared" si="18"/>
        <v>0.97866596727592281</v>
      </c>
      <c r="AI6" s="327">
        <f t="shared" si="18"/>
        <v>0.97491966227176208</v>
      </c>
      <c r="AJ6" s="327">
        <f t="shared" ref="AJ6:AJ35" si="30">IF((AJ$3-AP$3)&lt;0,1,(1-K6*(AJ$3-AO$3)/F6))</f>
        <v>0.97369072296151937</v>
      </c>
      <c r="AK6" s="814"/>
      <c r="AL6" s="814"/>
      <c r="AM6" s="814"/>
      <c r="AN6" s="327"/>
      <c r="AO6" s="327"/>
      <c r="AP6" s="327">
        <f t="shared" ref="AP6:AP11" si="31">IF((AP$3-AU$3)&lt;0,1,(1-G6*(AP$3-AU$3)/B6))</f>
        <v>0.99848753216741082</v>
      </c>
      <c r="AQ6" s="327">
        <f t="shared" ref="AQ6:AQ11" si="32">IF((AQ$3-AV$3)&lt;0,1,(1-H6*(AQ$3-AV$3)/C6))</f>
        <v>0.99914701828781172</v>
      </c>
      <c r="AR6" s="327">
        <f t="shared" ref="AR6:AS11" si="33">IF((AR$3-AW$3)&lt;0,1,(1-I6*(AR$3-AW$3)/D6))</f>
        <v>0.99980866338364061</v>
      </c>
      <c r="AS6" s="327">
        <f t="shared" si="33"/>
        <v>0.99980322131596955</v>
      </c>
      <c r="AT6" s="327">
        <f t="shared" ref="AT6:AT35" si="34">IF((AT$3-AY$3)&lt;0,1,(1-K6*(AT$3-AY$3)/F6))</f>
        <v>0.9998804899810062</v>
      </c>
      <c r="AU6" s="814"/>
      <c r="AV6" s="814"/>
      <c r="AW6" s="814"/>
      <c r="AX6" s="327"/>
      <c r="AY6" s="327"/>
      <c r="AZ6" s="327">
        <f t="shared" ref="AZ6:AZ11" si="35">IF((AZ$3-BE$3)&lt;0,1,(1-G6*(AZ$3-BE$3)/B6))</f>
        <v>0.99742654726992286</v>
      </c>
      <c r="BA6" s="327">
        <f t="shared" ref="BA6:BA11" si="36">IF((BA$3-BF$3)&lt;0,1,(1-H6*(BA$3-BF$3)/C6))</f>
        <v>0.99971567276260387</v>
      </c>
      <c r="BB6" s="327">
        <f t="shared" ref="BB6:BC11" si="37">IF((BB$3-BG$3)&lt;0,1,(1-I6*(BB$3-BG$3)/D6))</f>
        <v>0.99990433169182025</v>
      </c>
      <c r="BC6" s="327">
        <f t="shared" si="37"/>
        <v>0.9998389992585206</v>
      </c>
      <c r="BD6" s="327">
        <f t="shared" ref="BD6:BD35" si="38">IF((BD$3-BI$3)&lt;0,1,(1-K6*(BD$3-BI$3)/F6))</f>
        <v>0.99989756284086251</v>
      </c>
      <c r="BE6" s="814"/>
      <c r="BF6" s="814"/>
      <c r="BG6" s="814"/>
      <c r="BH6" s="327"/>
      <c r="BI6" s="327"/>
      <c r="BJ6" s="327">
        <f t="shared" ref="BJ6:BJ11" si="39">IF((AZ$3-BE$3)&lt;0,1,(1-G6*(BJ$3-BO$3)/B6))</f>
        <v>0.98117316160627766</v>
      </c>
      <c r="BK6" s="327">
        <f t="shared" si="21"/>
        <v>0.98263572943045296</v>
      </c>
      <c r="BL6" s="327">
        <f t="shared" si="21"/>
        <v>0.97742227926958647</v>
      </c>
      <c r="BM6" s="327">
        <f t="shared" si="21"/>
        <v>0.97769245281946315</v>
      </c>
      <c r="BN6" s="327">
        <f t="shared" ref="BN6:BN35" si="40">IF((BD$3-BI$3)&lt;0,1,(1-K6*(BN$3-BS$3)/F6))</f>
        <v>0.97676383773564435</v>
      </c>
      <c r="BO6" s="814"/>
      <c r="BP6" s="814"/>
      <c r="BQ6" s="814"/>
      <c r="BR6" s="327"/>
      <c r="BS6" s="327"/>
    </row>
    <row r="7" spans="1:71">
      <c r="A7" s="336" t="s">
        <v>165</v>
      </c>
      <c r="B7" s="75">
        <f>COMB!L7</f>
        <v>873379423.296996</v>
      </c>
      <c r="C7" s="59">
        <f>COMB!M7</f>
        <v>1186647670.39799</v>
      </c>
      <c r="D7" s="59">
        <f>COMB!N7</f>
        <v>1348311495.1617823</v>
      </c>
      <c r="E7" s="59">
        <f>COMB!O7</f>
        <v>1355732353.0634925</v>
      </c>
      <c r="F7" s="59">
        <f>COMB!P7</f>
        <v>1346465119</v>
      </c>
      <c r="G7" s="872">
        <f t="shared" si="22"/>
        <v>1.9715795274358489E-2</v>
      </c>
      <c r="H7" s="872">
        <f t="shared" si="23"/>
        <v>2.4099732420483543E-2</v>
      </c>
      <c r="I7" s="872">
        <f t="shared" si="24"/>
        <v>2.5798135928278867E-2</v>
      </c>
      <c r="J7" s="872">
        <f t="shared" si="25"/>
        <v>2.4252657121206164E-2</v>
      </c>
      <c r="K7" s="326">
        <f t="shared" si="14"/>
        <v>2.2988010278015426E-2</v>
      </c>
      <c r="L7" s="327">
        <f t="shared" si="15"/>
        <v>1.0372143209548699</v>
      </c>
      <c r="M7" s="327">
        <f t="shared" si="16"/>
        <v>1.0438668339229833</v>
      </c>
      <c r="N7" s="327">
        <f t="shared" si="16"/>
        <v>1.0297162682615815</v>
      </c>
      <c r="O7" s="327">
        <f t="shared" si="16"/>
        <v>1.0303689675257104</v>
      </c>
      <c r="P7" s="327">
        <f t="shared" si="26"/>
        <v>1.0357762617589501</v>
      </c>
      <c r="Q7" s="814"/>
      <c r="R7" s="814"/>
      <c r="S7" s="814"/>
      <c r="T7" s="327"/>
      <c r="U7" s="327"/>
      <c r="V7" s="327">
        <f t="shared" si="27"/>
        <v>0.95471626160934409</v>
      </c>
      <c r="W7" s="327">
        <f t="shared" si="17"/>
        <v>0.94817120644036934</v>
      </c>
      <c r="X7" s="327">
        <f t="shared" si="17"/>
        <v>0.95293119237557855</v>
      </c>
      <c r="Y7" s="327">
        <f t="shared" si="17"/>
        <v>0.94404329785026531</v>
      </c>
      <c r="Z7" s="327">
        <f t="shared" si="28"/>
        <v>0.94664731294922</v>
      </c>
      <c r="AA7" s="814"/>
      <c r="AB7" s="814"/>
      <c r="AC7" s="814"/>
      <c r="AD7" s="327"/>
      <c r="AE7" s="871"/>
      <c r="AF7" s="327">
        <f t="shared" si="29"/>
        <v>0.99557546723600765</v>
      </c>
      <c r="AG7" s="327">
        <f t="shared" si="18"/>
        <v>0.97824896633919889</v>
      </c>
      <c r="AH7" s="327">
        <f t="shared" si="18"/>
        <v>0.97866596727592281</v>
      </c>
      <c r="AI7" s="327">
        <f t="shared" si="18"/>
        <v>0.97491966227176208</v>
      </c>
      <c r="AJ7" s="327">
        <f t="shared" si="30"/>
        <v>0.97369072296151937</v>
      </c>
      <c r="AK7" s="814"/>
      <c r="AL7" s="814"/>
      <c r="AM7" s="814"/>
      <c r="AN7" s="327"/>
      <c r="AO7" s="327"/>
      <c r="AP7" s="327">
        <f t="shared" si="31"/>
        <v>0.99848753216741082</v>
      </c>
      <c r="AQ7" s="327">
        <f t="shared" si="32"/>
        <v>0.99914701828781172</v>
      </c>
      <c r="AR7" s="327">
        <f t="shared" si="33"/>
        <v>0.99980866338364061</v>
      </c>
      <c r="AS7" s="327">
        <f t="shared" si="33"/>
        <v>0.99980322131596955</v>
      </c>
      <c r="AT7" s="327">
        <f t="shared" si="34"/>
        <v>0.9998804899810062</v>
      </c>
      <c r="AU7" s="814"/>
      <c r="AV7" s="814"/>
      <c r="AW7" s="814"/>
      <c r="AX7" s="327"/>
      <c r="AY7" s="327"/>
      <c r="AZ7" s="327">
        <f t="shared" si="35"/>
        <v>0.99742654726992286</v>
      </c>
      <c r="BA7" s="327">
        <f t="shared" si="36"/>
        <v>0.99971567276260387</v>
      </c>
      <c r="BB7" s="327">
        <f t="shared" si="37"/>
        <v>0.99990433169182025</v>
      </c>
      <c r="BC7" s="327">
        <f t="shared" si="37"/>
        <v>0.9998389992585206</v>
      </c>
      <c r="BD7" s="327">
        <f t="shared" si="38"/>
        <v>0.99989756284086251</v>
      </c>
      <c r="BE7" s="814"/>
      <c r="BF7" s="814"/>
      <c r="BG7" s="814"/>
      <c r="BH7" s="327"/>
      <c r="BI7" s="327"/>
      <c r="BJ7" s="327">
        <f t="shared" si="39"/>
        <v>0.98117316160627766</v>
      </c>
      <c r="BK7" s="327">
        <f t="shared" si="21"/>
        <v>0.98263572943045296</v>
      </c>
      <c r="BL7" s="327">
        <f t="shared" si="21"/>
        <v>0.97742227926958647</v>
      </c>
      <c r="BM7" s="327">
        <f t="shared" si="21"/>
        <v>0.97769245281946315</v>
      </c>
      <c r="BN7" s="327">
        <f t="shared" si="40"/>
        <v>0.97676383773564435</v>
      </c>
      <c r="BO7" s="814"/>
      <c r="BP7" s="814"/>
      <c r="BQ7" s="814"/>
      <c r="BR7" s="327"/>
      <c r="BS7" s="327"/>
    </row>
    <row r="8" spans="1:71">
      <c r="A8" s="336" t="s">
        <v>166</v>
      </c>
      <c r="B8" s="75">
        <f>COMB!L8</f>
        <v>1439084122.0966301</v>
      </c>
      <c r="C8" s="59">
        <f>COMB!M8</f>
        <v>1635380538.47435</v>
      </c>
      <c r="D8" s="59">
        <f>COMB!N8</f>
        <v>1809858661.1225023</v>
      </c>
      <c r="E8" s="59">
        <f>COMB!O8</f>
        <v>2018739443.3812749</v>
      </c>
      <c r="F8" s="59">
        <f>COMB!P8</f>
        <v>2134609322</v>
      </c>
      <c r="G8" s="872">
        <f t="shared" si="22"/>
        <v>3.2486096165090017E-2</v>
      </c>
      <c r="H8" s="872">
        <f t="shared" si="23"/>
        <v>3.3213087899696167E-2</v>
      </c>
      <c r="I8" s="872">
        <f t="shared" si="24"/>
        <v>3.4629223230800033E-2</v>
      </c>
      <c r="J8" s="872">
        <f t="shared" si="25"/>
        <v>3.611317191534761E-2</v>
      </c>
      <c r="K8" s="326">
        <f t="shared" si="14"/>
        <v>3.6443885802349953E-2</v>
      </c>
      <c r="L8" s="327">
        <f t="shared" si="15"/>
        <v>1.0372143209548697</v>
      </c>
      <c r="M8" s="327">
        <f t="shared" si="16"/>
        <v>1.0438668339229833</v>
      </c>
      <c r="N8" s="327">
        <f t="shared" si="16"/>
        <v>1.0297162682615815</v>
      </c>
      <c r="O8" s="327">
        <f t="shared" si="16"/>
        <v>1.0303689675257104</v>
      </c>
      <c r="P8" s="327">
        <f t="shared" si="26"/>
        <v>1.0357762617589501</v>
      </c>
      <c r="Q8" s="814"/>
      <c r="R8" s="814"/>
      <c r="S8" s="814"/>
      <c r="T8" s="327"/>
      <c r="U8" s="327"/>
      <c r="V8" s="327">
        <f t="shared" si="27"/>
        <v>0.95471626160934409</v>
      </c>
      <c r="W8" s="327">
        <f t="shared" si="17"/>
        <v>0.94817120644036934</v>
      </c>
      <c r="X8" s="327">
        <f t="shared" si="17"/>
        <v>0.95293119237557855</v>
      </c>
      <c r="Y8" s="327">
        <f t="shared" si="17"/>
        <v>0.94404329785026531</v>
      </c>
      <c r="Z8" s="327">
        <f t="shared" si="28"/>
        <v>0.94664731294922</v>
      </c>
      <c r="AA8" s="814"/>
      <c r="AB8" s="814"/>
      <c r="AC8" s="814"/>
      <c r="AD8" s="327"/>
      <c r="AE8" s="327"/>
      <c r="AF8" s="327">
        <f t="shared" si="29"/>
        <v>0.99557546723600765</v>
      </c>
      <c r="AG8" s="327">
        <f t="shared" si="18"/>
        <v>0.97824896633919889</v>
      </c>
      <c r="AH8" s="327">
        <f t="shared" si="18"/>
        <v>0.97866596727592281</v>
      </c>
      <c r="AI8" s="327">
        <f t="shared" si="18"/>
        <v>0.97491966227176208</v>
      </c>
      <c r="AJ8" s="327">
        <f t="shared" si="30"/>
        <v>0.97369072296151937</v>
      </c>
      <c r="AK8" s="814"/>
      <c r="AL8" s="814"/>
      <c r="AM8" s="814"/>
      <c r="AN8" s="327"/>
      <c r="AO8" s="327"/>
      <c r="AP8" s="327">
        <f t="shared" si="31"/>
        <v>0.99848753216741082</v>
      </c>
      <c r="AQ8" s="327">
        <f t="shared" si="32"/>
        <v>0.99914701828781172</v>
      </c>
      <c r="AR8" s="327">
        <f t="shared" si="33"/>
        <v>0.99980866338364061</v>
      </c>
      <c r="AS8" s="327">
        <f t="shared" si="33"/>
        <v>0.99980322131596955</v>
      </c>
      <c r="AT8" s="327">
        <f t="shared" si="34"/>
        <v>0.9998804899810062</v>
      </c>
      <c r="AU8" s="814"/>
      <c r="AV8" s="814"/>
      <c r="AW8" s="814"/>
      <c r="AX8" s="327"/>
      <c r="AY8" s="327"/>
      <c r="AZ8" s="327">
        <f t="shared" si="35"/>
        <v>0.99742654726992286</v>
      </c>
      <c r="BA8" s="327">
        <f t="shared" si="36"/>
        <v>0.99971567276260387</v>
      </c>
      <c r="BB8" s="327">
        <f t="shared" si="37"/>
        <v>0.99990433169182025</v>
      </c>
      <c r="BC8" s="327">
        <f t="shared" si="37"/>
        <v>0.9998389992585206</v>
      </c>
      <c r="BD8" s="327">
        <f t="shared" si="38"/>
        <v>0.99989756284086251</v>
      </c>
      <c r="BE8" s="814"/>
      <c r="BF8" s="814"/>
      <c r="BG8" s="814"/>
      <c r="BH8" s="327"/>
      <c r="BI8" s="327"/>
      <c r="BJ8" s="327">
        <f t="shared" si="39"/>
        <v>0.98117316160627766</v>
      </c>
      <c r="BK8" s="327">
        <f t="shared" si="21"/>
        <v>0.98263572943045296</v>
      </c>
      <c r="BL8" s="327">
        <f t="shared" si="21"/>
        <v>0.97742227926958647</v>
      </c>
      <c r="BM8" s="327">
        <f t="shared" si="21"/>
        <v>0.97769245281946315</v>
      </c>
      <c r="BN8" s="327">
        <f t="shared" si="40"/>
        <v>0.97676383773564435</v>
      </c>
      <c r="BO8" s="814"/>
      <c r="BP8" s="814"/>
      <c r="BQ8" s="814"/>
      <c r="BR8" s="327"/>
      <c r="BS8" s="327"/>
    </row>
    <row r="9" spans="1:71">
      <c r="A9" s="336" t="s">
        <v>167</v>
      </c>
      <c r="B9" s="75">
        <f>COMB!L9</f>
        <v>695719988.42682695</v>
      </c>
      <c r="C9" s="59">
        <f>COMB!M9</f>
        <v>761900437.41058195</v>
      </c>
      <c r="D9" s="59">
        <f>COMB!N9</f>
        <v>775345566.47629392</v>
      </c>
      <c r="E9" s="59">
        <f>COMB!O9</f>
        <v>772218653.03873086</v>
      </c>
      <c r="F9" s="59">
        <f>COMB!P9</f>
        <v>777142092</v>
      </c>
      <c r="G9" s="872">
        <f t="shared" si="22"/>
        <v>1.5705285119177771E-2</v>
      </c>
      <c r="H9" s="872">
        <f t="shared" si="23"/>
        <v>1.547350332427324E-2</v>
      </c>
      <c r="I9" s="872">
        <f t="shared" si="24"/>
        <v>1.4835199719886491E-2</v>
      </c>
      <c r="J9" s="872">
        <f t="shared" si="25"/>
        <v>1.3814197302607936E-2</v>
      </c>
      <c r="K9" s="326">
        <f t="shared" si="14"/>
        <v>1.3268038025108625E-2</v>
      </c>
      <c r="L9" s="327">
        <f t="shared" si="15"/>
        <v>1.0372143209548697</v>
      </c>
      <c r="M9" s="327">
        <f t="shared" si="16"/>
        <v>1.0438668339229833</v>
      </c>
      <c r="N9" s="327">
        <f t="shared" si="16"/>
        <v>1.0297162682615815</v>
      </c>
      <c r="O9" s="327">
        <f t="shared" si="16"/>
        <v>1.0303689675257104</v>
      </c>
      <c r="P9" s="327">
        <f t="shared" si="26"/>
        <v>1.0357762617589499</v>
      </c>
      <c r="Q9" s="814"/>
      <c r="R9" s="814"/>
      <c r="S9" s="814"/>
      <c r="T9" s="327"/>
      <c r="U9" s="327"/>
      <c r="V9" s="327">
        <f t="shared" si="27"/>
        <v>0.95471626160934409</v>
      </c>
      <c r="W9" s="327">
        <f t="shared" si="17"/>
        <v>0.94817120644036934</v>
      </c>
      <c r="X9" s="327">
        <f t="shared" si="17"/>
        <v>0.95293119237557855</v>
      </c>
      <c r="Y9" s="327">
        <f t="shared" si="17"/>
        <v>0.94404329785026531</v>
      </c>
      <c r="Z9" s="327">
        <f t="shared" si="28"/>
        <v>0.94664731294922</v>
      </c>
      <c r="AA9" s="814"/>
      <c r="AB9" s="814"/>
      <c r="AC9" s="814"/>
      <c r="AD9" s="327"/>
      <c r="AE9" s="327"/>
      <c r="AF9" s="327">
        <f t="shared" si="29"/>
        <v>0.99557546723600765</v>
      </c>
      <c r="AG9" s="327">
        <f t="shared" si="18"/>
        <v>0.97824896633919889</v>
      </c>
      <c r="AH9" s="327">
        <f t="shared" si="18"/>
        <v>0.97866596727592281</v>
      </c>
      <c r="AI9" s="327">
        <f t="shared" si="18"/>
        <v>0.97491966227176208</v>
      </c>
      <c r="AJ9" s="327">
        <f t="shared" si="30"/>
        <v>0.97369072296151937</v>
      </c>
      <c r="AK9" s="814"/>
      <c r="AL9" s="814"/>
      <c r="AM9" s="814"/>
      <c r="AN9" s="327"/>
      <c r="AO9" s="327"/>
      <c r="AP9" s="327">
        <f t="shared" si="31"/>
        <v>0.99848753216741082</v>
      </c>
      <c r="AQ9" s="327">
        <f t="shared" si="32"/>
        <v>0.99914701828781172</v>
      </c>
      <c r="AR9" s="327">
        <f t="shared" si="33"/>
        <v>0.99980866338364061</v>
      </c>
      <c r="AS9" s="327">
        <f t="shared" si="33"/>
        <v>0.99980322131596955</v>
      </c>
      <c r="AT9" s="327">
        <f t="shared" si="34"/>
        <v>0.9998804899810062</v>
      </c>
      <c r="AU9" s="814"/>
      <c r="AV9" s="814"/>
      <c r="AW9" s="814"/>
      <c r="AX9" s="327"/>
      <c r="AY9" s="327"/>
      <c r="AZ9" s="327">
        <f t="shared" si="35"/>
        <v>0.99742654726992286</v>
      </c>
      <c r="BA9" s="327">
        <f t="shared" si="36"/>
        <v>0.99971567276260387</v>
      </c>
      <c r="BB9" s="327">
        <f t="shared" si="37"/>
        <v>0.99990433169182025</v>
      </c>
      <c r="BC9" s="327">
        <f t="shared" si="37"/>
        <v>0.9998389992585206</v>
      </c>
      <c r="BD9" s="327">
        <f t="shared" si="38"/>
        <v>0.99989756284086251</v>
      </c>
      <c r="BE9" s="814"/>
      <c r="BF9" s="814"/>
      <c r="BG9" s="814"/>
      <c r="BH9" s="327"/>
      <c r="BI9" s="327"/>
      <c r="BJ9" s="327">
        <f t="shared" si="39"/>
        <v>0.98117316160627766</v>
      </c>
      <c r="BK9" s="327">
        <f t="shared" si="21"/>
        <v>0.98263572943045296</v>
      </c>
      <c r="BL9" s="327">
        <f t="shared" si="21"/>
        <v>0.97742227926958647</v>
      </c>
      <c r="BM9" s="327">
        <f t="shared" si="21"/>
        <v>0.97769245281946315</v>
      </c>
      <c r="BN9" s="327">
        <f t="shared" si="40"/>
        <v>0.97676383773564435</v>
      </c>
      <c r="BO9" s="814"/>
      <c r="BP9" s="814"/>
      <c r="BQ9" s="814"/>
      <c r="BR9" s="327"/>
      <c r="BS9" s="327"/>
    </row>
    <row r="10" spans="1:71">
      <c r="A10" s="336" t="s">
        <v>168</v>
      </c>
      <c r="B10" s="75">
        <f>COMB!L10</f>
        <v>70775219.173907399</v>
      </c>
      <c r="C10" s="59">
        <f>COMB!M10</f>
        <v>143470173.11483902</v>
      </c>
      <c r="D10" s="59">
        <f>COMB!N10</f>
        <v>86166881.057038233</v>
      </c>
      <c r="E10" s="59">
        <f>COMB!O10</f>
        <v>86201471.906828284</v>
      </c>
      <c r="F10" s="59">
        <f>COMB!P10</f>
        <v>101582900</v>
      </c>
      <c r="G10" s="872">
        <f t="shared" si="22"/>
        <v>1.597690184253519E-3</v>
      </c>
      <c r="H10" s="872">
        <f t="shared" si="23"/>
        <v>2.9137484264629529E-3</v>
      </c>
      <c r="I10" s="872">
        <f t="shared" si="24"/>
        <v>1.6486879463699752E-3</v>
      </c>
      <c r="J10" s="872">
        <f t="shared" si="25"/>
        <v>1.5420556548462654E-3</v>
      </c>
      <c r="K10" s="326">
        <f t="shared" si="14"/>
        <v>1.7343106154914163E-3</v>
      </c>
      <c r="L10" s="327">
        <f t="shared" si="15"/>
        <v>1.0372143209548697</v>
      </c>
      <c r="M10" s="327">
        <f t="shared" si="16"/>
        <v>1.0438668339229833</v>
      </c>
      <c r="N10" s="327">
        <f t="shared" si="16"/>
        <v>1.0297162682615815</v>
      </c>
      <c r="O10" s="327">
        <f t="shared" si="16"/>
        <v>1.0303689675257104</v>
      </c>
      <c r="P10" s="327">
        <f t="shared" si="26"/>
        <v>1.0357762617589501</v>
      </c>
      <c r="Q10" s="814"/>
      <c r="R10" s="814"/>
      <c r="S10" s="814"/>
      <c r="T10" s="327"/>
      <c r="U10" s="327"/>
      <c r="V10" s="327">
        <f t="shared" si="27"/>
        <v>0.95471626160934409</v>
      </c>
      <c r="W10" s="327">
        <f t="shared" si="17"/>
        <v>0.94817120644036945</v>
      </c>
      <c r="X10" s="327">
        <f t="shared" si="17"/>
        <v>0.95293119237557855</v>
      </c>
      <c r="Y10" s="327">
        <f t="shared" si="17"/>
        <v>0.9440432978502652</v>
      </c>
      <c r="Z10" s="327">
        <f t="shared" si="28"/>
        <v>0.94664731294922</v>
      </c>
      <c r="AA10" s="814"/>
      <c r="AB10" s="814"/>
      <c r="AC10" s="814"/>
      <c r="AD10" s="327"/>
      <c r="AE10" s="327"/>
      <c r="AF10" s="327">
        <f t="shared" si="29"/>
        <v>0.99557546723600765</v>
      </c>
      <c r="AG10" s="327">
        <f t="shared" si="18"/>
        <v>0.97824896633919889</v>
      </c>
      <c r="AH10" s="327">
        <f t="shared" si="18"/>
        <v>0.97866596727592281</v>
      </c>
      <c r="AI10" s="327">
        <f t="shared" si="18"/>
        <v>0.97491966227176208</v>
      </c>
      <c r="AJ10" s="327">
        <f t="shared" si="30"/>
        <v>0.97369072296151937</v>
      </c>
      <c r="AK10" s="814"/>
      <c r="AL10" s="814"/>
      <c r="AM10" s="814"/>
      <c r="AN10" s="327"/>
      <c r="AO10" s="327"/>
      <c r="AP10" s="327">
        <f t="shared" si="31"/>
        <v>0.99848753216741082</v>
      </c>
      <c r="AQ10" s="327">
        <f t="shared" si="32"/>
        <v>0.99914701828781172</v>
      </c>
      <c r="AR10" s="327">
        <f t="shared" si="33"/>
        <v>0.99980866338364061</v>
      </c>
      <c r="AS10" s="327">
        <f t="shared" si="33"/>
        <v>0.99980322131596955</v>
      </c>
      <c r="AT10" s="327">
        <f t="shared" si="34"/>
        <v>0.9998804899810062</v>
      </c>
      <c r="AU10" s="814"/>
      <c r="AV10" s="814"/>
      <c r="AW10" s="814"/>
      <c r="AX10" s="327"/>
      <c r="AY10" s="327"/>
      <c r="AZ10" s="327">
        <f t="shared" si="35"/>
        <v>0.99742654726992286</v>
      </c>
      <c r="BA10" s="327">
        <f t="shared" si="36"/>
        <v>0.99971567276260387</v>
      </c>
      <c r="BB10" s="327">
        <f t="shared" si="37"/>
        <v>0.99990433169182025</v>
      </c>
      <c r="BC10" s="327">
        <f t="shared" si="37"/>
        <v>0.9998389992585206</v>
      </c>
      <c r="BD10" s="327">
        <f t="shared" si="38"/>
        <v>0.99989756284086251</v>
      </c>
      <c r="BE10" s="814"/>
      <c r="BF10" s="814"/>
      <c r="BG10" s="814"/>
      <c r="BH10" s="327"/>
      <c r="BI10" s="327"/>
      <c r="BJ10" s="327">
        <f t="shared" si="39"/>
        <v>0.98117316160627766</v>
      </c>
      <c r="BK10" s="327">
        <f t="shared" si="21"/>
        <v>0.98263572943045296</v>
      </c>
      <c r="BL10" s="327">
        <f t="shared" si="21"/>
        <v>0.97742227926958647</v>
      </c>
      <c r="BM10" s="327">
        <f t="shared" si="21"/>
        <v>0.97769245281946315</v>
      </c>
      <c r="BN10" s="327">
        <f t="shared" si="40"/>
        <v>0.97676383773564435</v>
      </c>
      <c r="BO10" s="814"/>
      <c r="BP10" s="814"/>
      <c r="BQ10" s="814"/>
      <c r="BR10" s="327"/>
      <c r="BS10" s="327"/>
    </row>
    <row r="11" spans="1:71">
      <c r="A11" s="336" t="s">
        <v>169</v>
      </c>
      <c r="B11" s="75">
        <f>COMB!L11</f>
        <v>576580030.42720008</v>
      </c>
      <c r="C11" s="59">
        <f>COMB!M11</f>
        <v>665116348.97711301</v>
      </c>
      <c r="D11" s="59">
        <f>COMB!N11</f>
        <v>693042766.12107635</v>
      </c>
      <c r="E11" s="59">
        <f>COMB!O11</f>
        <v>770600662.01363742</v>
      </c>
      <c r="F11" s="59">
        <f>COMB!P11</f>
        <v>852616219</v>
      </c>
      <c r="G11" s="872">
        <f t="shared" si="22"/>
        <v>1.3015802222902179E-2</v>
      </c>
      <c r="H11" s="872">
        <f t="shared" si="23"/>
        <v>1.3507906717974144E-2</v>
      </c>
      <c r="I11" s="872">
        <f t="shared" si="24"/>
        <v>1.3260445786199131E-2</v>
      </c>
      <c r="J11" s="872">
        <f t="shared" si="25"/>
        <v>1.3785253107636038E-2</v>
      </c>
      <c r="K11" s="326">
        <f t="shared" si="14"/>
        <v>1.4556597218152409E-2</v>
      </c>
      <c r="L11" s="327">
        <f t="shared" si="15"/>
        <v>1.0372143209548697</v>
      </c>
      <c r="M11" s="327">
        <f t="shared" si="16"/>
        <v>1.0438668339229833</v>
      </c>
      <c r="N11" s="327">
        <f t="shared" si="16"/>
        <v>1.0297162682615815</v>
      </c>
      <c r="O11" s="327">
        <f t="shared" si="16"/>
        <v>1.0303689675257104</v>
      </c>
      <c r="P11" s="327">
        <f t="shared" si="26"/>
        <v>1.0357762617589501</v>
      </c>
      <c r="Q11" s="814"/>
      <c r="R11" s="814"/>
      <c r="S11" s="814"/>
      <c r="T11" s="327"/>
      <c r="U11" s="327"/>
      <c r="V11" s="327">
        <f t="shared" si="27"/>
        <v>0.95471626160934409</v>
      </c>
      <c r="W11" s="327">
        <f t="shared" si="17"/>
        <v>0.94817120644036934</v>
      </c>
      <c r="X11" s="327">
        <f t="shared" si="17"/>
        <v>0.95293119237557855</v>
      </c>
      <c r="Y11" s="327">
        <f t="shared" si="17"/>
        <v>0.94404329785026531</v>
      </c>
      <c r="Z11" s="327">
        <f t="shared" si="28"/>
        <v>0.94664731294922</v>
      </c>
      <c r="AA11" s="814"/>
      <c r="AB11" s="814"/>
      <c r="AC11" s="814"/>
      <c r="AD11" s="327"/>
      <c r="AE11" s="327"/>
      <c r="AF11" s="327">
        <f t="shared" si="29"/>
        <v>0.99557546723600765</v>
      </c>
      <c r="AG11" s="327">
        <f t="shared" si="18"/>
        <v>0.97824896633919889</v>
      </c>
      <c r="AH11" s="327">
        <f t="shared" si="18"/>
        <v>0.97866596727592281</v>
      </c>
      <c r="AI11" s="327">
        <f t="shared" si="18"/>
        <v>0.97491966227176208</v>
      </c>
      <c r="AJ11" s="327">
        <f t="shared" si="30"/>
        <v>0.97369072296151937</v>
      </c>
      <c r="AK11" s="814"/>
      <c r="AL11" s="814"/>
      <c r="AM11" s="814"/>
      <c r="AN11" s="327"/>
      <c r="AO11" s="327"/>
      <c r="AP11" s="327">
        <f t="shared" si="31"/>
        <v>0.99848753216741082</v>
      </c>
      <c r="AQ11" s="327">
        <f t="shared" si="32"/>
        <v>0.99914701828781172</v>
      </c>
      <c r="AR11" s="327">
        <f t="shared" si="33"/>
        <v>0.99980866338364061</v>
      </c>
      <c r="AS11" s="327">
        <f t="shared" si="33"/>
        <v>0.99980322131596955</v>
      </c>
      <c r="AT11" s="327">
        <f t="shared" si="34"/>
        <v>0.9998804899810062</v>
      </c>
      <c r="AU11" s="814"/>
      <c r="AV11" s="814"/>
      <c r="AW11" s="814"/>
      <c r="AX11" s="327"/>
      <c r="AY11" s="327"/>
      <c r="AZ11" s="327">
        <f t="shared" si="35"/>
        <v>0.99742654726992286</v>
      </c>
      <c r="BA11" s="327">
        <f t="shared" si="36"/>
        <v>0.99971567276260387</v>
      </c>
      <c r="BB11" s="327">
        <f t="shared" si="37"/>
        <v>0.99990433169182025</v>
      </c>
      <c r="BC11" s="327">
        <f t="shared" si="37"/>
        <v>0.9998389992585206</v>
      </c>
      <c r="BD11" s="327">
        <f t="shared" si="38"/>
        <v>0.99989756284086251</v>
      </c>
      <c r="BE11" s="814"/>
      <c r="BF11" s="814"/>
      <c r="BG11" s="814"/>
      <c r="BH11" s="327"/>
      <c r="BI11" s="327"/>
      <c r="BJ11" s="327">
        <f t="shared" si="39"/>
        <v>0.98117316160627766</v>
      </c>
      <c r="BK11" s="327">
        <f t="shared" si="21"/>
        <v>0.98263572943045296</v>
      </c>
      <c r="BL11" s="327">
        <f t="shared" si="21"/>
        <v>0.97742227926958647</v>
      </c>
      <c r="BM11" s="327">
        <f t="shared" si="21"/>
        <v>0.97769245281946315</v>
      </c>
      <c r="BN11" s="327">
        <f t="shared" si="40"/>
        <v>0.97676383773564435</v>
      </c>
      <c r="BO11" s="814"/>
      <c r="BP11" s="814"/>
      <c r="BQ11" s="814"/>
      <c r="BR11" s="327"/>
      <c r="BS11" s="327"/>
    </row>
    <row r="12" spans="1:71">
      <c r="A12" s="336"/>
      <c r="B12" s="75">
        <f>COMB!L12</f>
        <v>6927626229.3914948</v>
      </c>
      <c r="C12" s="59">
        <f>COMB!M12</f>
        <v>7719735131.5342398</v>
      </c>
      <c r="D12" s="59">
        <f>COMB!N12</f>
        <v>8230617982.4140615</v>
      </c>
      <c r="E12" s="59">
        <f>COMB!O12</f>
        <v>9133665157.4197693</v>
      </c>
      <c r="F12" s="59">
        <f>COMB!P12</f>
        <v>9592427327</v>
      </c>
      <c r="G12" s="326"/>
      <c r="H12" s="326"/>
      <c r="I12" s="326"/>
      <c r="J12" s="326"/>
      <c r="K12" s="326"/>
      <c r="L12" s="327"/>
      <c r="M12" s="327"/>
      <c r="N12" s="327"/>
      <c r="O12" s="327"/>
      <c r="P12" s="327"/>
      <c r="Q12" s="814"/>
      <c r="R12" s="814"/>
      <c r="S12" s="814"/>
      <c r="T12" s="327"/>
      <c r="U12" s="327"/>
      <c r="V12" s="327"/>
      <c r="W12" s="327"/>
      <c r="X12" s="327"/>
      <c r="Y12" s="327"/>
      <c r="Z12" s="327"/>
      <c r="AA12" s="814"/>
      <c r="AB12" s="814"/>
      <c r="AC12" s="814"/>
      <c r="AD12" s="327"/>
      <c r="AE12" s="327"/>
      <c r="AF12" s="327"/>
      <c r="AG12" s="327"/>
      <c r="AH12" s="327"/>
      <c r="AI12" s="327"/>
      <c r="AJ12" s="327"/>
      <c r="AK12" s="814"/>
      <c r="AL12" s="814"/>
      <c r="AM12" s="814"/>
      <c r="AN12" s="327"/>
      <c r="AO12" s="327"/>
      <c r="AP12" s="327"/>
      <c r="AQ12" s="327"/>
      <c r="AR12" s="327"/>
      <c r="AS12" s="327"/>
      <c r="AT12" s="327"/>
      <c r="AU12" s="814"/>
      <c r="AV12" s="814"/>
      <c r="AW12" s="814"/>
      <c r="AX12" s="327"/>
      <c r="AY12" s="327"/>
      <c r="AZ12" s="327"/>
      <c r="BA12" s="327"/>
      <c r="BB12" s="327"/>
      <c r="BC12" s="327"/>
      <c r="BD12" s="327"/>
      <c r="BE12" s="814"/>
      <c r="BF12" s="814"/>
      <c r="BG12" s="814"/>
      <c r="BH12" s="327"/>
      <c r="BI12" s="327"/>
      <c r="BJ12" s="327"/>
      <c r="BK12" s="327"/>
      <c r="BL12" s="327"/>
      <c r="BM12" s="327"/>
      <c r="BN12" s="327"/>
      <c r="BO12" s="814"/>
      <c r="BP12" s="814"/>
      <c r="BQ12" s="814"/>
      <c r="BR12" s="327"/>
      <c r="BS12" s="327"/>
    </row>
    <row r="13" spans="1:71">
      <c r="A13" s="336" t="s">
        <v>170</v>
      </c>
      <c r="B13" s="75">
        <f>COMB!L13</f>
        <v>326913634.06193101</v>
      </c>
      <c r="C13" s="59">
        <f>COMB!M13</f>
        <v>361465915.74773097</v>
      </c>
      <c r="D13" s="59">
        <f>COMB!N13</f>
        <v>399342423.04230601</v>
      </c>
      <c r="E13" s="59">
        <f>COMB!O13</f>
        <v>405035609.2052654</v>
      </c>
      <c r="F13" s="59">
        <f>COMB!P13</f>
        <v>401547381</v>
      </c>
      <c r="G13" s="872">
        <f>B13/B$3</f>
        <v>7.3797963515449226E-3</v>
      </c>
      <c r="H13" s="872">
        <f t="shared" ref="H13:H19" si="41">C13/C$3</f>
        <v>7.3410432312429373E-3</v>
      </c>
      <c r="I13" s="872">
        <f t="shared" ref="I13:I19" si="42">D13/D$3</f>
        <v>7.6408827993693649E-3</v>
      </c>
      <c r="J13" s="872">
        <f t="shared" ref="J13:J19" si="43">E13/E$3</f>
        <v>7.2456703786238485E-3</v>
      </c>
      <c r="K13" s="326">
        <f t="shared" si="14"/>
        <v>6.8555621614570586E-3</v>
      </c>
      <c r="L13" s="327">
        <f t="shared" ref="L13:L15" si="44">(G13*(L$3-Q$3))/B13</f>
        <v>1.0372143209548699</v>
      </c>
      <c r="M13" s="327">
        <f t="shared" ref="M13:M15" si="45">(H13*(M$3-R$3))/C13</f>
        <v>1.0438668339229833</v>
      </c>
      <c r="N13" s="327">
        <f t="shared" ref="N13:O15" si="46">(I13*(N$3-S$3))/D13</f>
        <v>1.0297162682615815</v>
      </c>
      <c r="O13" s="327">
        <f t="shared" si="46"/>
        <v>1.0303689675257104</v>
      </c>
      <c r="P13" s="327">
        <f t="shared" si="26"/>
        <v>1.0357762617589501</v>
      </c>
      <c r="Q13" s="814"/>
      <c r="R13" s="814"/>
      <c r="S13" s="815"/>
      <c r="T13" s="327"/>
      <c r="U13" s="327"/>
      <c r="V13" s="327">
        <f t="shared" ref="V13:V15" si="47">1-G13*(V$3-AA$3)/B13</f>
        <v>0.95471626160934409</v>
      </c>
      <c r="W13" s="327">
        <f t="shared" ref="W13:W15" si="48">1-H13*(W$3-AB$3)/C13</f>
        <v>0.94817120644036934</v>
      </c>
      <c r="X13" s="327">
        <f t="shared" ref="X13:Y15" si="49">1-I13*(X$3-AC$3)/D13</f>
        <v>0.95293119237557855</v>
      </c>
      <c r="Y13" s="327">
        <f t="shared" si="49"/>
        <v>0.94404329785026531</v>
      </c>
      <c r="Z13" s="327">
        <f t="shared" si="28"/>
        <v>0.94664731294922</v>
      </c>
      <c r="AA13" s="815"/>
      <c r="AB13" s="815"/>
      <c r="AC13" s="815"/>
      <c r="AD13" s="327"/>
      <c r="AE13" s="327"/>
      <c r="AF13" s="327">
        <f t="shared" ref="AF13:AF15" si="50">IF((AF$3-AL$3)&lt;0,1,(1-G13*(AF$3-AK$3)/B13))</f>
        <v>0.99557546723600765</v>
      </c>
      <c r="AG13" s="327">
        <f t="shared" ref="AG13:AG15" si="51">IF((AG$3-AM$3)&lt;0,1,(1-H13*(AG$3-AL$3)/C13))</f>
        <v>0.97824896633919889</v>
      </c>
      <c r="AH13" s="327">
        <f t="shared" ref="AH13:AI15" si="52">IF((AH$3-AN$3)&lt;0,1,(1-I13*(AH$3-AM$3)/D13))</f>
        <v>0.97866596727592281</v>
      </c>
      <c r="AI13" s="327">
        <f t="shared" si="52"/>
        <v>0.97491966227176208</v>
      </c>
      <c r="AJ13" s="327">
        <f t="shared" si="30"/>
        <v>0.97369072296151937</v>
      </c>
      <c r="AK13" s="815"/>
      <c r="AL13" s="815"/>
      <c r="AM13" s="815"/>
      <c r="AN13" s="327"/>
      <c r="AO13" s="327"/>
      <c r="AP13" s="327">
        <f t="shared" ref="AP13:AP35" si="53">IF((AP$3-AU$3)&lt;0,1,(1-G13*(AP$3-AU$3)/B13))</f>
        <v>0.99848753216741082</v>
      </c>
      <c r="AQ13" s="327">
        <f t="shared" ref="AQ13:AQ35" si="54">IF((AQ$3-AV$3)&lt;0,1,(1-H13*(AQ$3-AV$3)/C13))</f>
        <v>0.99914701828781172</v>
      </c>
      <c r="AR13" s="327">
        <f t="shared" ref="AR13:AS35" si="55">IF((AR$3-AW$3)&lt;0,1,(1-I13*(AR$3-AW$3)/D13))</f>
        <v>0.99980866338364061</v>
      </c>
      <c r="AS13" s="327">
        <f t="shared" si="55"/>
        <v>0.99980322131596955</v>
      </c>
      <c r="AT13" s="327">
        <f t="shared" si="34"/>
        <v>0.9998804899810062</v>
      </c>
      <c r="AU13" s="814"/>
      <c r="AV13" s="814"/>
      <c r="AW13" s="814"/>
      <c r="AX13" s="327"/>
      <c r="AY13" s="327"/>
      <c r="AZ13" s="327">
        <f t="shared" ref="AZ13:AZ35" si="56">IF((AZ$3-BE$3)&lt;0,1,(1-G13*(AZ$3-BE$3)/B13))</f>
        <v>0.99742654726992286</v>
      </c>
      <c r="BA13" s="327">
        <f t="shared" ref="BA13:BA35" si="57">IF((BA$3-BF$3)&lt;0,1,(1-H13*(BA$3-BF$3)/C13))</f>
        <v>0.99971567276260387</v>
      </c>
      <c r="BB13" s="327">
        <f t="shared" ref="BB13:BC35" si="58">IF((BB$3-BG$3)&lt;0,1,(1-I13*(BB$3-BG$3)/D13))</f>
        <v>0.99990433169182025</v>
      </c>
      <c r="BC13" s="327">
        <f t="shared" si="58"/>
        <v>0.9998389992585206</v>
      </c>
      <c r="BD13" s="327">
        <f t="shared" si="38"/>
        <v>0.99989756284086251</v>
      </c>
      <c r="BE13" s="815"/>
      <c r="BF13" s="815"/>
      <c r="BG13" s="815"/>
      <c r="BH13" s="327"/>
      <c r="BI13" s="327"/>
      <c r="BJ13" s="327">
        <f t="shared" ref="BJ13:BJ35" si="59">IF((AZ$3-BE$3)&lt;0,1,(1-G13*(BJ$3-BO$3)/B13))</f>
        <v>0.98117316160627766</v>
      </c>
      <c r="BK13" s="327">
        <f t="shared" ref="BK13:BK35" si="60">IF((BA$3-BF$3)&lt;0,1,(1-H13*(BK$3-BP$3)/C13))</f>
        <v>0.98263572943045296</v>
      </c>
      <c r="BL13" s="327">
        <f t="shared" ref="BL13:BM35" si="61">IF((BB$3-BG$3)&lt;0,1,(1-I13*(BL$3-BQ$3)/D13))</f>
        <v>0.97742227926958647</v>
      </c>
      <c r="BM13" s="327">
        <f t="shared" si="61"/>
        <v>0.97769245281946315</v>
      </c>
      <c r="BN13" s="327">
        <f t="shared" si="40"/>
        <v>0.97676383773564435</v>
      </c>
      <c r="BO13" s="815"/>
      <c r="BP13" s="815"/>
      <c r="BQ13" s="815"/>
      <c r="BR13" s="327"/>
      <c r="BS13" s="327"/>
    </row>
    <row r="14" spans="1:71">
      <c r="A14" s="336" t="s">
        <v>171</v>
      </c>
      <c r="B14" s="75">
        <f>COMB!L14</f>
        <v>2464676937.9623203</v>
      </c>
      <c r="C14" s="59">
        <f>COMB!M14</f>
        <v>2729301584.6701398</v>
      </c>
      <c r="D14" s="59">
        <f>COMB!N14</f>
        <v>2904608129.8337913</v>
      </c>
      <c r="E14" s="59">
        <f>COMB!O14</f>
        <v>3165970616.9376187</v>
      </c>
      <c r="F14" s="59">
        <f>COMB!P14</f>
        <v>3348947410</v>
      </c>
      <c r="G14" s="872">
        <f t="shared" ref="G14:G19" si="62">B14/B$3</f>
        <v>5.563797890138019E-2</v>
      </c>
      <c r="H14" s="872">
        <f t="shared" si="41"/>
        <v>5.5429627113574194E-2</v>
      </c>
      <c r="I14" s="872">
        <f t="shared" si="42"/>
        <v>5.5575789141250949E-2</v>
      </c>
      <c r="J14" s="872">
        <f t="shared" si="43"/>
        <v>5.6635957425444472E-2</v>
      </c>
      <c r="K14" s="326">
        <f t="shared" si="14"/>
        <v>5.7176109796880037E-2</v>
      </c>
      <c r="L14" s="327">
        <f t="shared" si="44"/>
        <v>1.0372143209548697</v>
      </c>
      <c r="M14" s="327">
        <f t="shared" si="45"/>
        <v>1.0438668339229833</v>
      </c>
      <c r="N14" s="327">
        <f t="shared" si="46"/>
        <v>1.0297162682615812</v>
      </c>
      <c r="O14" s="327">
        <f t="shared" si="46"/>
        <v>1.0303689675257104</v>
      </c>
      <c r="P14" s="327">
        <f t="shared" si="26"/>
        <v>1.0357762617589501</v>
      </c>
      <c r="Q14" s="814"/>
      <c r="R14" s="815"/>
      <c r="S14" s="815"/>
      <c r="T14" s="327"/>
      <c r="U14" s="327"/>
      <c r="V14" s="327">
        <f t="shared" si="47"/>
        <v>0.95471626160934409</v>
      </c>
      <c r="W14" s="327">
        <f t="shared" si="48"/>
        <v>0.94817120644036934</v>
      </c>
      <c r="X14" s="327">
        <f t="shared" si="49"/>
        <v>0.95293119237557855</v>
      </c>
      <c r="Y14" s="327">
        <f t="shared" si="49"/>
        <v>0.94404329785026531</v>
      </c>
      <c r="Z14" s="327">
        <f t="shared" si="28"/>
        <v>0.94664731294922</v>
      </c>
      <c r="AA14" s="815"/>
      <c r="AB14" s="815"/>
      <c r="AC14" s="815"/>
      <c r="AD14" s="327"/>
      <c r="AE14" s="327"/>
      <c r="AF14" s="327">
        <f t="shared" si="50"/>
        <v>0.99557546723600765</v>
      </c>
      <c r="AG14" s="327">
        <f t="shared" si="51"/>
        <v>0.97824896633919889</v>
      </c>
      <c r="AH14" s="327">
        <f t="shared" si="52"/>
        <v>0.97866596727592281</v>
      </c>
      <c r="AI14" s="327">
        <f t="shared" si="52"/>
        <v>0.97491966227176208</v>
      </c>
      <c r="AJ14" s="327">
        <f t="shared" si="30"/>
        <v>0.97369072296151937</v>
      </c>
      <c r="AK14" s="815"/>
      <c r="AL14" s="815"/>
      <c r="AM14" s="815"/>
      <c r="AN14" s="327"/>
      <c r="AO14" s="327"/>
      <c r="AP14" s="327">
        <f t="shared" si="53"/>
        <v>0.99848753216741082</v>
      </c>
      <c r="AQ14" s="327">
        <f t="shared" si="54"/>
        <v>0.99914701828781172</v>
      </c>
      <c r="AR14" s="327">
        <f t="shared" si="55"/>
        <v>0.99980866338364061</v>
      </c>
      <c r="AS14" s="327">
        <f t="shared" si="55"/>
        <v>0.99980322131596955</v>
      </c>
      <c r="AT14" s="327">
        <f t="shared" si="34"/>
        <v>0.9998804899810062</v>
      </c>
      <c r="AU14" s="814"/>
      <c r="AV14" s="814"/>
      <c r="AW14" s="814"/>
      <c r="AX14" s="327"/>
      <c r="AY14" s="327"/>
      <c r="AZ14" s="327">
        <f t="shared" si="56"/>
        <v>0.99742654726992286</v>
      </c>
      <c r="BA14" s="327">
        <f t="shared" si="57"/>
        <v>0.99971567276260387</v>
      </c>
      <c r="BB14" s="327">
        <f t="shared" si="58"/>
        <v>0.99990433169182025</v>
      </c>
      <c r="BC14" s="327">
        <f t="shared" si="58"/>
        <v>0.9998389992585206</v>
      </c>
      <c r="BD14" s="327">
        <f t="shared" si="38"/>
        <v>0.99989756284086251</v>
      </c>
      <c r="BE14" s="814"/>
      <c r="BF14" s="815"/>
      <c r="BG14" s="815"/>
      <c r="BH14" s="327"/>
      <c r="BI14" s="327"/>
      <c r="BJ14" s="327">
        <f t="shared" si="59"/>
        <v>0.98117316160627766</v>
      </c>
      <c r="BK14" s="327">
        <f t="shared" si="60"/>
        <v>0.98263572943045296</v>
      </c>
      <c r="BL14" s="327">
        <f t="shared" si="61"/>
        <v>0.97742227926958647</v>
      </c>
      <c r="BM14" s="327">
        <f t="shared" si="61"/>
        <v>0.97769245281946315</v>
      </c>
      <c r="BN14" s="327">
        <f t="shared" si="40"/>
        <v>0.97676383773564435</v>
      </c>
      <c r="BO14" s="814"/>
      <c r="BP14" s="815"/>
      <c r="BQ14" s="815"/>
      <c r="BR14" s="327"/>
      <c r="BS14" s="327"/>
    </row>
    <row r="15" spans="1:71">
      <c r="A15" s="336" t="s">
        <v>172</v>
      </c>
      <c r="B15" s="75">
        <f>COMB!L15</f>
        <v>741773503.20722604</v>
      </c>
      <c r="C15" s="59">
        <f>COMB!M15</f>
        <v>848217090.16580796</v>
      </c>
      <c r="D15" s="59">
        <f>COMB!N15</f>
        <v>906733974.2437768</v>
      </c>
      <c r="E15" s="59">
        <f>COMB!O15</f>
        <v>1028555971.272519</v>
      </c>
      <c r="F15" s="59">
        <f>COMB!P15</f>
        <v>1117640399</v>
      </c>
      <c r="G15" s="872">
        <f t="shared" si="62"/>
        <v>1.6744903920416956E-2</v>
      </c>
      <c r="H15" s="872">
        <f t="shared" si="41"/>
        <v>1.7226515854214041E-2</v>
      </c>
      <c r="I15" s="872">
        <f t="shared" si="42"/>
        <v>1.7349141056994904E-2</v>
      </c>
      <c r="J15" s="872">
        <f t="shared" si="43"/>
        <v>1.8399808225328478E-2</v>
      </c>
      <c r="K15" s="326">
        <f t="shared" si="14"/>
        <v>1.9081317901809874E-2</v>
      </c>
      <c r="L15" s="327">
        <f t="shared" si="44"/>
        <v>1.0372143209548699</v>
      </c>
      <c r="M15" s="327">
        <f t="shared" si="45"/>
        <v>1.0438668339229833</v>
      </c>
      <c r="N15" s="327">
        <f t="shared" si="46"/>
        <v>1.0297162682615815</v>
      </c>
      <c r="O15" s="327">
        <f t="shared" si="46"/>
        <v>1.0303689675257106</v>
      </c>
      <c r="P15" s="327">
        <f t="shared" si="26"/>
        <v>1.0357762617589501</v>
      </c>
      <c r="Q15" s="815"/>
      <c r="R15" s="815"/>
      <c r="S15" s="815"/>
      <c r="T15" s="327"/>
      <c r="U15" s="327"/>
      <c r="V15" s="327">
        <f t="shared" si="47"/>
        <v>0.95471626160934409</v>
      </c>
      <c r="W15" s="327">
        <f t="shared" si="48"/>
        <v>0.94817120644036945</v>
      </c>
      <c r="X15" s="327">
        <f t="shared" si="49"/>
        <v>0.95293119237557855</v>
      </c>
      <c r="Y15" s="327">
        <f t="shared" si="49"/>
        <v>0.9440432978502652</v>
      </c>
      <c r="Z15" s="327">
        <f t="shared" si="28"/>
        <v>0.94664731294922</v>
      </c>
      <c r="AA15" s="815"/>
      <c r="AB15" s="815"/>
      <c r="AC15" s="815"/>
      <c r="AD15" s="327"/>
      <c r="AE15" s="327"/>
      <c r="AF15" s="327">
        <f t="shared" si="50"/>
        <v>0.99557546723600765</v>
      </c>
      <c r="AG15" s="327">
        <f t="shared" si="51"/>
        <v>0.97824896633919889</v>
      </c>
      <c r="AH15" s="327">
        <f t="shared" si="52"/>
        <v>0.97866596727592281</v>
      </c>
      <c r="AI15" s="327">
        <f t="shared" si="52"/>
        <v>0.97491966227176208</v>
      </c>
      <c r="AJ15" s="327">
        <f t="shared" si="30"/>
        <v>0.97369072296151937</v>
      </c>
      <c r="AK15" s="815"/>
      <c r="AL15" s="815"/>
      <c r="AM15" s="815"/>
      <c r="AN15" s="327"/>
      <c r="AO15" s="327"/>
      <c r="AP15" s="327">
        <f t="shared" si="53"/>
        <v>0.99848753216741082</v>
      </c>
      <c r="AQ15" s="327">
        <f t="shared" si="54"/>
        <v>0.99914701828781172</v>
      </c>
      <c r="AR15" s="327">
        <f t="shared" si="55"/>
        <v>0.99980866338364061</v>
      </c>
      <c r="AS15" s="327">
        <f t="shared" si="55"/>
        <v>0.99980322131596955</v>
      </c>
      <c r="AT15" s="327">
        <f t="shared" si="34"/>
        <v>0.9998804899810062</v>
      </c>
      <c r="AU15" s="814"/>
      <c r="AV15" s="814"/>
      <c r="AW15" s="814"/>
      <c r="AX15" s="327"/>
      <c r="AY15" s="327"/>
      <c r="AZ15" s="327">
        <f t="shared" si="56"/>
        <v>0.99742654726992286</v>
      </c>
      <c r="BA15" s="327">
        <f t="shared" si="57"/>
        <v>0.99971567276260387</v>
      </c>
      <c r="BB15" s="327">
        <f t="shared" si="58"/>
        <v>0.99990433169182025</v>
      </c>
      <c r="BC15" s="327">
        <f t="shared" si="58"/>
        <v>0.9998389992585206</v>
      </c>
      <c r="BD15" s="327">
        <f t="shared" si="38"/>
        <v>0.99989756284086251</v>
      </c>
      <c r="BE15" s="815"/>
      <c r="BF15" s="815"/>
      <c r="BG15" s="815"/>
      <c r="BH15" s="327"/>
      <c r="BI15" s="327"/>
      <c r="BJ15" s="327">
        <f t="shared" si="59"/>
        <v>0.98117316160627766</v>
      </c>
      <c r="BK15" s="327">
        <f t="shared" si="60"/>
        <v>0.98263572943045296</v>
      </c>
      <c r="BL15" s="327">
        <f t="shared" si="61"/>
        <v>0.97742227926958647</v>
      </c>
      <c r="BM15" s="327">
        <f t="shared" si="61"/>
        <v>0.97769245281946315</v>
      </c>
      <c r="BN15" s="327">
        <f t="shared" si="40"/>
        <v>0.97676383773564435</v>
      </c>
      <c r="BO15" s="815"/>
      <c r="BP15" s="815"/>
      <c r="BQ15" s="815"/>
      <c r="BR15" s="327"/>
      <c r="BS15" s="327"/>
    </row>
    <row r="16" spans="1:71">
      <c r="A16" s="336" t="s">
        <v>173</v>
      </c>
      <c r="B16" s="75">
        <f>COMB!L16</f>
        <v>898698261.95970404</v>
      </c>
      <c r="C16" s="59">
        <f>COMB!M16</f>
        <v>992051840.99780202</v>
      </c>
      <c r="D16" s="59">
        <f>COMB!N16</f>
        <v>1073723938.3452269</v>
      </c>
      <c r="E16" s="59">
        <f>COMB!O16</f>
        <v>1203183919.1896842</v>
      </c>
      <c r="F16" s="59">
        <f>COMB!P16</f>
        <v>1214221924</v>
      </c>
      <c r="G16" s="872">
        <f t="shared" si="62"/>
        <v>2.0287346453998215E-2</v>
      </c>
      <c r="H16" s="872">
        <f t="shared" si="41"/>
        <v>2.0147668521758057E-2</v>
      </c>
      <c r="I16" s="872">
        <f t="shared" si="42"/>
        <v>2.0544270526710432E-2</v>
      </c>
      <c r="J16" s="872">
        <f t="shared" si="43"/>
        <v>2.1523722569516523E-2</v>
      </c>
      <c r="K16" s="326">
        <f t="shared" si="14"/>
        <v>2.073024074283774E-2</v>
      </c>
      <c r="L16" s="327">
        <f>(G16*(L$3-Q$3))/B16</f>
        <v>1.0372143209548697</v>
      </c>
      <c r="M16" s="327">
        <f t="shared" ref="M16:M26" si="63">(H16*(M$3-R$3))/C16</f>
        <v>1.0438668339229833</v>
      </c>
      <c r="N16" s="327">
        <f t="shared" ref="N16:O26" si="64">(I16*(N$3-S$3))/D16</f>
        <v>1.0297162682615815</v>
      </c>
      <c r="O16" s="327">
        <f t="shared" si="64"/>
        <v>1.0303689675257104</v>
      </c>
      <c r="P16" s="327">
        <f t="shared" si="26"/>
        <v>1.0357762617589501</v>
      </c>
      <c r="Q16" s="814"/>
      <c r="R16" s="814"/>
      <c r="S16" s="814"/>
      <c r="T16" s="327"/>
      <c r="U16" s="327"/>
      <c r="V16" s="327">
        <f>1-G16*(V$3-AA$3)/B16</f>
        <v>0.95471626160934409</v>
      </c>
      <c r="W16" s="327">
        <f t="shared" ref="W16:Y16" si="65">1-H16*(W$3-AB$3)/C16</f>
        <v>0.94817120644036934</v>
      </c>
      <c r="X16" s="327">
        <f t="shared" si="65"/>
        <v>0.95293119237557855</v>
      </c>
      <c r="Y16" s="327">
        <f t="shared" si="65"/>
        <v>0.9440432978502652</v>
      </c>
      <c r="Z16" s="327">
        <f t="shared" si="28"/>
        <v>0.94664731294922</v>
      </c>
      <c r="AA16" s="814"/>
      <c r="AB16" s="814"/>
      <c r="AC16" s="814"/>
      <c r="AD16" s="327"/>
      <c r="AE16" s="327"/>
      <c r="AF16" s="327">
        <f>IF((AF$3-AL$3)&lt;0,1,(1-G16*(AF$3-AK$3)/B16))</f>
        <v>0.99557546723600765</v>
      </c>
      <c r="AG16" s="327">
        <f t="shared" ref="AG16:AG21" si="66">IF((AG$3-AM$3)&lt;0,1,(1-H16*(AG$3-AL$3)/C16))</f>
        <v>0.97824896633919889</v>
      </c>
      <c r="AH16" s="327">
        <f t="shared" ref="AH16:AI21" si="67">IF((AH$3-AN$3)&lt;0,1,(1-I16*(AH$3-AM$3)/D16))</f>
        <v>0.97866596727592281</v>
      </c>
      <c r="AI16" s="327">
        <f t="shared" si="67"/>
        <v>0.97491966227176208</v>
      </c>
      <c r="AJ16" s="327">
        <f t="shared" si="30"/>
        <v>0.97369072296151937</v>
      </c>
      <c r="AK16" s="814"/>
      <c r="AL16" s="814"/>
      <c r="AM16" s="814"/>
      <c r="AN16" s="327"/>
      <c r="AO16" s="327"/>
      <c r="AP16" s="327">
        <f t="shared" si="53"/>
        <v>0.99848753216741082</v>
      </c>
      <c r="AQ16" s="327">
        <f t="shared" si="54"/>
        <v>0.99914701828781172</v>
      </c>
      <c r="AR16" s="327">
        <f t="shared" si="55"/>
        <v>0.99980866338364061</v>
      </c>
      <c r="AS16" s="327">
        <f t="shared" si="55"/>
        <v>0.99980322131596955</v>
      </c>
      <c r="AT16" s="327">
        <f t="shared" si="34"/>
        <v>0.9998804899810062</v>
      </c>
      <c r="AU16" s="814"/>
      <c r="AV16" s="814"/>
      <c r="AW16" s="814"/>
      <c r="AX16" s="327"/>
      <c r="AY16" s="327"/>
      <c r="AZ16" s="327">
        <f t="shared" si="56"/>
        <v>0.99742654726992286</v>
      </c>
      <c r="BA16" s="327">
        <f t="shared" si="57"/>
        <v>0.99971567276260387</v>
      </c>
      <c r="BB16" s="327">
        <f t="shared" si="58"/>
        <v>0.99990433169182025</v>
      </c>
      <c r="BC16" s="327">
        <f t="shared" si="58"/>
        <v>0.9998389992585206</v>
      </c>
      <c r="BD16" s="327">
        <f t="shared" si="38"/>
        <v>0.99989756284086251</v>
      </c>
      <c r="BE16" s="814"/>
      <c r="BF16" s="814"/>
      <c r="BG16" s="814"/>
      <c r="BH16" s="327"/>
      <c r="BI16" s="327"/>
      <c r="BJ16" s="327">
        <f t="shared" si="59"/>
        <v>0.98117316160627766</v>
      </c>
      <c r="BK16" s="327">
        <f t="shared" si="60"/>
        <v>0.98263572943045296</v>
      </c>
      <c r="BL16" s="327">
        <f t="shared" si="61"/>
        <v>0.97742227926958647</v>
      </c>
      <c r="BM16" s="327">
        <f t="shared" si="61"/>
        <v>0.97769245281946315</v>
      </c>
      <c r="BN16" s="327">
        <f t="shared" si="40"/>
        <v>0.97676383773564435</v>
      </c>
      <c r="BO16" s="814"/>
      <c r="BP16" s="814"/>
      <c r="BQ16" s="814"/>
      <c r="BR16" s="327"/>
      <c r="BS16" s="327"/>
    </row>
    <row r="17" spans="1:71">
      <c r="A17" s="336" t="s">
        <v>174</v>
      </c>
      <c r="B17" s="75">
        <f>COMB!L17</f>
        <v>368256888.75391996</v>
      </c>
      <c r="C17" s="59">
        <f>COMB!M17</f>
        <v>403687145.51737797</v>
      </c>
      <c r="D17" s="59">
        <f>COMB!N17</f>
        <v>429021568.87595439</v>
      </c>
      <c r="E17" s="59">
        <f>COMB!O17</f>
        <v>467435777.73624778</v>
      </c>
      <c r="F17" s="59">
        <f>COMB!P17</f>
        <v>482949689</v>
      </c>
      <c r="G17" s="872">
        <f t="shared" si="62"/>
        <v>8.313085050293819E-3</v>
      </c>
      <c r="H17" s="872">
        <f t="shared" si="41"/>
        <v>8.1985179183764658E-3</v>
      </c>
      <c r="I17" s="872">
        <f t="shared" si="42"/>
        <v>8.2087535333942203E-3</v>
      </c>
      <c r="J17" s="872">
        <f t="shared" si="43"/>
        <v>8.3619452010603671E-3</v>
      </c>
      <c r="K17" s="326">
        <f t="shared" si="14"/>
        <v>8.2453323579163244E-3</v>
      </c>
      <c r="L17" s="327">
        <f t="shared" ref="L17:L26" si="68">(G17*(L$3-Q$3))/B17</f>
        <v>1.0372143209548697</v>
      </c>
      <c r="M17" s="327">
        <f t="shared" si="63"/>
        <v>1.0438668339229833</v>
      </c>
      <c r="N17" s="327">
        <f t="shared" si="64"/>
        <v>1.0297162682615815</v>
      </c>
      <c r="O17" s="327">
        <f t="shared" si="64"/>
        <v>1.0303689675257104</v>
      </c>
      <c r="P17" s="327">
        <f t="shared" si="26"/>
        <v>1.0357762617589501</v>
      </c>
      <c r="Q17" s="814"/>
      <c r="R17" s="814"/>
      <c r="S17" s="814"/>
      <c r="T17" s="327"/>
      <c r="U17" s="327"/>
      <c r="V17" s="327">
        <f t="shared" ref="V17:V21" si="69">1-G17*(V$3-AA$3)/B17</f>
        <v>0.95471626160934409</v>
      </c>
      <c r="W17" s="327">
        <f t="shared" ref="W17:W21" si="70">1-H17*(W$3-AB$3)/C17</f>
        <v>0.94817120644036945</v>
      </c>
      <c r="X17" s="327">
        <f t="shared" ref="X17:Y21" si="71">1-I17*(X$3-AC$3)/D17</f>
        <v>0.95293119237557855</v>
      </c>
      <c r="Y17" s="327">
        <f t="shared" si="71"/>
        <v>0.94404329785026531</v>
      </c>
      <c r="Z17" s="327">
        <f t="shared" si="28"/>
        <v>0.94664731294922</v>
      </c>
      <c r="AA17" s="814"/>
      <c r="AB17" s="814"/>
      <c r="AC17" s="814"/>
      <c r="AD17" s="327"/>
      <c r="AE17" s="327"/>
      <c r="AF17" s="327">
        <f t="shared" ref="AF17:AF21" si="72">IF((AF$3-AL$3)&lt;0,1,(1-G17*(AF$3-AK$3)/B17))</f>
        <v>0.99557546723600765</v>
      </c>
      <c r="AG17" s="327">
        <f t="shared" si="66"/>
        <v>0.97824896633919889</v>
      </c>
      <c r="AH17" s="327">
        <f t="shared" si="67"/>
        <v>0.97866596727592281</v>
      </c>
      <c r="AI17" s="327">
        <f t="shared" si="67"/>
        <v>0.97491966227176208</v>
      </c>
      <c r="AJ17" s="327">
        <f t="shared" si="30"/>
        <v>0.97369072296151937</v>
      </c>
      <c r="AK17" s="814"/>
      <c r="AL17" s="814"/>
      <c r="AM17" s="814"/>
      <c r="AN17" s="327"/>
      <c r="AO17" s="327"/>
      <c r="AP17" s="327">
        <f t="shared" si="53"/>
        <v>0.99848753216741082</v>
      </c>
      <c r="AQ17" s="327">
        <f t="shared" si="54"/>
        <v>0.99914701828781172</v>
      </c>
      <c r="AR17" s="327">
        <f t="shared" si="55"/>
        <v>0.99980866338364061</v>
      </c>
      <c r="AS17" s="327">
        <f t="shared" si="55"/>
        <v>0.99980322131596955</v>
      </c>
      <c r="AT17" s="327">
        <f t="shared" si="34"/>
        <v>0.9998804899810062</v>
      </c>
      <c r="AU17" s="814"/>
      <c r="AV17" s="814"/>
      <c r="AW17" s="814"/>
      <c r="AX17" s="327"/>
      <c r="AY17" s="327"/>
      <c r="AZ17" s="327">
        <f t="shared" si="56"/>
        <v>0.99742654726992286</v>
      </c>
      <c r="BA17" s="327">
        <f t="shared" si="57"/>
        <v>0.99971567276260387</v>
      </c>
      <c r="BB17" s="327">
        <f t="shared" si="58"/>
        <v>0.99990433169182025</v>
      </c>
      <c r="BC17" s="327">
        <f t="shared" si="58"/>
        <v>0.9998389992585206</v>
      </c>
      <c r="BD17" s="327">
        <f t="shared" si="38"/>
        <v>0.99989756284086251</v>
      </c>
      <c r="BE17" s="814"/>
      <c r="BF17" s="814"/>
      <c r="BG17" s="814"/>
      <c r="BH17" s="327"/>
      <c r="BI17" s="327"/>
      <c r="BJ17" s="327">
        <f t="shared" si="59"/>
        <v>0.98117316160627766</v>
      </c>
      <c r="BK17" s="327">
        <f t="shared" si="60"/>
        <v>0.98263572943045296</v>
      </c>
      <c r="BL17" s="327">
        <f t="shared" si="61"/>
        <v>0.97742227926958647</v>
      </c>
      <c r="BM17" s="327">
        <f t="shared" si="61"/>
        <v>0.97769245281946315</v>
      </c>
      <c r="BN17" s="327">
        <f t="shared" si="40"/>
        <v>0.97676383773564435</v>
      </c>
      <c r="BO17" s="814"/>
      <c r="BP17" s="814"/>
      <c r="BQ17" s="814"/>
      <c r="BR17" s="327"/>
      <c r="BS17" s="327"/>
    </row>
    <row r="18" spans="1:71">
      <c r="A18" s="336" t="s">
        <v>175</v>
      </c>
      <c r="B18" s="75">
        <f>COMB!L18</f>
        <v>1056328996.7124599</v>
      </c>
      <c r="C18" s="59">
        <f>COMB!M18</f>
        <v>1209430715.85289</v>
      </c>
      <c r="D18" s="59">
        <f>COMB!N18</f>
        <v>1298884251.3705549</v>
      </c>
      <c r="E18" s="59">
        <f>COMB!O18</f>
        <v>1470516816.8470907</v>
      </c>
      <c r="F18" s="59">
        <f>COMB!P18</f>
        <v>1549418213</v>
      </c>
      <c r="G18" s="872">
        <f t="shared" si="62"/>
        <v>2.3845725793415304E-2</v>
      </c>
      <c r="H18" s="872">
        <f t="shared" si="41"/>
        <v>2.4562435304316496E-2</v>
      </c>
      <c r="I18" s="872">
        <f t="shared" si="42"/>
        <v>2.4852411769980223E-2</v>
      </c>
      <c r="J18" s="872">
        <f t="shared" si="43"/>
        <v>2.6306033096703551E-2</v>
      </c>
      <c r="K18" s="326">
        <f t="shared" si="14"/>
        <v>2.6453000009269676E-2</v>
      </c>
      <c r="L18" s="327">
        <f t="shared" si="68"/>
        <v>1.0372143209548697</v>
      </c>
      <c r="M18" s="327">
        <f t="shared" si="63"/>
        <v>1.0438668339229833</v>
      </c>
      <c r="N18" s="327">
        <f t="shared" si="64"/>
        <v>1.0297162682615815</v>
      </c>
      <c r="O18" s="327">
        <f t="shared" si="64"/>
        <v>1.0303689675257106</v>
      </c>
      <c r="P18" s="327">
        <f t="shared" si="26"/>
        <v>1.0357762617589501</v>
      </c>
      <c r="Q18" s="814"/>
      <c r="R18" s="814"/>
      <c r="S18" s="814"/>
      <c r="T18" s="327"/>
      <c r="U18" s="327"/>
      <c r="V18" s="327">
        <f t="shared" si="69"/>
        <v>0.95471626160934409</v>
      </c>
      <c r="W18" s="327">
        <f t="shared" si="70"/>
        <v>0.94817120644036934</v>
      </c>
      <c r="X18" s="327">
        <f t="shared" si="71"/>
        <v>0.95293119237557855</v>
      </c>
      <c r="Y18" s="327">
        <f t="shared" si="71"/>
        <v>0.94404329785026531</v>
      </c>
      <c r="Z18" s="327">
        <f t="shared" si="28"/>
        <v>0.94664731294922</v>
      </c>
      <c r="AA18" s="814"/>
      <c r="AB18" s="814"/>
      <c r="AC18" s="814"/>
      <c r="AD18" s="327"/>
      <c r="AE18" s="327"/>
      <c r="AF18" s="327">
        <f t="shared" si="72"/>
        <v>0.99557546723600765</v>
      </c>
      <c r="AG18" s="327">
        <f t="shared" si="66"/>
        <v>0.97824896633919889</v>
      </c>
      <c r="AH18" s="327">
        <f t="shared" si="67"/>
        <v>0.97866596727592281</v>
      </c>
      <c r="AI18" s="327">
        <f t="shared" si="67"/>
        <v>0.97491966227176208</v>
      </c>
      <c r="AJ18" s="327">
        <f t="shared" si="30"/>
        <v>0.97369072296151937</v>
      </c>
      <c r="AK18" s="814"/>
      <c r="AL18" s="814"/>
      <c r="AM18" s="814"/>
      <c r="AN18" s="327"/>
      <c r="AO18" s="327"/>
      <c r="AP18" s="327">
        <f t="shared" si="53"/>
        <v>0.99848753216741082</v>
      </c>
      <c r="AQ18" s="327">
        <f t="shared" si="54"/>
        <v>0.99914701828781172</v>
      </c>
      <c r="AR18" s="327">
        <f t="shared" si="55"/>
        <v>0.99980866338364061</v>
      </c>
      <c r="AS18" s="327">
        <f t="shared" si="55"/>
        <v>0.99980322131596955</v>
      </c>
      <c r="AT18" s="327">
        <f t="shared" si="34"/>
        <v>0.9998804899810062</v>
      </c>
      <c r="AU18" s="814"/>
      <c r="AV18" s="814"/>
      <c r="AW18" s="814"/>
      <c r="AX18" s="327"/>
      <c r="AY18" s="327"/>
      <c r="AZ18" s="327">
        <f t="shared" si="56"/>
        <v>0.99742654726992286</v>
      </c>
      <c r="BA18" s="327">
        <f t="shared" si="57"/>
        <v>0.99971567276260387</v>
      </c>
      <c r="BB18" s="327">
        <f t="shared" si="58"/>
        <v>0.99990433169182025</v>
      </c>
      <c r="BC18" s="327">
        <f t="shared" si="58"/>
        <v>0.9998389992585206</v>
      </c>
      <c r="BD18" s="327">
        <f t="shared" si="38"/>
        <v>0.99989756284086251</v>
      </c>
      <c r="BE18" s="814"/>
      <c r="BF18" s="814"/>
      <c r="BG18" s="814"/>
      <c r="BH18" s="327"/>
      <c r="BI18" s="327"/>
      <c r="BJ18" s="327">
        <f t="shared" si="59"/>
        <v>0.98117316160627766</v>
      </c>
      <c r="BK18" s="327">
        <f t="shared" si="60"/>
        <v>0.98263572943045296</v>
      </c>
      <c r="BL18" s="327">
        <f t="shared" si="61"/>
        <v>0.97742227926958647</v>
      </c>
      <c r="BM18" s="327">
        <f t="shared" si="61"/>
        <v>0.97769245281946315</v>
      </c>
      <c r="BN18" s="327">
        <f t="shared" si="40"/>
        <v>0.97676383773564435</v>
      </c>
      <c r="BO18" s="814"/>
      <c r="BP18" s="814"/>
      <c r="BQ18" s="814"/>
      <c r="BR18" s="327"/>
      <c r="BS18" s="327"/>
    </row>
    <row r="19" spans="1:71">
      <c r="A19" s="336" t="s">
        <v>176</v>
      </c>
      <c r="B19" s="75">
        <f>COMB!L19</f>
        <v>388291904.22614598</v>
      </c>
      <c r="C19" s="59">
        <f>COMB!M19</f>
        <v>439751043.92721105</v>
      </c>
      <c r="D19" s="59">
        <f>COMB!N19</f>
        <v>443743209.06409448</v>
      </c>
      <c r="E19" s="59">
        <f>COMB!O19</f>
        <v>518735555.89228237</v>
      </c>
      <c r="F19" s="59">
        <f>COMB!P19</f>
        <v>550483151</v>
      </c>
      <c r="G19" s="872">
        <f t="shared" si="62"/>
        <v>8.7653584298038028E-3</v>
      </c>
      <c r="H19" s="872">
        <f t="shared" si="41"/>
        <v>8.9309428187051218E-3</v>
      </c>
      <c r="I19" s="872">
        <f t="shared" si="42"/>
        <v>8.4904324154802032E-3</v>
      </c>
      <c r="J19" s="872">
        <f t="shared" si="43"/>
        <v>9.2796454589327126E-3</v>
      </c>
      <c r="K19" s="326">
        <f t="shared" si="14"/>
        <v>9.3983216902496815E-3</v>
      </c>
      <c r="L19" s="327">
        <f t="shared" si="68"/>
        <v>1.0372143209548697</v>
      </c>
      <c r="M19" s="327">
        <f t="shared" si="63"/>
        <v>1.0438668339229833</v>
      </c>
      <c r="N19" s="327">
        <f t="shared" si="64"/>
        <v>1.0297162682615815</v>
      </c>
      <c r="O19" s="327">
        <f t="shared" si="64"/>
        <v>1.0303689675257104</v>
      </c>
      <c r="P19" s="327">
        <f t="shared" si="26"/>
        <v>1.0357762617589503</v>
      </c>
      <c r="Q19" s="814"/>
      <c r="R19" s="814"/>
      <c r="S19" s="814"/>
      <c r="T19" s="327"/>
      <c r="U19" s="327"/>
      <c r="V19" s="327">
        <f t="shared" si="69"/>
        <v>0.95471626160934409</v>
      </c>
      <c r="W19" s="327">
        <f t="shared" si="70"/>
        <v>0.94817120644036934</v>
      </c>
      <c r="X19" s="327">
        <f t="shared" si="71"/>
        <v>0.95293119237557855</v>
      </c>
      <c r="Y19" s="327">
        <f t="shared" si="71"/>
        <v>0.94404329785026531</v>
      </c>
      <c r="Z19" s="327">
        <f t="shared" si="28"/>
        <v>0.94664731294922</v>
      </c>
      <c r="AA19" s="814"/>
      <c r="AB19" s="814"/>
      <c r="AC19" s="814"/>
      <c r="AD19" s="327"/>
      <c r="AE19" s="327"/>
      <c r="AF19" s="327">
        <f t="shared" si="72"/>
        <v>0.99557546723600765</v>
      </c>
      <c r="AG19" s="327">
        <f t="shared" si="66"/>
        <v>0.97824896633919889</v>
      </c>
      <c r="AH19" s="327">
        <f t="shared" si="67"/>
        <v>0.97866596727592281</v>
      </c>
      <c r="AI19" s="327">
        <f t="shared" si="67"/>
        <v>0.97491966227176208</v>
      </c>
      <c r="AJ19" s="327">
        <f t="shared" si="30"/>
        <v>0.97369072296151937</v>
      </c>
      <c r="AK19" s="814"/>
      <c r="AL19" s="814"/>
      <c r="AM19" s="814"/>
      <c r="AN19" s="327"/>
      <c r="AO19" s="327"/>
      <c r="AP19" s="327">
        <f t="shared" si="53"/>
        <v>0.99848753216741082</v>
      </c>
      <c r="AQ19" s="327">
        <f t="shared" si="54"/>
        <v>0.99914701828781172</v>
      </c>
      <c r="AR19" s="327">
        <f t="shared" si="55"/>
        <v>0.99980866338364061</v>
      </c>
      <c r="AS19" s="327">
        <f t="shared" si="55"/>
        <v>0.99980322131596955</v>
      </c>
      <c r="AT19" s="327">
        <f t="shared" si="34"/>
        <v>0.9998804899810062</v>
      </c>
      <c r="AU19" s="814"/>
      <c r="AV19" s="814"/>
      <c r="AW19" s="814"/>
      <c r="AX19" s="327"/>
      <c r="AY19" s="327"/>
      <c r="AZ19" s="327">
        <f t="shared" si="56"/>
        <v>0.99742654726992286</v>
      </c>
      <c r="BA19" s="327">
        <f t="shared" si="57"/>
        <v>0.99971567276260387</v>
      </c>
      <c r="BB19" s="327">
        <f t="shared" si="58"/>
        <v>0.99990433169182025</v>
      </c>
      <c r="BC19" s="327">
        <f t="shared" si="58"/>
        <v>0.9998389992585206</v>
      </c>
      <c r="BD19" s="327">
        <f t="shared" si="38"/>
        <v>0.99989756284086251</v>
      </c>
      <c r="BE19" s="814"/>
      <c r="BF19" s="814"/>
      <c r="BG19" s="814"/>
      <c r="BH19" s="327"/>
      <c r="BI19" s="327"/>
      <c r="BJ19" s="327">
        <f t="shared" si="59"/>
        <v>0.98117316160627766</v>
      </c>
      <c r="BK19" s="327">
        <f t="shared" si="60"/>
        <v>0.98263572943045296</v>
      </c>
      <c r="BL19" s="327">
        <f t="shared" si="61"/>
        <v>0.97742227926958647</v>
      </c>
      <c r="BM19" s="327">
        <f t="shared" si="61"/>
        <v>0.97769245281946315</v>
      </c>
      <c r="BN19" s="327">
        <f t="shared" si="40"/>
        <v>0.97676383773564435</v>
      </c>
      <c r="BO19" s="814"/>
      <c r="BP19" s="814"/>
      <c r="BQ19" s="814"/>
      <c r="BR19" s="327"/>
      <c r="BS19" s="327"/>
    </row>
    <row r="20" spans="1:71">
      <c r="A20" s="336" t="s">
        <v>177</v>
      </c>
      <c r="B20" s="75">
        <f>COMB!L20</f>
        <v>387883273.30064899</v>
      </c>
      <c r="C20" s="59">
        <f>COMB!M20</f>
        <v>409139172.97051495</v>
      </c>
      <c r="D20" s="59">
        <f>COMB!N20</f>
        <v>437260888.74418187</v>
      </c>
      <c r="E20" s="59">
        <f>COMB!O20</f>
        <v>518410512.9771046</v>
      </c>
      <c r="F20" s="59">
        <f>COMB!P20</f>
        <v>562592719</v>
      </c>
      <c r="G20" s="872">
        <f>B20/B$3</f>
        <v>8.7561339353229763E-3</v>
      </c>
      <c r="H20" s="872">
        <f t="shared" ref="H20:H21" si="73">C20/C$3</f>
        <v>8.3092436258020447E-3</v>
      </c>
      <c r="I20" s="872">
        <f t="shared" ref="I20:I21" si="74">D20/D$3</f>
        <v>8.3664018918631934E-3</v>
      </c>
      <c r="J20" s="872">
        <f t="shared" ref="J20:J21" si="75">E20/E$3</f>
        <v>9.2738307755597972E-3</v>
      </c>
      <c r="K20" s="326">
        <f t="shared" si="14"/>
        <v>9.6050666476334059E-3</v>
      </c>
      <c r="L20" s="327">
        <f t="shared" si="68"/>
        <v>1.0372143209548697</v>
      </c>
      <c r="M20" s="327">
        <f t="shared" si="63"/>
        <v>1.0438668339229833</v>
      </c>
      <c r="N20" s="327">
        <f t="shared" si="64"/>
        <v>1.0297162682615812</v>
      </c>
      <c r="O20" s="327">
        <f t="shared" si="64"/>
        <v>1.0303689675257104</v>
      </c>
      <c r="P20" s="327">
        <f t="shared" si="26"/>
        <v>1.0357762617589501</v>
      </c>
      <c r="Q20" s="814"/>
      <c r="R20" s="814"/>
      <c r="S20" s="814"/>
      <c r="T20" s="327"/>
      <c r="U20" s="327"/>
      <c r="V20" s="327">
        <f t="shared" si="69"/>
        <v>0.95471626160934409</v>
      </c>
      <c r="W20" s="327">
        <f t="shared" si="70"/>
        <v>0.94817120644036934</v>
      </c>
      <c r="X20" s="327">
        <f t="shared" si="71"/>
        <v>0.95293119237557855</v>
      </c>
      <c r="Y20" s="327">
        <f t="shared" si="71"/>
        <v>0.9440432978502652</v>
      </c>
      <c r="Z20" s="327">
        <f t="shared" si="28"/>
        <v>0.94664731294922</v>
      </c>
      <c r="AA20" s="814"/>
      <c r="AB20" s="814"/>
      <c r="AC20" s="814"/>
      <c r="AD20" s="327"/>
      <c r="AE20" s="327"/>
      <c r="AF20" s="327">
        <f t="shared" si="72"/>
        <v>0.99557546723600765</v>
      </c>
      <c r="AG20" s="327">
        <f t="shared" si="66"/>
        <v>0.97824896633919889</v>
      </c>
      <c r="AH20" s="327">
        <f t="shared" si="67"/>
        <v>0.97866596727592281</v>
      </c>
      <c r="AI20" s="327">
        <f t="shared" si="67"/>
        <v>0.97491966227176208</v>
      </c>
      <c r="AJ20" s="327">
        <f t="shared" si="30"/>
        <v>0.97369072296151937</v>
      </c>
      <c r="AK20" s="814"/>
      <c r="AL20" s="814"/>
      <c r="AM20" s="814"/>
      <c r="AN20" s="327"/>
      <c r="AO20" s="327"/>
      <c r="AP20" s="327">
        <f t="shared" si="53"/>
        <v>0.99848753216741082</v>
      </c>
      <c r="AQ20" s="327">
        <f t="shared" si="54"/>
        <v>0.99914701828781172</v>
      </c>
      <c r="AR20" s="327">
        <f t="shared" si="55"/>
        <v>0.99980866338364061</v>
      </c>
      <c r="AS20" s="327">
        <f t="shared" si="55"/>
        <v>0.99980322131596955</v>
      </c>
      <c r="AT20" s="327">
        <f t="shared" si="34"/>
        <v>0.9998804899810062</v>
      </c>
      <c r="AU20" s="814"/>
      <c r="AV20" s="814"/>
      <c r="AW20" s="814"/>
      <c r="AX20" s="327"/>
      <c r="AY20" s="327"/>
      <c r="AZ20" s="327">
        <f t="shared" si="56"/>
        <v>0.99742654726992286</v>
      </c>
      <c r="BA20" s="327">
        <f t="shared" si="57"/>
        <v>0.99971567276260387</v>
      </c>
      <c r="BB20" s="327">
        <f t="shared" si="58"/>
        <v>0.99990433169182025</v>
      </c>
      <c r="BC20" s="327">
        <f t="shared" si="58"/>
        <v>0.9998389992585206</v>
      </c>
      <c r="BD20" s="327">
        <f t="shared" si="38"/>
        <v>0.99989756284086251</v>
      </c>
      <c r="BE20" s="814"/>
      <c r="BF20" s="814"/>
      <c r="BG20" s="814"/>
      <c r="BH20" s="327"/>
      <c r="BI20" s="327"/>
      <c r="BJ20" s="327">
        <f t="shared" si="59"/>
        <v>0.98117316160627766</v>
      </c>
      <c r="BK20" s="327">
        <f t="shared" si="60"/>
        <v>0.98263572943045296</v>
      </c>
      <c r="BL20" s="327">
        <f t="shared" si="61"/>
        <v>0.97742227926958647</v>
      </c>
      <c r="BM20" s="327">
        <f t="shared" si="61"/>
        <v>0.97769245281946315</v>
      </c>
      <c r="BN20" s="327">
        <f t="shared" si="40"/>
        <v>0.97676383773564435</v>
      </c>
      <c r="BO20" s="814"/>
      <c r="BP20" s="814"/>
      <c r="BQ20" s="814"/>
      <c r="BR20" s="327"/>
      <c r="BS20" s="327"/>
    </row>
    <row r="21" spans="1:71">
      <c r="A21" s="336" t="s">
        <v>178</v>
      </c>
      <c r="B21" s="75">
        <f>COMB!L21</f>
        <v>294802829.20713896</v>
      </c>
      <c r="C21" s="59">
        <f>COMB!M21</f>
        <v>326690621.68476605</v>
      </c>
      <c r="D21" s="59">
        <f>COMB!N21</f>
        <v>337299598.89417487</v>
      </c>
      <c r="E21" s="59">
        <f>COMB!O21</f>
        <v>355820377.3619566</v>
      </c>
      <c r="F21" s="59">
        <f>COMB!P21</f>
        <v>364626441</v>
      </c>
      <c r="G21" s="872">
        <f t="shared" ref="G21" si="76">B21/B$3</f>
        <v>6.6549223303296635E-3</v>
      </c>
      <c r="H21" s="872">
        <f t="shared" si="73"/>
        <v>6.6347887104886835E-3</v>
      </c>
      <c r="I21" s="872">
        <f t="shared" si="74"/>
        <v>6.4537763951806673E-3</v>
      </c>
      <c r="J21" s="872">
        <f t="shared" si="75"/>
        <v>6.3652605098622845E-3</v>
      </c>
      <c r="K21" s="326">
        <f t="shared" si="14"/>
        <v>6.2252161270760593E-3</v>
      </c>
      <c r="L21" s="327">
        <f t="shared" si="68"/>
        <v>1.0372143209548697</v>
      </c>
      <c r="M21" s="327">
        <f t="shared" si="63"/>
        <v>1.0438668339229833</v>
      </c>
      <c r="N21" s="327">
        <f t="shared" si="64"/>
        <v>1.0297162682615815</v>
      </c>
      <c r="O21" s="327">
        <f t="shared" si="64"/>
        <v>1.0303689675257104</v>
      </c>
      <c r="P21" s="327">
        <f t="shared" si="26"/>
        <v>1.0357762617589501</v>
      </c>
      <c r="Q21" s="814"/>
      <c r="R21" s="814"/>
      <c r="S21" s="814"/>
      <c r="T21" s="327"/>
      <c r="U21" s="327"/>
      <c r="V21" s="327">
        <f t="shared" si="69"/>
        <v>0.95471626160934409</v>
      </c>
      <c r="W21" s="327">
        <f t="shared" si="70"/>
        <v>0.94817120644036934</v>
      </c>
      <c r="X21" s="327">
        <f t="shared" si="71"/>
        <v>0.95293119237557855</v>
      </c>
      <c r="Y21" s="327">
        <f t="shared" si="71"/>
        <v>0.94404329785026531</v>
      </c>
      <c r="Z21" s="327">
        <f t="shared" si="28"/>
        <v>0.94664731294922</v>
      </c>
      <c r="AA21" s="814"/>
      <c r="AB21" s="814"/>
      <c r="AC21" s="814"/>
      <c r="AD21" s="327"/>
      <c r="AE21" s="327"/>
      <c r="AF21" s="327">
        <f t="shared" si="72"/>
        <v>0.99557546723600765</v>
      </c>
      <c r="AG21" s="327">
        <f t="shared" si="66"/>
        <v>0.97824896633919889</v>
      </c>
      <c r="AH21" s="327">
        <f t="shared" si="67"/>
        <v>0.97866596727592281</v>
      </c>
      <c r="AI21" s="327">
        <f t="shared" si="67"/>
        <v>0.97491966227176208</v>
      </c>
      <c r="AJ21" s="327">
        <f t="shared" si="30"/>
        <v>0.97369072296151937</v>
      </c>
      <c r="AK21" s="814"/>
      <c r="AL21" s="814"/>
      <c r="AM21" s="814"/>
      <c r="AN21" s="327"/>
      <c r="AO21" s="327"/>
      <c r="AP21" s="327">
        <f t="shared" si="53"/>
        <v>0.99848753216741082</v>
      </c>
      <c r="AQ21" s="327">
        <f t="shared" si="54"/>
        <v>0.99914701828781172</v>
      </c>
      <c r="AR21" s="327">
        <f t="shared" si="55"/>
        <v>0.99980866338364061</v>
      </c>
      <c r="AS21" s="327">
        <f t="shared" si="55"/>
        <v>0.99980322131596955</v>
      </c>
      <c r="AT21" s="327">
        <f t="shared" si="34"/>
        <v>0.9998804899810062</v>
      </c>
      <c r="AU21" s="814"/>
      <c r="AV21" s="814"/>
      <c r="AW21" s="814"/>
      <c r="AX21" s="327"/>
      <c r="AY21" s="327"/>
      <c r="AZ21" s="327">
        <f t="shared" si="56"/>
        <v>0.99742654726992286</v>
      </c>
      <c r="BA21" s="327">
        <f t="shared" si="57"/>
        <v>0.99971567276260387</v>
      </c>
      <c r="BB21" s="327">
        <f t="shared" si="58"/>
        <v>0.99990433169182025</v>
      </c>
      <c r="BC21" s="327">
        <f t="shared" si="58"/>
        <v>0.9998389992585206</v>
      </c>
      <c r="BD21" s="327">
        <f t="shared" si="38"/>
        <v>0.99989756284086251</v>
      </c>
      <c r="BE21" s="814"/>
      <c r="BF21" s="814"/>
      <c r="BG21" s="814"/>
      <c r="BH21" s="327"/>
      <c r="BI21" s="327"/>
      <c r="BJ21" s="327">
        <f t="shared" si="59"/>
        <v>0.98117316160627766</v>
      </c>
      <c r="BK21" s="327">
        <f t="shared" si="60"/>
        <v>0.98263572943045296</v>
      </c>
      <c r="BL21" s="327">
        <f t="shared" si="61"/>
        <v>0.97742227926958647</v>
      </c>
      <c r="BM21" s="327">
        <f t="shared" si="61"/>
        <v>0.97769245281946315</v>
      </c>
      <c r="BN21" s="327">
        <f t="shared" si="40"/>
        <v>0.97676383773564435</v>
      </c>
      <c r="BO21" s="814"/>
      <c r="BP21" s="814"/>
      <c r="BQ21" s="814"/>
      <c r="BR21" s="327"/>
      <c r="BS21" s="327"/>
    </row>
    <row r="22" spans="1:71">
      <c r="A22" s="336"/>
      <c r="B22" s="75">
        <f>COMB!L22</f>
        <v>19534066819.579735</v>
      </c>
      <c r="C22" s="59">
        <f>COMB!M22</f>
        <v>21567541478.367958</v>
      </c>
      <c r="D22" s="59">
        <f>COMB!N22</f>
        <v>22779951253.052807</v>
      </c>
      <c r="E22" s="59">
        <f>COMB!O22</f>
        <v>23816232087.348534</v>
      </c>
      <c r="F22" s="59">
        <f>COMB!P22</f>
        <v>24573054291</v>
      </c>
      <c r="G22" s="326"/>
      <c r="H22" s="326"/>
      <c r="I22" s="326"/>
      <c r="J22" s="326"/>
      <c r="K22" s="326"/>
      <c r="L22" s="327"/>
      <c r="M22" s="327"/>
      <c r="N22" s="327"/>
      <c r="O22" s="327"/>
      <c r="P22" s="327"/>
      <c r="Q22" s="814"/>
      <c r="R22" s="814"/>
      <c r="S22" s="814"/>
      <c r="T22" s="327"/>
      <c r="U22" s="327"/>
      <c r="V22" s="327"/>
      <c r="W22" s="327"/>
      <c r="X22" s="327"/>
      <c r="Y22" s="327"/>
      <c r="Z22" s="327"/>
      <c r="AA22" s="814"/>
      <c r="AB22" s="814"/>
      <c r="AC22" s="814"/>
      <c r="AD22" s="327"/>
      <c r="AE22" s="327"/>
      <c r="AF22" s="327"/>
      <c r="AG22" s="327"/>
      <c r="AH22" s="327"/>
      <c r="AI22" s="327"/>
      <c r="AJ22" s="327"/>
      <c r="AK22" s="814"/>
      <c r="AL22" s="814"/>
      <c r="AM22" s="814"/>
      <c r="AN22" s="327"/>
      <c r="AO22" s="327"/>
      <c r="AP22" s="327"/>
      <c r="AQ22" s="327"/>
      <c r="AR22" s="327"/>
      <c r="AS22" s="327"/>
      <c r="AT22" s="327"/>
      <c r="AU22" s="814"/>
      <c r="AV22" s="814"/>
      <c r="AW22" s="814"/>
      <c r="AX22" s="327"/>
      <c r="AY22" s="327"/>
      <c r="AZ22" s="327"/>
      <c r="BA22" s="327"/>
      <c r="BB22" s="327"/>
      <c r="BC22" s="327"/>
      <c r="BD22" s="327"/>
      <c r="BE22" s="814"/>
      <c r="BF22" s="814"/>
      <c r="BG22" s="814"/>
      <c r="BH22" s="327"/>
      <c r="BI22" s="327"/>
      <c r="BJ22" s="327"/>
      <c r="BK22" s="327"/>
      <c r="BL22" s="327"/>
      <c r="BM22" s="327"/>
      <c r="BN22" s="327"/>
      <c r="BO22" s="814"/>
      <c r="BP22" s="814"/>
      <c r="BQ22" s="814"/>
      <c r="BR22" s="327"/>
      <c r="BS22" s="327"/>
    </row>
    <row r="23" spans="1:71">
      <c r="A23" s="336" t="s">
        <v>179</v>
      </c>
      <c r="B23" s="75">
        <f>COMB!L23</f>
        <v>895382998.05810392</v>
      </c>
      <c r="C23" s="59">
        <f>COMB!M23</f>
        <v>1002010067.31332</v>
      </c>
      <c r="D23" s="59">
        <f>COMB!N23</f>
        <v>1104281965.4887547</v>
      </c>
      <c r="E23" s="59">
        <f>COMB!O23</f>
        <v>1163872026.8935657</v>
      </c>
      <c r="F23" s="59">
        <f>COMB!P23</f>
        <v>1168038835</v>
      </c>
      <c r="G23" s="872">
        <f t="shared" ref="G23:G24" si="77">B23/B$3</f>
        <v>2.0212507200151733E-2</v>
      </c>
      <c r="H23" s="872">
        <f t="shared" ref="H23:H26" si="78">C23/C$3</f>
        <v>2.0349911020162079E-2</v>
      </c>
      <c r="I23" s="872">
        <f t="shared" ref="I23:I26" si="79">D23/D$3</f>
        <v>2.1128957478336676E-2</v>
      </c>
      <c r="J23" s="872">
        <f t="shared" ref="J23:J26" si="80">E23/E$3</f>
        <v>2.0820473257446077E-2</v>
      </c>
      <c r="K23" s="326">
        <f t="shared" si="14"/>
        <v>1.9941763336612038E-2</v>
      </c>
      <c r="L23" s="327">
        <f t="shared" si="68"/>
        <v>1.0372143209548697</v>
      </c>
      <c r="M23" s="327">
        <f t="shared" si="63"/>
        <v>1.0438668339229831</v>
      </c>
      <c r="N23" s="327">
        <f t="shared" si="64"/>
        <v>1.0297162682615815</v>
      </c>
      <c r="O23" s="327">
        <f t="shared" si="64"/>
        <v>1.0303689675257106</v>
      </c>
      <c r="P23" s="327">
        <f t="shared" si="26"/>
        <v>1.0357762617589501</v>
      </c>
      <c r="Q23" s="815"/>
      <c r="R23" s="815"/>
      <c r="S23" s="814"/>
      <c r="T23" s="327"/>
      <c r="U23" s="327"/>
      <c r="V23" s="327">
        <f t="shared" ref="V23:V25" si="81">1-G23*(V$3-AA$3)/B23</f>
        <v>0.95471626160934409</v>
      </c>
      <c r="W23" s="327">
        <f t="shared" ref="W23:W25" si="82">1-H23*(W$3-AB$3)/C23</f>
        <v>0.94817120644036945</v>
      </c>
      <c r="X23" s="327">
        <f t="shared" ref="X23:Y25" si="83">1-I23*(X$3-AC$3)/D23</f>
        <v>0.95293119237557855</v>
      </c>
      <c r="Y23" s="327">
        <f t="shared" si="83"/>
        <v>0.9440432978502652</v>
      </c>
      <c r="Z23" s="327">
        <f t="shared" si="28"/>
        <v>0.94664731294922</v>
      </c>
      <c r="AA23" s="815"/>
      <c r="AB23" s="815"/>
      <c r="AC23" s="814"/>
      <c r="AD23" s="327"/>
      <c r="AE23" s="327"/>
      <c r="AF23" s="327">
        <f t="shared" ref="AF23" si="84">IF((AF$3-AL$3)&lt;0,1,(1-G23*(AF$3-AK$3)/B23))</f>
        <v>0.99557546723600765</v>
      </c>
      <c r="AG23" s="327">
        <f t="shared" ref="AG23" si="85">IF((AG$3-AM$3)&lt;0,1,(1-H23*(AG$3-AL$3)/C23))</f>
        <v>0.97824896633919889</v>
      </c>
      <c r="AH23" s="327">
        <f t="shared" ref="AH23:AI23" si="86">IF((AH$3-AN$3)&lt;0,1,(1-I23*(AH$3-AM$3)/D23))</f>
        <v>0.97866596727592281</v>
      </c>
      <c r="AI23" s="327">
        <f t="shared" si="86"/>
        <v>0.97491966227176208</v>
      </c>
      <c r="AJ23" s="327">
        <f t="shared" si="30"/>
        <v>0.97369072296151937</v>
      </c>
      <c r="AK23" s="815"/>
      <c r="AL23" s="815"/>
      <c r="AM23" s="814"/>
      <c r="AN23" s="327"/>
      <c r="AO23" s="327"/>
      <c r="AP23" s="327">
        <f t="shared" si="53"/>
        <v>0.99848753216741082</v>
      </c>
      <c r="AQ23" s="327">
        <f t="shared" si="54"/>
        <v>0.99914701828781172</v>
      </c>
      <c r="AR23" s="327">
        <f t="shared" si="55"/>
        <v>0.99980866338364061</v>
      </c>
      <c r="AS23" s="327">
        <f t="shared" si="55"/>
        <v>0.99980322131596955</v>
      </c>
      <c r="AT23" s="327">
        <f t="shared" si="34"/>
        <v>0.9998804899810062</v>
      </c>
      <c r="AU23" s="814"/>
      <c r="AV23" s="814"/>
      <c r="AW23" s="814"/>
      <c r="AX23" s="327"/>
      <c r="AY23" s="327"/>
      <c r="AZ23" s="327">
        <f t="shared" si="56"/>
        <v>0.99742654726992286</v>
      </c>
      <c r="BA23" s="327">
        <f t="shared" si="57"/>
        <v>0.99971567276260387</v>
      </c>
      <c r="BB23" s="327">
        <f t="shared" si="58"/>
        <v>0.99990433169182025</v>
      </c>
      <c r="BC23" s="327">
        <f t="shared" si="58"/>
        <v>0.9998389992585206</v>
      </c>
      <c r="BD23" s="327">
        <f t="shared" si="38"/>
        <v>0.99989756284086251</v>
      </c>
      <c r="BE23" s="815"/>
      <c r="BF23" s="815"/>
      <c r="BG23" s="814"/>
      <c r="BH23" s="327"/>
      <c r="BI23" s="327"/>
      <c r="BJ23" s="327">
        <f t="shared" si="59"/>
        <v>0.98117316160627766</v>
      </c>
      <c r="BK23" s="327">
        <f t="shared" si="60"/>
        <v>0.98263572943045296</v>
      </c>
      <c r="BL23" s="327">
        <f t="shared" si="61"/>
        <v>0.97742227926958647</v>
      </c>
      <c r="BM23" s="327">
        <f t="shared" si="61"/>
        <v>0.97769245281946315</v>
      </c>
      <c r="BN23" s="327">
        <f t="shared" si="40"/>
        <v>0.97676383773564435</v>
      </c>
      <c r="BO23" s="815"/>
      <c r="BP23" s="815"/>
      <c r="BQ23" s="814"/>
      <c r="BR23" s="327"/>
      <c r="BS23" s="327"/>
    </row>
    <row r="24" spans="1:71">
      <c r="A24" s="336" t="s">
        <v>180</v>
      </c>
      <c r="B24" s="75">
        <f>COMB!L24</f>
        <v>5756419718.17904</v>
      </c>
      <c r="C24" s="59">
        <f>COMB!M24</f>
        <v>6446226668.5548096</v>
      </c>
      <c r="D24" s="59">
        <f>COMB!N24</f>
        <v>6862371865.8683691</v>
      </c>
      <c r="E24" s="59">
        <f>COMB!O24</f>
        <v>7100499594.7529154</v>
      </c>
      <c r="F24" s="59">
        <f>COMB!P24</f>
        <v>7383990985</v>
      </c>
      <c r="G24" s="872">
        <f t="shared" si="77"/>
        <v>0.1299462635019108</v>
      </c>
      <c r="H24" s="872">
        <f t="shared" si="78"/>
        <v>0.13091698716422906</v>
      </c>
      <c r="I24" s="872">
        <f t="shared" si="79"/>
        <v>0.13130230130154491</v>
      </c>
      <c r="J24" s="872">
        <f t="shared" si="80"/>
        <v>0.12702063329216789</v>
      </c>
      <c r="K24" s="326">
        <f t="shared" si="14"/>
        <v>0.12606584326671536</v>
      </c>
      <c r="L24" s="327">
        <f t="shared" si="68"/>
        <v>1.0372143209548697</v>
      </c>
      <c r="M24" s="327">
        <f t="shared" si="63"/>
        <v>1.0438668339229833</v>
      </c>
      <c r="N24" s="327">
        <f t="shared" si="64"/>
        <v>1.0297162682615815</v>
      </c>
      <c r="O24" s="327">
        <f t="shared" si="64"/>
        <v>1.0303689675257104</v>
      </c>
      <c r="P24" s="327">
        <f t="shared" si="26"/>
        <v>1.0357762617589501</v>
      </c>
      <c r="Q24" s="814"/>
      <c r="R24" s="814"/>
      <c r="S24" s="815"/>
      <c r="T24" s="327"/>
      <c r="U24" s="327"/>
      <c r="V24" s="327">
        <f t="shared" si="81"/>
        <v>0.95471626160934409</v>
      </c>
      <c r="W24" s="327">
        <f t="shared" si="82"/>
        <v>0.94817120644036934</v>
      </c>
      <c r="X24" s="327">
        <f t="shared" si="83"/>
        <v>0.95293119237557855</v>
      </c>
      <c r="Y24" s="327">
        <f t="shared" si="83"/>
        <v>0.94404329785026531</v>
      </c>
      <c r="Z24" s="327">
        <f t="shared" si="28"/>
        <v>0.94664731294922</v>
      </c>
      <c r="AA24" s="815"/>
      <c r="AB24" s="815"/>
      <c r="AC24" s="815"/>
      <c r="AD24" s="327"/>
      <c r="AE24" s="327"/>
      <c r="AF24" s="327">
        <f t="shared" ref="AF24:AF26" si="87">IF((AF$3-AL$3)&lt;0,1,(1-G24*(AF$3-AK$3)/B24))</f>
        <v>0.99557546723600765</v>
      </c>
      <c r="AG24" s="327">
        <f t="shared" ref="AG24:AG26" si="88">IF((AG$3-AM$3)&lt;0,1,(1-H24*(AG$3-AL$3)/C24))</f>
        <v>0.97824896633919889</v>
      </c>
      <c r="AH24" s="327">
        <f t="shared" ref="AH24:AI26" si="89">IF((AH$3-AN$3)&lt;0,1,(1-I24*(AH$3-AM$3)/D24))</f>
        <v>0.97866596727592281</v>
      </c>
      <c r="AI24" s="327">
        <f t="shared" si="89"/>
        <v>0.97491966227176208</v>
      </c>
      <c r="AJ24" s="327">
        <f t="shared" si="30"/>
        <v>0.97369072296151937</v>
      </c>
      <c r="AK24" s="815"/>
      <c r="AL24" s="815"/>
      <c r="AM24" s="815"/>
      <c r="AN24" s="327"/>
      <c r="AO24" s="327"/>
      <c r="AP24" s="327">
        <f t="shared" si="53"/>
        <v>0.99848753216741082</v>
      </c>
      <c r="AQ24" s="327">
        <f t="shared" si="54"/>
        <v>0.99914701828781172</v>
      </c>
      <c r="AR24" s="327">
        <f t="shared" si="55"/>
        <v>0.99980866338364061</v>
      </c>
      <c r="AS24" s="327">
        <f t="shared" si="55"/>
        <v>0.99980322131596955</v>
      </c>
      <c r="AT24" s="327">
        <f t="shared" si="34"/>
        <v>0.9998804899810062</v>
      </c>
      <c r="AU24" s="814"/>
      <c r="AV24" s="814"/>
      <c r="AW24" s="814"/>
      <c r="AX24" s="327"/>
      <c r="AY24" s="327"/>
      <c r="AZ24" s="327">
        <f t="shared" si="56"/>
        <v>0.99742654726992286</v>
      </c>
      <c r="BA24" s="327">
        <f t="shared" si="57"/>
        <v>0.99971567276260387</v>
      </c>
      <c r="BB24" s="327">
        <f t="shared" si="58"/>
        <v>0.99990433169182025</v>
      </c>
      <c r="BC24" s="327">
        <f t="shared" si="58"/>
        <v>0.9998389992585206</v>
      </c>
      <c r="BD24" s="327">
        <f t="shared" si="38"/>
        <v>0.99989756284086251</v>
      </c>
      <c r="BE24" s="815"/>
      <c r="BF24" s="815"/>
      <c r="BG24" s="815"/>
      <c r="BH24" s="327"/>
      <c r="BI24" s="327"/>
      <c r="BJ24" s="327">
        <f t="shared" si="59"/>
        <v>0.98117316160627766</v>
      </c>
      <c r="BK24" s="327">
        <f t="shared" si="60"/>
        <v>0.98263572943045296</v>
      </c>
      <c r="BL24" s="327">
        <f t="shared" si="61"/>
        <v>0.97742227926958647</v>
      </c>
      <c r="BM24" s="327">
        <f t="shared" si="61"/>
        <v>0.97769245281946315</v>
      </c>
      <c r="BN24" s="327">
        <f t="shared" si="40"/>
        <v>0.97676383773564435</v>
      </c>
      <c r="BO24" s="814"/>
      <c r="BP24" s="814"/>
      <c r="BQ24" s="815"/>
      <c r="BR24" s="327"/>
      <c r="BS24" s="327"/>
    </row>
    <row r="25" spans="1:71">
      <c r="A25" s="336" t="s">
        <v>181</v>
      </c>
      <c r="B25" s="75">
        <f>COMB!L25</f>
        <v>2482817829.28089</v>
      </c>
      <c r="C25" s="59">
        <f>COMB!M25</f>
        <v>2681353939.8454304</v>
      </c>
      <c r="D25" s="59">
        <f>COMB!N25</f>
        <v>2911125700.5160565</v>
      </c>
      <c r="E25" s="59">
        <f>COMB!O25</f>
        <v>3012725673.7822204</v>
      </c>
      <c r="F25" s="59">
        <f>COMB!P25</f>
        <v>2994174508</v>
      </c>
      <c r="G25" s="872">
        <f>B25/B$3</f>
        <v>5.6047494044273227E-2</v>
      </c>
      <c r="H25" s="872">
        <f t="shared" si="78"/>
        <v>5.445585415695571E-2</v>
      </c>
      <c r="I25" s="872">
        <f t="shared" si="79"/>
        <v>5.570049413337376E-2</v>
      </c>
      <c r="J25" s="872">
        <f t="shared" si="80"/>
        <v>5.3894563039223353E-2</v>
      </c>
      <c r="K25" s="326">
        <f t="shared" si="14"/>
        <v>5.1119121760239063E-2</v>
      </c>
      <c r="L25" s="327">
        <f t="shared" si="68"/>
        <v>1.0372143209548697</v>
      </c>
      <c r="M25" s="327">
        <f t="shared" si="63"/>
        <v>1.0438668339229831</v>
      </c>
      <c r="N25" s="327">
        <f t="shared" si="64"/>
        <v>1.0297162682615812</v>
      </c>
      <c r="O25" s="327">
        <f t="shared" si="64"/>
        <v>1.0303689675257104</v>
      </c>
      <c r="P25" s="327">
        <f t="shared" si="26"/>
        <v>1.0357762617589501</v>
      </c>
      <c r="Q25" s="814"/>
      <c r="R25" s="814"/>
      <c r="S25" s="815"/>
      <c r="T25" s="327"/>
      <c r="U25" s="327"/>
      <c r="V25" s="327">
        <f t="shared" si="81"/>
        <v>0.95471626160934409</v>
      </c>
      <c r="W25" s="327">
        <f t="shared" si="82"/>
        <v>0.94817120644036934</v>
      </c>
      <c r="X25" s="327">
        <f t="shared" si="83"/>
        <v>0.95293119237557855</v>
      </c>
      <c r="Y25" s="327">
        <f t="shared" si="83"/>
        <v>0.9440432978502652</v>
      </c>
      <c r="Z25" s="327">
        <f t="shared" si="28"/>
        <v>0.94664731294922</v>
      </c>
      <c r="AA25" s="815"/>
      <c r="AB25" s="815"/>
      <c r="AC25" s="815"/>
      <c r="AD25" s="327"/>
      <c r="AE25" s="327"/>
      <c r="AF25" s="327">
        <f t="shared" si="87"/>
        <v>0.99557546723600765</v>
      </c>
      <c r="AG25" s="327">
        <f t="shared" si="88"/>
        <v>0.97824896633919889</v>
      </c>
      <c r="AH25" s="327">
        <f t="shared" si="89"/>
        <v>0.97866596727592281</v>
      </c>
      <c r="AI25" s="327">
        <f t="shared" si="89"/>
        <v>0.97491966227176208</v>
      </c>
      <c r="AJ25" s="327">
        <f t="shared" si="30"/>
        <v>0.97369072296151937</v>
      </c>
      <c r="AK25" s="814"/>
      <c r="AL25" s="814"/>
      <c r="AM25" s="815"/>
      <c r="AN25" s="327"/>
      <c r="AO25" s="327"/>
      <c r="AP25" s="327">
        <f t="shared" si="53"/>
        <v>0.99848753216741082</v>
      </c>
      <c r="AQ25" s="327">
        <f t="shared" si="54"/>
        <v>0.99914701828781172</v>
      </c>
      <c r="AR25" s="327">
        <f t="shared" si="55"/>
        <v>0.99980866338364061</v>
      </c>
      <c r="AS25" s="327">
        <f t="shared" si="55"/>
        <v>0.99980322131596955</v>
      </c>
      <c r="AT25" s="327">
        <f t="shared" si="34"/>
        <v>0.9998804899810062</v>
      </c>
      <c r="AU25" s="814"/>
      <c r="AV25" s="814"/>
      <c r="AW25" s="814"/>
      <c r="AX25" s="327"/>
      <c r="AY25" s="327"/>
      <c r="AZ25" s="327">
        <f t="shared" si="56"/>
        <v>0.99742654726992286</v>
      </c>
      <c r="BA25" s="327">
        <f t="shared" si="57"/>
        <v>0.99971567276260387</v>
      </c>
      <c r="BB25" s="327">
        <f t="shared" si="58"/>
        <v>0.99990433169182025</v>
      </c>
      <c r="BC25" s="327">
        <f t="shared" si="58"/>
        <v>0.9998389992585206</v>
      </c>
      <c r="BD25" s="327">
        <f t="shared" si="38"/>
        <v>0.99989756284086251</v>
      </c>
      <c r="BE25" s="814"/>
      <c r="BF25" s="814"/>
      <c r="BG25" s="815"/>
      <c r="BH25" s="327"/>
      <c r="BI25" s="327"/>
      <c r="BJ25" s="327">
        <f t="shared" si="59"/>
        <v>0.98117316160627766</v>
      </c>
      <c r="BK25" s="327">
        <f t="shared" si="60"/>
        <v>0.98263572943045296</v>
      </c>
      <c r="BL25" s="327">
        <f t="shared" si="61"/>
        <v>0.97742227926958647</v>
      </c>
      <c r="BM25" s="327">
        <f t="shared" si="61"/>
        <v>0.97769245281946315</v>
      </c>
      <c r="BN25" s="327">
        <f t="shared" si="40"/>
        <v>0.97676383773564435</v>
      </c>
      <c r="BO25" s="814"/>
      <c r="BP25" s="814"/>
      <c r="BQ25" s="815"/>
      <c r="BR25" s="327"/>
      <c r="BS25" s="327"/>
    </row>
    <row r="26" spans="1:71">
      <c r="A26" s="336" t="s">
        <v>182</v>
      </c>
      <c r="B26" s="75">
        <f>COMB!L26</f>
        <v>10399446274.061701</v>
      </c>
      <c r="C26" s="59">
        <f>COMB!M26</f>
        <v>11437950802.6544</v>
      </c>
      <c r="D26" s="59">
        <f>COMB!N26</f>
        <v>11902171721.179626</v>
      </c>
      <c r="E26" s="59">
        <f>COMB!O26</f>
        <v>12539134791.91983</v>
      </c>
      <c r="F26" s="59">
        <f>COMB!P26</f>
        <v>13026849963</v>
      </c>
      <c r="G26" s="872">
        <f t="shared" ref="G26" si="90">B26/B$3</f>
        <v>0.23475862636205969</v>
      </c>
      <c r="H26" s="872">
        <f t="shared" si="78"/>
        <v>0.23229435379936755</v>
      </c>
      <c r="I26" s="872">
        <f t="shared" si="79"/>
        <v>0.22773212644594845</v>
      </c>
      <c r="J26" s="872">
        <f t="shared" si="80"/>
        <v>0.22431222211215926</v>
      </c>
      <c r="K26" s="326">
        <f t="shared" si="14"/>
        <v>0.22240558378668915</v>
      </c>
      <c r="L26" s="327">
        <f t="shared" si="68"/>
        <v>1.0372143209548697</v>
      </c>
      <c r="M26" s="327">
        <f t="shared" si="63"/>
        <v>1.0438668339229833</v>
      </c>
      <c r="N26" s="327">
        <f t="shared" si="64"/>
        <v>1.0297162682615815</v>
      </c>
      <c r="O26" s="327">
        <f t="shared" si="64"/>
        <v>1.0303689675257104</v>
      </c>
      <c r="P26" s="327">
        <f t="shared" si="26"/>
        <v>1.0357762617589501</v>
      </c>
      <c r="Q26" s="814"/>
      <c r="R26" s="814"/>
      <c r="S26" s="815"/>
      <c r="T26" s="327"/>
      <c r="U26" s="327"/>
      <c r="V26" s="327">
        <f t="shared" ref="V26:V34" si="91">1-G26*(V$3-AA$3)/B26</f>
        <v>0.95471626160934409</v>
      </c>
      <c r="W26" s="327">
        <f t="shared" ref="W26:W34" si="92">1-H26*(W$3-AB$3)/C26</f>
        <v>0.94817120644036945</v>
      </c>
      <c r="X26" s="327">
        <f t="shared" ref="X26:Y34" si="93">1-I26*(X$3-AC$3)/D26</f>
        <v>0.95293119237557855</v>
      </c>
      <c r="Y26" s="327">
        <f t="shared" si="93"/>
        <v>0.94404329785026531</v>
      </c>
      <c r="Z26" s="327">
        <f t="shared" si="28"/>
        <v>0.94664731294922</v>
      </c>
      <c r="AA26" s="814"/>
      <c r="AB26" s="814"/>
      <c r="AC26" s="815"/>
      <c r="AD26" s="327"/>
      <c r="AE26" s="327"/>
      <c r="AF26" s="327">
        <f t="shared" si="87"/>
        <v>0.99557546723600765</v>
      </c>
      <c r="AG26" s="327">
        <f t="shared" si="88"/>
        <v>0.97824896633919889</v>
      </c>
      <c r="AH26" s="327">
        <f t="shared" si="89"/>
        <v>0.97866596727592281</v>
      </c>
      <c r="AI26" s="327">
        <f t="shared" si="89"/>
        <v>0.97491966227176208</v>
      </c>
      <c r="AJ26" s="327">
        <f t="shared" si="30"/>
        <v>0.97369072296151937</v>
      </c>
      <c r="AK26" s="814"/>
      <c r="AL26" s="814"/>
      <c r="AM26" s="815"/>
      <c r="AN26" s="327"/>
      <c r="AO26" s="327"/>
      <c r="AP26" s="327">
        <f t="shared" si="53"/>
        <v>0.99848753216741082</v>
      </c>
      <c r="AQ26" s="327">
        <f t="shared" si="54"/>
        <v>0.99914701828781172</v>
      </c>
      <c r="AR26" s="327">
        <f t="shared" si="55"/>
        <v>0.99980866338364061</v>
      </c>
      <c r="AS26" s="327">
        <f t="shared" si="55"/>
        <v>0.99980322131596955</v>
      </c>
      <c r="AT26" s="327">
        <f t="shared" si="34"/>
        <v>0.9998804899810062</v>
      </c>
      <c r="AU26" s="814"/>
      <c r="AV26" s="814"/>
      <c r="AW26" s="814"/>
      <c r="AX26" s="327"/>
      <c r="AY26" s="327"/>
      <c r="AZ26" s="327">
        <f t="shared" si="56"/>
        <v>0.99742654726992286</v>
      </c>
      <c r="BA26" s="327">
        <f t="shared" si="57"/>
        <v>0.99971567276260387</v>
      </c>
      <c r="BB26" s="327">
        <f t="shared" si="58"/>
        <v>0.99990433169182025</v>
      </c>
      <c r="BC26" s="327">
        <f t="shared" si="58"/>
        <v>0.9998389992585206</v>
      </c>
      <c r="BD26" s="327">
        <f t="shared" si="38"/>
        <v>0.99989756284086251</v>
      </c>
      <c r="BE26" s="814"/>
      <c r="BF26" s="814"/>
      <c r="BG26" s="815"/>
      <c r="BH26" s="327"/>
      <c r="BI26" s="327"/>
      <c r="BJ26" s="327">
        <f t="shared" si="59"/>
        <v>0.98117316160627766</v>
      </c>
      <c r="BK26" s="327">
        <f t="shared" si="60"/>
        <v>0.98263572943045296</v>
      </c>
      <c r="BL26" s="327">
        <f t="shared" si="61"/>
        <v>0.97742227926958647</v>
      </c>
      <c r="BM26" s="327">
        <f t="shared" si="61"/>
        <v>0.97769245281946315</v>
      </c>
      <c r="BN26" s="327">
        <f t="shared" si="40"/>
        <v>0.97676383773564435</v>
      </c>
      <c r="BO26" s="814"/>
      <c r="BP26" s="814"/>
      <c r="BQ26" s="815"/>
      <c r="BR26" s="327"/>
      <c r="BS26" s="327"/>
    </row>
    <row r="27" spans="1:71">
      <c r="A27" s="337"/>
      <c r="B27" s="75">
        <f>COMB!L27</f>
        <v>8627412350.8752499</v>
      </c>
      <c r="C27" s="59">
        <f>COMB!M27</f>
        <v>9467073890.1816311</v>
      </c>
      <c r="D27" s="59">
        <f>COMB!N27</f>
        <v>10013248222.622086</v>
      </c>
      <c r="E27" s="59">
        <f>COMB!O27</f>
        <v>10471119228.886753</v>
      </c>
      <c r="F27" s="59">
        <f>COMB!P27</f>
        <v>11100222134</v>
      </c>
      <c r="G27" s="326"/>
      <c r="H27" s="326"/>
      <c r="I27" s="326"/>
      <c r="J27" s="326"/>
      <c r="K27" s="326"/>
      <c r="L27" s="327"/>
      <c r="M27" s="327"/>
      <c r="N27" s="327"/>
      <c r="O27" s="327"/>
      <c r="P27" s="327"/>
      <c r="Q27" s="814"/>
      <c r="R27" s="814"/>
      <c r="S27" s="814"/>
      <c r="T27" s="327"/>
      <c r="U27" s="327"/>
      <c r="V27" s="327"/>
      <c r="W27" s="327"/>
      <c r="X27" s="327"/>
      <c r="Y27" s="327"/>
      <c r="Z27" s="327"/>
      <c r="AA27" s="814"/>
      <c r="AB27" s="814"/>
      <c r="AC27" s="814"/>
      <c r="AD27" s="327"/>
      <c r="AE27" s="327"/>
      <c r="AF27" s="327"/>
      <c r="AG27" s="327"/>
      <c r="AH27" s="327"/>
      <c r="AI27" s="327"/>
      <c r="AJ27" s="327"/>
      <c r="AK27" s="814"/>
      <c r="AL27" s="814"/>
      <c r="AM27" s="814"/>
      <c r="AN27" s="327"/>
      <c r="AO27" s="327"/>
      <c r="AP27" s="327"/>
      <c r="AQ27" s="327"/>
      <c r="AR27" s="327"/>
      <c r="AS27" s="327"/>
      <c r="AT27" s="327"/>
      <c r="AU27" s="814"/>
      <c r="AV27" s="814"/>
      <c r="AW27" s="814"/>
      <c r="AX27" s="327"/>
      <c r="AY27" s="327"/>
      <c r="AZ27" s="327"/>
      <c r="BA27" s="327"/>
      <c r="BB27" s="327"/>
      <c r="BC27" s="327"/>
      <c r="BD27" s="327"/>
      <c r="BE27" s="814"/>
      <c r="BF27" s="814"/>
      <c r="BG27" s="814"/>
      <c r="BH27" s="327"/>
      <c r="BI27" s="327"/>
      <c r="BJ27" s="327"/>
      <c r="BK27" s="327"/>
      <c r="BL27" s="327"/>
      <c r="BM27" s="327"/>
      <c r="BN27" s="327"/>
      <c r="BO27" s="814"/>
      <c r="BP27" s="814"/>
      <c r="BQ27" s="814"/>
      <c r="BR27" s="327"/>
      <c r="BS27" s="327"/>
    </row>
    <row r="28" spans="1:71">
      <c r="A28" s="336" t="s">
        <v>183</v>
      </c>
      <c r="B28" s="75">
        <f>COMB!L28</f>
        <v>3853964313.3792996</v>
      </c>
      <c r="C28" s="59">
        <f>COMB!M28</f>
        <v>4226262150.8983502</v>
      </c>
      <c r="D28" s="59">
        <f>COMB!N28</f>
        <v>4482583824.7429571</v>
      </c>
      <c r="E28" s="59">
        <f>COMB!O28</f>
        <v>4758257187.4096069</v>
      </c>
      <c r="F28" s="59">
        <f>COMB!P28</f>
        <v>5059363048</v>
      </c>
      <c r="G28" s="872">
        <f t="shared" ref="G28:G29" si="94">B28/B$3</f>
        <v>8.6999955998999082E-2</v>
      </c>
      <c r="H28" s="872">
        <f t="shared" ref="H28:H30" si="95">C28/C$3</f>
        <v>8.5831531562614027E-2</v>
      </c>
      <c r="I28" s="872">
        <f t="shared" ref="I28:I30" si="96">D28/D$3</f>
        <v>8.5768242157386043E-2</v>
      </c>
      <c r="J28" s="872">
        <f t="shared" ref="J28:J30" si="97">E28/E$3</f>
        <v>8.5120326146967379E-2</v>
      </c>
      <c r="K28" s="326">
        <f t="shared" si="14"/>
        <v>8.6377796280391758E-2</v>
      </c>
      <c r="L28" s="327">
        <f t="shared" ref="L28:L29" si="98">(G28*(L$3-Q$3))/B28</f>
        <v>1.0372143209548697</v>
      </c>
      <c r="M28" s="327">
        <f t="shared" ref="M28:M29" si="99">(H28*(M$3-R$3))/C28</f>
        <v>1.0438668339229833</v>
      </c>
      <c r="N28" s="327">
        <f t="shared" ref="N28:O29" si="100">(I28*(N$3-S$3))/D28</f>
        <v>1.0297162682615815</v>
      </c>
      <c r="O28" s="327">
        <f t="shared" si="100"/>
        <v>1.0303689675257104</v>
      </c>
      <c r="P28" s="327">
        <f t="shared" si="26"/>
        <v>1.0357762617589499</v>
      </c>
      <c r="Q28" s="814"/>
      <c r="R28" s="815"/>
      <c r="S28" s="815"/>
      <c r="T28" s="327"/>
      <c r="U28" s="327"/>
      <c r="V28" s="327">
        <f t="shared" si="91"/>
        <v>0.95471626160934409</v>
      </c>
      <c r="W28" s="327">
        <f t="shared" si="92"/>
        <v>0.94817120644036934</v>
      </c>
      <c r="X28" s="327">
        <f t="shared" si="93"/>
        <v>0.95293119237557855</v>
      </c>
      <c r="Y28" s="327">
        <f t="shared" si="93"/>
        <v>0.94404329785026531</v>
      </c>
      <c r="Z28" s="327">
        <f t="shared" si="28"/>
        <v>0.94664731294922</v>
      </c>
      <c r="AA28" s="815"/>
      <c r="AB28" s="815"/>
      <c r="AC28" s="815"/>
      <c r="AD28" s="327"/>
      <c r="AE28" s="327"/>
      <c r="AF28" s="327">
        <f t="shared" ref="AF28:AF29" si="101">IF((AF$3-AL$3)&lt;0,1,(1-G28*(AF$3-AK$3)/B28))</f>
        <v>0.99557546723600765</v>
      </c>
      <c r="AG28" s="327">
        <f t="shared" ref="AG28:AG29" si="102">IF((AG$3-AM$3)&lt;0,1,(1-H28*(AG$3-AL$3)/C28))</f>
        <v>0.97824896633919889</v>
      </c>
      <c r="AH28" s="327">
        <f t="shared" ref="AH28:AI29" si="103">IF((AH$3-AN$3)&lt;0,1,(1-I28*(AH$3-AM$3)/D28))</f>
        <v>0.97866596727592281</v>
      </c>
      <c r="AI28" s="327">
        <f t="shared" si="103"/>
        <v>0.97491966227176208</v>
      </c>
      <c r="AJ28" s="327">
        <f t="shared" si="30"/>
        <v>0.97369072296151937</v>
      </c>
      <c r="AK28" s="814"/>
      <c r="AL28" s="815"/>
      <c r="AM28" s="815"/>
      <c r="AN28" s="327"/>
      <c r="AO28" s="327"/>
      <c r="AP28" s="327">
        <f t="shared" si="53"/>
        <v>0.99848753216741082</v>
      </c>
      <c r="AQ28" s="327">
        <f t="shared" si="54"/>
        <v>0.99914701828781172</v>
      </c>
      <c r="AR28" s="327">
        <f t="shared" si="55"/>
        <v>0.99980866338364061</v>
      </c>
      <c r="AS28" s="327">
        <f t="shared" si="55"/>
        <v>0.99980322131596955</v>
      </c>
      <c r="AT28" s="327">
        <f t="shared" si="34"/>
        <v>0.9998804899810062</v>
      </c>
      <c r="AU28" s="814"/>
      <c r="AV28" s="814"/>
      <c r="AW28" s="814"/>
      <c r="AX28" s="327"/>
      <c r="AY28" s="327"/>
      <c r="AZ28" s="327">
        <f t="shared" si="56"/>
        <v>0.99742654726992286</v>
      </c>
      <c r="BA28" s="327">
        <f t="shared" si="57"/>
        <v>0.99971567276260387</v>
      </c>
      <c r="BB28" s="327">
        <f t="shared" si="58"/>
        <v>0.99990433169182025</v>
      </c>
      <c r="BC28" s="327">
        <f t="shared" si="58"/>
        <v>0.9998389992585206</v>
      </c>
      <c r="BD28" s="327">
        <f t="shared" si="38"/>
        <v>0.99989756284086251</v>
      </c>
      <c r="BE28" s="814"/>
      <c r="BF28" s="815"/>
      <c r="BG28" s="815"/>
      <c r="BH28" s="327"/>
      <c r="BI28" s="327"/>
      <c r="BJ28" s="327">
        <f t="shared" si="59"/>
        <v>0.98117316160627766</v>
      </c>
      <c r="BK28" s="327">
        <f t="shared" si="60"/>
        <v>0.98263572943045296</v>
      </c>
      <c r="BL28" s="327">
        <f t="shared" si="61"/>
        <v>0.97742227926958647</v>
      </c>
      <c r="BM28" s="327">
        <f t="shared" si="61"/>
        <v>0.97769245281946315</v>
      </c>
      <c r="BN28" s="327">
        <f t="shared" si="40"/>
        <v>0.97676383773564435</v>
      </c>
      <c r="BO28" s="814"/>
      <c r="BP28" s="815"/>
      <c r="BQ28" s="815"/>
      <c r="BR28" s="327"/>
      <c r="BS28" s="327"/>
    </row>
    <row r="29" spans="1:71">
      <c r="A29" s="336" t="s">
        <v>184</v>
      </c>
      <c r="B29" s="75">
        <f>COMB!L29</f>
        <v>2771815529.3155603</v>
      </c>
      <c r="C29" s="59">
        <f>COMB!M29</f>
        <v>3057884570.4321699</v>
      </c>
      <c r="D29" s="59">
        <f>COMB!N29</f>
        <v>3231545852.1601534</v>
      </c>
      <c r="E29" s="59">
        <f>COMB!O29</f>
        <v>3334368583.0946288</v>
      </c>
      <c r="F29" s="59">
        <f>COMB!P29</f>
        <v>3561071019</v>
      </c>
      <c r="G29" s="872">
        <f t="shared" si="94"/>
        <v>6.2571370536731494E-2</v>
      </c>
      <c r="H29" s="872">
        <f t="shared" si="95"/>
        <v>6.210284801336545E-2</v>
      </c>
      <c r="I29" s="872">
        <f t="shared" si="96"/>
        <v>6.183130489626968E-2</v>
      </c>
      <c r="J29" s="872">
        <f t="shared" si="97"/>
        <v>5.9648423804878267E-2</v>
      </c>
      <c r="K29" s="326">
        <f t="shared" si="14"/>
        <v>6.0797666445538918E-2</v>
      </c>
      <c r="L29" s="327">
        <f t="shared" si="98"/>
        <v>1.0372143209548699</v>
      </c>
      <c r="M29" s="327">
        <f t="shared" si="99"/>
        <v>1.0438668339229833</v>
      </c>
      <c r="N29" s="327">
        <f t="shared" si="100"/>
        <v>1.0297162682615815</v>
      </c>
      <c r="O29" s="327">
        <f t="shared" si="100"/>
        <v>1.0303689675257104</v>
      </c>
      <c r="P29" s="327">
        <f t="shared" si="26"/>
        <v>1.0357762617589501</v>
      </c>
      <c r="Q29" s="814"/>
      <c r="R29" s="814"/>
      <c r="S29" s="815"/>
      <c r="T29" s="814"/>
      <c r="U29" s="327"/>
      <c r="V29" s="327">
        <f t="shared" si="91"/>
        <v>0.95471626160934409</v>
      </c>
      <c r="W29" s="327">
        <f t="shared" si="92"/>
        <v>0.94817120644036945</v>
      </c>
      <c r="X29" s="327">
        <f t="shared" si="93"/>
        <v>0.95293119237557855</v>
      </c>
      <c r="Y29" s="327">
        <f t="shared" si="93"/>
        <v>0.94404329785026531</v>
      </c>
      <c r="Z29" s="327">
        <f t="shared" si="28"/>
        <v>0.94664731294922</v>
      </c>
      <c r="AA29" s="815"/>
      <c r="AB29" s="815"/>
      <c r="AC29" s="815"/>
      <c r="AD29" s="327"/>
      <c r="AE29" s="327"/>
      <c r="AF29" s="327">
        <f t="shared" si="101"/>
        <v>0.99557546723600765</v>
      </c>
      <c r="AG29" s="327">
        <f t="shared" si="102"/>
        <v>0.97824896633919889</v>
      </c>
      <c r="AH29" s="327">
        <f t="shared" si="103"/>
        <v>0.97866596727592281</v>
      </c>
      <c r="AI29" s="327">
        <f t="shared" si="103"/>
        <v>0.97491966227176208</v>
      </c>
      <c r="AJ29" s="327">
        <f t="shared" si="30"/>
        <v>0.97369072296151937</v>
      </c>
      <c r="AK29" s="815"/>
      <c r="AL29" s="814"/>
      <c r="AM29" s="815"/>
      <c r="AN29" s="327"/>
      <c r="AO29" s="327"/>
      <c r="AP29" s="327">
        <f t="shared" si="53"/>
        <v>0.99848753216741082</v>
      </c>
      <c r="AQ29" s="327">
        <f t="shared" si="54"/>
        <v>0.99914701828781172</v>
      </c>
      <c r="AR29" s="327">
        <f t="shared" si="55"/>
        <v>0.99980866338364061</v>
      </c>
      <c r="AS29" s="327">
        <f t="shared" si="55"/>
        <v>0.99980322131596955</v>
      </c>
      <c r="AT29" s="327">
        <f t="shared" si="34"/>
        <v>0.9998804899810062</v>
      </c>
      <c r="AU29" s="814"/>
      <c r="AV29" s="814"/>
      <c r="AW29" s="814"/>
      <c r="AX29" s="327"/>
      <c r="AY29" s="327"/>
      <c r="AZ29" s="327">
        <f t="shared" si="56"/>
        <v>0.99742654726992286</v>
      </c>
      <c r="BA29" s="327">
        <f t="shared" si="57"/>
        <v>0.99971567276260387</v>
      </c>
      <c r="BB29" s="327">
        <f t="shared" si="58"/>
        <v>0.99990433169182025</v>
      </c>
      <c r="BC29" s="327">
        <f t="shared" si="58"/>
        <v>0.9998389992585206</v>
      </c>
      <c r="BD29" s="327">
        <f t="shared" si="38"/>
        <v>0.99989756284086251</v>
      </c>
      <c r="BE29" s="814"/>
      <c r="BF29" s="814"/>
      <c r="BG29" s="815"/>
      <c r="BH29" s="327"/>
      <c r="BI29" s="327"/>
      <c r="BJ29" s="327">
        <f t="shared" si="59"/>
        <v>0.98117316160627766</v>
      </c>
      <c r="BK29" s="327">
        <f t="shared" si="60"/>
        <v>0.98263572943045296</v>
      </c>
      <c r="BL29" s="327">
        <f t="shared" si="61"/>
        <v>0.97742227926958647</v>
      </c>
      <c r="BM29" s="327">
        <f t="shared" si="61"/>
        <v>0.97769245281946315</v>
      </c>
      <c r="BN29" s="327">
        <f t="shared" si="40"/>
        <v>0.97676383773564435</v>
      </c>
      <c r="BO29" s="814"/>
      <c r="BP29" s="814"/>
      <c r="BQ29" s="815"/>
      <c r="BR29" s="327"/>
      <c r="BS29" s="327"/>
    </row>
    <row r="30" spans="1:71">
      <c r="A30" s="336" t="s">
        <v>185</v>
      </c>
      <c r="B30" s="75">
        <f>COMB!L30</f>
        <v>2001632508.1803901</v>
      </c>
      <c r="C30" s="59">
        <f>COMB!M30</f>
        <v>2182927168.85111</v>
      </c>
      <c r="D30" s="59">
        <f>COMB!N30</f>
        <v>2299118545.7189746</v>
      </c>
      <c r="E30" s="59">
        <f>COMB!O30</f>
        <v>2378493458.3825169</v>
      </c>
      <c r="F30" s="59">
        <f>COMB!P30</f>
        <v>2479788067</v>
      </c>
      <c r="G30" s="872">
        <f>B30/B$3</f>
        <v>4.5185145989368534E-2</v>
      </c>
      <c r="H30" s="872">
        <f t="shared" si="95"/>
        <v>4.4333260811164996E-2</v>
      </c>
      <c r="I30" s="872">
        <f t="shared" si="96"/>
        <v>4.3990556314709786E-2</v>
      </c>
      <c r="J30" s="872">
        <f t="shared" si="97"/>
        <v>4.2548801155947259E-2</v>
      </c>
      <c r="K30" s="326">
        <f t="shared" si="14"/>
        <v>4.2337074141091065E-2</v>
      </c>
      <c r="L30" s="327">
        <f t="shared" ref="L30" si="104">(G30*(L$3-Q$3))/B30</f>
        <v>1.0372143209548697</v>
      </c>
      <c r="M30" s="327">
        <f t="shared" ref="M30" si="105">(H30*(M$3-R$3))/C30</f>
        <v>1.0438668339229833</v>
      </c>
      <c r="N30" s="327">
        <f t="shared" ref="N30:O30" si="106">(I30*(N$3-S$3))/D30</f>
        <v>1.0297162682615812</v>
      </c>
      <c r="O30" s="327">
        <f t="shared" si="106"/>
        <v>1.0303689675257104</v>
      </c>
      <c r="P30" s="327">
        <f t="shared" si="26"/>
        <v>1.0357762617589499</v>
      </c>
      <c r="Q30" s="814"/>
      <c r="R30" s="814"/>
      <c r="S30" s="814"/>
      <c r="T30" s="327"/>
      <c r="U30" s="327"/>
      <c r="V30" s="327">
        <f t="shared" si="91"/>
        <v>0.95471626160934409</v>
      </c>
      <c r="W30" s="327">
        <f t="shared" si="92"/>
        <v>0.94817120644036934</v>
      </c>
      <c r="X30" s="327">
        <f t="shared" si="93"/>
        <v>0.95293119237557855</v>
      </c>
      <c r="Y30" s="327">
        <f t="shared" si="93"/>
        <v>0.94404329785026531</v>
      </c>
      <c r="Z30" s="327">
        <f t="shared" si="28"/>
        <v>0.94664731294922</v>
      </c>
      <c r="AA30" s="814"/>
      <c r="AB30" s="814"/>
      <c r="AC30" s="814"/>
      <c r="AD30" s="327"/>
      <c r="AE30" s="327"/>
      <c r="AF30" s="327">
        <f t="shared" ref="AF30" si="107">IF((AF$3-AL$3)&lt;0,1,(1-G30*(AF$3-AK$3)/B30))</f>
        <v>0.99557546723600765</v>
      </c>
      <c r="AG30" s="327">
        <f t="shared" ref="AG30" si="108">IF((AG$3-AM$3)&lt;0,1,(1-H30*(AG$3-AL$3)/C30))</f>
        <v>0.97824896633919889</v>
      </c>
      <c r="AH30" s="327">
        <f t="shared" ref="AH30:AI30" si="109">IF((AH$3-AN$3)&lt;0,1,(1-I30*(AH$3-AM$3)/D30))</f>
        <v>0.97866596727592281</v>
      </c>
      <c r="AI30" s="327">
        <f t="shared" si="109"/>
        <v>0.97491966227176208</v>
      </c>
      <c r="AJ30" s="327">
        <f t="shared" si="30"/>
        <v>0.97369072296151937</v>
      </c>
      <c r="AK30" s="814"/>
      <c r="AL30" s="814"/>
      <c r="AM30" s="814"/>
      <c r="AN30" s="327"/>
      <c r="AO30" s="327"/>
      <c r="AP30" s="327">
        <f t="shared" si="53"/>
        <v>0.99848753216741082</v>
      </c>
      <c r="AQ30" s="327">
        <f t="shared" si="54"/>
        <v>0.99914701828781172</v>
      </c>
      <c r="AR30" s="327">
        <f t="shared" si="55"/>
        <v>0.99980866338364061</v>
      </c>
      <c r="AS30" s="327">
        <f t="shared" si="55"/>
        <v>0.99980322131596955</v>
      </c>
      <c r="AT30" s="327">
        <f t="shared" si="34"/>
        <v>0.9998804899810062</v>
      </c>
      <c r="AU30" s="814"/>
      <c r="AV30" s="814"/>
      <c r="AW30" s="814"/>
      <c r="AX30" s="327"/>
      <c r="AY30" s="327"/>
      <c r="AZ30" s="327">
        <f t="shared" si="56"/>
        <v>0.99742654726992286</v>
      </c>
      <c r="BA30" s="327">
        <f t="shared" si="57"/>
        <v>0.99971567276260387</v>
      </c>
      <c r="BB30" s="327">
        <f t="shared" si="58"/>
        <v>0.99990433169182025</v>
      </c>
      <c r="BC30" s="327">
        <f t="shared" si="58"/>
        <v>0.9998389992585206</v>
      </c>
      <c r="BD30" s="327">
        <f t="shared" si="38"/>
        <v>0.99989756284086251</v>
      </c>
      <c r="BE30" s="814"/>
      <c r="BF30" s="814"/>
      <c r="BG30" s="814"/>
      <c r="BH30" s="327"/>
      <c r="BI30" s="327"/>
      <c r="BJ30" s="327">
        <f t="shared" si="59"/>
        <v>0.98117316160627766</v>
      </c>
      <c r="BK30" s="327">
        <f t="shared" si="60"/>
        <v>0.98263572943045296</v>
      </c>
      <c r="BL30" s="327">
        <f t="shared" si="61"/>
        <v>0.97742227926958647</v>
      </c>
      <c r="BM30" s="327">
        <f t="shared" si="61"/>
        <v>0.97769245281946315</v>
      </c>
      <c r="BN30" s="327">
        <f t="shared" si="40"/>
        <v>0.97676383773564435</v>
      </c>
      <c r="BO30" s="814"/>
      <c r="BP30" s="814"/>
      <c r="BQ30" s="814"/>
      <c r="BR30" s="327"/>
      <c r="BS30" s="327"/>
    </row>
    <row r="31" spans="1:71">
      <c r="A31" s="337"/>
      <c r="B31" s="75">
        <f>COMB!L31</f>
        <v>5134405359.9932823</v>
      </c>
      <c r="C31" s="59">
        <f>COMB!M31</f>
        <v>5623528652.0317574</v>
      </c>
      <c r="D31" s="59">
        <f>COMB!N31</f>
        <v>5998399773.2572184</v>
      </c>
      <c r="E31" s="59">
        <f>COMB!O31</f>
        <v>6788698552.955471</v>
      </c>
      <c r="F31" s="59">
        <f>COMB!P31</f>
        <v>7453887936</v>
      </c>
      <c r="G31" s="326"/>
      <c r="H31" s="326"/>
      <c r="I31" s="326"/>
      <c r="J31" s="326"/>
      <c r="K31" s="326"/>
      <c r="L31" s="327"/>
      <c r="M31" s="327"/>
      <c r="N31" s="327"/>
      <c r="O31" s="327"/>
      <c r="P31" s="327"/>
      <c r="Q31" s="814"/>
      <c r="R31" s="814"/>
      <c r="S31" s="814"/>
      <c r="T31" s="327"/>
      <c r="U31" s="327"/>
      <c r="V31" s="327"/>
      <c r="W31" s="327"/>
      <c r="X31" s="327"/>
      <c r="Y31" s="327"/>
      <c r="Z31" s="327"/>
      <c r="AA31" s="814"/>
      <c r="AB31" s="814"/>
      <c r="AC31" s="814"/>
      <c r="AD31" s="327"/>
      <c r="AE31" s="327"/>
      <c r="AF31" s="327"/>
      <c r="AG31" s="327"/>
      <c r="AH31" s="327"/>
      <c r="AI31" s="327"/>
      <c r="AJ31" s="327"/>
      <c r="AK31" s="814"/>
      <c r="AL31" s="814"/>
      <c r="AM31" s="814"/>
      <c r="AN31" s="327"/>
      <c r="AO31" s="327"/>
      <c r="AP31" s="327"/>
      <c r="AQ31" s="327"/>
      <c r="AR31" s="327"/>
      <c r="AS31" s="327"/>
      <c r="AT31" s="327"/>
      <c r="AU31" s="814"/>
      <c r="AV31" s="814"/>
      <c r="AW31" s="814"/>
      <c r="AX31" s="327"/>
      <c r="AY31" s="327"/>
      <c r="AZ31" s="327"/>
      <c r="BA31" s="327"/>
      <c r="BB31" s="327"/>
      <c r="BC31" s="327"/>
      <c r="BD31" s="327"/>
      <c r="BE31" s="814"/>
      <c r="BF31" s="814"/>
      <c r="BG31" s="814"/>
      <c r="BH31" s="327"/>
      <c r="BI31" s="327"/>
      <c r="BJ31" s="327"/>
      <c r="BK31" s="327"/>
      <c r="BL31" s="327"/>
      <c r="BM31" s="327"/>
      <c r="BN31" s="327"/>
      <c r="BO31" s="814"/>
      <c r="BP31" s="814"/>
      <c r="BQ31" s="814"/>
      <c r="BR31" s="327"/>
      <c r="BS31" s="327"/>
    </row>
    <row r="32" spans="1:71">
      <c r="A32" s="336" t="s">
        <v>186</v>
      </c>
      <c r="B32" s="75">
        <f>COMB!L32</f>
        <v>366576795.11350203</v>
      </c>
      <c r="C32" s="59">
        <f>COMB!M32</f>
        <v>385077300.688088</v>
      </c>
      <c r="D32" s="59">
        <f>COMB!N32</f>
        <v>393135295.90257281</v>
      </c>
      <c r="E32" s="59">
        <f>COMB!O32</f>
        <v>409471614.54592955</v>
      </c>
      <c r="F32" s="59">
        <f>COMB!P32</f>
        <v>429026715</v>
      </c>
      <c r="G32" s="872">
        <f t="shared" ref="G32:G33" si="110">B32/B$3</f>
        <v>8.2751583698927773E-3</v>
      </c>
      <c r="H32" s="872">
        <f t="shared" ref="H32:H35" si="111">C32/C$3</f>
        <v>7.8205689348991823E-3</v>
      </c>
      <c r="I32" s="872">
        <f t="shared" ref="I32:I35" si="112">D32/D$3</f>
        <v>7.5221177289464267E-3</v>
      </c>
      <c r="J32" s="872">
        <f t="shared" ref="J32:J35" si="113">E32/E$3</f>
        <v>7.3250259507409128E-3</v>
      </c>
      <c r="K32" s="326">
        <f t="shared" si="14"/>
        <v>7.3247129797821336E-3</v>
      </c>
      <c r="L32" s="327">
        <f t="shared" ref="L32" si="114">(G32*(L$3-Q$3))/B32</f>
        <v>1.0372143209548697</v>
      </c>
      <c r="M32" s="327">
        <f t="shared" ref="M32" si="115">(H32*(M$3-R$3))/C32</f>
        <v>1.0438668339229833</v>
      </c>
      <c r="N32" s="327">
        <f t="shared" ref="N32:O32" si="116">(I32*(N$3-S$3))/D32</f>
        <v>1.0297162682615815</v>
      </c>
      <c r="O32" s="327">
        <f t="shared" si="116"/>
        <v>1.0303689675257104</v>
      </c>
      <c r="P32" s="327">
        <f t="shared" si="26"/>
        <v>1.0357762617589501</v>
      </c>
      <c r="Q32" s="814"/>
      <c r="R32" s="814"/>
      <c r="S32" s="814"/>
      <c r="T32" s="327"/>
      <c r="U32" s="327"/>
      <c r="V32" s="327">
        <f t="shared" si="91"/>
        <v>0.95471626160934409</v>
      </c>
      <c r="W32" s="327">
        <f t="shared" si="92"/>
        <v>0.94817120644036934</v>
      </c>
      <c r="X32" s="327">
        <f t="shared" si="93"/>
        <v>0.95293119237557855</v>
      </c>
      <c r="Y32" s="327">
        <f t="shared" si="93"/>
        <v>0.9440432978502652</v>
      </c>
      <c r="Z32" s="327">
        <f t="shared" si="28"/>
        <v>0.94664731294922</v>
      </c>
      <c r="AA32" s="814"/>
      <c r="AB32" s="814"/>
      <c r="AC32" s="814"/>
      <c r="AD32" s="327"/>
      <c r="AE32" s="327"/>
      <c r="AF32" s="327">
        <f t="shared" ref="AF32" si="117">IF((AF$3-AL$3)&lt;0,1,(1-G32*(AF$3-AK$3)/B32))</f>
        <v>0.99557546723600765</v>
      </c>
      <c r="AG32" s="327">
        <f t="shared" ref="AG32" si="118">IF((AG$3-AM$3)&lt;0,1,(1-H32*(AG$3-AL$3)/C32))</f>
        <v>0.97824896633919889</v>
      </c>
      <c r="AH32" s="327">
        <f t="shared" ref="AH32:AI32" si="119">IF((AH$3-AN$3)&lt;0,1,(1-I32*(AH$3-AM$3)/D32))</f>
        <v>0.97866596727592281</v>
      </c>
      <c r="AI32" s="327">
        <f t="shared" si="119"/>
        <v>0.97491966227176208</v>
      </c>
      <c r="AJ32" s="327">
        <f t="shared" si="30"/>
        <v>0.97369072296151937</v>
      </c>
      <c r="AK32" s="814"/>
      <c r="AL32" s="814"/>
      <c r="AM32" s="814"/>
      <c r="AN32" s="327"/>
      <c r="AO32" s="327"/>
      <c r="AP32" s="327">
        <f t="shared" si="53"/>
        <v>0.99848753216741082</v>
      </c>
      <c r="AQ32" s="327">
        <f t="shared" si="54"/>
        <v>0.99914701828781172</v>
      </c>
      <c r="AR32" s="327">
        <f t="shared" si="55"/>
        <v>0.99980866338364061</v>
      </c>
      <c r="AS32" s="327">
        <f t="shared" si="55"/>
        <v>0.99980322131596955</v>
      </c>
      <c r="AT32" s="327">
        <f t="shared" si="34"/>
        <v>0.9998804899810062</v>
      </c>
      <c r="AU32" s="814"/>
      <c r="AV32" s="814"/>
      <c r="AW32" s="814"/>
      <c r="AX32" s="327"/>
      <c r="AY32" s="327"/>
      <c r="AZ32" s="327">
        <f t="shared" si="56"/>
        <v>0.99742654726992286</v>
      </c>
      <c r="BA32" s="327">
        <f t="shared" si="57"/>
        <v>0.99971567276260387</v>
      </c>
      <c r="BB32" s="327">
        <f t="shared" si="58"/>
        <v>0.99990433169182025</v>
      </c>
      <c r="BC32" s="327">
        <f t="shared" si="58"/>
        <v>0.9998389992585206</v>
      </c>
      <c r="BD32" s="327">
        <f t="shared" si="38"/>
        <v>0.99989756284086251</v>
      </c>
      <c r="BE32" s="814"/>
      <c r="BF32" s="814"/>
      <c r="BG32" s="814"/>
      <c r="BH32" s="327"/>
      <c r="BI32" s="327"/>
      <c r="BJ32" s="327">
        <f t="shared" si="59"/>
        <v>0.98117316160627766</v>
      </c>
      <c r="BK32" s="327">
        <f t="shared" si="60"/>
        <v>0.98263572943045296</v>
      </c>
      <c r="BL32" s="327">
        <f t="shared" si="61"/>
        <v>0.97742227926958647</v>
      </c>
      <c r="BM32" s="327">
        <f t="shared" si="61"/>
        <v>0.97769245281946315</v>
      </c>
      <c r="BN32" s="327">
        <f t="shared" si="40"/>
        <v>0.97676383773564435</v>
      </c>
      <c r="BO32" s="814"/>
      <c r="BP32" s="814"/>
      <c r="BQ32" s="814"/>
      <c r="BR32" s="327"/>
      <c r="BS32" s="327"/>
    </row>
    <row r="33" spans="1:71">
      <c r="A33" s="336" t="s">
        <v>187</v>
      </c>
      <c r="B33" s="75">
        <f>COMB!L33</f>
        <v>1920657878.0854499</v>
      </c>
      <c r="C33" s="59">
        <f>COMB!M33</f>
        <v>2166832465.5378799</v>
      </c>
      <c r="D33" s="59">
        <f>COMB!N33</f>
        <v>2310828956.1970582</v>
      </c>
      <c r="E33" s="59">
        <f>COMB!O33</f>
        <v>2648372871.1433907</v>
      </c>
      <c r="F33" s="59">
        <f>COMB!P33</f>
        <v>2965275419</v>
      </c>
      <c r="G33" s="872">
        <f t="shared" si="110"/>
        <v>4.335721280616843E-2</v>
      </c>
      <c r="H33" s="872">
        <f t="shared" si="111"/>
        <v>4.4006392059039251E-2</v>
      </c>
      <c r="I33" s="872">
        <f t="shared" si="112"/>
        <v>4.4214619346415449E-2</v>
      </c>
      <c r="J33" s="872">
        <f t="shared" si="113"/>
        <v>4.7376666218672814E-2</v>
      </c>
      <c r="K33" s="326">
        <f t="shared" si="14"/>
        <v>5.0625731663768783E-2</v>
      </c>
      <c r="L33" s="327">
        <f t="shared" ref="L33:L35" si="120">(G33*(L$3-Q$3))/B33</f>
        <v>1.0372143209548697</v>
      </c>
      <c r="M33" s="327">
        <f t="shared" ref="M33:M35" si="121">(H33*(M$3-R$3))/C33</f>
        <v>1.0438668339229831</v>
      </c>
      <c r="N33" s="327">
        <f t="shared" ref="N33:O35" si="122">(I33*(N$3-S$3))/D33</f>
        <v>1.0297162682615815</v>
      </c>
      <c r="O33" s="327">
        <f t="shared" si="122"/>
        <v>1.0303689675257104</v>
      </c>
      <c r="P33" s="327">
        <f t="shared" si="26"/>
        <v>1.0357762617589501</v>
      </c>
      <c r="Q33" s="815"/>
      <c r="R33" s="815"/>
      <c r="S33" s="815"/>
      <c r="T33" s="327"/>
      <c r="U33" s="327"/>
      <c r="V33" s="327">
        <f t="shared" si="91"/>
        <v>0.95471626160934409</v>
      </c>
      <c r="W33" s="327">
        <f t="shared" si="92"/>
        <v>0.94817120644036945</v>
      </c>
      <c r="X33" s="327">
        <f t="shared" si="93"/>
        <v>0.95293119237557855</v>
      </c>
      <c r="Y33" s="327">
        <f t="shared" si="93"/>
        <v>0.94404329785026531</v>
      </c>
      <c r="Z33" s="327">
        <f t="shared" si="28"/>
        <v>0.94664731294922</v>
      </c>
      <c r="AA33" s="815"/>
      <c r="AB33" s="815"/>
      <c r="AC33" s="815"/>
      <c r="AD33" s="327"/>
      <c r="AE33" s="327"/>
      <c r="AF33" s="327">
        <f t="shared" ref="AF33:AF35" si="123">IF((AF$3-AL$3)&lt;0,1,(1-G33*(AF$3-AK$3)/B33))</f>
        <v>0.99557546723600765</v>
      </c>
      <c r="AG33" s="327">
        <f t="shared" ref="AG33:AG35" si="124">IF((AG$3-AM$3)&lt;0,1,(1-H33*(AG$3-AL$3)/C33))</f>
        <v>0.97824896633919889</v>
      </c>
      <c r="AH33" s="327">
        <f t="shared" ref="AH33:AI35" si="125">IF((AH$3-AN$3)&lt;0,1,(1-I33*(AH$3-AM$3)/D33))</f>
        <v>0.97866596727592281</v>
      </c>
      <c r="AI33" s="327">
        <f t="shared" si="125"/>
        <v>0.97491966227176208</v>
      </c>
      <c r="AJ33" s="327">
        <f t="shared" si="30"/>
        <v>0.97369072296151937</v>
      </c>
      <c r="AK33" s="815"/>
      <c r="AL33" s="815"/>
      <c r="AM33" s="815"/>
      <c r="AN33" s="327"/>
      <c r="AO33" s="327"/>
      <c r="AP33" s="327">
        <f t="shared" si="53"/>
        <v>0.99848753216741082</v>
      </c>
      <c r="AQ33" s="327">
        <f t="shared" si="54"/>
        <v>0.99914701828781172</v>
      </c>
      <c r="AR33" s="327">
        <f t="shared" si="55"/>
        <v>0.99980866338364061</v>
      </c>
      <c r="AS33" s="327">
        <f t="shared" si="55"/>
        <v>0.99980322131596955</v>
      </c>
      <c r="AT33" s="327">
        <f t="shared" si="34"/>
        <v>0.9998804899810062</v>
      </c>
      <c r="AU33" s="814"/>
      <c r="AV33" s="814"/>
      <c r="AW33" s="814"/>
      <c r="AX33" s="327"/>
      <c r="AY33" s="327"/>
      <c r="AZ33" s="327">
        <f t="shared" si="56"/>
        <v>0.99742654726992286</v>
      </c>
      <c r="BA33" s="327">
        <f t="shared" si="57"/>
        <v>0.99971567276260387</v>
      </c>
      <c r="BB33" s="327">
        <f t="shared" si="58"/>
        <v>0.99990433169182025</v>
      </c>
      <c r="BC33" s="327">
        <f t="shared" si="58"/>
        <v>0.9998389992585206</v>
      </c>
      <c r="BD33" s="327">
        <f t="shared" si="38"/>
        <v>0.99989756284086251</v>
      </c>
      <c r="BE33" s="815"/>
      <c r="BF33" s="815"/>
      <c r="BG33" s="815"/>
      <c r="BH33" s="327"/>
      <c r="BI33" s="327"/>
      <c r="BJ33" s="327">
        <f t="shared" si="59"/>
        <v>0.98117316160627766</v>
      </c>
      <c r="BK33" s="327">
        <f t="shared" si="60"/>
        <v>0.98263572943045296</v>
      </c>
      <c r="BL33" s="327">
        <f t="shared" si="61"/>
        <v>0.97742227926958647</v>
      </c>
      <c r="BM33" s="327">
        <f t="shared" si="61"/>
        <v>0.97769245281946315</v>
      </c>
      <c r="BN33" s="327">
        <f t="shared" si="40"/>
        <v>0.97676383773564435</v>
      </c>
      <c r="BO33" s="815"/>
      <c r="BP33" s="815"/>
      <c r="BQ33" s="815"/>
      <c r="BR33" s="327"/>
      <c r="BS33" s="327"/>
    </row>
    <row r="34" spans="1:71">
      <c r="A34" s="336" t="s">
        <v>188</v>
      </c>
      <c r="B34" s="75">
        <f>COMB!L34</f>
        <v>1870468529.3029001</v>
      </c>
      <c r="C34" s="59">
        <f>COMB!M34</f>
        <v>2001637199.0394001</v>
      </c>
      <c r="D34" s="59">
        <f>COMB!N34</f>
        <v>2137732532.5958486</v>
      </c>
      <c r="E34" s="59">
        <f>COMB!O34</f>
        <v>2485880779.2211285</v>
      </c>
      <c r="F34" s="59">
        <f>COMB!P34</f>
        <v>2704023994</v>
      </c>
      <c r="G34" s="872">
        <f>B34/B$3</f>
        <v>4.2224231081210116E-2</v>
      </c>
      <c r="H34" s="872">
        <f t="shared" si="111"/>
        <v>4.0651426790866106E-2</v>
      </c>
      <c r="I34" s="872">
        <f t="shared" si="112"/>
        <v>4.0902650946837926E-2</v>
      </c>
      <c r="J34" s="872">
        <f t="shared" si="113"/>
        <v>4.4469849853781079E-2</v>
      </c>
      <c r="K34" s="326">
        <f t="shared" si="14"/>
        <v>4.6165422697498279E-2</v>
      </c>
      <c r="L34" s="327">
        <f t="shared" si="120"/>
        <v>1.0372143209548697</v>
      </c>
      <c r="M34" s="327">
        <f t="shared" si="121"/>
        <v>1.0438668339229833</v>
      </c>
      <c r="N34" s="327">
        <f t="shared" si="122"/>
        <v>1.0297162682615815</v>
      </c>
      <c r="O34" s="327">
        <f t="shared" si="122"/>
        <v>1.0303689675257104</v>
      </c>
      <c r="P34" s="327">
        <f t="shared" si="26"/>
        <v>1.0357762617589499</v>
      </c>
      <c r="Q34" s="814"/>
      <c r="R34" s="815"/>
      <c r="S34" s="815"/>
      <c r="T34" s="327"/>
      <c r="U34" s="327"/>
      <c r="V34" s="327">
        <f t="shared" si="91"/>
        <v>0.95471626160934409</v>
      </c>
      <c r="W34" s="327">
        <f t="shared" si="92"/>
        <v>0.94817120644036934</v>
      </c>
      <c r="X34" s="327">
        <f t="shared" si="93"/>
        <v>0.95293119237557855</v>
      </c>
      <c r="Y34" s="327">
        <f t="shared" si="93"/>
        <v>0.9440432978502652</v>
      </c>
      <c r="Z34" s="327">
        <f t="shared" si="28"/>
        <v>0.94664731294922</v>
      </c>
      <c r="AA34" s="815"/>
      <c r="AB34" s="815"/>
      <c r="AC34" s="815"/>
      <c r="AD34" s="327"/>
      <c r="AE34" s="327"/>
      <c r="AF34" s="327">
        <f t="shared" si="123"/>
        <v>0.99557546723600765</v>
      </c>
      <c r="AG34" s="327">
        <f t="shared" si="124"/>
        <v>0.97824896633919889</v>
      </c>
      <c r="AH34" s="327">
        <f t="shared" si="125"/>
        <v>0.97866596727592281</v>
      </c>
      <c r="AI34" s="327">
        <f t="shared" si="125"/>
        <v>0.97491966227176208</v>
      </c>
      <c r="AJ34" s="327">
        <f t="shared" si="30"/>
        <v>0.97369072296151937</v>
      </c>
      <c r="AK34" s="815"/>
      <c r="AL34" s="815"/>
      <c r="AM34" s="815"/>
      <c r="AN34" s="327"/>
      <c r="AO34" s="327"/>
      <c r="AP34" s="327">
        <f t="shared" si="53"/>
        <v>0.99848753216741082</v>
      </c>
      <c r="AQ34" s="327">
        <f t="shared" si="54"/>
        <v>0.99914701828781172</v>
      </c>
      <c r="AR34" s="327">
        <f t="shared" si="55"/>
        <v>0.99980866338364061</v>
      </c>
      <c r="AS34" s="327">
        <f t="shared" si="55"/>
        <v>0.99980322131596955</v>
      </c>
      <c r="AT34" s="327">
        <f t="shared" si="34"/>
        <v>0.9998804899810062</v>
      </c>
      <c r="AU34" s="814"/>
      <c r="AV34" s="814"/>
      <c r="AW34" s="814"/>
      <c r="AX34" s="327"/>
      <c r="AY34" s="327"/>
      <c r="AZ34" s="327">
        <f t="shared" si="56"/>
        <v>0.99742654726992286</v>
      </c>
      <c r="BA34" s="327">
        <f t="shared" si="57"/>
        <v>0.99971567276260387</v>
      </c>
      <c r="BB34" s="327">
        <f t="shared" si="58"/>
        <v>0.99990433169182025</v>
      </c>
      <c r="BC34" s="327">
        <f t="shared" si="58"/>
        <v>0.9998389992585206</v>
      </c>
      <c r="BD34" s="327">
        <f t="shared" si="38"/>
        <v>0.99989756284086251</v>
      </c>
      <c r="BE34" s="814"/>
      <c r="BF34" s="815"/>
      <c r="BG34" s="815"/>
      <c r="BH34" s="327"/>
      <c r="BI34" s="327"/>
      <c r="BJ34" s="327">
        <f t="shared" si="59"/>
        <v>0.98117316160627766</v>
      </c>
      <c r="BK34" s="327">
        <f t="shared" si="60"/>
        <v>0.98263572943045296</v>
      </c>
      <c r="BL34" s="327">
        <f t="shared" si="61"/>
        <v>0.97742227926958647</v>
      </c>
      <c r="BM34" s="327">
        <f t="shared" si="61"/>
        <v>0.97769245281946315</v>
      </c>
      <c r="BN34" s="327">
        <f t="shared" si="40"/>
        <v>0.97676383773564435</v>
      </c>
      <c r="BO34" s="814"/>
      <c r="BP34" s="815"/>
      <c r="BQ34" s="815"/>
      <c r="BR34" s="327"/>
      <c r="BS34" s="327"/>
    </row>
    <row r="35" spans="1:71">
      <c r="A35" s="338" t="s">
        <v>189</v>
      </c>
      <c r="B35" s="76">
        <f>COMB!L35</f>
        <v>976702157.49143004</v>
      </c>
      <c r="C35" s="61">
        <f>COMB!M35</f>
        <v>1069981686.76639</v>
      </c>
      <c r="D35" s="61">
        <f>COMB!N35</f>
        <v>1156702988.5617392</v>
      </c>
      <c r="E35" s="61">
        <f>COMB!O35</f>
        <v>1244973288.0450234</v>
      </c>
      <c r="F35" s="61">
        <f>COMB!P35</f>
        <v>1355561808</v>
      </c>
      <c r="G35" s="872">
        <f t="shared" ref="G35" si="126">B35/B$3</f>
        <v>2.2048217839197984E-2</v>
      </c>
      <c r="H35" s="872">
        <f t="shared" si="111"/>
        <v>2.1730352647335641E-2</v>
      </c>
      <c r="I35" s="872">
        <f t="shared" si="112"/>
        <v>2.213196359642516E-2</v>
      </c>
      <c r="J35" s="872">
        <f t="shared" si="113"/>
        <v>2.2271291388590572E-2</v>
      </c>
      <c r="K35" s="331">
        <f t="shared" si="14"/>
        <v>2.3143316774468313E-2</v>
      </c>
      <c r="L35" s="327">
        <f t="shared" si="120"/>
        <v>1.0372143209548697</v>
      </c>
      <c r="M35" s="327">
        <f t="shared" si="121"/>
        <v>1.0438668339229833</v>
      </c>
      <c r="N35" s="327">
        <f t="shared" si="122"/>
        <v>1.0297162682615815</v>
      </c>
      <c r="O35" s="327">
        <f t="shared" si="122"/>
        <v>1.0303689675257104</v>
      </c>
      <c r="P35" s="327">
        <f t="shared" si="26"/>
        <v>1.0357762617589501</v>
      </c>
      <c r="Q35" s="814"/>
      <c r="R35" s="814"/>
      <c r="S35" s="814"/>
      <c r="T35" s="332"/>
      <c r="U35" s="332"/>
      <c r="V35" s="327">
        <f t="shared" ref="V35" si="127">1-G35*(V$3-AA$3)/B35</f>
        <v>0.95471626160934409</v>
      </c>
      <c r="W35" s="327">
        <f t="shared" ref="W35" si="128">1-H35*(W$3-AB$3)/C35</f>
        <v>0.94817120644036934</v>
      </c>
      <c r="X35" s="327">
        <f t="shared" ref="X35:Y35" si="129">1-I35*(X$3-AC$3)/D35</f>
        <v>0.95293119237557855</v>
      </c>
      <c r="Y35" s="327">
        <f t="shared" si="129"/>
        <v>0.94404329785026531</v>
      </c>
      <c r="Z35" s="327">
        <f t="shared" si="28"/>
        <v>0.94664731294922</v>
      </c>
      <c r="AA35" s="814"/>
      <c r="AB35" s="814"/>
      <c r="AC35" s="814"/>
      <c r="AD35" s="332"/>
      <c r="AE35" s="332"/>
      <c r="AF35" s="327">
        <f t="shared" si="123"/>
        <v>0.99557546723600765</v>
      </c>
      <c r="AG35" s="327">
        <f t="shared" si="124"/>
        <v>0.97824896633919889</v>
      </c>
      <c r="AH35" s="327">
        <f t="shared" si="125"/>
        <v>0.97866596727592281</v>
      </c>
      <c r="AI35" s="327">
        <f t="shared" si="125"/>
        <v>0.97491966227176208</v>
      </c>
      <c r="AJ35" s="327">
        <f t="shared" si="30"/>
        <v>0.97369072296151937</v>
      </c>
      <c r="AK35" s="814"/>
      <c r="AL35" s="814"/>
      <c r="AM35" s="814"/>
      <c r="AN35" s="332"/>
      <c r="AO35" s="332"/>
      <c r="AP35" s="327">
        <f t="shared" si="53"/>
        <v>0.99848753216741082</v>
      </c>
      <c r="AQ35" s="327">
        <f t="shared" si="54"/>
        <v>0.99914701828781172</v>
      </c>
      <c r="AR35" s="327">
        <f t="shared" si="55"/>
        <v>0.99980866338364061</v>
      </c>
      <c r="AS35" s="327">
        <f t="shared" si="55"/>
        <v>0.99980322131596955</v>
      </c>
      <c r="AT35" s="327">
        <f t="shared" si="34"/>
        <v>0.9998804899810062</v>
      </c>
      <c r="AU35" s="814"/>
      <c r="AV35" s="814"/>
      <c r="AW35" s="814"/>
      <c r="AX35" s="327"/>
      <c r="AY35" s="327"/>
      <c r="AZ35" s="327">
        <f t="shared" si="56"/>
        <v>0.99742654726992286</v>
      </c>
      <c r="BA35" s="327">
        <f t="shared" si="57"/>
        <v>0.99971567276260387</v>
      </c>
      <c r="BB35" s="327">
        <f t="shared" si="58"/>
        <v>0.99990433169182025</v>
      </c>
      <c r="BC35" s="327">
        <f t="shared" si="58"/>
        <v>0.9998389992585206</v>
      </c>
      <c r="BD35" s="327">
        <f t="shared" si="38"/>
        <v>0.99989756284086251</v>
      </c>
      <c r="BE35" s="814"/>
      <c r="BF35" s="814"/>
      <c r="BG35" s="814"/>
      <c r="BH35" s="332"/>
      <c r="BI35" s="332"/>
      <c r="BJ35" s="327">
        <f t="shared" si="59"/>
        <v>0.98117316160627766</v>
      </c>
      <c r="BK35" s="327">
        <f t="shared" si="60"/>
        <v>0.98263572943045296</v>
      </c>
      <c r="BL35" s="327">
        <f t="shared" si="61"/>
        <v>0.97742227926958647</v>
      </c>
      <c r="BM35" s="327">
        <f t="shared" si="61"/>
        <v>0.97769245281946315</v>
      </c>
      <c r="BN35" s="327">
        <f t="shared" si="40"/>
        <v>0.97676383773564435</v>
      </c>
      <c r="BO35" s="814"/>
      <c r="BP35" s="814"/>
      <c r="BQ35" s="814"/>
      <c r="BR35" s="332"/>
      <c r="BS35" s="332"/>
    </row>
    <row r="36" spans="1:71">
      <c r="A36" s="3"/>
      <c r="B36" s="57"/>
      <c r="C36" s="57"/>
      <c r="D36" s="57"/>
      <c r="E36" s="57"/>
      <c r="L36" s="1"/>
      <c r="M36" s="1"/>
      <c r="N36" s="1"/>
      <c r="O36" s="1"/>
    </row>
    <row r="37" spans="1:71">
      <c r="A37" s="859" t="s">
        <v>230</v>
      </c>
      <c r="B37" s="863">
        <v>2009</v>
      </c>
      <c r="C37" s="864">
        <v>2010</v>
      </c>
      <c r="D37" s="864">
        <v>2011</v>
      </c>
      <c r="E37" s="864">
        <v>2012</v>
      </c>
      <c r="F37" s="865">
        <v>2013</v>
      </c>
      <c r="L37" s="1"/>
      <c r="M37" s="1"/>
      <c r="N37" s="1"/>
      <c r="O37" s="1"/>
    </row>
    <row r="38" spans="1:71">
      <c r="A38" s="862" t="s">
        <v>231</v>
      </c>
      <c r="B38" s="866">
        <v>45947</v>
      </c>
      <c r="C38" s="867">
        <v>51399</v>
      </c>
      <c r="D38" s="867">
        <v>53817</v>
      </c>
      <c r="E38" s="867">
        <v>57598</v>
      </c>
      <c r="F38" s="868">
        <v>60668</v>
      </c>
      <c r="L38" s="1"/>
      <c r="M38" s="1"/>
      <c r="N38" s="1"/>
      <c r="O38" s="1"/>
    </row>
    <row r="39" spans="1:71">
      <c r="A39" s="860" t="s">
        <v>232</v>
      </c>
      <c r="B39" s="809">
        <v>2006</v>
      </c>
      <c r="C39" s="413">
        <v>2552</v>
      </c>
      <c r="D39" s="413">
        <v>2460</v>
      </c>
      <c r="E39" s="413">
        <v>3128</v>
      </c>
      <c r="F39" s="409">
        <v>3125</v>
      </c>
      <c r="L39" s="1"/>
      <c r="M39" s="1"/>
      <c r="N39" s="1"/>
      <c r="O39" s="1"/>
    </row>
    <row r="40" spans="1:71">
      <c r="A40" s="860" t="s">
        <v>233</v>
      </c>
      <c r="B40" s="809">
        <v>196</v>
      </c>
      <c r="C40" s="413">
        <v>1071</v>
      </c>
      <c r="D40" s="413">
        <v>1115</v>
      </c>
      <c r="E40" s="413">
        <v>1402</v>
      </c>
      <c r="F40" s="993">
        <v>1541</v>
      </c>
      <c r="L40" s="1"/>
      <c r="M40" s="1"/>
      <c r="N40" s="1"/>
      <c r="O40" s="1"/>
    </row>
    <row r="41" spans="1:71">
      <c r="A41" s="860" t="s">
        <v>234</v>
      </c>
      <c r="B41" s="809">
        <v>67</v>
      </c>
      <c r="C41" s="413">
        <v>42</v>
      </c>
      <c r="D41" s="413">
        <v>10</v>
      </c>
      <c r="E41" s="992">
        <v>11</v>
      </c>
      <c r="F41" s="994">
        <v>7</v>
      </c>
      <c r="G41" s="991"/>
      <c r="L41" s="1"/>
      <c r="M41" s="1"/>
      <c r="N41" s="1"/>
      <c r="O41" s="1"/>
    </row>
    <row r="42" spans="1:71">
      <c r="A42" s="860" t="s">
        <v>235</v>
      </c>
      <c r="B42" s="809">
        <v>114</v>
      </c>
      <c r="C42" s="413">
        <v>14</v>
      </c>
      <c r="D42" s="413">
        <v>5</v>
      </c>
      <c r="E42" s="413">
        <v>9</v>
      </c>
      <c r="F42" s="409">
        <v>6</v>
      </c>
      <c r="L42" s="1"/>
      <c r="M42" s="1"/>
      <c r="N42" s="1"/>
      <c r="O42" s="1"/>
    </row>
    <row r="43" spans="1:71">
      <c r="A43" s="861" t="s">
        <v>236</v>
      </c>
      <c r="B43" s="810">
        <v>834</v>
      </c>
      <c r="C43" s="811">
        <v>855</v>
      </c>
      <c r="D43" s="811">
        <v>1180</v>
      </c>
      <c r="E43" s="811">
        <v>1247</v>
      </c>
      <c r="F43" s="812">
        <v>1361</v>
      </c>
      <c r="L43" s="1"/>
      <c r="M43" s="1"/>
      <c r="N43" s="1"/>
      <c r="O43" s="1"/>
    </row>
    <row r="44" spans="1:71">
      <c r="A44" s="3"/>
      <c r="B44" s="57"/>
      <c r="C44" s="57"/>
      <c r="D44" s="57"/>
      <c r="E44" s="57"/>
      <c r="L44" s="1"/>
      <c r="M44" s="1"/>
      <c r="N44" s="1"/>
      <c r="O44" s="1"/>
    </row>
    <row r="45" spans="1:71">
      <c r="A45" s="3"/>
      <c r="B45" s="57"/>
      <c r="C45" s="57"/>
      <c r="D45" s="57"/>
      <c r="E45" s="57"/>
      <c r="L45" s="1"/>
      <c r="M45" s="1"/>
      <c r="N45" s="1"/>
      <c r="O45" s="1"/>
    </row>
    <row r="46" spans="1:71">
      <c r="A46" s="3"/>
      <c r="B46" s="57"/>
      <c r="C46" s="57"/>
      <c r="D46" s="57"/>
      <c r="E46" s="57"/>
      <c r="L46" s="1"/>
      <c r="M46" s="1"/>
      <c r="N46" s="1"/>
      <c r="O46" s="1"/>
    </row>
    <row r="47" spans="1:71">
      <c r="A47" s="3"/>
      <c r="B47" s="57"/>
      <c r="C47" s="57"/>
      <c r="D47" s="57"/>
      <c r="E47" s="57"/>
      <c r="L47" s="1"/>
      <c r="M47" s="1"/>
      <c r="N47" s="1"/>
      <c r="O47" s="1"/>
    </row>
    <row r="48" spans="1:71">
      <c r="A48" s="3"/>
      <c r="B48" s="57"/>
      <c r="C48" s="57"/>
      <c r="D48" s="57"/>
      <c r="E48" s="57"/>
      <c r="L48" s="1"/>
      <c r="M48" s="1"/>
      <c r="N48" s="1"/>
      <c r="O48" s="1"/>
    </row>
    <row r="49" spans="1:15">
      <c r="A49" s="3"/>
      <c r="B49" s="57"/>
      <c r="C49" s="57"/>
      <c r="D49" s="57"/>
      <c r="E49" s="57"/>
      <c r="L49" s="1"/>
      <c r="M49" s="1"/>
      <c r="N49" s="1"/>
      <c r="O49" s="1"/>
    </row>
    <row r="50" spans="1:15">
      <c r="A50" s="3"/>
      <c r="B50" s="57"/>
      <c r="C50" s="57"/>
      <c r="D50" s="57"/>
      <c r="E50" s="57"/>
      <c r="L50" s="1"/>
      <c r="M50" s="1"/>
      <c r="N50" s="1"/>
      <c r="O50" s="1"/>
    </row>
    <row r="51" spans="1:15">
      <c r="A51" s="3"/>
      <c r="B51" s="57"/>
      <c r="C51" s="57"/>
      <c r="D51" s="57"/>
      <c r="E51" s="57"/>
      <c r="L51" s="1"/>
      <c r="M51" s="1"/>
      <c r="N51" s="1"/>
      <c r="O51" s="1"/>
    </row>
    <row r="52" spans="1:15">
      <c r="A52" s="3"/>
      <c r="B52" s="57"/>
      <c r="C52" s="57"/>
      <c r="D52" s="57"/>
      <c r="E52" s="57"/>
      <c r="L52" s="1"/>
      <c r="M52" s="1"/>
      <c r="N52" s="1"/>
      <c r="O52" s="1"/>
    </row>
    <row r="53" spans="1:15">
      <c r="A53" s="3"/>
      <c r="B53" s="57"/>
      <c r="C53" s="57"/>
      <c r="D53" s="57"/>
      <c r="E53" s="57"/>
      <c r="L53" s="1"/>
      <c r="M53" s="1"/>
      <c r="N53" s="1"/>
      <c r="O53" s="1"/>
    </row>
    <row r="54" spans="1:15">
      <c r="A54" s="3"/>
      <c r="B54" s="57"/>
      <c r="C54" s="57"/>
      <c r="D54" s="57"/>
      <c r="E54" s="57"/>
      <c r="L54" s="1"/>
      <c r="M54" s="1"/>
      <c r="N54" s="1"/>
      <c r="O54" s="1"/>
    </row>
    <row r="55" spans="1:15">
      <c r="A55" s="3"/>
      <c r="B55" s="57"/>
      <c r="C55" s="57"/>
      <c r="D55" s="57"/>
      <c r="E55" s="57"/>
      <c r="L55" s="1"/>
      <c r="M55" s="1"/>
      <c r="N55" s="1"/>
      <c r="O55" s="1"/>
    </row>
    <row r="56" spans="1:15">
      <c r="A56" s="3"/>
      <c r="B56" s="57"/>
      <c r="C56" s="57"/>
      <c r="D56" s="57"/>
      <c r="E56" s="57"/>
      <c r="L56" s="1"/>
      <c r="M56" s="1"/>
      <c r="N56" s="1"/>
      <c r="O56" s="1"/>
    </row>
    <row r="57" spans="1:15">
      <c r="A57" s="3"/>
      <c r="B57" s="57"/>
      <c r="C57" s="57"/>
      <c r="D57" s="57"/>
      <c r="E57" s="57"/>
      <c r="L57" s="1"/>
      <c r="M57" s="1"/>
      <c r="N57" s="1"/>
      <c r="O57" s="1"/>
    </row>
    <row r="58" spans="1:15">
      <c r="A58" s="3"/>
      <c r="B58" s="57"/>
      <c r="C58" s="57"/>
      <c r="D58" s="57"/>
      <c r="E58" s="57"/>
      <c r="L58" s="1"/>
      <c r="M58" s="1"/>
      <c r="N58" s="1"/>
      <c r="O58" s="1"/>
    </row>
    <row r="59" spans="1:15">
      <c r="A59" s="3"/>
      <c r="B59" s="57"/>
      <c r="C59" s="57"/>
      <c r="D59" s="57"/>
      <c r="E59" s="57"/>
      <c r="L59" s="1"/>
      <c r="M59" s="1"/>
      <c r="N59" s="1"/>
      <c r="O59" s="1"/>
    </row>
    <row r="60" spans="1:15">
      <c r="A60" s="3"/>
      <c r="B60" s="57"/>
      <c r="C60" s="57"/>
      <c r="D60" s="57"/>
      <c r="E60" s="57"/>
      <c r="L60" s="1"/>
      <c r="M60" s="1"/>
      <c r="N60" s="1"/>
      <c r="O60" s="1"/>
    </row>
    <row r="61" spans="1:15">
      <c r="A61" s="3"/>
      <c r="B61" s="57"/>
      <c r="C61" s="57"/>
      <c r="D61" s="57"/>
      <c r="E61" s="57"/>
      <c r="L61" s="1"/>
      <c r="M61" s="1"/>
      <c r="N61" s="1"/>
      <c r="O61" s="1"/>
    </row>
    <row r="62" spans="1:15">
      <c r="A62" s="3"/>
      <c r="B62" s="57"/>
      <c r="C62" s="57"/>
      <c r="D62" s="57"/>
      <c r="E62" s="57"/>
      <c r="L62" s="1"/>
      <c r="M62" s="1"/>
      <c r="N62" s="1"/>
      <c r="O62" s="1"/>
    </row>
    <row r="63" spans="1:15">
      <c r="A63" s="3"/>
      <c r="B63" s="57"/>
      <c r="C63" s="57"/>
      <c r="D63" s="57"/>
      <c r="E63" s="57"/>
      <c r="L63" s="1"/>
      <c r="M63" s="1"/>
      <c r="N63" s="1"/>
      <c r="O63" s="1"/>
    </row>
    <row r="64" spans="1:15">
      <c r="A64" s="3"/>
      <c r="B64" s="57"/>
      <c r="C64" s="57"/>
      <c r="D64" s="57"/>
      <c r="E64" s="57"/>
      <c r="L64" s="1"/>
      <c r="M64" s="1"/>
      <c r="N64" s="1"/>
      <c r="O64" s="1"/>
    </row>
    <row r="65" spans="1:15">
      <c r="A65" s="3"/>
      <c r="B65" s="57"/>
      <c r="C65" s="57"/>
      <c r="D65" s="57"/>
      <c r="E65" s="57"/>
      <c r="L65" s="1"/>
      <c r="M65" s="1"/>
      <c r="N65" s="1"/>
      <c r="O65" s="1"/>
    </row>
    <row r="66" spans="1:15">
      <c r="A66" s="3"/>
      <c r="B66" s="57"/>
      <c r="C66" s="57"/>
      <c r="D66" s="57"/>
      <c r="E66" s="57"/>
      <c r="L66" s="1"/>
      <c r="M66" s="1"/>
      <c r="N66" s="1"/>
      <c r="O66" s="1"/>
    </row>
    <row r="67" spans="1:15">
      <c r="A67" s="3"/>
      <c r="B67" s="57"/>
      <c r="C67" s="57"/>
      <c r="D67" s="57"/>
      <c r="E67" s="57"/>
      <c r="L67" s="1"/>
      <c r="M67" s="1"/>
      <c r="N67" s="1"/>
      <c r="O67" s="1"/>
    </row>
    <row r="68" spans="1:15">
      <c r="A68" s="3"/>
      <c r="B68" s="57"/>
      <c r="C68" s="57"/>
      <c r="D68" s="57"/>
      <c r="E68" s="57"/>
      <c r="L68" s="1"/>
      <c r="M68" s="1"/>
      <c r="N68" s="1"/>
      <c r="O68" s="1"/>
    </row>
    <row r="69" spans="1:15">
      <c r="A69" s="3"/>
      <c r="B69" s="57"/>
      <c r="C69" s="57"/>
      <c r="D69" s="57"/>
      <c r="E69" s="57"/>
      <c r="L69" s="1"/>
      <c r="M69" s="1"/>
      <c r="N69" s="1"/>
      <c r="O69" s="1"/>
    </row>
    <row r="70" spans="1:15">
      <c r="A70" s="3"/>
      <c r="B70" s="57"/>
      <c r="C70" s="57"/>
      <c r="D70" s="57"/>
      <c r="E70" s="57"/>
      <c r="L70" s="1"/>
      <c r="M70" s="1"/>
      <c r="N70" s="1"/>
      <c r="O70" s="1"/>
    </row>
    <row r="71" spans="1:15">
      <c r="A71" s="3"/>
      <c r="B71" s="57"/>
      <c r="C71" s="57"/>
      <c r="D71" s="57"/>
      <c r="E71" s="57"/>
      <c r="L71" s="1"/>
      <c r="M71" s="1"/>
      <c r="N71" s="1"/>
      <c r="O71" s="1"/>
    </row>
    <row r="72" spans="1:15">
      <c r="A72" s="3"/>
      <c r="B72" s="57"/>
      <c r="C72" s="57"/>
      <c r="D72" s="57"/>
      <c r="E72" s="57"/>
      <c r="L72" s="1"/>
      <c r="M72" s="1"/>
      <c r="N72" s="1"/>
      <c r="O72" s="1"/>
    </row>
    <row r="73" spans="1:15">
      <c r="A73" s="3"/>
      <c r="B73" s="57"/>
      <c r="C73" s="57"/>
      <c r="D73" s="57"/>
      <c r="E73" s="57"/>
      <c r="L73" s="1"/>
      <c r="M73" s="1"/>
      <c r="N73" s="1"/>
      <c r="O73" s="1"/>
    </row>
    <row r="74" spans="1:15">
      <c r="A74" s="3"/>
      <c r="B74" s="57"/>
      <c r="C74" s="57"/>
      <c r="D74" s="57"/>
      <c r="E74" s="57"/>
      <c r="L74" s="1"/>
      <c r="M74" s="1"/>
      <c r="N74" s="1"/>
      <c r="O74" s="1"/>
    </row>
    <row r="75" spans="1:15">
      <c r="A75" s="3"/>
      <c r="B75" s="57"/>
      <c r="C75" s="57"/>
      <c r="D75" s="57"/>
      <c r="E75" s="57"/>
      <c r="L75" s="1"/>
      <c r="M75" s="1"/>
      <c r="N75" s="1"/>
      <c r="O75" s="1"/>
    </row>
    <row r="76" spans="1:15">
      <c r="A76" s="3"/>
      <c r="B76" s="57"/>
      <c r="C76" s="57"/>
      <c r="D76" s="57"/>
      <c r="E76" s="57"/>
      <c r="L76" s="1"/>
      <c r="M76" s="1"/>
      <c r="N76" s="1"/>
      <c r="O76" s="1"/>
    </row>
    <row r="77" spans="1:15">
      <c r="A77" s="3"/>
      <c r="B77" s="57"/>
      <c r="C77" s="57"/>
      <c r="D77" s="57"/>
      <c r="E77" s="57"/>
      <c r="L77" s="1"/>
      <c r="M77" s="1"/>
      <c r="N77" s="1"/>
      <c r="O77" s="1"/>
    </row>
    <row r="78" spans="1:15">
      <c r="A78" s="3"/>
      <c r="B78" s="57"/>
      <c r="C78" s="57"/>
      <c r="D78" s="57"/>
      <c r="E78" s="57"/>
      <c r="L78" s="1"/>
      <c r="M78" s="1"/>
      <c r="N78" s="1"/>
      <c r="O78" s="1"/>
    </row>
    <row r="79" spans="1:15">
      <c r="A79" s="3"/>
      <c r="B79" s="57"/>
      <c r="C79" s="57"/>
      <c r="D79" s="57"/>
      <c r="E79" s="57"/>
      <c r="L79" s="1"/>
      <c r="M79" s="1"/>
      <c r="N79" s="1"/>
      <c r="O79" s="1"/>
    </row>
    <row r="80" spans="1:15">
      <c r="A80" s="3"/>
      <c r="B80" s="57"/>
      <c r="C80" s="57"/>
      <c r="D80" s="57"/>
      <c r="E80" s="57"/>
      <c r="L80" s="1"/>
      <c r="M80" s="1"/>
      <c r="N80" s="1"/>
      <c r="O80" s="1"/>
    </row>
    <row r="81" spans="1:15">
      <c r="A81" s="3"/>
      <c r="B81" s="57"/>
      <c r="C81" s="57"/>
      <c r="D81" s="57"/>
      <c r="E81" s="57"/>
      <c r="L81" s="1"/>
      <c r="M81" s="1"/>
      <c r="N81" s="1"/>
      <c r="O81" s="1"/>
    </row>
    <row r="82" spans="1:15">
      <c r="A82" s="3"/>
      <c r="B82" s="57"/>
      <c r="C82" s="57"/>
      <c r="D82" s="57"/>
      <c r="E82" s="57"/>
      <c r="L82" s="1"/>
      <c r="M82" s="1"/>
      <c r="N82" s="1"/>
      <c r="O82" s="1"/>
    </row>
    <row r="83" spans="1:15">
      <c r="A83" s="3"/>
      <c r="B83" s="57"/>
      <c r="C83" s="57"/>
      <c r="D83" s="57"/>
      <c r="E83" s="57"/>
      <c r="L83" s="1"/>
      <c r="M83" s="1"/>
      <c r="N83" s="1"/>
      <c r="O83" s="1"/>
    </row>
    <row r="84" spans="1:15">
      <c r="A84" s="3"/>
      <c r="B84" s="57"/>
      <c r="C84" s="57"/>
      <c r="D84" s="57"/>
      <c r="E84" s="57"/>
      <c r="L84" s="1"/>
      <c r="M84" s="1"/>
      <c r="N84" s="1"/>
      <c r="O84" s="1"/>
    </row>
    <row r="85" spans="1:15">
      <c r="A85" s="3"/>
      <c r="B85" s="57"/>
      <c r="C85" s="57"/>
      <c r="D85" s="57"/>
      <c r="E85" s="57"/>
      <c r="L85" s="1"/>
      <c r="M85" s="1"/>
      <c r="N85" s="1"/>
      <c r="O85" s="1"/>
    </row>
    <row r="86" spans="1:15">
      <c r="A86" s="3"/>
      <c r="B86" s="57"/>
      <c r="C86" s="57"/>
      <c r="D86" s="57"/>
      <c r="E86" s="57"/>
      <c r="L86" s="1"/>
      <c r="M86" s="1"/>
      <c r="N86" s="1"/>
      <c r="O86" s="1"/>
    </row>
    <row r="87" spans="1:15">
      <c r="A87" s="3"/>
      <c r="B87" s="57"/>
      <c r="C87" s="57"/>
      <c r="D87" s="57"/>
      <c r="E87" s="57"/>
      <c r="L87" s="1"/>
      <c r="M87" s="1"/>
      <c r="N87" s="1"/>
      <c r="O87" s="1"/>
    </row>
    <row r="88" spans="1:15">
      <c r="A88" s="3"/>
      <c r="B88" s="57"/>
      <c r="C88" s="57"/>
      <c r="D88" s="57"/>
      <c r="E88" s="57"/>
      <c r="L88" s="1"/>
      <c r="M88" s="1"/>
      <c r="N88" s="1"/>
      <c r="O88" s="1"/>
    </row>
    <row r="89" spans="1:15">
      <c r="A89" s="3"/>
      <c r="B89" s="57"/>
      <c r="C89" s="57"/>
      <c r="D89" s="57"/>
      <c r="E89" s="57"/>
      <c r="L89" s="1"/>
      <c r="M89" s="1"/>
      <c r="N89" s="1"/>
      <c r="O89" s="1"/>
    </row>
    <row r="90" spans="1:15">
      <c r="A90" s="3"/>
      <c r="B90" s="57"/>
      <c r="C90" s="57"/>
      <c r="D90" s="57"/>
      <c r="E90" s="57"/>
      <c r="L90" s="1"/>
      <c r="M90" s="1"/>
      <c r="N90" s="1"/>
      <c r="O90" s="1"/>
    </row>
    <row r="91" spans="1:15">
      <c r="A91" s="3"/>
      <c r="B91" s="57"/>
      <c r="C91" s="57"/>
      <c r="D91" s="57"/>
      <c r="E91" s="57"/>
      <c r="L91" s="1"/>
      <c r="M91" s="1"/>
      <c r="N91" s="1"/>
      <c r="O91" s="1"/>
    </row>
    <row r="92" spans="1:15">
      <c r="A92" s="3"/>
      <c r="B92" s="57"/>
      <c r="C92" s="57"/>
      <c r="D92" s="57"/>
      <c r="E92" s="57"/>
      <c r="L92" s="1"/>
      <c r="M92" s="1"/>
      <c r="N92" s="1"/>
      <c r="O92" s="1"/>
    </row>
    <row r="93" spans="1:15">
      <c r="A93" s="3"/>
      <c r="B93" s="57"/>
      <c r="C93" s="57"/>
      <c r="D93" s="57"/>
      <c r="E93" s="57"/>
      <c r="L93" s="1"/>
      <c r="M93" s="1"/>
      <c r="N93" s="1"/>
      <c r="O93" s="1"/>
    </row>
    <row r="94" spans="1:15">
      <c r="A94" s="3"/>
      <c r="B94" s="57"/>
      <c r="C94" s="57"/>
      <c r="D94" s="57"/>
      <c r="E94" s="57"/>
      <c r="L94" s="1"/>
      <c r="M94" s="1"/>
      <c r="N94" s="1"/>
      <c r="O94" s="1"/>
    </row>
    <row r="95" spans="1:15">
      <c r="A95" s="3"/>
      <c r="B95" s="57"/>
      <c r="C95" s="57"/>
      <c r="D95" s="57"/>
      <c r="E95" s="57"/>
      <c r="L95" s="1"/>
      <c r="M95" s="1"/>
      <c r="N95" s="1"/>
      <c r="O95" s="1"/>
    </row>
    <row r="96" spans="1:15">
      <c r="A96" s="3"/>
      <c r="B96" s="57"/>
      <c r="C96" s="57"/>
      <c r="D96" s="57"/>
      <c r="E96" s="57"/>
      <c r="L96" s="1"/>
      <c r="M96" s="1"/>
      <c r="N96" s="1"/>
      <c r="O96" s="1"/>
    </row>
    <row r="97" spans="1:15">
      <c r="A97" s="3"/>
      <c r="B97" s="57"/>
      <c r="C97" s="57"/>
      <c r="D97" s="57"/>
      <c r="E97" s="57"/>
      <c r="L97" s="1"/>
      <c r="M97" s="1"/>
      <c r="N97" s="1"/>
      <c r="O97" s="1"/>
    </row>
    <row r="98" spans="1:15">
      <c r="A98" s="3"/>
      <c r="B98" s="57"/>
      <c r="C98" s="57"/>
      <c r="D98" s="57"/>
      <c r="E98" s="57"/>
      <c r="L98" s="1"/>
      <c r="M98" s="1"/>
      <c r="N98" s="1"/>
      <c r="O98" s="1"/>
    </row>
    <row r="99" spans="1:15">
      <c r="A99" s="3"/>
      <c r="B99" s="57"/>
      <c r="C99" s="57"/>
      <c r="D99" s="57"/>
      <c r="E99" s="57"/>
      <c r="L99" s="1"/>
      <c r="M99" s="1"/>
      <c r="N99" s="1"/>
      <c r="O99" s="1"/>
    </row>
    <row r="100" spans="1:15">
      <c r="A100" s="3"/>
      <c r="B100" s="57"/>
      <c r="C100" s="57"/>
      <c r="D100" s="57"/>
      <c r="E100" s="57"/>
      <c r="L100" s="1"/>
      <c r="M100" s="1"/>
      <c r="N100" s="1"/>
      <c r="O100" s="1"/>
    </row>
    <row r="101" spans="1:15">
      <c r="A101" s="3"/>
      <c r="B101" s="57"/>
      <c r="C101" s="57"/>
      <c r="D101" s="57"/>
      <c r="E101" s="57"/>
      <c r="L101" s="1"/>
      <c r="M101" s="1"/>
      <c r="N101" s="1"/>
      <c r="O101" s="1"/>
    </row>
    <row r="102" spans="1:15">
      <c r="A102" s="3"/>
      <c r="B102" s="57"/>
      <c r="C102" s="57"/>
      <c r="D102" s="57"/>
      <c r="E102" s="57"/>
      <c r="L102" s="1"/>
      <c r="M102" s="1"/>
      <c r="N102" s="1"/>
      <c r="O102" s="1"/>
    </row>
    <row r="103" spans="1:15">
      <c r="A103" s="3"/>
      <c r="B103" s="57"/>
      <c r="C103" s="57"/>
      <c r="D103" s="57"/>
      <c r="E103" s="57"/>
      <c r="L103" s="1"/>
      <c r="M103" s="1"/>
      <c r="N103" s="1"/>
      <c r="O103" s="1"/>
    </row>
    <row r="104" spans="1:15">
      <c r="A104" s="3"/>
      <c r="B104" s="57"/>
      <c r="C104" s="57"/>
      <c r="D104" s="57"/>
      <c r="E104" s="57"/>
      <c r="L104" s="1"/>
      <c r="M104" s="1"/>
      <c r="N104" s="1"/>
      <c r="O104" s="1"/>
    </row>
    <row r="105" spans="1:15">
      <c r="A105" s="3"/>
      <c r="B105" s="57"/>
      <c r="C105" s="57"/>
      <c r="D105" s="57"/>
      <c r="E105" s="57"/>
      <c r="L105" s="1"/>
      <c r="M105" s="1"/>
      <c r="N105" s="1"/>
      <c r="O105" s="1"/>
    </row>
    <row r="106" spans="1:15">
      <c r="A106" s="3"/>
      <c r="B106" s="57"/>
      <c r="C106" s="57"/>
      <c r="D106" s="57"/>
      <c r="E106" s="57"/>
      <c r="L106" s="1"/>
      <c r="M106" s="1"/>
      <c r="N106" s="1"/>
      <c r="O106" s="1"/>
    </row>
    <row r="107" spans="1:15">
      <c r="A107" s="3"/>
      <c r="B107" s="57"/>
      <c r="C107" s="57"/>
      <c r="D107" s="57"/>
      <c r="E107" s="57"/>
      <c r="L107" s="1"/>
      <c r="M107" s="1"/>
      <c r="N107" s="1"/>
      <c r="O107" s="1"/>
    </row>
    <row r="108" spans="1:15">
      <c r="A108" s="3"/>
      <c r="B108" s="57"/>
      <c r="C108" s="57"/>
      <c r="D108" s="57"/>
      <c r="E108" s="57"/>
      <c r="L108" s="1"/>
      <c r="M108" s="1"/>
      <c r="N108" s="1"/>
      <c r="O108" s="1"/>
    </row>
    <row r="109" spans="1:15">
      <c r="A109" s="3"/>
      <c r="B109" s="57"/>
      <c r="C109" s="57"/>
      <c r="D109" s="57"/>
      <c r="E109" s="57"/>
      <c r="L109" s="1"/>
      <c r="M109" s="1"/>
      <c r="N109" s="1"/>
      <c r="O109" s="1"/>
    </row>
    <row r="110" spans="1:15">
      <c r="A110" s="3"/>
      <c r="B110" s="57"/>
      <c r="C110" s="57"/>
      <c r="D110" s="57"/>
      <c r="E110" s="57"/>
      <c r="L110" s="1"/>
      <c r="M110" s="1"/>
      <c r="N110" s="1"/>
      <c r="O110" s="1"/>
    </row>
    <row r="111" spans="1:15">
      <c r="A111" s="3"/>
      <c r="B111" s="57"/>
      <c r="C111" s="57"/>
      <c r="D111" s="57"/>
      <c r="E111" s="57"/>
      <c r="L111" s="1"/>
      <c r="M111" s="1"/>
      <c r="N111" s="1"/>
      <c r="O111" s="1"/>
    </row>
    <row r="112" spans="1:15">
      <c r="A112" s="3"/>
      <c r="B112" s="57"/>
      <c r="C112" s="57"/>
      <c r="D112" s="57"/>
      <c r="E112" s="57"/>
      <c r="L112" s="1"/>
      <c r="M112" s="1"/>
      <c r="N112" s="1"/>
      <c r="O112" s="1"/>
    </row>
    <row r="113" spans="1:15">
      <c r="A113" s="3"/>
      <c r="B113" s="57"/>
      <c r="C113" s="57"/>
      <c r="D113" s="57"/>
      <c r="E113" s="57"/>
      <c r="L113" s="1"/>
      <c r="M113" s="1"/>
      <c r="N113" s="1"/>
      <c r="O113" s="1"/>
    </row>
    <row r="114" spans="1:15">
      <c r="A114" s="3"/>
      <c r="B114" s="57"/>
      <c r="C114" s="57"/>
      <c r="D114" s="57"/>
      <c r="E114" s="57"/>
      <c r="L114" s="1"/>
      <c r="M114" s="1"/>
      <c r="N114" s="1"/>
      <c r="O114" s="1"/>
    </row>
    <row r="115" spans="1:15">
      <c r="A115" s="3"/>
      <c r="B115" s="57"/>
      <c r="C115" s="57"/>
      <c r="D115" s="57"/>
      <c r="E115" s="57"/>
      <c r="L115" s="1"/>
      <c r="M115" s="1"/>
      <c r="N115" s="1"/>
      <c r="O115" s="1"/>
    </row>
    <row r="116" spans="1:15">
      <c r="A116" s="3"/>
      <c r="B116" s="57"/>
      <c r="C116" s="57"/>
      <c r="D116" s="57"/>
      <c r="E116" s="57"/>
      <c r="L116" s="1"/>
      <c r="M116" s="1"/>
      <c r="N116" s="1"/>
      <c r="O116" s="1"/>
    </row>
    <row r="117" spans="1:15">
      <c r="A117" s="3"/>
      <c r="B117" s="57"/>
      <c r="C117" s="57"/>
      <c r="D117" s="57"/>
      <c r="E117" s="57"/>
      <c r="L117" s="1"/>
      <c r="M117" s="1"/>
      <c r="N117" s="1"/>
      <c r="O117" s="1"/>
    </row>
    <row r="118" spans="1:15">
      <c r="A118" s="3"/>
      <c r="B118" s="57"/>
      <c r="C118" s="57"/>
      <c r="D118" s="57"/>
      <c r="E118" s="57"/>
      <c r="L118" s="1"/>
      <c r="M118" s="1"/>
      <c r="N118" s="1"/>
      <c r="O118" s="1"/>
    </row>
    <row r="119" spans="1:15">
      <c r="A119" s="3"/>
      <c r="B119" s="57"/>
      <c r="C119" s="57"/>
      <c r="D119" s="57"/>
      <c r="E119" s="57"/>
      <c r="L119" s="1"/>
      <c r="M119" s="1"/>
      <c r="N119" s="1"/>
      <c r="O119" s="1"/>
    </row>
    <row r="120" spans="1:15">
      <c r="A120" s="3"/>
      <c r="B120" s="57"/>
      <c r="C120" s="57"/>
      <c r="D120" s="57"/>
      <c r="E120" s="57"/>
      <c r="L120" s="1"/>
      <c r="M120" s="1"/>
      <c r="N120" s="1"/>
      <c r="O120" s="1"/>
    </row>
    <row r="121" spans="1:15">
      <c r="A121" s="3"/>
      <c r="B121" s="57"/>
      <c r="C121" s="57"/>
      <c r="D121" s="57"/>
      <c r="E121" s="57"/>
      <c r="L121" s="1"/>
      <c r="M121" s="1"/>
      <c r="N121" s="1"/>
      <c r="O121" s="1"/>
    </row>
    <row r="122" spans="1:15">
      <c r="A122" s="3"/>
      <c r="B122" s="57"/>
      <c r="C122" s="57"/>
      <c r="D122" s="57"/>
      <c r="E122" s="57"/>
      <c r="L122" s="1"/>
      <c r="M122" s="1"/>
      <c r="N122" s="1"/>
      <c r="O122" s="1"/>
    </row>
    <row r="123" spans="1:15">
      <c r="A123" s="3"/>
      <c r="B123" s="57"/>
      <c r="C123" s="57"/>
      <c r="D123" s="57"/>
      <c r="E123" s="57"/>
      <c r="L123" s="1"/>
      <c r="M123" s="1"/>
      <c r="N123" s="1"/>
      <c r="O123" s="1"/>
    </row>
    <row r="124" spans="1:15">
      <c r="A124" s="3"/>
      <c r="B124" s="57"/>
      <c r="C124" s="57"/>
      <c r="D124" s="57"/>
      <c r="E124" s="57"/>
      <c r="L124" s="1"/>
      <c r="M124" s="1"/>
      <c r="N124" s="1"/>
      <c r="O124" s="1"/>
    </row>
    <row r="125" spans="1:15">
      <c r="A125" s="3"/>
      <c r="B125" s="57"/>
      <c r="C125" s="57"/>
      <c r="D125" s="57"/>
      <c r="E125" s="57"/>
      <c r="L125" s="1"/>
      <c r="M125" s="1"/>
      <c r="N125" s="1"/>
      <c r="O125" s="1"/>
    </row>
    <row r="126" spans="1:15">
      <c r="A126" s="3"/>
      <c r="B126" s="57"/>
      <c r="C126" s="57"/>
      <c r="D126" s="57"/>
      <c r="E126" s="57"/>
      <c r="L126" s="1"/>
      <c r="M126" s="1"/>
      <c r="N126" s="1"/>
      <c r="O126" s="1"/>
    </row>
    <row r="127" spans="1:15">
      <c r="A127" s="3"/>
      <c r="B127" s="57"/>
      <c r="C127" s="57"/>
      <c r="D127" s="57"/>
      <c r="E127" s="57"/>
      <c r="L127" s="1"/>
      <c r="M127" s="1"/>
      <c r="N127" s="1"/>
      <c r="O127" s="1"/>
    </row>
    <row r="128" spans="1:15">
      <c r="A128" s="3"/>
      <c r="B128" s="57"/>
      <c r="C128" s="57"/>
      <c r="D128" s="57"/>
      <c r="E128" s="57"/>
      <c r="L128" s="1"/>
      <c r="M128" s="1"/>
      <c r="N128" s="1"/>
      <c r="O128" s="1"/>
    </row>
    <row r="129" spans="1:15">
      <c r="A129" s="3"/>
      <c r="B129" s="57"/>
      <c r="C129" s="57"/>
      <c r="D129" s="57"/>
      <c r="E129" s="57"/>
      <c r="L129" s="1"/>
      <c r="M129" s="1"/>
      <c r="N129" s="1"/>
      <c r="O129" s="1"/>
    </row>
    <row r="130" spans="1:15">
      <c r="A130" s="3"/>
      <c r="B130" s="57"/>
      <c r="C130" s="57"/>
      <c r="D130" s="57"/>
      <c r="E130" s="57"/>
      <c r="L130" s="1"/>
      <c r="M130" s="1"/>
      <c r="N130" s="1"/>
      <c r="O130" s="1"/>
    </row>
    <row r="131" spans="1:15">
      <c r="A131" s="3"/>
      <c r="B131" s="57"/>
      <c r="C131" s="57"/>
      <c r="D131" s="57"/>
      <c r="E131" s="57"/>
      <c r="L131" s="1"/>
      <c r="M131" s="1"/>
      <c r="N131" s="1"/>
      <c r="O131" s="1"/>
    </row>
    <row r="132" spans="1:15">
      <c r="A132" s="3"/>
      <c r="B132" s="57"/>
      <c r="C132" s="57"/>
      <c r="D132" s="57"/>
      <c r="E132" s="57"/>
      <c r="L132" s="1"/>
      <c r="M132" s="1"/>
      <c r="N132" s="1"/>
      <c r="O132" s="1"/>
    </row>
    <row r="133" spans="1:15">
      <c r="A133" s="3"/>
      <c r="B133" s="57"/>
      <c r="C133" s="57"/>
      <c r="D133" s="57"/>
      <c r="E133" s="57"/>
      <c r="L133" s="1"/>
      <c r="M133" s="1"/>
      <c r="N133" s="1"/>
      <c r="O133" s="1"/>
    </row>
    <row r="134" spans="1:15">
      <c r="A134" s="3"/>
      <c r="B134" s="57"/>
      <c r="C134" s="57"/>
      <c r="D134" s="57"/>
      <c r="E134" s="57"/>
      <c r="L134" s="1"/>
      <c r="M134" s="1"/>
      <c r="N134" s="1"/>
      <c r="O134" s="1"/>
    </row>
    <row r="135" spans="1:15">
      <c r="A135" s="3"/>
      <c r="B135" s="57"/>
      <c r="C135" s="57"/>
      <c r="D135" s="57"/>
      <c r="E135" s="57"/>
      <c r="L135" s="1"/>
      <c r="M135" s="1"/>
      <c r="N135" s="1"/>
      <c r="O135" s="1"/>
    </row>
    <row r="136" spans="1:15">
      <c r="A136" s="3"/>
      <c r="B136" s="57"/>
      <c r="C136" s="57"/>
      <c r="D136" s="57"/>
      <c r="E136" s="57"/>
      <c r="L136" s="1"/>
      <c r="M136" s="1"/>
      <c r="N136" s="1"/>
      <c r="O136" s="1"/>
    </row>
    <row r="137" spans="1:15">
      <c r="A137" s="3"/>
      <c r="B137" s="57"/>
      <c r="C137" s="57"/>
      <c r="D137" s="57"/>
      <c r="E137" s="57"/>
      <c r="L137" s="1"/>
      <c r="M137" s="1"/>
      <c r="N137" s="1"/>
      <c r="O137" s="1"/>
    </row>
    <row r="138" spans="1:15">
      <c r="A138" s="3"/>
      <c r="B138" s="57"/>
      <c r="C138" s="57"/>
      <c r="D138" s="57"/>
      <c r="E138" s="57"/>
      <c r="L138" s="1"/>
      <c r="M138" s="1"/>
      <c r="N138" s="1"/>
      <c r="O138" s="1"/>
    </row>
    <row r="139" spans="1:15">
      <c r="A139" s="3"/>
      <c r="B139" s="57"/>
      <c r="C139" s="57"/>
      <c r="D139" s="57"/>
      <c r="E139" s="57"/>
      <c r="L139" s="1"/>
      <c r="M139" s="1"/>
      <c r="N139" s="1"/>
      <c r="O139" s="1"/>
    </row>
    <row r="140" spans="1:15">
      <c r="A140" s="3"/>
      <c r="B140" s="57"/>
      <c r="C140" s="57"/>
      <c r="D140" s="57"/>
      <c r="E140" s="57"/>
      <c r="L140" s="1"/>
      <c r="M140" s="1"/>
      <c r="N140" s="1"/>
      <c r="O140" s="1"/>
    </row>
    <row r="141" spans="1:15">
      <c r="A141" s="3"/>
      <c r="B141" s="57"/>
      <c r="C141" s="57"/>
      <c r="D141" s="57"/>
      <c r="E141" s="57"/>
      <c r="L141" s="1"/>
      <c r="M141" s="1"/>
      <c r="N141" s="1"/>
      <c r="O141" s="1"/>
    </row>
    <row r="142" spans="1:15">
      <c r="A142" s="3"/>
      <c r="B142" s="57"/>
      <c r="C142" s="57"/>
      <c r="D142" s="57"/>
      <c r="E142" s="57"/>
      <c r="L142" s="1"/>
      <c r="M142" s="1"/>
      <c r="N142" s="1"/>
      <c r="O142" s="1"/>
    </row>
    <row r="143" spans="1:15">
      <c r="A143" s="3"/>
      <c r="B143" s="57"/>
      <c r="C143" s="57"/>
      <c r="D143" s="57"/>
      <c r="E143" s="57"/>
      <c r="L143" s="1"/>
      <c r="M143" s="1"/>
      <c r="N143" s="1"/>
      <c r="O143" s="1"/>
    </row>
    <row r="144" spans="1:15">
      <c r="A144" s="3"/>
      <c r="B144" s="57"/>
      <c r="C144" s="57"/>
      <c r="D144" s="57"/>
      <c r="E144" s="57"/>
      <c r="L144" s="1"/>
      <c r="M144" s="1"/>
      <c r="N144" s="1"/>
      <c r="O144" s="1"/>
    </row>
    <row r="145" spans="1:15">
      <c r="A145" s="3"/>
      <c r="B145" s="57"/>
      <c r="C145" s="57"/>
      <c r="D145" s="57"/>
      <c r="E145" s="57"/>
      <c r="L145" s="1"/>
      <c r="M145" s="1"/>
      <c r="N145" s="1"/>
      <c r="O145" s="1"/>
    </row>
    <row r="146" spans="1:15">
      <c r="A146" s="3"/>
      <c r="B146" s="57"/>
      <c r="C146" s="57"/>
      <c r="D146" s="57"/>
      <c r="E146" s="57"/>
      <c r="L146" s="1"/>
      <c r="M146" s="1"/>
      <c r="N146" s="1"/>
      <c r="O146" s="1"/>
    </row>
    <row r="147" spans="1:15">
      <c r="A147" s="3"/>
      <c r="B147" s="57"/>
      <c r="C147" s="57"/>
      <c r="D147" s="57"/>
      <c r="E147" s="57"/>
      <c r="L147" s="1"/>
      <c r="M147" s="1"/>
      <c r="N147" s="1"/>
      <c r="O147" s="1"/>
    </row>
    <row r="148" spans="1:15">
      <c r="A148" s="3"/>
      <c r="B148" s="57"/>
      <c r="C148" s="57"/>
      <c r="D148" s="57"/>
      <c r="E148" s="57"/>
      <c r="L148" s="1"/>
      <c r="M148" s="1"/>
      <c r="N148" s="1"/>
      <c r="O148" s="1"/>
    </row>
    <row r="149" spans="1:15">
      <c r="A149" s="3"/>
      <c r="B149" s="57"/>
      <c r="C149" s="57"/>
      <c r="D149" s="57"/>
      <c r="E149" s="57"/>
      <c r="L149" s="1"/>
      <c r="M149" s="1"/>
      <c r="N149" s="1"/>
      <c r="O149" s="1"/>
    </row>
    <row r="150" spans="1:15">
      <c r="A150" s="3"/>
      <c r="B150" s="57"/>
      <c r="C150" s="57"/>
      <c r="D150" s="57"/>
      <c r="E150" s="57"/>
      <c r="L150" s="1"/>
      <c r="M150" s="1"/>
      <c r="N150" s="1"/>
      <c r="O150" s="1"/>
    </row>
    <row r="151" spans="1:15">
      <c r="A151" s="3"/>
      <c r="B151" s="57"/>
      <c r="C151" s="57"/>
      <c r="D151" s="57"/>
      <c r="E151" s="57"/>
      <c r="L151" s="1"/>
      <c r="M151" s="1"/>
      <c r="N151" s="1"/>
      <c r="O151" s="1"/>
    </row>
    <row r="152" spans="1:15">
      <c r="A152" s="3"/>
      <c r="B152" s="57"/>
      <c r="C152" s="57"/>
      <c r="D152" s="57"/>
      <c r="E152" s="57"/>
      <c r="L152" s="1"/>
      <c r="M152" s="1"/>
      <c r="N152" s="1"/>
      <c r="O152" s="1"/>
    </row>
    <row r="153" spans="1:15">
      <c r="A153" s="3"/>
      <c r="B153" s="57"/>
      <c r="C153" s="57"/>
      <c r="D153" s="57"/>
      <c r="E153" s="57"/>
      <c r="L153" s="1"/>
      <c r="M153" s="1"/>
      <c r="N153" s="1"/>
      <c r="O153" s="1"/>
    </row>
    <row r="154" spans="1:15">
      <c r="A154" s="3"/>
      <c r="B154" s="57"/>
      <c r="C154" s="57"/>
      <c r="D154" s="57"/>
      <c r="E154" s="57"/>
      <c r="L154" s="1"/>
      <c r="M154" s="1"/>
      <c r="N154" s="1"/>
      <c r="O154" s="1"/>
    </row>
    <row r="155" spans="1:15">
      <c r="A155" s="3"/>
      <c r="B155" s="57"/>
      <c r="C155" s="57"/>
      <c r="D155" s="57"/>
      <c r="E155" s="57"/>
      <c r="L155" s="1"/>
      <c r="M155" s="1"/>
      <c r="N155" s="1"/>
      <c r="O155" s="1"/>
    </row>
    <row r="156" spans="1:15">
      <c r="A156" s="3"/>
      <c r="B156" s="57"/>
      <c r="C156" s="57"/>
      <c r="D156" s="57"/>
      <c r="E156" s="57"/>
      <c r="L156" s="1"/>
      <c r="M156" s="1"/>
      <c r="N156" s="1"/>
      <c r="O156" s="1"/>
    </row>
    <row r="157" spans="1:15">
      <c r="A157" s="3"/>
      <c r="B157" s="57"/>
      <c r="C157" s="57"/>
      <c r="D157" s="57"/>
      <c r="E157" s="57"/>
      <c r="L157" s="1"/>
      <c r="M157" s="1"/>
      <c r="N157" s="1"/>
      <c r="O157" s="1"/>
    </row>
    <row r="158" spans="1:15">
      <c r="A158" s="3"/>
      <c r="B158" s="57"/>
      <c r="C158" s="57"/>
      <c r="D158" s="57"/>
      <c r="E158" s="57"/>
      <c r="L158" s="1"/>
      <c r="M158" s="1"/>
      <c r="N158" s="1"/>
      <c r="O158" s="1"/>
    </row>
    <row r="159" spans="1:15">
      <c r="A159" s="3"/>
      <c r="B159" s="57"/>
      <c r="C159" s="57"/>
      <c r="D159" s="57"/>
      <c r="E159" s="57"/>
      <c r="L159" s="1"/>
      <c r="M159" s="1"/>
      <c r="N159" s="1"/>
      <c r="O159" s="1"/>
    </row>
    <row r="160" spans="1:15">
      <c r="A160" s="3"/>
      <c r="B160" s="57"/>
      <c r="C160" s="57"/>
      <c r="D160" s="57"/>
      <c r="E160" s="57"/>
      <c r="L160" s="1"/>
      <c r="M160" s="1"/>
      <c r="N160" s="1"/>
      <c r="O160" s="1"/>
    </row>
    <row r="161" spans="1:15">
      <c r="A161" s="3"/>
      <c r="B161" s="57"/>
      <c r="C161" s="57"/>
      <c r="D161" s="57"/>
      <c r="E161" s="57"/>
      <c r="L161" s="1"/>
      <c r="M161" s="1"/>
      <c r="N161" s="1"/>
      <c r="O161" s="1"/>
    </row>
    <row r="162" spans="1:15">
      <c r="A162" s="3"/>
      <c r="B162" s="57"/>
      <c r="C162" s="57"/>
      <c r="D162" s="57"/>
      <c r="E162" s="57"/>
      <c r="L162" s="1"/>
      <c r="M162" s="1"/>
      <c r="N162" s="1"/>
      <c r="O162" s="1"/>
    </row>
    <row r="163" spans="1:15">
      <c r="A163" s="3"/>
      <c r="B163" s="57"/>
      <c r="C163" s="57"/>
      <c r="D163" s="57"/>
      <c r="E163" s="57"/>
      <c r="L163" s="1"/>
      <c r="M163" s="1"/>
      <c r="N163" s="1"/>
      <c r="O163" s="1"/>
    </row>
    <row r="164" spans="1:15">
      <c r="A164" s="3"/>
      <c r="B164" s="57"/>
      <c r="C164" s="57"/>
      <c r="D164" s="57"/>
      <c r="E164" s="57"/>
      <c r="L164" s="1"/>
      <c r="M164" s="1"/>
      <c r="N164" s="1"/>
      <c r="O164" s="1"/>
    </row>
    <row r="165" spans="1:15">
      <c r="A165" s="3"/>
      <c r="B165" s="57"/>
      <c r="C165" s="57"/>
      <c r="D165" s="57"/>
      <c r="E165" s="57"/>
      <c r="L165" s="1"/>
      <c r="M165" s="1"/>
      <c r="N165" s="1"/>
      <c r="O165" s="1"/>
    </row>
    <row r="166" spans="1:15">
      <c r="A166" s="3"/>
      <c r="B166" s="57"/>
      <c r="C166" s="57"/>
      <c r="D166" s="57"/>
      <c r="E166" s="57"/>
      <c r="L166" s="1"/>
      <c r="M166" s="1"/>
      <c r="N166" s="1"/>
      <c r="O166" s="1"/>
    </row>
    <row r="167" spans="1:15">
      <c r="A167" s="3"/>
      <c r="B167" s="57"/>
      <c r="C167" s="57"/>
      <c r="D167" s="57"/>
      <c r="E167" s="57"/>
      <c r="L167" s="1"/>
      <c r="M167" s="1"/>
      <c r="N167" s="1"/>
      <c r="O167" s="1"/>
    </row>
    <row r="168" spans="1:15">
      <c r="A168" s="3"/>
      <c r="B168" s="57"/>
      <c r="C168" s="57"/>
      <c r="D168" s="57"/>
      <c r="E168" s="57"/>
      <c r="L168" s="1"/>
      <c r="M168" s="1"/>
      <c r="N168" s="1"/>
      <c r="O168" s="1"/>
    </row>
    <row r="169" spans="1:15">
      <c r="A169" s="3"/>
      <c r="B169" s="57"/>
      <c r="C169" s="57"/>
      <c r="D169" s="57"/>
      <c r="E169" s="57"/>
      <c r="L169" s="1"/>
      <c r="M169" s="1"/>
      <c r="N169" s="1"/>
      <c r="O169" s="1"/>
    </row>
    <row r="170" spans="1:15">
      <c r="A170" s="3"/>
      <c r="B170" s="57"/>
      <c r="C170" s="57"/>
      <c r="D170" s="57"/>
      <c r="E170" s="57"/>
      <c r="L170" s="1"/>
      <c r="M170" s="1"/>
      <c r="N170" s="1"/>
      <c r="O170" s="1"/>
    </row>
    <row r="171" spans="1:15">
      <c r="A171" s="3"/>
      <c r="B171" s="57"/>
      <c r="C171" s="57"/>
      <c r="D171" s="57"/>
      <c r="E171" s="57"/>
      <c r="L171" s="1"/>
      <c r="M171" s="1"/>
      <c r="N171" s="1"/>
      <c r="O171" s="1"/>
    </row>
    <row r="172" spans="1:15">
      <c r="A172" s="3"/>
      <c r="B172" s="57"/>
      <c r="C172" s="57"/>
      <c r="D172" s="57"/>
      <c r="E172" s="57"/>
      <c r="L172" s="1"/>
      <c r="M172" s="1"/>
      <c r="N172" s="1"/>
      <c r="O172" s="1"/>
    </row>
    <row r="173" spans="1:15">
      <c r="A173" s="3"/>
      <c r="B173" s="57"/>
      <c r="C173" s="57"/>
      <c r="D173" s="57"/>
      <c r="E173" s="57"/>
      <c r="L173" s="1"/>
      <c r="M173" s="1"/>
      <c r="N173" s="1"/>
      <c r="O173" s="1"/>
    </row>
    <row r="174" spans="1:15">
      <c r="A174" s="3"/>
      <c r="B174" s="57"/>
      <c r="C174" s="57"/>
      <c r="D174" s="57"/>
      <c r="E174" s="57"/>
      <c r="L174" s="1"/>
      <c r="M174" s="1"/>
      <c r="N174" s="1"/>
      <c r="O174" s="1"/>
    </row>
    <row r="175" spans="1:15">
      <c r="A175" s="3"/>
      <c r="B175" s="57"/>
      <c r="C175" s="57"/>
      <c r="D175" s="57"/>
      <c r="E175" s="57"/>
      <c r="L175" s="1"/>
      <c r="M175" s="1"/>
      <c r="N175" s="1"/>
      <c r="O175" s="1"/>
    </row>
    <row r="176" spans="1:15">
      <c r="A176" s="3"/>
      <c r="B176" s="57"/>
      <c r="C176" s="57"/>
      <c r="D176" s="57"/>
      <c r="E176" s="57"/>
      <c r="L176" s="1"/>
      <c r="M176" s="1"/>
      <c r="N176" s="1"/>
      <c r="O176" s="1"/>
    </row>
    <row r="177" spans="1:15">
      <c r="A177" s="3"/>
      <c r="B177" s="57"/>
      <c r="C177" s="57"/>
      <c r="D177" s="57"/>
      <c r="E177" s="57"/>
      <c r="L177" s="1"/>
      <c r="M177" s="1"/>
      <c r="N177" s="1"/>
      <c r="O177" s="1"/>
    </row>
    <row r="178" spans="1:15">
      <c r="A178" s="3"/>
      <c r="B178" s="57"/>
      <c r="C178" s="57"/>
      <c r="D178" s="57"/>
      <c r="E178" s="57"/>
      <c r="L178" s="1"/>
      <c r="M178" s="1"/>
      <c r="N178" s="1"/>
      <c r="O178" s="1"/>
    </row>
    <row r="179" spans="1:15">
      <c r="A179" s="3"/>
      <c r="B179" s="57"/>
      <c r="C179" s="57"/>
      <c r="D179" s="57"/>
      <c r="E179" s="57"/>
      <c r="L179" s="1"/>
      <c r="M179" s="1"/>
      <c r="N179" s="1"/>
      <c r="O179" s="1"/>
    </row>
    <row r="180" spans="1:15">
      <c r="A180" s="3"/>
      <c r="B180" s="57"/>
      <c r="C180" s="57"/>
      <c r="D180" s="57"/>
      <c r="E180" s="57"/>
      <c r="L180" s="1"/>
      <c r="M180" s="1"/>
      <c r="N180" s="1"/>
      <c r="O180" s="1"/>
    </row>
    <row r="181" spans="1:15">
      <c r="A181" s="3"/>
      <c r="B181" s="57"/>
      <c r="C181" s="57"/>
      <c r="D181" s="57"/>
      <c r="E181" s="57"/>
      <c r="L181" s="1"/>
      <c r="M181" s="1"/>
      <c r="N181" s="1"/>
      <c r="O181" s="1"/>
    </row>
    <row r="182" spans="1:15">
      <c r="A182" s="3"/>
      <c r="B182" s="57"/>
      <c r="C182" s="57"/>
      <c r="D182" s="57"/>
      <c r="E182" s="57"/>
      <c r="L182" s="1"/>
      <c r="M182" s="1"/>
      <c r="N182" s="1"/>
      <c r="O182" s="1"/>
    </row>
    <row r="183" spans="1:15">
      <c r="A183" s="3"/>
      <c r="B183" s="57"/>
      <c r="C183" s="57"/>
      <c r="D183" s="57"/>
      <c r="E183" s="57"/>
      <c r="L183" s="1"/>
      <c r="M183" s="1"/>
      <c r="N183" s="1"/>
      <c r="O183" s="1"/>
    </row>
    <row r="184" spans="1:15">
      <c r="A184" s="3"/>
      <c r="B184" s="57"/>
      <c r="C184" s="57"/>
      <c r="D184" s="57"/>
      <c r="E184" s="57"/>
      <c r="L184" s="1"/>
      <c r="M184" s="1"/>
      <c r="N184" s="1"/>
      <c r="O184" s="1"/>
    </row>
    <row r="185" spans="1:15">
      <c r="A185" s="3"/>
      <c r="B185" s="57"/>
      <c r="C185" s="57"/>
      <c r="D185" s="57"/>
      <c r="E185" s="57"/>
      <c r="L185" s="1"/>
      <c r="M185" s="1"/>
      <c r="N185" s="1"/>
      <c r="O185" s="1"/>
    </row>
    <row r="186" spans="1:15">
      <c r="A186" s="3"/>
      <c r="B186" s="57"/>
      <c r="C186" s="57"/>
      <c r="D186" s="57"/>
      <c r="E186" s="57"/>
      <c r="L186" s="1"/>
      <c r="M186" s="1"/>
      <c r="N186" s="1"/>
      <c r="O186" s="1"/>
    </row>
    <row r="187" spans="1:15">
      <c r="A187" s="3"/>
      <c r="B187" s="57"/>
      <c r="C187" s="57"/>
      <c r="D187" s="57"/>
      <c r="E187" s="57"/>
      <c r="L187" s="1"/>
      <c r="M187" s="1"/>
      <c r="N187" s="1"/>
      <c r="O187" s="1"/>
    </row>
    <row r="188" spans="1:15">
      <c r="A188" s="3"/>
      <c r="B188" s="57"/>
      <c r="C188" s="57"/>
      <c r="D188" s="57"/>
      <c r="E188" s="57"/>
      <c r="L188" s="1"/>
      <c r="M188" s="1"/>
      <c r="N188" s="1"/>
      <c r="O188" s="1"/>
    </row>
    <row r="189" spans="1:15">
      <c r="A189" s="3"/>
      <c r="B189" s="57"/>
      <c r="C189" s="57"/>
      <c r="D189" s="57"/>
      <c r="E189" s="57"/>
      <c r="L189" s="1"/>
      <c r="M189" s="1"/>
      <c r="N189" s="1"/>
      <c r="O189" s="1"/>
    </row>
    <row r="190" spans="1:15">
      <c r="A190" s="3"/>
      <c r="B190" s="57"/>
      <c r="C190" s="57"/>
      <c r="D190" s="57"/>
      <c r="E190" s="57"/>
      <c r="L190" s="1"/>
      <c r="M190" s="1"/>
      <c r="N190" s="1"/>
      <c r="O190" s="1"/>
    </row>
    <row r="191" spans="1:15">
      <c r="A191" s="3"/>
      <c r="B191" s="57"/>
      <c r="C191" s="57"/>
      <c r="D191" s="57"/>
      <c r="E191" s="57"/>
      <c r="L191" s="1"/>
      <c r="M191" s="1"/>
      <c r="N191" s="1"/>
      <c r="O191" s="1"/>
    </row>
    <row r="192" spans="1:15">
      <c r="A192" s="3"/>
      <c r="B192" s="57"/>
      <c r="C192" s="57"/>
      <c r="D192" s="57"/>
      <c r="E192" s="57"/>
      <c r="L192" s="1"/>
      <c r="M192" s="1"/>
      <c r="N192" s="1"/>
      <c r="O192" s="1"/>
    </row>
    <row r="193" spans="1:15">
      <c r="A193" s="3"/>
      <c r="B193" s="57"/>
      <c r="C193" s="57"/>
      <c r="D193" s="57"/>
      <c r="E193" s="57"/>
      <c r="L193" s="1"/>
      <c r="M193" s="1"/>
      <c r="N193" s="1"/>
      <c r="O193" s="1"/>
    </row>
    <row r="194" spans="1:15">
      <c r="A194" s="3"/>
      <c r="B194" s="57"/>
      <c r="C194" s="57"/>
      <c r="D194" s="57"/>
      <c r="E194" s="57"/>
      <c r="L194" s="1"/>
      <c r="M194" s="1"/>
      <c r="N194" s="1"/>
      <c r="O194" s="1"/>
    </row>
    <row r="195" spans="1:15">
      <c r="A195" s="3"/>
      <c r="B195" s="57"/>
      <c r="C195" s="57"/>
      <c r="D195" s="57"/>
      <c r="E195" s="57"/>
      <c r="L195" s="1"/>
      <c r="M195" s="1"/>
      <c r="N195" s="1"/>
      <c r="O195" s="1"/>
    </row>
    <row r="196" spans="1:15">
      <c r="A196" s="3"/>
      <c r="B196" s="57"/>
      <c r="C196" s="57"/>
      <c r="D196" s="57"/>
      <c r="E196" s="57"/>
      <c r="L196" s="1"/>
      <c r="M196" s="1"/>
      <c r="N196" s="1"/>
      <c r="O196" s="1"/>
    </row>
    <row r="197" spans="1:15">
      <c r="A197" s="3"/>
      <c r="B197" s="57"/>
      <c r="C197" s="57"/>
      <c r="D197" s="57"/>
      <c r="E197" s="57"/>
      <c r="L197" s="1"/>
      <c r="M197" s="1"/>
      <c r="N197" s="1"/>
      <c r="O197" s="1"/>
    </row>
    <row r="198" spans="1:15">
      <c r="A198" s="3"/>
      <c r="B198" s="57"/>
      <c r="C198" s="57"/>
      <c r="D198" s="57"/>
      <c r="E198" s="57"/>
      <c r="L198" s="1"/>
      <c r="M198" s="1"/>
      <c r="N198" s="1"/>
      <c r="O198" s="1"/>
    </row>
    <row r="199" spans="1:15">
      <c r="A199" s="3"/>
      <c r="B199" s="57"/>
      <c r="C199" s="57"/>
      <c r="D199" s="57"/>
      <c r="E199" s="57"/>
      <c r="L199" s="1"/>
      <c r="M199" s="1"/>
      <c r="N199" s="1"/>
      <c r="O199" s="1"/>
    </row>
    <row r="200" spans="1:15">
      <c r="A200" s="3"/>
      <c r="B200" s="57"/>
      <c r="C200" s="57"/>
      <c r="D200" s="57"/>
      <c r="E200" s="57"/>
      <c r="L200" s="1"/>
      <c r="M200" s="1"/>
      <c r="N200" s="1"/>
      <c r="O200" s="1"/>
    </row>
    <row r="201" spans="1:15">
      <c r="A201" s="3"/>
      <c r="B201" s="57"/>
      <c r="C201" s="57"/>
      <c r="D201" s="57"/>
      <c r="E201" s="57"/>
      <c r="L201" s="1"/>
      <c r="M201" s="1"/>
      <c r="N201" s="1"/>
      <c r="O201" s="1"/>
    </row>
    <row r="202" spans="1:15">
      <c r="A202" s="3"/>
      <c r="B202" s="57"/>
      <c r="C202" s="57"/>
      <c r="D202" s="57"/>
      <c r="E202" s="57"/>
      <c r="L202" s="1"/>
      <c r="M202" s="1"/>
      <c r="N202" s="1"/>
      <c r="O202" s="1"/>
    </row>
    <row r="203" spans="1:15">
      <c r="A203" s="3"/>
      <c r="B203" s="57"/>
      <c r="C203" s="57"/>
      <c r="D203" s="57"/>
      <c r="E203" s="57"/>
      <c r="L203" s="1"/>
      <c r="M203" s="1"/>
      <c r="N203" s="1"/>
      <c r="O203" s="1"/>
    </row>
    <row r="204" spans="1:15">
      <c r="A204" s="3"/>
      <c r="B204" s="57"/>
      <c r="C204" s="57"/>
      <c r="D204" s="57"/>
      <c r="E204" s="57"/>
      <c r="L204" s="1"/>
      <c r="M204" s="1"/>
      <c r="N204" s="1"/>
      <c r="O204" s="1"/>
    </row>
    <row r="205" spans="1:15">
      <c r="A205" s="3"/>
      <c r="B205" s="57"/>
      <c r="C205" s="57"/>
      <c r="D205" s="57"/>
      <c r="E205" s="57"/>
      <c r="L205" s="1"/>
      <c r="M205" s="1"/>
      <c r="N205" s="1"/>
      <c r="O205" s="1"/>
    </row>
    <row r="206" spans="1:15">
      <c r="A206" s="3"/>
      <c r="B206" s="57"/>
      <c r="C206" s="57"/>
      <c r="D206" s="57"/>
      <c r="E206" s="57"/>
      <c r="L206" s="1"/>
      <c r="M206" s="1"/>
      <c r="N206" s="1"/>
      <c r="O206" s="1"/>
    </row>
    <row r="207" spans="1:15">
      <c r="A207" s="3"/>
      <c r="B207" s="57"/>
      <c r="C207" s="57"/>
      <c r="D207" s="57"/>
      <c r="E207" s="57"/>
      <c r="L207" s="1"/>
      <c r="M207" s="1"/>
      <c r="N207" s="1"/>
      <c r="O207" s="1"/>
    </row>
    <row r="208" spans="1:15">
      <c r="A208" s="3"/>
      <c r="B208" s="57"/>
      <c r="C208" s="57"/>
      <c r="D208" s="57"/>
      <c r="E208" s="57"/>
      <c r="L208" s="1"/>
      <c r="M208" s="1"/>
      <c r="N208" s="1"/>
      <c r="O208" s="1"/>
    </row>
    <row r="209" spans="1:15">
      <c r="A209" s="3"/>
      <c r="B209" s="57"/>
      <c r="C209" s="57"/>
      <c r="D209" s="57"/>
      <c r="E209" s="57"/>
      <c r="L209" s="1"/>
      <c r="M209" s="1"/>
      <c r="N209" s="1"/>
      <c r="O209" s="1"/>
    </row>
    <row r="210" spans="1:15">
      <c r="A210" s="3"/>
      <c r="B210" s="57"/>
      <c r="C210" s="57"/>
      <c r="D210" s="57"/>
      <c r="E210" s="57"/>
      <c r="L210" s="1"/>
      <c r="M210" s="1"/>
      <c r="N210" s="1"/>
      <c r="O210" s="1"/>
    </row>
    <row r="211" spans="1:15">
      <c r="A211" s="3"/>
      <c r="B211" s="57"/>
      <c r="C211" s="57"/>
      <c r="D211" s="57"/>
      <c r="E211" s="57"/>
      <c r="L211" s="1"/>
      <c r="M211" s="1"/>
      <c r="N211" s="1"/>
      <c r="O211" s="1"/>
    </row>
    <row r="212" spans="1:15">
      <c r="A212" s="3"/>
      <c r="B212" s="57"/>
      <c r="C212" s="57"/>
      <c r="D212" s="57"/>
      <c r="E212" s="57"/>
      <c r="L212" s="1"/>
      <c r="M212" s="1"/>
      <c r="N212" s="1"/>
      <c r="O212" s="1"/>
    </row>
    <row r="213" spans="1:15">
      <c r="A213" s="3"/>
      <c r="B213" s="57"/>
      <c r="C213" s="57"/>
      <c r="D213" s="57"/>
      <c r="E213" s="57"/>
      <c r="L213" s="1"/>
      <c r="M213" s="1"/>
      <c r="N213" s="1"/>
      <c r="O213" s="1"/>
    </row>
    <row r="214" spans="1:15">
      <c r="A214" s="3"/>
      <c r="B214" s="57"/>
      <c r="C214" s="57"/>
      <c r="D214" s="57"/>
      <c r="E214" s="57"/>
      <c r="L214" s="1"/>
      <c r="M214" s="1"/>
      <c r="N214" s="1"/>
      <c r="O214" s="1"/>
    </row>
    <row r="215" spans="1:15">
      <c r="A215" s="3"/>
      <c r="B215" s="57"/>
      <c r="C215" s="57"/>
      <c r="D215" s="57"/>
      <c r="E215" s="57"/>
      <c r="L215" s="1"/>
      <c r="M215" s="1"/>
      <c r="N215" s="1"/>
      <c r="O215" s="1"/>
    </row>
    <row r="216" spans="1:15">
      <c r="A216" s="3"/>
      <c r="B216" s="57"/>
      <c r="C216" s="57"/>
      <c r="D216" s="57"/>
      <c r="E216" s="57"/>
      <c r="L216" s="1"/>
      <c r="M216" s="1"/>
      <c r="N216" s="1"/>
      <c r="O216" s="1"/>
    </row>
    <row r="217" spans="1:15">
      <c r="A217" s="3"/>
      <c r="B217" s="57"/>
      <c r="C217" s="57"/>
      <c r="D217" s="57"/>
      <c r="E217" s="57"/>
      <c r="L217" s="1"/>
      <c r="M217" s="1"/>
      <c r="N217" s="1"/>
      <c r="O217" s="1"/>
    </row>
    <row r="218" spans="1:15">
      <c r="A218" s="3"/>
      <c r="B218" s="57"/>
      <c r="C218" s="57"/>
      <c r="D218" s="57"/>
      <c r="E218" s="57"/>
      <c r="L218" s="1"/>
      <c r="M218" s="1"/>
      <c r="N218" s="1"/>
      <c r="O218" s="1"/>
    </row>
    <row r="219" spans="1:15">
      <c r="A219" s="3"/>
      <c r="B219" s="57"/>
      <c r="C219" s="57"/>
      <c r="D219" s="57"/>
      <c r="E219" s="57"/>
      <c r="L219" s="1"/>
      <c r="M219" s="1"/>
      <c r="N219" s="1"/>
      <c r="O219" s="1"/>
    </row>
    <row r="220" spans="1:15">
      <c r="A220" s="3"/>
      <c r="B220" s="57"/>
      <c r="C220" s="57"/>
      <c r="D220" s="57"/>
      <c r="E220" s="57"/>
      <c r="L220" s="1"/>
      <c r="M220" s="1"/>
      <c r="N220" s="1"/>
      <c r="O220" s="1"/>
    </row>
    <row r="221" spans="1:15">
      <c r="A221" s="3"/>
      <c r="B221" s="57"/>
      <c r="C221" s="57"/>
      <c r="D221" s="57"/>
      <c r="E221" s="57"/>
      <c r="L221" s="1"/>
      <c r="M221" s="1"/>
      <c r="N221" s="1"/>
      <c r="O221" s="1"/>
    </row>
    <row r="222" spans="1:15">
      <c r="A222" s="3"/>
      <c r="B222" s="57"/>
      <c r="C222" s="57"/>
      <c r="D222" s="57"/>
      <c r="E222" s="57"/>
      <c r="L222" s="1"/>
      <c r="M222" s="1"/>
      <c r="N222" s="1"/>
      <c r="O222" s="1"/>
    </row>
    <row r="223" spans="1:15">
      <c r="A223" s="3"/>
      <c r="B223" s="57"/>
      <c r="C223" s="57"/>
      <c r="D223" s="57"/>
      <c r="E223" s="57"/>
      <c r="L223" s="1"/>
      <c r="M223" s="1"/>
      <c r="N223" s="1"/>
      <c r="O223" s="1"/>
    </row>
    <row r="224" spans="1:15">
      <c r="A224" s="3"/>
      <c r="B224" s="57"/>
      <c r="C224" s="57"/>
      <c r="D224" s="57"/>
      <c r="E224" s="57"/>
      <c r="L224" s="1"/>
      <c r="M224" s="1"/>
      <c r="N224" s="1"/>
      <c r="O224" s="1"/>
    </row>
    <row r="225" spans="1:15">
      <c r="A225" s="3"/>
      <c r="B225" s="57"/>
      <c r="C225" s="57"/>
      <c r="D225" s="57"/>
      <c r="E225" s="57"/>
      <c r="L225" s="1"/>
      <c r="M225" s="1"/>
      <c r="N225" s="1"/>
      <c r="O225" s="1"/>
    </row>
    <row r="226" spans="1:15">
      <c r="A226" s="3"/>
      <c r="B226" s="57"/>
      <c r="C226" s="57"/>
      <c r="D226" s="57"/>
      <c r="E226" s="57"/>
      <c r="L226" s="1"/>
      <c r="M226" s="1"/>
      <c r="N226" s="1"/>
      <c r="O226" s="1"/>
    </row>
    <row r="227" spans="1:15">
      <c r="A227" s="3"/>
      <c r="B227" s="57"/>
      <c r="C227" s="57"/>
      <c r="D227" s="57"/>
      <c r="E227" s="57"/>
      <c r="L227" s="1"/>
      <c r="M227" s="1"/>
      <c r="N227" s="1"/>
      <c r="O227" s="1"/>
    </row>
    <row r="228" spans="1:15">
      <c r="A228" s="3"/>
      <c r="B228" s="57"/>
      <c r="C228" s="57"/>
      <c r="D228" s="57"/>
      <c r="E228" s="57"/>
      <c r="L228" s="1"/>
      <c r="M228" s="1"/>
      <c r="N228" s="1"/>
      <c r="O228" s="1"/>
    </row>
    <row r="229" spans="1:15">
      <c r="A229" s="3"/>
      <c r="B229" s="57"/>
      <c r="C229" s="57"/>
      <c r="D229" s="57"/>
      <c r="E229" s="57"/>
      <c r="L229" s="1"/>
      <c r="M229" s="1"/>
      <c r="N229" s="1"/>
      <c r="O229" s="1"/>
    </row>
    <row r="230" spans="1:15">
      <c r="A230" s="3"/>
      <c r="B230" s="57"/>
      <c r="C230" s="57"/>
      <c r="D230" s="57"/>
      <c r="E230" s="57"/>
      <c r="L230" s="1"/>
      <c r="M230" s="1"/>
      <c r="N230" s="1"/>
      <c r="O230" s="1"/>
    </row>
    <row r="231" spans="1:15">
      <c r="A231" s="3"/>
      <c r="B231" s="57"/>
      <c r="C231" s="57"/>
      <c r="D231" s="57"/>
      <c r="E231" s="57"/>
      <c r="L231" s="1"/>
      <c r="M231" s="1"/>
      <c r="N231" s="1"/>
      <c r="O231" s="1"/>
    </row>
    <row r="232" spans="1:15">
      <c r="A232" s="3"/>
      <c r="B232" s="57"/>
      <c r="C232" s="57"/>
      <c r="D232" s="57"/>
      <c r="E232" s="57"/>
      <c r="L232" s="1"/>
      <c r="M232" s="1"/>
      <c r="N232" s="1"/>
      <c r="O232" s="1"/>
    </row>
    <row r="233" spans="1:15">
      <c r="A233" s="3"/>
      <c r="B233" s="57"/>
      <c r="C233" s="57"/>
      <c r="D233" s="57"/>
      <c r="E233" s="57"/>
      <c r="L233" s="1"/>
      <c r="M233" s="1"/>
      <c r="N233" s="1"/>
      <c r="O233" s="1"/>
    </row>
    <row r="234" spans="1:15">
      <c r="A234" s="3"/>
      <c r="B234" s="57"/>
      <c r="C234" s="57"/>
      <c r="D234" s="57"/>
      <c r="E234" s="57"/>
      <c r="L234" s="1"/>
      <c r="M234" s="1"/>
      <c r="N234" s="1"/>
      <c r="O234" s="1"/>
    </row>
    <row r="235" spans="1:15">
      <c r="A235" s="3"/>
      <c r="B235" s="57"/>
      <c r="C235" s="57"/>
      <c r="D235" s="57"/>
      <c r="E235" s="57"/>
      <c r="L235" s="1"/>
      <c r="M235" s="1"/>
      <c r="N235" s="1"/>
      <c r="O235" s="1"/>
    </row>
    <row r="236" spans="1:15">
      <c r="A236" s="3"/>
      <c r="B236" s="57"/>
      <c r="C236" s="57"/>
      <c r="D236" s="57"/>
      <c r="E236" s="57"/>
      <c r="L236" s="1"/>
      <c r="M236" s="1"/>
      <c r="N236" s="1"/>
      <c r="O236" s="1"/>
    </row>
    <row r="237" spans="1:15">
      <c r="A237" s="3"/>
      <c r="B237" s="57"/>
      <c r="C237" s="57"/>
      <c r="D237" s="57"/>
      <c r="E237" s="57"/>
      <c r="L237" s="1"/>
      <c r="M237" s="1"/>
      <c r="N237" s="1"/>
      <c r="O237" s="1"/>
    </row>
    <row r="238" spans="1:15">
      <c r="A238" s="3"/>
      <c r="B238" s="57"/>
      <c r="C238" s="57"/>
      <c r="D238" s="57"/>
      <c r="E238" s="57"/>
      <c r="L238" s="1"/>
      <c r="M238" s="1"/>
      <c r="N238" s="1"/>
      <c r="O238" s="1"/>
    </row>
    <row r="239" spans="1:15">
      <c r="A239" s="3"/>
      <c r="B239" s="57"/>
      <c r="C239" s="57"/>
      <c r="D239" s="57"/>
      <c r="E239" s="57"/>
      <c r="L239" s="1"/>
      <c r="M239" s="1"/>
      <c r="N239" s="1"/>
      <c r="O239" s="1"/>
    </row>
    <row r="240" spans="1:15">
      <c r="A240" s="3"/>
      <c r="B240" s="57"/>
      <c r="C240" s="57"/>
      <c r="D240" s="57"/>
      <c r="E240" s="57"/>
      <c r="L240" s="1"/>
      <c r="M240" s="1"/>
      <c r="N240" s="1"/>
      <c r="O240" s="1"/>
    </row>
    <row r="241" spans="1:15">
      <c r="A241" s="3"/>
      <c r="B241" s="57"/>
      <c r="C241" s="57"/>
      <c r="D241" s="57"/>
      <c r="E241" s="57"/>
      <c r="L241" s="1"/>
      <c r="M241" s="1"/>
      <c r="N241" s="1"/>
      <c r="O241" s="1"/>
    </row>
    <row r="242" spans="1:15">
      <c r="A242" s="3"/>
      <c r="B242" s="57"/>
      <c r="C242" s="57"/>
      <c r="D242" s="57"/>
      <c r="E242" s="57"/>
      <c r="L242" s="1"/>
      <c r="M242" s="1"/>
      <c r="N242" s="1"/>
      <c r="O242" s="1"/>
    </row>
    <row r="243" spans="1:15">
      <c r="A243" s="3"/>
      <c r="B243" s="57"/>
      <c r="C243" s="57"/>
      <c r="D243" s="57"/>
      <c r="E243" s="57"/>
      <c r="L243" s="1"/>
      <c r="M243" s="1"/>
      <c r="N243" s="1"/>
      <c r="O243" s="1"/>
    </row>
    <row r="244" spans="1:15">
      <c r="A244" s="3"/>
      <c r="B244" s="57"/>
      <c r="C244" s="57"/>
      <c r="D244" s="57"/>
      <c r="E244" s="57"/>
      <c r="L244" s="1"/>
      <c r="M244" s="1"/>
      <c r="N244" s="1"/>
      <c r="O244" s="1"/>
    </row>
    <row r="245" spans="1:15">
      <c r="A245" s="3"/>
      <c r="B245" s="57"/>
      <c r="C245" s="57"/>
      <c r="D245" s="57"/>
      <c r="E245" s="57"/>
      <c r="L245" s="1"/>
      <c r="M245" s="1"/>
      <c r="N245" s="1"/>
      <c r="O245" s="1"/>
    </row>
    <row r="246" spans="1:15">
      <c r="A246" s="3"/>
      <c r="B246" s="57"/>
      <c r="C246" s="57"/>
      <c r="D246" s="57"/>
      <c r="E246" s="57"/>
      <c r="L246" s="1"/>
      <c r="M246" s="1"/>
      <c r="N246" s="1"/>
      <c r="O246" s="1"/>
    </row>
    <row r="247" spans="1:15">
      <c r="A247" s="3"/>
      <c r="B247" s="57"/>
      <c r="C247" s="57"/>
      <c r="D247" s="57"/>
      <c r="E247" s="57"/>
      <c r="L247" s="1"/>
      <c r="M247" s="1"/>
      <c r="N247" s="1"/>
      <c r="O247" s="1"/>
    </row>
    <row r="248" spans="1:15">
      <c r="A248" s="3"/>
      <c r="B248" s="57"/>
      <c r="C248" s="57"/>
      <c r="D248" s="57"/>
      <c r="E248" s="57"/>
      <c r="L248" s="1"/>
      <c r="M248" s="1"/>
      <c r="N248" s="1"/>
      <c r="O248" s="1"/>
    </row>
    <row r="249" spans="1:15">
      <c r="A249" s="3"/>
      <c r="B249" s="57"/>
      <c r="C249" s="57"/>
      <c r="D249" s="57"/>
      <c r="E249" s="57"/>
      <c r="L249" s="1"/>
      <c r="M249" s="1"/>
      <c r="N249" s="1"/>
      <c r="O249" s="1"/>
    </row>
    <row r="250" spans="1:15">
      <c r="A250" s="3"/>
      <c r="B250" s="57"/>
      <c r="C250" s="57"/>
      <c r="D250" s="57"/>
      <c r="E250" s="57"/>
      <c r="L250" s="1"/>
      <c r="M250" s="1"/>
      <c r="N250" s="1"/>
      <c r="O250" s="1"/>
    </row>
    <row r="251" spans="1:15">
      <c r="A251" s="3"/>
      <c r="B251" s="57"/>
      <c r="C251" s="57"/>
      <c r="D251" s="57"/>
      <c r="E251" s="57"/>
      <c r="L251" s="1"/>
      <c r="M251" s="1"/>
      <c r="N251" s="1"/>
      <c r="O251" s="1"/>
    </row>
    <row r="252" spans="1:15">
      <c r="A252" s="3"/>
      <c r="B252" s="57"/>
      <c r="C252" s="57"/>
      <c r="D252" s="57"/>
      <c r="E252" s="57"/>
      <c r="L252" s="1"/>
      <c r="M252" s="1"/>
      <c r="N252" s="1"/>
      <c r="O252" s="1"/>
    </row>
    <row r="253" spans="1:15">
      <c r="A253" s="3"/>
      <c r="B253" s="57"/>
      <c r="C253" s="57"/>
      <c r="D253" s="57"/>
      <c r="E253" s="57"/>
      <c r="L253" s="1"/>
      <c r="M253" s="1"/>
      <c r="N253" s="1"/>
      <c r="O253" s="1"/>
    </row>
    <row r="254" spans="1:15">
      <c r="A254" s="3"/>
      <c r="B254" s="57"/>
      <c r="C254" s="57"/>
      <c r="D254" s="57"/>
      <c r="E254" s="57"/>
      <c r="L254" s="1"/>
      <c r="M254" s="1"/>
      <c r="N254" s="1"/>
      <c r="O254" s="1"/>
    </row>
    <row r="255" spans="1:15">
      <c r="A255" s="3"/>
      <c r="B255" s="57"/>
      <c r="C255" s="57"/>
      <c r="D255" s="57"/>
      <c r="E255" s="57"/>
      <c r="L255" s="1"/>
      <c r="M255" s="1"/>
      <c r="N255" s="1"/>
      <c r="O255" s="1"/>
    </row>
    <row r="256" spans="1:15">
      <c r="A256" s="3"/>
      <c r="B256" s="57"/>
      <c r="C256" s="57"/>
      <c r="D256" s="57"/>
      <c r="E256" s="57"/>
      <c r="L256" s="1"/>
      <c r="M256" s="1"/>
      <c r="N256" s="1"/>
      <c r="O256" s="1"/>
    </row>
    <row r="257" spans="1:15">
      <c r="A257" s="3"/>
      <c r="B257" s="57"/>
      <c r="C257" s="57"/>
      <c r="D257" s="57"/>
      <c r="E257" s="57"/>
      <c r="L257" s="1"/>
      <c r="M257" s="1"/>
      <c r="N257" s="1"/>
      <c r="O257" s="1"/>
    </row>
    <row r="258" spans="1:15">
      <c r="A258" s="3"/>
      <c r="B258" s="57"/>
      <c r="C258" s="57"/>
      <c r="D258" s="57"/>
      <c r="E258" s="57"/>
      <c r="L258" s="1"/>
      <c r="M258" s="1"/>
      <c r="N258" s="1"/>
      <c r="O258" s="1"/>
    </row>
    <row r="259" spans="1:15">
      <c r="A259" s="3"/>
      <c r="B259" s="57"/>
      <c r="C259" s="57"/>
      <c r="D259" s="57"/>
      <c r="E259" s="57"/>
      <c r="L259" s="1"/>
      <c r="M259" s="1"/>
      <c r="N259" s="1"/>
      <c r="O259" s="1"/>
    </row>
    <row r="260" spans="1:15">
      <c r="A260" s="3"/>
      <c r="B260" s="57"/>
      <c r="C260" s="57"/>
      <c r="D260" s="57"/>
      <c r="E260" s="57"/>
      <c r="L260" s="1"/>
      <c r="M260" s="1"/>
      <c r="N260" s="1"/>
      <c r="O260" s="1"/>
    </row>
    <row r="261" spans="1:15">
      <c r="A261" s="3"/>
      <c r="B261" s="57"/>
      <c r="C261" s="57"/>
      <c r="D261" s="57"/>
      <c r="E261" s="57"/>
      <c r="L261" s="1"/>
      <c r="M261" s="1"/>
      <c r="N261" s="1"/>
      <c r="O261" s="1"/>
    </row>
    <row r="262" spans="1:15">
      <c r="A262" s="3"/>
      <c r="B262" s="57"/>
      <c r="C262" s="57"/>
      <c r="D262" s="57"/>
      <c r="E262" s="57"/>
      <c r="L262" s="1"/>
      <c r="M262" s="1"/>
      <c r="N262" s="1"/>
      <c r="O262" s="1"/>
    </row>
    <row r="263" spans="1:15">
      <c r="A263" s="3"/>
      <c r="B263" s="57"/>
      <c r="C263" s="57"/>
      <c r="D263" s="57"/>
      <c r="E263" s="57"/>
      <c r="L263" s="1"/>
      <c r="M263" s="1"/>
      <c r="N263" s="1"/>
      <c r="O263" s="1"/>
    </row>
    <row r="264" spans="1:15">
      <c r="A264" s="3"/>
      <c r="B264" s="57"/>
      <c r="C264" s="57"/>
      <c r="D264" s="57"/>
      <c r="E264" s="57"/>
      <c r="L264" s="1"/>
      <c r="M264" s="1"/>
      <c r="N264" s="1"/>
      <c r="O264" s="1"/>
    </row>
    <row r="265" spans="1:15">
      <c r="A265" s="3"/>
      <c r="B265" s="57"/>
      <c r="C265" s="57"/>
      <c r="D265" s="57"/>
      <c r="E265" s="57"/>
      <c r="L265" s="1"/>
      <c r="M265" s="1"/>
      <c r="N265" s="1"/>
      <c r="O265" s="1"/>
    </row>
    <row r="266" spans="1:15">
      <c r="A266" s="3"/>
      <c r="B266" s="57"/>
      <c r="C266" s="57"/>
      <c r="D266" s="57"/>
      <c r="E266" s="57"/>
      <c r="L266" s="1"/>
      <c r="M266" s="1"/>
      <c r="N266" s="1"/>
      <c r="O266" s="1"/>
    </row>
    <row r="267" spans="1:15">
      <c r="A267" s="3"/>
      <c r="B267" s="57"/>
      <c r="C267" s="57"/>
      <c r="D267" s="57"/>
      <c r="E267" s="57"/>
      <c r="L267" s="1"/>
      <c r="M267" s="1"/>
      <c r="N267" s="1"/>
      <c r="O267" s="1"/>
    </row>
    <row r="268" spans="1:15">
      <c r="A268" s="3"/>
      <c r="B268" s="57"/>
      <c r="C268" s="57"/>
      <c r="D268" s="57"/>
      <c r="E268" s="57"/>
      <c r="L268" s="1"/>
      <c r="M268" s="1"/>
      <c r="N268" s="1"/>
      <c r="O268" s="1"/>
    </row>
    <row r="269" spans="1:15">
      <c r="A269" s="3"/>
      <c r="B269" s="57"/>
      <c r="C269" s="57"/>
      <c r="D269" s="57"/>
      <c r="E269" s="57"/>
      <c r="L269" s="1"/>
      <c r="M269" s="1"/>
      <c r="N269" s="1"/>
      <c r="O269" s="1"/>
    </row>
    <row r="270" spans="1:15">
      <c r="A270" s="3"/>
      <c r="B270" s="57"/>
      <c r="C270" s="57"/>
      <c r="D270" s="57"/>
      <c r="E270" s="57"/>
      <c r="L270" s="1"/>
      <c r="M270" s="1"/>
      <c r="N270" s="1"/>
      <c r="O270" s="1"/>
    </row>
    <row r="271" spans="1:15">
      <c r="A271" s="3"/>
      <c r="B271" s="57"/>
      <c r="C271" s="57"/>
      <c r="D271" s="57"/>
      <c r="E271" s="57"/>
      <c r="L271" s="1"/>
      <c r="M271" s="1"/>
      <c r="N271" s="1"/>
      <c r="O271" s="1"/>
    </row>
    <row r="272" spans="1:15">
      <c r="A272" s="3"/>
      <c r="B272" s="57"/>
      <c r="C272" s="57"/>
      <c r="D272" s="57"/>
      <c r="E272" s="57"/>
      <c r="L272" s="1"/>
      <c r="M272" s="1"/>
      <c r="N272" s="1"/>
      <c r="O272" s="1"/>
    </row>
    <row r="273" spans="1:15">
      <c r="A273" s="3"/>
      <c r="B273" s="57"/>
      <c r="C273" s="57"/>
      <c r="D273" s="57"/>
      <c r="E273" s="57"/>
      <c r="L273" s="1"/>
      <c r="M273" s="1"/>
      <c r="N273" s="1"/>
      <c r="O273" s="1"/>
    </row>
    <row r="274" spans="1:15">
      <c r="A274" s="3"/>
      <c r="B274" s="57"/>
      <c r="C274" s="57"/>
      <c r="D274" s="57"/>
      <c r="E274" s="57"/>
      <c r="L274" s="1"/>
      <c r="M274" s="1"/>
      <c r="N274" s="1"/>
      <c r="O274" s="1"/>
    </row>
    <row r="275" spans="1:15">
      <c r="A275" s="3"/>
      <c r="B275" s="57"/>
      <c r="C275" s="57"/>
      <c r="D275" s="57"/>
      <c r="E275" s="57"/>
      <c r="L275" s="1"/>
      <c r="M275" s="1"/>
      <c r="N275" s="1"/>
      <c r="O275" s="1"/>
    </row>
    <row r="276" spans="1:15">
      <c r="A276" s="3"/>
      <c r="B276" s="57"/>
      <c r="C276" s="57"/>
      <c r="D276" s="57"/>
      <c r="E276" s="57"/>
      <c r="L276" s="1"/>
      <c r="M276" s="1"/>
      <c r="N276" s="1"/>
      <c r="O276" s="1"/>
    </row>
    <row r="277" spans="1:15">
      <c r="A277" s="3"/>
      <c r="B277" s="57"/>
      <c r="C277" s="57"/>
      <c r="D277" s="57"/>
      <c r="E277" s="57"/>
      <c r="L277" s="1"/>
      <c r="M277" s="1"/>
      <c r="N277" s="1"/>
      <c r="O277" s="1"/>
    </row>
    <row r="278" spans="1:15">
      <c r="A278" s="3"/>
      <c r="B278" s="57"/>
      <c r="C278" s="57"/>
      <c r="D278" s="57"/>
      <c r="E278" s="57"/>
      <c r="L278" s="1"/>
      <c r="M278" s="1"/>
      <c r="N278" s="1"/>
      <c r="O278" s="1"/>
    </row>
    <row r="279" spans="1:15">
      <c r="A279" s="3"/>
      <c r="B279" s="57"/>
      <c r="C279" s="57"/>
      <c r="D279" s="57"/>
      <c r="E279" s="57"/>
      <c r="L279" s="1"/>
      <c r="M279" s="1"/>
      <c r="N279" s="1"/>
      <c r="O279" s="1"/>
    </row>
    <row r="280" spans="1:15">
      <c r="A280" s="3"/>
      <c r="B280" s="57"/>
      <c r="C280" s="57"/>
      <c r="D280" s="57"/>
      <c r="E280" s="57"/>
      <c r="L280" s="1"/>
      <c r="M280" s="1"/>
      <c r="N280" s="1"/>
      <c r="O280" s="1"/>
    </row>
    <row r="281" spans="1:15">
      <c r="A281" s="3"/>
      <c r="B281" s="57"/>
      <c r="C281" s="57"/>
      <c r="D281" s="57"/>
      <c r="E281" s="57"/>
      <c r="L281" s="1"/>
      <c r="M281" s="1"/>
      <c r="N281" s="1"/>
      <c r="O281" s="1"/>
    </row>
    <row r="282" spans="1:15">
      <c r="A282" s="3"/>
      <c r="B282" s="57"/>
      <c r="C282" s="57"/>
      <c r="D282" s="57"/>
      <c r="E282" s="57"/>
      <c r="L282" s="1"/>
      <c r="M282" s="1"/>
      <c r="N282" s="1"/>
      <c r="O282" s="1"/>
    </row>
    <row r="283" spans="1:15">
      <c r="A283" s="3"/>
      <c r="B283" s="57"/>
      <c r="C283" s="57"/>
      <c r="D283" s="57"/>
      <c r="E283" s="57"/>
      <c r="L283" s="1"/>
      <c r="M283" s="1"/>
      <c r="N283" s="1"/>
      <c r="O283" s="1"/>
    </row>
    <row r="284" spans="1:15">
      <c r="A284" s="3"/>
      <c r="B284" s="57"/>
      <c r="C284" s="57"/>
      <c r="D284" s="57"/>
      <c r="E284" s="57"/>
      <c r="L284" s="1"/>
      <c r="M284" s="1"/>
      <c r="N284" s="1"/>
      <c r="O284" s="1"/>
    </row>
    <row r="285" spans="1:15">
      <c r="A285" s="3"/>
      <c r="B285" s="57"/>
      <c r="C285" s="57"/>
      <c r="D285" s="57"/>
      <c r="E285" s="57"/>
      <c r="L285" s="1"/>
      <c r="M285" s="1"/>
      <c r="N285" s="1"/>
      <c r="O285" s="1"/>
    </row>
    <row r="286" spans="1:15">
      <c r="A286" s="3"/>
      <c r="B286" s="57"/>
      <c r="C286" s="57"/>
      <c r="D286" s="57"/>
      <c r="E286" s="57"/>
      <c r="L286" s="1"/>
      <c r="M286" s="1"/>
      <c r="N286" s="1"/>
      <c r="O286" s="1"/>
    </row>
    <row r="287" spans="1:15">
      <c r="A287" s="3"/>
      <c r="B287" s="57"/>
      <c r="C287" s="57"/>
      <c r="D287" s="57"/>
      <c r="E287" s="57"/>
      <c r="L287" s="1"/>
      <c r="M287" s="1"/>
      <c r="N287" s="1"/>
      <c r="O287" s="1"/>
    </row>
    <row r="288" spans="1:15">
      <c r="A288" s="3"/>
      <c r="B288" s="57"/>
      <c r="C288" s="57"/>
      <c r="D288" s="57"/>
      <c r="E288" s="57"/>
      <c r="L288" s="1"/>
      <c r="M288" s="1"/>
      <c r="N288" s="1"/>
      <c r="O288" s="1"/>
    </row>
    <row r="289" spans="1:15">
      <c r="A289" s="3"/>
      <c r="B289" s="57"/>
      <c r="C289" s="57"/>
      <c r="D289" s="57"/>
      <c r="E289" s="57"/>
      <c r="L289" s="1"/>
      <c r="M289" s="1"/>
      <c r="N289" s="1"/>
      <c r="O289" s="1"/>
    </row>
    <row r="290" spans="1:15">
      <c r="A290" s="3"/>
      <c r="B290" s="57"/>
      <c r="C290" s="57"/>
      <c r="D290" s="57"/>
      <c r="E290" s="57"/>
      <c r="L290" s="1"/>
      <c r="M290" s="1"/>
      <c r="N290" s="1"/>
      <c r="O290" s="1"/>
    </row>
    <row r="291" spans="1:15">
      <c r="A291" s="3"/>
      <c r="B291" s="57"/>
      <c r="C291" s="57"/>
      <c r="D291" s="57"/>
      <c r="E291" s="57"/>
      <c r="L291" s="1"/>
      <c r="M291" s="1"/>
      <c r="N291" s="1"/>
      <c r="O291" s="1"/>
    </row>
    <row r="292" spans="1:15">
      <c r="A292" s="3"/>
      <c r="B292" s="57"/>
      <c r="C292" s="57"/>
      <c r="D292" s="57"/>
      <c r="E292" s="57"/>
      <c r="L292" s="1"/>
      <c r="M292" s="1"/>
      <c r="N292" s="1"/>
      <c r="O292" s="1"/>
    </row>
    <row r="293" spans="1:15">
      <c r="A293" s="3"/>
      <c r="B293" s="57"/>
      <c r="C293" s="57"/>
      <c r="D293" s="57"/>
      <c r="E293" s="57"/>
      <c r="L293" s="1"/>
      <c r="M293" s="1"/>
      <c r="N293" s="1"/>
      <c r="O293" s="1"/>
    </row>
    <row r="294" spans="1:15">
      <c r="A294" s="3"/>
      <c r="B294" s="57"/>
      <c r="C294" s="57"/>
      <c r="D294" s="57"/>
      <c r="E294" s="57"/>
      <c r="L294" s="1"/>
      <c r="M294" s="1"/>
      <c r="N294" s="1"/>
      <c r="O294" s="1"/>
    </row>
    <row r="295" spans="1:15">
      <c r="A295" s="3"/>
      <c r="B295" s="57"/>
      <c r="C295" s="57"/>
      <c r="D295" s="57"/>
      <c r="E295" s="57"/>
      <c r="L295" s="1"/>
      <c r="M295" s="1"/>
      <c r="N295" s="1"/>
      <c r="O295" s="1"/>
    </row>
    <row r="296" spans="1:15">
      <c r="A296" s="3"/>
      <c r="B296" s="57"/>
      <c r="C296" s="57"/>
      <c r="D296" s="57"/>
      <c r="E296" s="57"/>
      <c r="L296" s="1"/>
      <c r="M296" s="1"/>
      <c r="N296" s="1"/>
      <c r="O296" s="1"/>
    </row>
    <row r="297" spans="1:15">
      <c r="A297" s="3"/>
      <c r="B297" s="57"/>
      <c r="C297" s="57"/>
      <c r="D297" s="57"/>
      <c r="E297" s="57"/>
      <c r="L297" s="1"/>
      <c r="M297" s="1"/>
      <c r="N297" s="1"/>
      <c r="O297" s="1"/>
    </row>
    <row r="298" spans="1:15">
      <c r="A298" s="3"/>
      <c r="B298" s="57"/>
      <c r="C298" s="57"/>
      <c r="D298" s="57"/>
      <c r="E298" s="57"/>
      <c r="L298" s="1"/>
      <c r="M298" s="1"/>
      <c r="N298" s="1"/>
      <c r="O298" s="1"/>
    </row>
    <row r="299" spans="1:15">
      <c r="A299" s="3"/>
      <c r="B299" s="57"/>
      <c r="C299" s="57"/>
      <c r="D299" s="57"/>
      <c r="E299" s="57"/>
      <c r="L299" s="1"/>
      <c r="M299" s="1"/>
      <c r="N299" s="1"/>
      <c r="O299" s="1"/>
    </row>
    <row r="300" spans="1:15">
      <c r="A300" s="3"/>
      <c r="B300" s="57"/>
      <c r="C300" s="57"/>
      <c r="D300" s="57"/>
      <c r="E300" s="57"/>
      <c r="L300" s="1"/>
      <c r="M300" s="1"/>
      <c r="N300" s="1"/>
      <c r="O300" s="1"/>
    </row>
    <row r="301" spans="1:15">
      <c r="A301" s="3"/>
      <c r="B301" s="57"/>
      <c r="C301" s="57"/>
      <c r="D301" s="57"/>
      <c r="E301" s="57"/>
      <c r="L301" s="1"/>
      <c r="M301" s="1"/>
      <c r="N301" s="1"/>
      <c r="O301" s="1"/>
    </row>
    <row r="302" spans="1:15">
      <c r="A302" s="3"/>
      <c r="B302" s="57"/>
      <c r="C302" s="57"/>
      <c r="D302" s="57"/>
      <c r="E302" s="57"/>
      <c r="L302" s="1"/>
      <c r="M302" s="1"/>
      <c r="N302" s="1"/>
      <c r="O302" s="1"/>
    </row>
    <row r="303" spans="1:15">
      <c r="A303" s="3"/>
      <c r="B303" s="57"/>
      <c r="C303" s="57"/>
      <c r="D303" s="57"/>
      <c r="E303" s="57"/>
      <c r="L303" s="1"/>
      <c r="M303" s="1"/>
      <c r="N303" s="1"/>
      <c r="O303" s="1"/>
    </row>
    <row r="304" spans="1:15">
      <c r="A304" s="3"/>
      <c r="B304" s="57"/>
      <c r="C304" s="57"/>
      <c r="D304" s="57"/>
      <c r="E304" s="57"/>
      <c r="L304" s="1"/>
      <c r="M304" s="1"/>
      <c r="N304" s="1"/>
      <c r="O304" s="1"/>
    </row>
    <row r="305" spans="1:15">
      <c r="A305" s="3"/>
      <c r="B305" s="57"/>
      <c r="C305" s="57"/>
      <c r="D305" s="57"/>
      <c r="E305" s="57"/>
      <c r="L305" s="1"/>
      <c r="M305" s="1"/>
      <c r="N305" s="1"/>
      <c r="O305" s="1"/>
    </row>
    <row r="306" spans="1:15">
      <c r="A306" s="3"/>
      <c r="B306" s="57"/>
      <c r="C306" s="57"/>
      <c r="D306" s="57"/>
      <c r="E306" s="57"/>
      <c r="L306" s="1"/>
      <c r="M306" s="1"/>
      <c r="N306" s="1"/>
      <c r="O306" s="1"/>
    </row>
    <row r="307" spans="1:15">
      <c r="A307" s="3"/>
      <c r="B307" s="57"/>
      <c r="C307" s="57"/>
      <c r="D307" s="57"/>
      <c r="E307" s="57"/>
      <c r="L307" s="1"/>
      <c r="M307" s="1"/>
      <c r="N307" s="1"/>
      <c r="O307" s="1"/>
    </row>
    <row r="308" spans="1:15">
      <c r="A308" s="3"/>
      <c r="B308" s="57"/>
      <c r="C308" s="57"/>
      <c r="D308" s="57"/>
      <c r="E308" s="57"/>
      <c r="L308" s="1"/>
      <c r="M308" s="1"/>
      <c r="N308" s="1"/>
      <c r="O308" s="1"/>
    </row>
    <row r="309" spans="1:15">
      <c r="A309" s="3"/>
      <c r="B309" s="57"/>
      <c r="C309" s="57"/>
      <c r="D309" s="57"/>
      <c r="E309" s="57"/>
      <c r="L309" s="1"/>
      <c r="M309" s="1"/>
      <c r="N309" s="1"/>
      <c r="O309" s="1"/>
    </row>
    <row r="310" spans="1:15">
      <c r="A310" s="3"/>
      <c r="B310" s="57"/>
      <c r="C310" s="57"/>
      <c r="D310" s="57"/>
      <c r="E310" s="57"/>
      <c r="L310" s="1"/>
      <c r="M310" s="1"/>
      <c r="N310" s="1"/>
      <c r="O310" s="1"/>
    </row>
    <row r="311" spans="1:15">
      <c r="A311" s="3"/>
      <c r="B311" s="57"/>
      <c r="C311" s="57"/>
      <c r="D311" s="57"/>
      <c r="E311" s="57"/>
      <c r="L311" s="1"/>
      <c r="M311" s="1"/>
      <c r="N311" s="1"/>
      <c r="O311" s="1"/>
    </row>
    <row r="312" spans="1:15">
      <c r="A312" s="3"/>
      <c r="B312" s="57"/>
      <c r="C312" s="57"/>
      <c r="D312" s="57"/>
      <c r="E312" s="57"/>
      <c r="L312" s="1"/>
      <c r="M312" s="1"/>
      <c r="N312" s="1"/>
      <c r="O312" s="1"/>
    </row>
    <row r="313" spans="1:15">
      <c r="A313" s="3"/>
      <c r="B313" s="57"/>
      <c r="C313" s="57"/>
      <c r="D313" s="57"/>
      <c r="E313" s="57"/>
      <c r="L313" s="1"/>
      <c r="M313" s="1"/>
      <c r="N313" s="1"/>
      <c r="O313" s="1"/>
    </row>
    <row r="314" spans="1:15">
      <c r="A314" s="3"/>
      <c r="B314" s="57"/>
      <c r="C314" s="57"/>
      <c r="D314" s="57"/>
      <c r="E314" s="57"/>
      <c r="L314" s="1"/>
      <c r="M314" s="1"/>
      <c r="N314" s="1"/>
      <c r="O314" s="1"/>
    </row>
    <row r="315" spans="1:15">
      <c r="A315" s="3"/>
      <c r="B315" s="57"/>
      <c r="C315" s="57"/>
      <c r="D315" s="57"/>
      <c r="E315" s="57"/>
      <c r="L315" s="1"/>
      <c r="M315" s="1"/>
      <c r="N315" s="1"/>
      <c r="O315" s="1"/>
    </row>
    <row r="316" spans="1:15">
      <c r="A316" s="3"/>
      <c r="B316" s="57"/>
      <c r="C316" s="57"/>
      <c r="D316" s="57"/>
      <c r="E316" s="57"/>
      <c r="L316" s="1"/>
      <c r="M316" s="1"/>
      <c r="N316" s="1"/>
      <c r="O316" s="1"/>
    </row>
    <row r="317" spans="1:15">
      <c r="A317" s="3"/>
      <c r="B317" s="57"/>
      <c r="C317" s="57"/>
      <c r="D317" s="57"/>
      <c r="E317" s="57"/>
      <c r="L317" s="1"/>
      <c r="M317" s="1"/>
      <c r="N317" s="1"/>
      <c r="O317" s="1"/>
    </row>
    <row r="318" spans="1:15">
      <c r="A318" s="3"/>
      <c r="B318" s="57"/>
      <c r="C318" s="57"/>
      <c r="D318" s="57"/>
      <c r="E318" s="57"/>
      <c r="L318" s="1"/>
      <c r="M318" s="1"/>
      <c r="N318" s="1"/>
      <c r="O318" s="1"/>
    </row>
    <row r="319" spans="1:15">
      <c r="A319" s="3"/>
      <c r="B319" s="57"/>
      <c r="C319" s="57"/>
      <c r="D319" s="57"/>
      <c r="E319" s="57"/>
      <c r="L319" s="1"/>
      <c r="M319" s="1"/>
      <c r="N319" s="1"/>
      <c r="O319" s="1"/>
    </row>
    <row r="320" spans="1:15">
      <c r="A320" s="3"/>
      <c r="B320" s="57"/>
      <c r="C320" s="57"/>
      <c r="D320" s="57"/>
      <c r="E320" s="57"/>
      <c r="L320" s="1"/>
      <c r="M320" s="1"/>
      <c r="N320" s="1"/>
      <c r="O320" s="1"/>
    </row>
    <row r="321" spans="1:15">
      <c r="A321" s="3"/>
      <c r="B321" s="57"/>
      <c r="C321" s="57"/>
      <c r="D321" s="57"/>
      <c r="E321" s="57"/>
      <c r="L321" s="1"/>
      <c r="M321" s="1"/>
      <c r="N321" s="1"/>
      <c r="O321" s="1"/>
    </row>
    <row r="322" spans="1:15">
      <c r="A322" s="3"/>
      <c r="B322" s="57"/>
      <c r="C322" s="57"/>
      <c r="D322" s="57"/>
      <c r="E322" s="57"/>
      <c r="L322" s="1"/>
      <c r="M322" s="1"/>
      <c r="N322" s="1"/>
      <c r="O322" s="1"/>
    </row>
    <row r="323" spans="1:15">
      <c r="A323" s="3"/>
      <c r="B323" s="57"/>
      <c r="C323" s="57"/>
      <c r="D323" s="57"/>
      <c r="E323" s="57"/>
      <c r="L323" s="1"/>
      <c r="M323" s="1"/>
      <c r="N323" s="1"/>
      <c r="O323" s="1"/>
    </row>
    <row r="324" spans="1:15">
      <c r="A324" s="3"/>
      <c r="B324" s="57"/>
      <c r="C324" s="57"/>
      <c r="D324" s="57"/>
      <c r="E324" s="57"/>
      <c r="L324" s="1"/>
      <c r="M324" s="1"/>
      <c r="N324" s="1"/>
      <c r="O324" s="1"/>
    </row>
    <row r="325" spans="1:15">
      <c r="A325" s="3"/>
      <c r="B325" s="57"/>
      <c r="C325" s="57"/>
      <c r="D325" s="57"/>
      <c r="E325" s="57"/>
      <c r="L325" s="1"/>
      <c r="M325" s="1"/>
      <c r="N325" s="1"/>
      <c r="O325" s="1"/>
    </row>
    <row r="326" spans="1:15">
      <c r="A326" s="3"/>
      <c r="B326" s="57"/>
      <c r="C326" s="57"/>
      <c r="D326" s="57"/>
      <c r="E326" s="57"/>
      <c r="L326" s="1"/>
      <c r="M326" s="1"/>
      <c r="N326" s="1"/>
      <c r="O326" s="1"/>
    </row>
    <row r="327" spans="1:15">
      <c r="A327" s="3"/>
      <c r="B327" s="57"/>
      <c r="C327" s="57"/>
      <c r="D327" s="57"/>
      <c r="E327" s="57"/>
      <c r="L327" s="1"/>
      <c r="M327" s="1"/>
      <c r="N327" s="1"/>
      <c r="O327" s="1"/>
    </row>
    <row r="328" spans="1:15">
      <c r="A328" s="3"/>
      <c r="B328" s="57"/>
      <c r="C328" s="57"/>
      <c r="D328" s="57"/>
      <c r="E328" s="57"/>
      <c r="L328" s="1"/>
      <c r="M328" s="1"/>
      <c r="N328" s="1"/>
      <c r="O328" s="1"/>
    </row>
    <row r="329" spans="1:15">
      <c r="A329" s="3"/>
      <c r="B329" s="57"/>
      <c r="C329" s="57"/>
      <c r="D329" s="57"/>
      <c r="E329" s="57"/>
      <c r="L329" s="1"/>
      <c r="M329" s="1"/>
      <c r="N329" s="1"/>
      <c r="O329" s="1"/>
    </row>
    <row r="330" spans="1:15">
      <c r="A330" s="3"/>
      <c r="B330" s="57"/>
      <c r="C330" s="57"/>
      <c r="D330" s="57"/>
      <c r="E330" s="57"/>
      <c r="L330" s="1"/>
      <c r="M330" s="1"/>
      <c r="N330" s="1"/>
      <c r="O330" s="1"/>
    </row>
    <row r="331" spans="1:15">
      <c r="A331" s="3"/>
      <c r="B331" s="57"/>
      <c r="C331" s="57"/>
      <c r="D331" s="57"/>
      <c r="E331" s="57"/>
      <c r="L331" s="1"/>
      <c r="M331" s="1"/>
      <c r="N331" s="1"/>
      <c r="O331" s="1"/>
    </row>
    <row r="332" spans="1:15">
      <c r="A332" s="3"/>
      <c r="B332" s="57"/>
      <c r="C332" s="57"/>
      <c r="D332" s="57"/>
      <c r="E332" s="57"/>
      <c r="L332" s="1"/>
      <c r="M332" s="1"/>
      <c r="N332" s="1"/>
      <c r="O332" s="1"/>
    </row>
    <row r="333" spans="1:15">
      <c r="A333" s="3"/>
      <c r="B333" s="57"/>
      <c r="C333" s="57"/>
      <c r="D333" s="57"/>
      <c r="E333" s="57"/>
      <c r="L333" s="1"/>
      <c r="M333" s="1"/>
      <c r="N333" s="1"/>
      <c r="O333" s="1"/>
    </row>
    <row r="334" spans="1:15">
      <c r="A334" s="3"/>
      <c r="B334" s="57"/>
      <c r="C334" s="57"/>
      <c r="D334" s="57"/>
      <c r="E334" s="57"/>
      <c r="L334" s="1"/>
      <c r="M334" s="1"/>
      <c r="N334" s="1"/>
      <c r="O334" s="1"/>
    </row>
    <row r="335" spans="1:15">
      <c r="A335" s="3"/>
      <c r="B335" s="57"/>
      <c r="C335" s="57"/>
      <c r="D335" s="57"/>
      <c r="E335" s="57"/>
      <c r="L335" s="1"/>
      <c r="M335" s="1"/>
      <c r="N335" s="1"/>
      <c r="O335" s="1"/>
    </row>
    <row r="336" spans="1:15">
      <c r="A336" s="3"/>
      <c r="B336" s="57"/>
      <c r="C336" s="57"/>
      <c r="D336" s="57"/>
      <c r="E336" s="57"/>
      <c r="L336" s="1"/>
      <c r="M336" s="1"/>
      <c r="N336" s="1"/>
      <c r="O336" s="1"/>
    </row>
    <row r="337" spans="1:15">
      <c r="A337" s="3"/>
      <c r="B337" s="57"/>
      <c r="C337" s="57"/>
      <c r="D337" s="57"/>
      <c r="E337" s="57"/>
      <c r="L337" s="1"/>
      <c r="M337" s="1"/>
      <c r="N337" s="1"/>
      <c r="O337" s="1"/>
    </row>
    <row r="338" spans="1:15">
      <c r="A338" s="3"/>
      <c r="B338" s="57"/>
      <c r="C338" s="57"/>
      <c r="D338" s="57"/>
      <c r="E338" s="57"/>
      <c r="L338" s="1"/>
      <c r="M338" s="1"/>
      <c r="N338" s="1"/>
      <c r="O338" s="1"/>
    </row>
    <row r="339" spans="1:15">
      <c r="A339" s="3"/>
      <c r="B339" s="57"/>
      <c r="C339" s="57"/>
      <c r="D339" s="57"/>
      <c r="E339" s="57"/>
      <c r="L339" s="1"/>
      <c r="M339" s="1"/>
      <c r="N339" s="1"/>
      <c r="O339" s="1"/>
    </row>
    <row r="340" spans="1:15">
      <c r="A340" s="3"/>
      <c r="B340" s="57"/>
      <c r="C340" s="57"/>
      <c r="D340" s="57"/>
      <c r="E340" s="57"/>
      <c r="L340" s="1"/>
      <c r="M340" s="1"/>
      <c r="N340" s="1"/>
      <c r="O340" s="1"/>
    </row>
    <row r="341" spans="1:15">
      <c r="A341" s="3"/>
      <c r="B341" s="57"/>
      <c r="C341" s="57"/>
      <c r="D341" s="57"/>
      <c r="E341" s="57"/>
      <c r="L341" s="1"/>
      <c r="M341" s="1"/>
      <c r="N341" s="1"/>
      <c r="O341" s="1"/>
    </row>
    <row r="342" spans="1:15">
      <c r="A342" s="3"/>
      <c r="B342" s="57"/>
      <c r="C342" s="57"/>
      <c r="D342" s="57"/>
      <c r="E342" s="57"/>
      <c r="L342" s="1"/>
      <c r="M342" s="1"/>
      <c r="N342" s="1"/>
      <c r="O342" s="1"/>
    </row>
    <row r="343" spans="1:15">
      <c r="A343" s="3"/>
      <c r="B343" s="57"/>
      <c r="C343" s="57"/>
      <c r="D343" s="57"/>
      <c r="E343" s="57"/>
      <c r="L343" s="1"/>
      <c r="M343" s="1"/>
      <c r="N343" s="1"/>
      <c r="O343" s="1"/>
    </row>
    <row r="344" spans="1:15">
      <c r="A344" s="3"/>
      <c r="B344" s="57"/>
      <c r="C344" s="57"/>
      <c r="D344" s="57"/>
      <c r="E344" s="57"/>
      <c r="L344" s="1"/>
      <c r="M344" s="1"/>
      <c r="N344" s="1"/>
      <c r="O344" s="1"/>
    </row>
    <row r="345" spans="1:15">
      <c r="A345" s="3"/>
      <c r="B345" s="57"/>
      <c r="C345" s="57"/>
      <c r="D345" s="57"/>
      <c r="E345" s="57"/>
      <c r="L345" s="1"/>
      <c r="M345" s="1"/>
      <c r="N345" s="1"/>
      <c r="O345" s="1"/>
    </row>
    <row r="346" spans="1:15">
      <c r="A346" s="3"/>
      <c r="B346" s="57"/>
      <c r="C346" s="57"/>
      <c r="D346" s="57"/>
      <c r="E346" s="57"/>
      <c r="L346" s="1"/>
      <c r="M346" s="1"/>
      <c r="N346" s="1"/>
      <c r="O346" s="1"/>
    </row>
    <row r="347" spans="1:15">
      <c r="A347" s="3"/>
      <c r="B347" s="57"/>
      <c r="C347" s="57"/>
      <c r="D347" s="57"/>
      <c r="E347" s="57"/>
      <c r="L347" s="1"/>
      <c r="M347" s="1"/>
      <c r="N347" s="1"/>
      <c r="O347" s="1"/>
    </row>
    <row r="348" spans="1:15">
      <c r="A348" s="3"/>
      <c r="B348" s="57"/>
      <c r="C348" s="57"/>
      <c r="D348" s="57"/>
      <c r="E348" s="57"/>
      <c r="L348" s="1"/>
      <c r="M348" s="1"/>
      <c r="N348" s="1"/>
      <c r="O348" s="1"/>
    </row>
    <row r="349" spans="1:15">
      <c r="A349" s="3"/>
      <c r="B349" s="57"/>
      <c r="C349" s="57"/>
      <c r="D349" s="57"/>
      <c r="E349" s="57"/>
      <c r="L349" s="1"/>
      <c r="M349" s="1"/>
      <c r="N349" s="1"/>
      <c r="O349" s="1"/>
    </row>
    <row r="350" spans="1:15">
      <c r="A350" s="3"/>
      <c r="B350" s="57"/>
      <c r="C350" s="57"/>
      <c r="D350" s="57"/>
      <c r="E350" s="57"/>
      <c r="L350" s="1"/>
      <c r="M350" s="1"/>
      <c r="N350" s="1"/>
      <c r="O350" s="1"/>
    </row>
    <row r="351" spans="1:15">
      <c r="A351" s="3"/>
      <c r="B351" s="57"/>
      <c r="C351" s="57"/>
      <c r="D351" s="57"/>
      <c r="E351" s="57"/>
      <c r="L351" s="1"/>
      <c r="M351" s="1"/>
      <c r="N351" s="1"/>
      <c r="O351" s="1"/>
    </row>
    <row r="352" spans="1:15">
      <c r="A352" s="3"/>
      <c r="B352" s="57"/>
      <c r="C352" s="57"/>
      <c r="D352" s="57"/>
      <c r="E352" s="57"/>
      <c r="L352" s="1"/>
      <c r="M352" s="1"/>
      <c r="N352" s="1"/>
      <c r="O352" s="1"/>
    </row>
    <row r="353" spans="1:15">
      <c r="A353" s="3"/>
      <c r="B353" s="57"/>
      <c r="C353" s="57"/>
      <c r="D353" s="57"/>
      <c r="E353" s="57"/>
      <c r="L353" s="1"/>
      <c r="M353" s="1"/>
      <c r="N353" s="1"/>
      <c r="O353" s="1"/>
    </row>
    <row r="354" spans="1:15">
      <c r="A354" s="3"/>
      <c r="B354" s="57"/>
      <c r="C354" s="57"/>
      <c r="D354" s="57"/>
      <c r="E354" s="57"/>
      <c r="L354" s="1"/>
      <c r="M354" s="1"/>
      <c r="N354" s="1"/>
      <c r="O354" s="1"/>
    </row>
    <row r="355" spans="1:15">
      <c r="A355" s="3"/>
      <c r="B355" s="57"/>
      <c r="C355" s="57"/>
      <c r="D355" s="57"/>
      <c r="E355" s="57"/>
      <c r="L355" s="1"/>
      <c r="M355" s="1"/>
      <c r="N355" s="1"/>
      <c r="O355" s="1"/>
    </row>
    <row r="356" spans="1:15">
      <c r="A356" s="3"/>
      <c r="B356" s="57"/>
      <c r="C356" s="57"/>
      <c r="D356" s="57"/>
      <c r="E356" s="57"/>
      <c r="L356" s="1"/>
      <c r="M356" s="1"/>
      <c r="N356" s="1"/>
      <c r="O356" s="1"/>
    </row>
    <row r="357" spans="1:15">
      <c r="A357" s="3"/>
      <c r="B357" s="57"/>
      <c r="C357" s="57"/>
      <c r="D357" s="57"/>
      <c r="E357" s="57"/>
      <c r="L357" s="1"/>
      <c r="M357" s="1"/>
      <c r="N357" s="1"/>
      <c r="O357" s="1"/>
    </row>
    <row r="358" spans="1:15">
      <c r="A358" s="3"/>
      <c r="B358" s="57"/>
      <c r="C358" s="57"/>
      <c r="D358" s="57"/>
      <c r="E358" s="57"/>
      <c r="L358" s="1"/>
      <c r="M358" s="1"/>
      <c r="N358" s="1"/>
      <c r="O358" s="1"/>
    </row>
    <row r="359" spans="1:15">
      <c r="A359" s="3"/>
      <c r="B359" s="57"/>
      <c r="C359" s="57"/>
      <c r="D359" s="57"/>
      <c r="E359" s="57"/>
      <c r="L359" s="1"/>
      <c r="M359" s="1"/>
      <c r="N359" s="1"/>
      <c r="O359" s="1"/>
    </row>
    <row r="360" spans="1:15">
      <c r="A360" s="3"/>
      <c r="B360" s="57"/>
      <c r="C360" s="57"/>
      <c r="D360" s="57"/>
      <c r="E360" s="57"/>
      <c r="L360" s="1"/>
      <c r="M360" s="1"/>
      <c r="N360" s="1"/>
      <c r="O360" s="1"/>
    </row>
    <row r="361" spans="1:15">
      <c r="A361" s="3"/>
      <c r="B361" s="57"/>
      <c r="C361" s="57"/>
      <c r="D361" s="57"/>
      <c r="E361" s="57"/>
      <c r="L361" s="1"/>
      <c r="M361" s="1"/>
      <c r="N361" s="1"/>
      <c r="O361" s="1"/>
    </row>
    <row r="362" spans="1:15">
      <c r="A362" s="3"/>
      <c r="B362" s="57"/>
      <c r="C362" s="57"/>
      <c r="D362" s="57"/>
      <c r="E362" s="57"/>
      <c r="L362" s="1"/>
      <c r="M362" s="1"/>
      <c r="N362" s="1"/>
      <c r="O362" s="1"/>
    </row>
    <row r="363" spans="1:15">
      <c r="A363" s="3"/>
      <c r="B363" s="57"/>
      <c r="C363" s="57"/>
      <c r="D363" s="57"/>
      <c r="E363" s="57"/>
      <c r="L363" s="1"/>
      <c r="M363" s="1"/>
      <c r="N363" s="1"/>
      <c r="O363" s="1"/>
    </row>
    <row r="364" spans="1:15">
      <c r="A364" s="3"/>
      <c r="B364" s="57"/>
      <c r="C364" s="57"/>
      <c r="D364" s="57"/>
      <c r="E364" s="57"/>
      <c r="L364" s="1"/>
      <c r="M364" s="1"/>
      <c r="N364" s="1"/>
      <c r="O364" s="1"/>
    </row>
    <row r="365" spans="1:15">
      <c r="A365" s="3"/>
      <c r="B365" s="57"/>
      <c r="C365" s="57"/>
      <c r="D365" s="57"/>
      <c r="E365" s="57"/>
      <c r="L365" s="1"/>
      <c r="M365" s="1"/>
      <c r="N365" s="1"/>
      <c r="O365" s="1"/>
    </row>
    <row r="366" spans="1:15">
      <c r="A366" s="3"/>
      <c r="B366" s="57"/>
      <c r="C366" s="57"/>
      <c r="D366" s="57"/>
      <c r="E366" s="57"/>
      <c r="L366" s="1"/>
      <c r="M366" s="1"/>
      <c r="N366" s="1"/>
      <c r="O366" s="1"/>
    </row>
    <row r="367" spans="1:15">
      <c r="A367" s="3"/>
      <c r="B367" s="57"/>
      <c r="C367" s="57"/>
      <c r="D367" s="57"/>
      <c r="E367" s="57"/>
      <c r="L367" s="1"/>
      <c r="M367" s="1"/>
      <c r="N367" s="1"/>
      <c r="O367" s="1"/>
    </row>
    <row r="368" spans="1:15">
      <c r="A368" s="3"/>
      <c r="B368" s="57"/>
      <c r="C368" s="57"/>
      <c r="D368" s="57"/>
      <c r="E368" s="57"/>
      <c r="L368" s="1"/>
      <c r="M368" s="1"/>
      <c r="N368" s="1"/>
      <c r="O368" s="1"/>
    </row>
    <row r="369" spans="1:15">
      <c r="A369" s="3"/>
      <c r="B369" s="57"/>
      <c r="C369" s="57"/>
      <c r="D369" s="57"/>
      <c r="E369" s="57"/>
      <c r="L369" s="1"/>
      <c r="M369" s="1"/>
      <c r="N369" s="1"/>
      <c r="O369" s="1"/>
    </row>
    <row r="370" spans="1:15">
      <c r="A370" s="3"/>
      <c r="B370" s="57"/>
      <c r="C370" s="57"/>
      <c r="D370" s="57"/>
      <c r="E370" s="57"/>
      <c r="L370" s="1"/>
      <c r="M370" s="1"/>
      <c r="N370" s="1"/>
      <c r="O370" s="1"/>
    </row>
    <row r="371" spans="1:15">
      <c r="A371" s="3"/>
      <c r="B371" s="57"/>
      <c r="C371" s="57"/>
      <c r="D371" s="57"/>
      <c r="E371" s="57"/>
      <c r="L371" s="1"/>
      <c r="M371" s="1"/>
      <c r="N371" s="1"/>
      <c r="O371" s="1"/>
    </row>
    <row r="372" spans="1:15">
      <c r="A372" s="3"/>
      <c r="B372" s="57"/>
      <c r="C372" s="57"/>
      <c r="D372" s="57"/>
      <c r="E372" s="57"/>
      <c r="L372" s="1"/>
      <c r="M372" s="1"/>
      <c r="N372" s="1"/>
      <c r="O372" s="1"/>
    </row>
    <row r="373" spans="1:15">
      <c r="A373" s="3"/>
      <c r="B373" s="57"/>
      <c r="C373" s="57"/>
      <c r="D373" s="57"/>
      <c r="E373" s="57"/>
      <c r="L373" s="1"/>
      <c r="M373" s="1"/>
      <c r="N373" s="1"/>
      <c r="O373" s="1"/>
    </row>
    <row r="374" spans="1:15">
      <c r="A374" s="3"/>
      <c r="B374" s="57"/>
      <c r="C374" s="57"/>
      <c r="D374" s="57"/>
      <c r="E374" s="57"/>
      <c r="L374" s="1"/>
      <c r="M374" s="1"/>
      <c r="N374" s="1"/>
      <c r="O374" s="1"/>
    </row>
    <row r="375" spans="1:15">
      <c r="A375" s="3"/>
      <c r="B375" s="57"/>
      <c r="C375" s="57"/>
      <c r="D375" s="57"/>
      <c r="E375" s="57"/>
      <c r="L375" s="1"/>
      <c r="M375" s="1"/>
      <c r="N375" s="1"/>
      <c r="O375" s="1"/>
    </row>
    <row r="376" spans="1:15">
      <c r="A376" s="3"/>
      <c r="B376" s="57"/>
      <c r="C376" s="57"/>
      <c r="D376" s="57"/>
      <c r="E376" s="57"/>
      <c r="L376" s="1"/>
      <c r="M376" s="1"/>
      <c r="N376" s="1"/>
      <c r="O376" s="1"/>
    </row>
    <row r="377" spans="1:15">
      <c r="A377" s="3"/>
      <c r="B377" s="57"/>
      <c r="C377" s="57"/>
      <c r="D377" s="57"/>
      <c r="E377" s="57"/>
      <c r="L377" s="1"/>
      <c r="M377" s="1"/>
      <c r="N377" s="1"/>
      <c r="O377" s="1"/>
    </row>
    <row r="378" spans="1:15">
      <c r="A378" s="3"/>
      <c r="B378" s="57"/>
      <c r="C378" s="57"/>
      <c r="D378" s="57"/>
      <c r="E378" s="57"/>
      <c r="L378" s="1"/>
      <c r="M378" s="1"/>
      <c r="N378" s="1"/>
      <c r="O378" s="1"/>
    </row>
    <row r="379" spans="1:15">
      <c r="A379" s="3"/>
      <c r="B379" s="57"/>
      <c r="C379" s="57"/>
      <c r="D379" s="57"/>
      <c r="E379" s="57"/>
      <c r="L379" s="1"/>
      <c r="M379" s="1"/>
      <c r="N379" s="1"/>
      <c r="O379" s="1"/>
    </row>
    <row r="380" spans="1:15">
      <c r="A380" s="3"/>
      <c r="B380" s="57"/>
      <c r="C380" s="57"/>
      <c r="D380" s="57"/>
      <c r="E380" s="57"/>
      <c r="L380" s="1"/>
      <c r="M380" s="1"/>
      <c r="N380" s="1"/>
      <c r="O380" s="1"/>
    </row>
    <row r="381" spans="1:15">
      <c r="A381" s="3"/>
      <c r="B381" s="57"/>
      <c r="C381" s="57"/>
      <c r="D381" s="57"/>
      <c r="E381" s="57"/>
      <c r="L381" s="1"/>
      <c r="M381" s="1"/>
      <c r="N381" s="1"/>
      <c r="O381" s="1"/>
    </row>
    <row r="382" spans="1:15">
      <c r="A382" s="3"/>
      <c r="B382" s="57"/>
      <c r="C382" s="57"/>
      <c r="D382" s="57"/>
      <c r="E382" s="57"/>
      <c r="L382" s="1"/>
      <c r="M382" s="1"/>
      <c r="N382" s="1"/>
      <c r="O382" s="1"/>
    </row>
    <row r="383" spans="1:15">
      <c r="A383" s="3"/>
      <c r="B383" s="57"/>
      <c r="C383" s="57"/>
      <c r="D383" s="57"/>
      <c r="E383" s="57"/>
      <c r="L383" s="1"/>
      <c r="M383" s="1"/>
      <c r="N383" s="1"/>
      <c r="O383" s="1"/>
    </row>
    <row r="384" spans="1:15">
      <c r="A384" s="3"/>
      <c r="B384" s="57"/>
      <c r="C384" s="57"/>
      <c r="D384" s="57"/>
      <c r="E384" s="57"/>
      <c r="L384" s="1"/>
      <c r="M384" s="1"/>
      <c r="N384" s="1"/>
      <c r="O384" s="1"/>
    </row>
    <row r="385" spans="1:15">
      <c r="A385" s="3"/>
      <c r="B385" s="57"/>
      <c r="C385" s="57"/>
      <c r="D385" s="57"/>
      <c r="E385" s="57"/>
      <c r="L385" s="1"/>
      <c r="M385" s="1"/>
      <c r="N385" s="1"/>
      <c r="O385" s="1"/>
    </row>
    <row r="386" spans="1:15">
      <c r="A386" s="3"/>
      <c r="B386" s="57"/>
      <c r="C386" s="57"/>
      <c r="D386" s="57"/>
      <c r="E386" s="57"/>
      <c r="L386" s="1"/>
      <c r="M386" s="1"/>
      <c r="N386" s="1"/>
      <c r="O386" s="1"/>
    </row>
    <row r="387" spans="1:15">
      <c r="A387" s="3"/>
      <c r="B387" s="57"/>
      <c r="C387" s="57"/>
      <c r="D387" s="57"/>
      <c r="E387" s="57"/>
      <c r="L387" s="1"/>
      <c r="M387" s="1"/>
      <c r="N387" s="1"/>
      <c r="O387" s="1"/>
    </row>
    <row r="388" spans="1:15">
      <c r="A388" s="3"/>
      <c r="B388" s="57"/>
      <c r="C388" s="57"/>
      <c r="D388" s="57"/>
      <c r="E388" s="57"/>
      <c r="L388" s="1"/>
      <c r="M388" s="1"/>
      <c r="N388" s="1"/>
      <c r="O388" s="1"/>
    </row>
    <row r="389" spans="1:15">
      <c r="A389" s="3"/>
      <c r="B389" s="57"/>
      <c r="C389" s="57"/>
      <c r="D389" s="57"/>
      <c r="E389" s="57"/>
      <c r="L389" s="1"/>
      <c r="M389" s="1"/>
      <c r="N389" s="1"/>
      <c r="O389" s="1"/>
    </row>
    <row r="390" spans="1:15">
      <c r="A390" s="3"/>
      <c r="B390" s="57"/>
      <c r="C390" s="57"/>
      <c r="D390" s="57"/>
      <c r="E390" s="57"/>
      <c r="L390" s="1"/>
      <c r="M390" s="1"/>
      <c r="N390" s="1"/>
      <c r="O390" s="1"/>
    </row>
    <row r="391" spans="1:15">
      <c r="A391" s="3"/>
      <c r="B391" s="57"/>
      <c r="C391" s="57"/>
      <c r="D391" s="57"/>
      <c r="E391" s="57"/>
      <c r="L391" s="1"/>
      <c r="M391" s="1"/>
      <c r="N391" s="1"/>
      <c r="O391" s="1"/>
    </row>
    <row r="392" spans="1:15">
      <c r="A392" s="3"/>
      <c r="B392" s="57"/>
      <c r="C392" s="57"/>
      <c r="D392" s="57"/>
      <c r="E392" s="57"/>
      <c r="L392" s="1"/>
      <c r="M392" s="1"/>
      <c r="N392" s="1"/>
      <c r="O392" s="1"/>
    </row>
    <row r="393" spans="1:15">
      <c r="A393" s="3"/>
      <c r="B393" s="57"/>
      <c r="C393" s="57"/>
      <c r="D393" s="57"/>
      <c r="E393" s="57"/>
      <c r="L393" s="1"/>
      <c r="M393" s="1"/>
      <c r="N393" s="1"/>
      <c r="O393" s="1"/>
    </row>
    <row r="394" spans="1:15">
      <c r="A394" s="3"/>
      <c r="B394" s="57"/>
      <c r="C394" s="57"/>
      <c r="D394" s="57"/>
      <c r="E394" s="57"/>
      <c r="L394" s="1"/>
      <c r="M394" s="1"/>
      <c r="N394" s="1"/>
      <c r="O394" s="1"/>
    </row>
    <row r="395" spans="1:15">
      <c r="A395" s="3"/>
      <c r="B395" s="57"/>
      <c r="C395" s="57"/>
      <c r="D395" s="57"/>
      <c r="E395" s="57"/>
      <c r="L395" s="1"/>
      <c r="M395" s="1"/>
      <c r="N395" s="1"/>
      <c r="O395" s="1"/>
    </row>
    <row r="396" spans="1:15">
      <c r="A396" s="3"/>
      <c r="B396" s="57"/>
      <c r="C396" s="57"/>
      <c r="D396" s="57"/>
      <c r="E396" s="57"/>
      <c r="L396" s="1"/>
      <c r="M396" s="1"/>
      <c r="N396" s="1"/>
      <c r="O396" s="1"/>
    </row>
    <row r="397" spans="1:15">
      <c r="A397" s="3"/>
      <c r="B397" s="57"/>
      <c r="C397" s="57"/>
      <c r="D397" s="57"/>
      <c r="E397" s="57"/>
      <c r="L397" s="1"/>
      <c r="M397" s="1"/>
      <c r="N397" s="1"/>
      <c r="O397" s="1"/>
    </row>
    <row r="398" spans="1:15">
      <c r="A398" s="3"/>
      <c r="B398" s="57"/>
      <c r="C398" s="57"/>
      <c r="D398" s="57"/>
      <c r="E398" s="57"/>
      <c r="L398" s="1"/>
      <c r="M398" s="1"/>
      <c r="N398" s="1"/>
      <c r="O398" s="1"/>
    </row>
    <row r="399" spans="1:15">
      <c r="A399" s="3"/>
      <c r="B399" s="57"/>
      <c r="C399" s="57"/>
      <c r="D399" s="57"/>
      <c r="E399" s="57"/>
      <c r="L399" s="1"/>
      <c r="M399" s="1"/>
      <c r="N399" s="1"/>
      <c r="O399" s="1"/>
    </row>
    <row r="400" spans="1:15">
      <c r="A400" s="3"/>
      <c r="B400" s="57"/>
      <c r="C400" s="57"/>
      <c r="D400" s="57"/>
      <c r="E400" s="57"/>
      <c r="L400" s="1"/>
      <c r="M400" s="1"/>
      <c r="N400" s="1"/>
      <c r="O400" s="1"/>
    </row>
    <row r="401" spans="1:15">
      <c r="A401" s="3"/>
      <c r="B401" s="57"/>
      <c r="C401" s="57"/>
      <c r="D401" s="57"/>
      <c r="E401" s="57"/>
      <c r="L401" s="1"/>
      <c r="M401" s="1"/>
      <c r="N401" s="1"/>
      <c r="O401" s="1"/>
    </row>
    <row r="402" spans="1:15">
      <c r="A402" s="3"/>
      <c r="B402" s="57"/>
      <c r="C402" s="57"/>
      <c r="D402" s="57"/>
      <c r="E402" s="57"/>
      <c r="L402" s="1"/>
      <c r="M402" s="1"/>
      <c r="N402" s="1"/>
      <c r="O402" s="1"/>
    </row>
    <row r="403" spans="1:15">
      <c r="A403" s="3"/>
      <c r="B403" s="57"/>
      <c r="C403" s="57"/>
      <c r="D403" s="57"/>
      <c r="E403" s="57"/>
      <c r="L403" s="1"/>
      <c r="M403" s="1"/>
      <c r="N403" s="1"/>
      <c r="O403" s="1"/>
    </row>
    <row r="404" spans="1:15">
      <c r="A404" s="3"/>
      <c r="B404" s="57"/>
      <c r="C404" s="57"/>
      <c r="D404" s="57"/>
      <c r="E404" s="57"/>
      <c r="L404" s="1"/>
      <c r="M404" s="1"/>
      <c r="N404" s="1"/>
      <c r="O404" s="1"/>
    </row>
    <row r="405" spans="1:15">
      <c r="A405" s="3"/>
      <c r="B405" s="57"/>
      <c r="C405" s="57"/>
      <c r="D405" s="57"/>
      <c r="E405" s="57"/>
      <c r="L405" s="1"/>
      <c r="M405" s="1"/>
      <c r="N405" s="1"/>
      <c r="O405" s="1"/>
    </row>
    <row r="406" spans="1:15">
      <c r="A406" s="3"/>
      <c r="B406" s="57"/>
      <c r="C406" s="57"/>
      <c r="D406" s="57"/>
      <c r="E406" s="57"/>
      <c r="L406" s="1"/>
      <c r="M406" s="1"/>
      <c r="N406" s="1"/>
      <c r="O406" s="1"/>
    </row>
    <row r="407" spans="1:15">
      <c r="A407" s="3"/>
      <c r="B407" s="57"/>
      <c r="C407" s="57"/>
      <c r="D407" s="57"/>
      <c r="E407" s="57"/>
      <c r="L407" s="1"/>
      <c r="M407" s="1"/>
      <c r="N407" s="1"/>
      <c r="O407" s="1"/>
    </row>
    <row r="408" spans="1:15">
      <c r="A408" s="3"/>
      <c r="B408" s="57"/>
      <c r="C408" s="57"/>
      <c r="D408" s="57"/>
      <c r="E408" s="57"/>
      <c r="L408" s="1"/>
      <c r="M408" s="1"/>
      <c r="N408" s="1"/>
      <c r="O408" s="1"/>
    </row>
    <row r="409" spans="1:15">
      <c r="A409" s="3"/>
      <c r="B409" s="57"/>
      <c r="C409" s="57"/>
      <c r="D409" s="57"/>
      <c r="E409" s="57"/>
      <c r="L409" s="1"/>
      <c r="M409" s="1"/>
      <c r="N409" s="1"/>
      <c r="O409" s="1"/>
    </row>
    <row r="410" spans="1:15">
      <c r="A410" s="3"/>
      <c r="B410" s="57"/>
      <c r="C410" s="57"/>
      <c r="D410" s="57"/>
      <c r="E410" s="57"/>
      <c r="L410" s="1"/>
      <c r="M410" s="1"/>
      <c r="N410" s="1"/>
      <c r="O410" s="1"/>
    </row>
  </sheetData>
  <mergeCells count="13">
    <mergeCell ref="AA1:AE1"/>
    <mergeCell ref="AK1:AO1"/>
    <mergeCell ref="A1:A2"/>
    <mergeCell ref="B1:F1"/>
    <mergeCell ref="G1:K1"/>
    <mergeCell ref="L1:P1"/>
    <mergeCell ref="V1:Z1"/>
    <mergeCell ref="Q1:U1"/>
    <mergeCell ref="BO1:BS1"/>
    <mergeCell ref="AF1:AJ1"/>
    <mergeCell ref="AP1:AT1"/>
    <mergeCell ref="AZ1:BD1"/>
    <mergeCell ref="BJ1:BN1"/>
  </mergeCells>
  <pageMargins left="0.511811024" right="0.511811024" top="0.78740157499999996" bottom="0.78740157499999996" header="0.31496062000000002" footer="0.31496062000000002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1:AH278"/>
  <sheetViews>
    <sheetView workbookViewId="0">
      <selection activeCell="I3" sqref="I3"/>
    </sheetView>
  </sheetViews>
  <sheetFormatPr defaultColWidth="8.85546875" defaultRowHeight="15"/>
  <cols>
    <col min="1" max="1" width="23.42578125" style="484" bestFit="1" customWidth="1"/>
    <col min="2" max="2" width="10.42578125" style="364" bestFit="1" customWidth="1"/>
    <col min="3" max="4" width="8.85546875" style="1"/>
    <col min="5" max="9" width="13.85546875" style="1" bestFit="1" customWidth="1"/>
    <col min="10" max="34" width="8.85546875" style="1"/>
  </cols>
  <sheetData>
    <row r="1" spans="1:9" ht="15.75" thickBot="1">
      <c r="A1" s="1131" t="s">
        <v>237</v>
      </c>
      <c r="B1" s="1040">
        <v>2006</v>
      </c>
      <c r="C1" s="1088"/>
      <c r="E1" s="1128" t="s">
        <v>238</v>
      </c>
      <c r="F1" s="1129"/>
      <c r="G1" s="1129"/>
      <c r="H1" s="1129"/>
      <c r="I1" s="1130"/>
    </row>
    <row r="2" spans="1:9" ht="15.75" thickBot="1">
      <c r="A2" s="1132"/>
      <c r="B2" s="1041"/>
      <c r="C2" s="1134"/>
      <c r="E2" s="411">
        <v>2009</v>
      </c>
      <c r="F2" s="410">
        <v>2010</v>
      </c>
      <c r="G2" s="410">
        <v>2011</v>
      </c>
      <c r="H2" s="410">
        <v>2012</v>
      </c>
      <c r="I2" s="412">
        <v>2013</v>
      </c>
    </row>
    <row r="3" spans="1:9" ht="15.75" thickBot="1">
      <c r="A3" s="1133"/>
      <c r="B3" s="502" t="s">
        <v>239</v>
      </c>
      <c r="C3" s="503" t="s">
        <v>240</v>
      </c>
      <c r="E3" s="229">
        <v>6503000000</v>
      </c>
      <c r="F3" s="229">
        <v>6807000000</v>
      </c>
      <c r="G3" s="229">
        <v>6677000000</v>
      </c>
      <c r="H3" s="229">
        <v>6945000000</v>
      </c>
      <c r="I3" s="995">
        <v>6944000000</v>
      </c>
    </row>
    <row r="4" spans="1:9" ht="15.75" thickBot="1">
      <c r="A4" s="229" t="s">
        <v>86</v>
      </c>
      <c r="B4" s="490">
        <f>B5+B13+B23+B28+B32</f>
        <v>2395376</v>
      </c>
      <c r="C4" s="491">
        <f>C5+C13+C23+C28+C32</f>
        <v>1</v>
      </c>
      <c r="E4" s="172"/>
      <c r="F4" s="172"/>
      <c r="G4" s="172"/>
      <c r="H4" s="172"/>
      <c r="I4" s="172"/>
    </row>
    <row r="5" spans="1:9" ht="15.75" thickBot="1">
      <c r="A5" s="493" t="s">
        <v>87</v>
      </c>
      <c r="B5" s="490">
        <f>SUM(B6:B12)</f>
        <v>102979</v>
      </c>
      <c r="C5" s="494">
        <f>SUM(C6:C12)</f>
        <v>4.2990745503002449E-2</v>
      </c>
    </row>
    <row r="6" spans="1:9">
      <c r="A6" s="492" t="s">
        <v>13</v>
      </c>
      <c r="B6" s="487">
        <v>2683</v>
      </c>
      <c r="C6" s="469">
        <f t="shared" ref="C6:C12" si="0">B6/$B$4</f>
        <v>1.1200746772114273E-3</v>
      </c>
      <c r="E6" s="504">
        <f>(COMB!L5-$C6*E$3)/COMB!L5</f>
        <v>0.94258894142728389</v>
      </c>
      <c r="F6" s="505">
        <f>(COMB!M5-$C6*F$3)/COMB!M5</f>
        <v>0.94990545304492391</v>
      </c>
      <c r="G6" s="505">
        <f>(COMB!N5-$C6*G$3)/COMB!N5</f>
        <v>0.95255540286438822</v>
      </c>
      <c r="H6" s="505">
        <f>(COMB!O5-$C6*H$3)/COMB!O5</f>
        <v>0.96379782371301881</v>
      </c>
      <c r="I6" s="506">
        <f>(COMB!P5-$C6*I$3)/COMB!P5</f>
        <v>0.95057435504928522</v>
      </c>
    </row>
    <row r="7" spans="1:9">
      <c r="A7" s="483" t="s">
        <v>14</v>
      </c>
      <c r="B7" s="486">
        <v>476</v>
      </c>
      <c r="C7" s="113">
        <f t="shared" si="0"/>
        <v>1.9871619319889654E-4</v>
      </c>
      <c r="E7" s="507">
        <f>(COMB!L6-$C7*E$3)/COMB!L6</f>
        <v>0.99558267204023654</v>
      </c>
      <c r="F7" s="133">
        <f>(COMB!M6-$C7*F$3)/COMB!M6</f>
        <v>0.99572545656118028</v>
      </c>
      <c r="G7" s="133">
        <f>(COMB!N6-$C7*G$3)/COMB!N6</f>
        <v>0.99642689938341023</v>
      </c>
      <c r="H7" s="133">
        <f>(COMB!O6-$C7*H$3)/COMB!O6</f>
        <v>0.99707783745986833</v>
      </c>
      <c r="I7" s="508">
        <f>(COMB!P6-$C7*I$3)/COMB!P6</f>
        <v>0.99714382870655061</v>
      </c>
    </row>
    <row r="8" spans="1:9">
      <c r="A8" s="483" t="s">
        <v>15</v>
      </c>
      <c r="B8" s="486">
        <v>4242</v>
      </c>
      <c r="C8" s="113">
        <f t="shared" si="0"/>
        <v>1.7709119570372251E-3</v>
      </c>
      <c r="E8" s="507">
        <f>(COMB!L7-$C8*E$3)/COMB!L7</f>
        <v>0.98681416100560349</v>
      </c>
      <c r="F8" s="133">
        <f>(COMB!M7-$C8*F$3)/COMB!M7</f>
        <v>0.98984146854010224</v>
      </c>
      <c r="G8" s="133">
        <f>(COMB!N7-$C8*G$3)/COMB!N7</f>
        <v>0.99123023190147996</v>
      </c>
      <c r="H8" s="133">
        <f>(COMB!O7-$C8*H$3)/COMB!O7</f>
        <v>0.99092816254341642</v>
      </c>
      <c r="I8" s="508">
        <f>(COMB!P7-$C8*I$3)/COMB!P7</f>
        <v>0.99086703958673694</v>
      </c>
    </row>
    <row r="9" spans="1:9">
      <c r="A9" s="483" t="s">
        <v>16</v>
      </c>
      <c r="B9" s="486">
        <v>46597</v>
      </c>
      <c r="C9" s="113">
        <f t="shared" si="0"/>
        <v>1.9452895912791979E-2</v>
      </c>
      <c r="E9" s="507">
        <f>(COMB!L8-$C9*E$3)/COMB!L8</f>
        <v>0.91209535274659082</v>
      </c>
      <c r="F9" s="133">
        <f>(COMB!M8-$C9*F$3)/COMB!M8</f>
        <v>0.91903055016057245</v>
      </c>
      <c r="G9" s="133">
        <f>(COMB!N8-$C9*G$3)/COMB!N8</f>
        <v>0.92823363017244997</v>
      </c>
      <c r="H9" s="133">
        <f>(COMB!O8-$C9*H$3)/COMB!O8</f>
        <v>0.93307687004517292</v>
      </c>
      <c r="I9" s="508">
        <f>(COMB!P8-$C9*I$3)/COMB!P8</f>
        <v>0.93671867361102645</v>
      </c>
    </row>
    <row r="10" spans="1:9">
      <c r="A10" s="483" t="s">
        <v>17</v>
      </c>
      <c r="B10" s="486">
        <v>16786</v>
      </c>
      <c r="C10" s="113">
        <f t="shared" si="0"/>
        <v>7.0076681072199108E-3</v>
      </c>
      <c r="E10" s="507">
        <f>(COMB!L9-$C10*E$3)/COMB!L9</f>
        <v>0.93449826588381257</v>
      </c>
      <c r="F10" s="133">
        <f>(COMB!M9-$C10*F$3)/COMB!M9</f>
        <v>0.93739182383466702</v>
      </c>
      <c r="G10" s="133">
        <f>(COMB!N9-$C10*G$3)/COMB!N9</f>
        <v>0.93965245694954525</v>
      </c>
      <c r="H10" s="133">
        <f>(COMB!O9-$C10*H$3)/COMB!O9</f>
        <v>0.93697606913128884</v>
      </c>
      <c r="I10" s="508">
        <f>(COMB!P9-$C10*I$3)/COMB!P9</f>
        <v>0.93738436273435688</v>
      </c>
    </row>
    <row r="11" spans="1:9">
      <c r="A11" s="483" t="s">
        <v>18</v>
      </c>
      <c r="B11" s="486">
        <v>1182</v>
      </c>
      <c r="C11" s="113">
        <f t="shared" si="0"/>
        <v>4.9345071504431877E-4</v>
      </c>
      <c r="E11" s="507">
        <f>(COMB!L10-$C11*E$3)/COMB!L10</f>
        <v>0.95466054309138437</v>
      </c>
      <c r="F11" s="133">
        <f>(COMB!M10-$C11*F$3)/COMB!M10</f>
        <v>0.97658803258975591</v>
      </c>
      <c r="G11" s="133">
        <f>(COMB!N10-$C11*G$3)/COMB!N10</f>
        <v>0.96176291419704585</v>
      </c>
      <c r="H11" s="133">
        <f>(COMB!O10-$C11*H$3)/COMB!O10</f>
        <v>0.96024412182094854</v>
      </c>
      <c r="I11" s="508">
        <f>(COMB!P10-$C11*I$3)/COMB!P10</f>
        <v>0.9662687148598067</v>
      </c>
    </row>
    <row r="12" spans="1:9" ht="15.75" thickBot="1">
      <c r="A12" s="485" t="s">
        <v>19</v>
      </c>
      <c r="B12" s="495">
        <v>31013</v>
      </c>
      <c r="C12" s="496">
        <f t="shared" si="0"/>
        <v>1.2947027940498694E-2</v>
      </c>
      <c r="E12" s="509">
        <f>(COMB!L11-$C12*E$3)/COMB!L11</f>
        <v>0.85397599942078883</v>
      </c>
      <c r="F12" s="140">
        <f>(COMB!M11-$C12*F$3)/COMB!M11</f>
        <v>0.86749623682155619</v>
      </c>
      <c r="G12" s="140">
        <f>(COMB!N11-$C12*G$3)/COMB!N11</f>
        <v>0.87526411098329371</v>
      </c>
      <c r="H12" s="140">
        <f>(COMB!O11-$C12*H$3)/COMB!O11</f>
        <v>0.88331555696850395</v>
      </c>
      <c r="I12" s="510">
        <f>(COMB!P11-$C12*I$3)/COMB!P11</f>
        <v>0.89455494744837494</v>
      </c>
    </row>
    <row r="13" spans="1:9" ht="15.75" thickBot="1">
      <c r="A13" s="493" t="s">
        <v>88</v>
      </c>
      <c r="B13" s="490">
        <f>SUM(B14:B22)</f>
        <v>217841</v>
      </c>
      <c r="C13" s="494">
        <f>SUM(C14:C22)</f>
        <v>9.0942298829077353E-2</v>
      </c>
      <c r="E13" s="511"/>
      <c r="F13" s="511"/>
      <c r="G13" s="511"/>
      <c r="H13" s="511"/>
      <c r="I13" s="511"/>
    </row>
    <row r="14" spans="1:9">
      <c r="A14" s="492" t="s">
        <v>21</v>
      </c>
      <c r="B14" s="487">
        <v>30915</v>
      </c>
      <c r="C14" s="469">
        <f t="shared" ref="C14:C22" si="1">B14/$B$4</f>
        <v>1.2906115783075392E-2</v>
      </c>
      <c r="E14" s="504">
        <f>(COMB!L13-$C14*E$3)/COMB!L13</f>
        <v>0.74327020291408297</v>
      </c>
      <c r="F14" s="505">
        <f>(COMB!M13-$C14*F$3)/COMB!M13</f>
        <v>0.75695653087051629</v>
      </c>
      <c r="G14" s="505">
        <f>(COMB!N13-$C14*G$3)/COMB!N13</f>
        <v>0.78420991582338051</v>
      </c>
      <c r="H14" s="505">
        <f>(COMB!O13-$C14*H$3)/COMB!O13</f>
        <v>0.77870347180256416</v>
      </c>
      <c r="I14" s="506">
        <f>(COMB!P13-$C14*I$3)/COMB!P13</f>
        <v>0.77681321747264609</v>
      </c>
    </row>
    <row r="15" spans="1:9">
      <c r="A15" s="483" t="s">
        <v>22</v>
      </c>
      <c r="B15" s="486">
        <v>96057</v>
      </c>
      <c r="C15" s="113">
        <f t="shared" si="1"/>
        <v>4.0101011281736147E-2</v>
      </c>
      <c r="E15" s="507">
        <f>(COMB!L14-$C15*E$3)/COMB!L14</f>
        <v>0.89419429688796126</v>
      </c>
      <c r="F15" s="133">
        <f>(COMB!M14-$C15*F$3)/COMB!M14</f>
        <v>0.89998628758068577</v>
      </c>
      <c r="G15" s="133">
        <f>(COMB!N14-$C15*G$3)/COMB!N14</f>
        <v>0.90781735767451921</v>
      </c>
      <c r="H15" s="133">
        <f>(COMB!O14-$C15*H$3)/COMB!O14</f>
        <v>0.91203281487778098</v>
      </c>
      <c r="I15" s="508">
        <f>(COMB!P14-$C15*I$3)/COMB!P14</f>
        <v>0.91685106146818351</v>
      </c>
    </row>
    <row r="16" spans="1:9">
      <c r="A16" s="483" t="s">
        <v>23</v>
      </c>
      <c r="B16" s="486">
        <v>12372</v>
      </c>
      <c r="C16" s="113">
        <f t="shared" si="1"/>
        <v>5.1649511391948484E-3</v>
      </c>
      <c r="E16" s="507">
        <f>(COMB!L15-$C16*E$3)/COMB!L15</f>
        <v>0.95471976673073367</v>
      </c>
      <c r="F16" s="133">
        <f>(COMB!M15-$C16*F$3)/COMB!M15</f>
        <v>0.95855091483994181</v>
      </c>
      <c r="G16" s="133">
        <f>(COMB!N15-$C16*G$3)/COMB!N15</f>
        <v>0.96196637631763393</v>
      </c>
      <c r="H16" s="133">
        <f>(COMB!O15-$C16*H$3)/COMB!O15</f>
        <v>0.96512529540095959</v>
      </c>
      <c r="I16" s="508">
        <f>(COMB!P15-$C16*I$3)/COMB!P15</f>
        <v>0.96790969551328032</v>
      </c>
    </row>
    <row r="17" spans="1:9">
      <c r="A17" s="483" t="s">
        <v>24</v>
      </c>
      <c r="B17" s="486">
        <v>25314</v>
      </c>
      <c r="C17" s="113">
        <f t="shared" si="1"/>
        <v>1.0567860745035434E-2</v>
      </c>
      <c r="E17" s="507">
        <f>(COMB!L16-$C17*E$3)/COMB!L16</f>
        <v>0.92353073179967182</v>
      </c>
      <c r="F17" s="133">
        <f>(COMB!M16-$C17*F$3)/COMB!M16</f>
        <v>0.9274882368857823</v>
      </c>
      <c r="G17" s="133">
        <f>(COMB!N16-$C17*G$3)/COMB!N16</f>
        <v>0.93428328858593956</v>
      </c>
      <c r="H17" s="133">
        <f>(COMB!O16-$C17*H$3)/COMB!O16</f>
        <v>0.93900035422373318</v>
      </c>
      <c r="I17" s="508">
        <f>(COMB!P16-$C17*I$3)/COMB!P16</f>
        <v>0.93956358095414694</v>
      </c>
    </row>
    <row r="18" spans="1:9">
      <c r="A18" s="483" t="s">
        <v>25</v>
      </c>
      <c r="B18" s="486">
        <v>6519</v>
      </c>
      <c r="C18" s="113">
        <f t="shared" si="1"/>
        <v>2.721493410637829E-3</v>
      </c>
      <c r="E18" s="507">
        <f>(COMB!L17-$C18*E$3)/COMB!L17</f>
        <v>0.95194150553635926</v>
      </c>
      <c r="F18" s="133">
        <f>(COMB!M17-$C18*F$3)/COMB!M17</f>
        <v>0.95410999371191474</v>
      </c>
      <c r="G18" s="133">
        <f>(COMB!N17-$C18*G$3)/COMB!N17</f>
        <v>0.95764452693966351</v>
      </c>
      <c r="H18" s="133">
        <f>(COMB!O17-$C18*H$3)/COMB!O17</f>
        <v>0.95956498702684989</v>
      </c>
      <c r="I18" s="508">
        <f>(COMB!P17-$C18*I$3)/COMB!P17</f>
        <v>0.96086952601087805</v>
      </c>
    </row>
    <row r="19" spans="1:9">
      <c r="A19" s="483" t="s">
        <v>26</v>
      </c>
      <c r="B19" s="486">
        <v>21594</v>
      </c>
      <c r="C19" s="113">
        <f t="shared" si="1"/>
        <v>9.0148686469264123E-3</v>
      </c>
      <c r="E19" s="507">
        <f>(COMB!L18-$C19*E$3)/COMB!L18</f>
        <v>0.94450243154035063</v>
      </c>
      <c r="F19" s="133">
        <f>(COMB!M18-$C19*F$3)/COMB!M18</f>
        <v>0.94926190473312544</v>
      </c>
      <c r="G19" s="133">
        <f>(COMB!N18-$C19*G$3)/COMB!N18</f>
        <v>0.95365847426973271</v>
      </c>
      <c r="H19" s="133">
        <f>(COMB!O18-$C19*H$3)/COMB!O18</f>
        <v>0.95742431365923364</v>
      </c>
      <c r="I19" s="508">
        <f>(COMB!P18-$C19*I$3)/COMB!P18</f>
        <v>0.95959822379843351</v>
      </c>
    </row>
    <row r="20" spans="1:9">
      <c r="A20" s="483" t="s">
        <v>27</v>
      </c>
      <c r="B20" s="486">
        <v>12172</v>
      </c>
      <c r="C20" s="113">
        <f t="shared" si="1"/>
        <v>5.0814569403717829E-3</v>
      </c>
      <c r="E20" s="507">
        <f>(COMB!L19-$C20*E$3)/COMB!L19</f>
        <v>0.91489723549839441</v>
      </c>
      <c r="F20" s="133">
        <f>(COMB!M19-$C20*F$3)/COMB!M19</f>
        <v>0.92134304654695465</v>
      </c>
      <c r="G20" s="133">
        <f>(COMB!N19-$C20*G$3)/COMB!N19</f>
        <v>0.92353936398841507</v>
      </c>
      <c r="H20" s="133">
        <f>(COMB!O19-$C20*H$3)/COMB!O19</f>
        <v>0.93196780507906751</v>
      </c>
      <c r="I20" s="508">
        <f>(COMB!P19-$C20*I$3)/COMB!P19</f>
        <v>0.93590060489618565</v>
      </c>
    </row>
    <row r="21" spans="1:9">
      <c r="A21" s="483" t="s">
        <v>28</v>
      </c>
      <c r="B21" s="486">
        <v>6785</v>
      </c>
      <c r="C21" s="113">
        <f t="shared" si="1"/>
        <v>2.8325406950725062E-3</v>
      </c>
      <c r="E21" s="507">
        <f>(COMB!L20-$C21*E$3)/COMB!L20</f>
        <v>0.95251145535791359</v>
      </c>
      <c r="F21" s="133">
        <f>(COMB!M20-$C21*F$3)/COMB!M20</f>
        <v>0.95287397104664906</v>
      </c>
      <c r="G21" s="133">
        <f>(COMB!N20-$C21*G$3)/COMB!N20</f>
        <v>0.95674693367770192</v>
      </c>
      <c r="H21" s="133">
        <f>(COMB!O20-$C21*H$3)/COMB!O20</f>
        <v>0.9620532480826689</v>
      </c>
      <c r="I21" s="508">
        <f>(COMB!P20-$C21*I$3)/COMB!P20</f>
        <v>0.96503836270482646</v>
      </c>
    </row>
    <row r="22" spans="1:9" ht="15.75" thickBot="1">
      <c r="A22" s="485" t="s">
        <v>29</v>
      </c>
      <c r="B22" s="495">
        <v>6113</v>
      </c>
      <c r="C22" s="496">
        <f t="shared" si="1"/>
        <v>2.5520001870270054E-3</v>
      </c>
      <c r="E22" s="509">
        <f>(COMB!L21-$C22*E$3)/COMB!L21</f>
        <v>0.94370590926528763</v>
      </c>
      <c r="F22" s="140">
        <f>(COMB!M21-$C22*F$3)/COMB!M21</f>
        <v>0.94682594442562518</v>
      </c>
      <c r="G22" s="140">
        <f>(COMB!N21-$C22*G$3)/COMB!N21</f>
        <v>0.94948198780952187</v>
      </c>
      <c r="H22" s="140">
        <f>(COMB!O21-$C22*H$3)/COMB!O21</f>
        <v>0.95018935837709684</v>
      </c>
      <c r="I22" s="510">
        <f>(COMB!P21-$C22*I$3)/COMB!P21</f>
        <v>0.95139933009214894</v>
      </c>
    </row>
    <row r="23" spans="1:9" ht="15.75" thickBot="1">
      <c r="A23" s="493" t="s">
        <v>90</v>
      </c>
      <c r="B23" s="490">
        <f>SUM(B24:B27)</f>
        <v>800865</v>
      </c>
      <c r="C23" s="494">
        <f>SUM(C24:C27)</f>
        <v>0.33433790770217287</v>
      </c>
      <c r="E23" s="511"/>
      <c r="F23" s="511"/>
      <c r="G23" s="511"/>
      <c r="H23" s="511"/>
      <c r="I23" s="511"/>
    </row>
    <row r="24" spans="1:9">
      <c r="A24" s="492" t="s">
        <v>31</v>
      </c>
      <c r="B24" s="487">
        <v>22685</v>
      </c>
      <c r="C24" s="469">
        <f>B24/$B$4</f>
        <v>9.4703295015062354E-3</v>
      </c>
      <c r="E24" s="504">
        <f>(COMB!L23-$C24*E$3)/COMB!L23</f>
        <v>0.93121876014860561</v>
      </c>
      <c r="F24" s="505">
        <f>(COMB!M23-$C24*F$3)/COMB!M23</f>
        <v>0.9356647851956208</v>
      </c>
      <c r="G24" s="505">
        <f>(COMB!N23-$C24*G$3)/COMB!N23</f>
        <v>0.9427380034649302</v>
      </c>
      <c r="H24" s="505">
        <f>(COMB!O23-$C24*H$3)/COMB!O23</f>
        <v>0.94348911489564002</v>
      </c>
      <c r="I24" s="506">
        <f>(COMB!P23-$C24*I$3)/COMB!P23</f>
        <v>0.94369881712155634</v>
      </c>
    </row>
    <row r="25" spans="1:9">
      <c r="A25" s="483" t="s">
        <v>32</v>
      </c>
      <c r="B25" s="486">
        <v>226527</v>
      </c>
      <c r="C25" s="113">
        <f>B25/$B$4</f>
        <v>9.4568451883963109E-2</v>
      </c>
      <c r="E25" s="507">
        <f>(COMB!L24-$C25*E$3)/COMB!L24</f>
        <v>0.89316646931437593</v>
      </c>
      <c r="F25" s="133">
        <f>(COMB!M24-$C25*F$3)/COMB!M24</f>
        <v>0.90013887424804828</v>
      </c>
      <c r="G25" s="133">
        <f>(COMB!N24-$C25*G$3)/COMB!N24</f>
        <v>0.90798610661573065</v>
      </c>
      <c r="H25" s="133">
        <f>(COMB!O24-$C25*H$3)/COMB!O24</f>
        <v>0.907502579280553</v>
      </c>
      <c r="I25" s="508">
        <f>(COMB!P24-$C25*I$3)/COMB!P24</f>
        <v>0.9110666127279623</v>
      </c>
    </row>
    <row r="26" spans="1:9">
      <c r="A26" s="483" t="s">
        <v>33</v>
      </c>
      <c r="B26" s="486">
        <v>15649</v>
      </c>
      <c r="C26" s="113">
        <f>B26/$B$4</f>
        <v>6.5330035869107812E-3</v>
      </c>
      <c r="E26" s="507">
        <f>(COMB!L25-$C26*E$3)/COMB!L25</f>
        <v>0.98288874768633927</v>
      </c>
      <c r="F26" s="133">
        <f>(COMB!M25-$C26*F$3)/COMB!M25</f>
        <v>0.98341503717384471</v>
      </c>
      <c r="G26" s="133">
        <f>(COMB!N25-$C26*G$3)/COMB!N25</f>
        <v>0.98501580850937809</v>
      </c>
      <c r="H26" s="133">
        <f>(COMB!O25-$C26*H$3)/COMB!O25</f>
        <v>0.9849399796649474</v>
      </c>
      <c r="I26" s="508">
        <f>(COMB!P25-$C26*I$3)/COMB!P25</f>
        <v>0.98484885340306683</v>
      </c>
    </row>
    <row r="27" spans="1:9" ht="15.75" thickBot="1">
      <c r="A27" s="485" t="s">
        <v>34</v>
      </c>
      <c r="B27" s="495">
        <v>536004</v>
      </c>
      <c r="C27" s="496">
        <f>B27/$B$4</f>
        <v>0.22376612272979274</v>
      </c>
      <c r="E27" s="509">
        <f>(COMB!L26-$C27*E$3)/COMB!L26</f>
        <v>0.8600741753201534</v>
      </c>
      <c r="F27" s="140">
        <f>(COMB!M26-$C27*F$3)/COMB!M26</f>
        <v>0.86683139106803841</v>
      </c>
      <c r="G27" s="140">
        <f>(COMB!N26-$C27*G$3)/COMB!N26</f>
        <v>0.87446942991016208</v>
      </c>
      <c r="H27" s="140">
        <f>(COMB!O26-$C27*H$3)/COMB!O26</f>
        <v>0.87606356035347532</v>
      </c>
      <c r="I27" s="510">
        <f>(COMB!P26-$C27*I$3)/COMB!P26</f>
        <v>0.88072082194475176</v>
      </c>
    </row>
    <row r="28" spans="1:9" ht="15.75" thickBot="1">
      <c r="A28" s="493" t="s">
        <v>91</v>
      </c>
      <c r="B28" s="490">
        <f>SUM(B29:B31)</f>
        <v>753205</v>
      </c>
      <c r="C28" s="494">
        <f>SUM(C29:C31)</f>
        <v>0.3144412401226363</v>
      </c>
      <c r="E28" s="511"/>
      <c r="F28" s="511"/>
      <c r="G28" s="511"/>
      <c r="H28" s="511"/>
      <c r="I28" s="511"/>
    </row>
    <row r="29" spans="1:9">
      <c r="A29" s="492" t="s">
        <v>36</v>
      </c>
      <c r="B29" s="487">
        <v>307105</v>
      </c>
      <c r="C29" s="469">
        <f>B29/$B$4</f>
        <v>0.12820742964778808</v>
      </c>
      <c r="E29" s="504">
        <f>(COMB!L28-$C29*E$3)/COMB!L28</f>
        <v>0.78366875061473573</v>
      </c>
      <c r="F29" s="505">
        <f>(COMB!M28-$C29*F$3)/COMB!M28</f>
        <v>0.79350358722376291</v>
      </c>
      <c r="G29" s="505">
        <f>(COMB!N28-$C29*G$3)/COMB!N28</f>
        <v>0.80902955946231114</v>
      </c>
      <c r="H29" s="505">
        <f>(COMB!O28-$C29*H$3)/COMB!O28</f>
        <v>0.81287253634379064</v>
      </c>
      <c r="I29" s="506">
        <f>(COMB!P28-$C29*I$3)/COMB!P28</f>
        <v>0.82403468914408684</v>
      </c>
    </row>
    <row r="30" spans="1:9">
      <c r="A30" s="483" t="s">
        <v>37</v>
      </c>
      <c r="B30" s="486">
        <v>336742</v>
      </c>
      <c r="C30" s="113">
        <f>B30/$B$4</f>
        <v>0.14058001750038407</v>
      </c>
      <c r="E30" s="507">
        <f>(COMB!L29-$C30*E$3)/COMB!L29</f>
        <v>0.67018301032798622</v>
      </c>
      <c r="F30" s="133">
        <f>(COMB!M29-$C30*F$3)/COMB!M29</f>
        <v>0.68706203354501638</v>
      </c>
      <c r="G30" s="133">
        <f>(COMB!N29-$C30*G$3)/COMB!N29</f>
        <v>0.70953443961730756</v>
      </c>
      <c r="H30" s="133">
        <f>(COMB!O29-$C30*H$3)/COMB!O29</f>
        <v>0.70719247221492332</v>
      </c>
      <c r="I30" s="508">
        <f>(COMB!P29-$C30*I$3)/COMB!P29</f>
        <v>0.72587245906800413</v>
      </c>
    </row>
    <row r="31" spans="1:9" ht="15.75" thickBot="1">
      <c r="A31" s="485" t="s">
        <v>38</v>
      </c>
      <c r="B31" s="495">
        <v>109358</v>
      </c>
      <c r="C31" s="496">
        <f>B31/$B$4</f>
        <v>4.5653792974464133E-2</v>
      </c>
      <c r="E31" s="509">
        <f>(COMB!L30-$C31*E$3)/COMB!L30</f>
        <v>0.85167776077796176</v>
      </c>
      <c r="F31" s="140">
        <f>(COMB!M30-$C31*F$3)/COMB!M30</f>
        <v>0.85763823309747189</v>
      </c>
      <c r="G31" s="140">
        <f>(COMB!N30-$C31*G$3)/COMB!N30</f>
        <v>0.86741424175012638</v>
      </c>
      <c r="H31" s="140">
        <f>(COMB!O30-$C31*H$3)/COMB!O30</f>
        <v>0.8666947806435118</v>
      </c>
      <c r="I31" s="510">
        <f>(COMB!P30-$C31*I$3)/COMB!P30</f>
        <v>0.87215845473512432</v>
      </c>
    </row>
    <row r="32" spans="1:9" ht="15.75" thickBot="1">
      <c r="A32" s="497" t="s">
        <v>92</v>
      </c>
      <c r="B32" s="498">
        <f>SUM(B33:B36)</f>
        <v>520486</v>
      </c>
      <c r="C32" s="499">
        <f>SUM(C33:C36)</f>
        <v>0.21728780784311105</v>
      </c>
      <c r="E32" s="511"/>
      <c r="F32" s="511"/>
      <c r="G32" s="511"/>
      <c r="H32" s="511"/>
      <c r="I32" s="511"/>
    </row>
    <row r="33" spans="1:9">
      <c r="A33" s="500" t="s">
        <v>40</v>
      </c>
      <c r="B33" s="501">
        <v>7453</v>
      </c>
      <c r="C33" s="112">
        <f>B33/$B$4</f>
        <v>3.1114113191415462E-3</v>
      </c>
      <c r="E33" s="504">
        <f>(COMB!L32-$C33*E$3)/COMB!L32</f>
        <v>0.94480417724719135</v>
      </c>
      <c r="F33" s="505">
        <f>(COMB!M32-$C33*F$3)/COMB!M32</f>
        <v>0.94499967458078815</v>
      </c>
      <c r="G33" s="505">
        <f>(COMB!N32-$C33*G$3)/COMB!N32</f>
        <v>0.94715586823560971</v>
      </c>
      <c r="H33" s="505">
        <f>(COMB!O32-$C33*H$3)/COMB!O32</f>
        <v>0.9472277177615831</v>
      </c>
      <c r="I33" s="506">
        <f>(COMB!P32-$C33*I$3)/COMB!P32</f>
        <v>0.94964033836419981</v>
      </c>
    </row>
    <row r="34" spans="1:9">
      <c r="A34" s="483" t="s">
        <v>41</v>
      </c>
      <c r="B34" s="486">
        <v>155607</v>
      </c>
      <c r="C34" s="113">
        <f>B34/$B$4</f>
        <v>6.4961408981303981E-2</v>
      </c>
      <c r="E34" s="507">
        <f>(COMB!L33-$C34*E$3)/COMB!L33</f>
        <v>0.78005242504379779</v>
      </c>
      <c r="F34" s="133">
        <f>(COMB!M33-$C34*F$3)/COMB!M33</f>
        <v>0.79592685730506196</v>
      </c>
      <c r="G34" s="133">
        <f>(COMB!N33-$C34*G$3)/COMB!N33</f>
        <v>0.81229795195141297</v>
      </c>
      <c r="H34" s="133">
        <f>(COMB!O33-$C34*H$3)/COMB!O33</f>
        <v>0.82964748268986122</v>
      </c>
      <c r="I34" s="508">
        <f>(COMB!P33-$C34*I$3)/COMB!P33</f>
        <v>0.84787516833148002</v>
      </c>
    </row>
    <row r="35" spans="1:9">
      <c r="A35" s="483" t="s">
        <v>42</v>
      </c>
      <c r="B35" s="486">
        <v>215991</v>
      </c>
      <c r="C35" s="113">
        <f>B35/$B$4</f>
        <v>9.0169977489963998E-2</v>
      </c>
      <c r="E35" s="507">
        <f>(COMB!L34-$C35*E$3)/COMB!L34</f>
        <v>0.68650883218239944</v>
      </c>
      <c r="F35" s="133">
        <f>(COMB!M34-$C35*F$3)/COMB!M34</f>
        <v>0.69335749901693189</v>
      </c>
      <c r="G35" s="133">
        <f>(COMB!N34-$C35*G$3)/COMB!N34</f>
        <v>0.71836283046625948</v>
      </c>
      <c r="H35" s="133">
        <f>(COMB!O34-$C35*H$3)/COMB!O34</f>
        <v>0.74808506550181009</v>
      </c>
      <c r="I35" s="508">
        <f>(COMB!P34-$C35*I$3)/COMB!P34</f>
        <v>0.76844128414553192</v>
      </c>
    </row>
    <row r="36" spans="1:9" ht="15.75" thickBot="1">
      <c r="A36" s="488" t="s">
        <v>43</v>
      </c>
      <c r="B36" s="489">
        <v>141435</v>
      </c>
      <c r="C36" s="115">
        <f>B36/$B$4</f>
        <v>5.904501005270154E-2</v>
      </c>
      <c r="E36" s="509">
        <f>(COMB!L35-$C36*E$3)/COMB!L35</f>
        <v>0.6068712478746755</v>
      </c>
      <c r="F36" s="140">
        <f>(COMB!M35-$C36*F$3)/COMB!M35</f>
        <v>0.62436797900402674</v>
      </c>
      <c r="G36" s="140">
        <f>(COMB!N35-$C36*G$3)/COMB!N35</f>
        <v>0.65916615067097206</v>
      </c>
      <c r="H36" s="140">
        <f>(COMB!O35-$C36*H$3)/COMB!O35</f>
        <v>0.67062137095331609</v>
      </c>
      <c r="I36" s="510">
        <f>(COMB!P35-$C36*I$3)/COMB!P35</f>
        <v>0.69753607147512708</v>
      </c>
    </row>
    <row r="37" spans="1:9" s="1" customFormat="1">
      <c r="A37" s="3"/>
      <c r="B37" s="3"/>
    </row>
    <row r="38" spans="1:9" s="1" customFormat="1">
      <c r="A38" s="3"/>
      <c r="B38" s="3"/>
    </row>
    <row r="39" spans="1:9" s="1" customFormat="1">
      <c r="A39" s="3"/>
      <c r="B39" s="3"/>
    </row>
    <row r="40" spans="1:9" s="1" customFormat="1">
      <c r="A40" s="3"/>
      <c r="B40" s="3"/>
    </row>
    <row r="41" spans="1:9" s="1" customFormat="1">
      <c r="A41" s="3"/>
      <c r="B41" s="3"/>
    </row>
    <row r="42" spans="1:9" s="1" customFormat="1">
      <c r="A42" s="3"/>
      <c r="B42" s="3"/>
    </row>
    <row r="43" spans="1:9" s="1" customFormat="1">
      <c r="A43" s="3"/>
      <c r="B43" s="3"/>
    </row>
    <row r="44" spans="1:9" s="1" customFormat="1">
      <c r="A44" s="3"/>
      <c r="B44" s="3"/>
    </row>
    <row r="45" spans="1:9" s="1" customFormat="1">
      <c r="A45" s="3"/>
      <c r="B45" s="3"/>
    </row>
    <row r="46" spans="1:9" s="1" customFormat="1">
      <c r="A46" s="3"/>
      <c r="B46" s="3"/>
    </row>
    <row r="47" spans="1:9" s="1" customFormat="1">
      <c r="A47" s="3"/>
      <c r="B47" s="3"/>
    </row>
    <row r="48" spans="1:9" s="1" customFormat="1">
      <c r="A48" s="3"/>
      <c r="B48" s="3"/>
    </row>
    <row r="49" spans="1:2" s="1" customFormat="1">
      <c r="A49" s="3"/>
      <c r="B49" s="3"/>
    </row>
    <row r="50" spans="1:2" s="1" customFormat="1">
      <c r="A50" s="3"/>
      <c r="B50" s="3"/>
    </row>
    <row r="51" spans="1:2" s="1" customFormat="1">
      <c r="A51" s="3"/>
      <c r="B51" s="3"/>
    </row>
    <row r="52" spans="1:2" s="1" customFormat="1">
      <c r="A52" s="3"/>
      <c r="B52" s="3"/>
    </row>
    <row r="53" spans="1:2" s="1" customFormat="1">
      <c r="A53" s="3"/>
      <c r="B53" s="3"/>
    </row>
    <row r="54" spans="1:2" s="1" customFormat="1">
      <c r="A54" s="3"/>
      <c r="B54" s="3"/>
    </row>
    <row r="55" spans="1:2" s="1" customFormat="1">
      <c r="A55" s="3"/>
      <c r="B55" s="3"/>
    </row>
    <row r="56" spans="1:2" s="1" customFormat="1">
      <c r="A56" s="3"/>
      <c r="B56" s="3"/>
    </row>
    <row r="57" spans="1:2" s="1" customFormat="1">
      <c r="A57" s="3"/>
      <c r="B57" s="3"/>
    </row>
    <row r="58" spans="1:2" s="1" customFormat="1">
      <c r="A58" s="3"/>
      <c r="B58" s="3"/>
    </row>
    <row r="59" spans="1:2" s="1" customFormat="1">
      <c r="A59" s="3"/>
      <c r="B59" s="3"/>
    </row>
    <row r="60" spans="1:2" s="1" customFormat="1">
      <c r="A60" s="3"/>
      <c r="B60" s="3"/>
    </row>
    <row r="61" spans="1:2" s="1" customFormat="1">
      <c r="A61" s="3"/>
      <c r="B61" s="3"/>
    </row>
    <row r="62" spans="1:2" s="1" customFormat="1">
      <c r="A62" s="3"/>
      <c r="B62" s="3"/>
    </row>
    <row r="63" spans="1:2" s="1" customFormat="1">
      <c r="A63" s="3"/>
      <c r="B63" s="3"/>
    </row>
    <row r="64" spans="1:2" s="1" customFormat="1">
      <c r="A64" s="3"/>
      <c r="B64" s="3"/>
    </row>
    <row r="65" spans="1:2" s="1" customFormat="1">
      <c r="A65" s="3"/>
      <c r="B65" s="3"/>
    </row>
    <row r="66" spans="1:2" s="1" customFormat="1">
      <c r="A66" s="3"/>
      <c r="B66" s="3"/>
    </row>
    <row r="67" spans="1:2" s="1" customFormat="1">
      <c r="A67" s="3"/>
      <c r="B67" s="3"/>
    </row>
    <row r="68" spans="1:2" s="1" customFormat="1">
      <c r="A68" s="3"/>
      <c r="B68" s="3"/>
    </row>
    <row r="69" spans="1:2" s="1" customFormat="1">
      <c r="A69" s="3"/>
      <c r="B69" s="3"/>
    </row>
    <row r="70" spans="1:2" s="1" customFormat="1">
      <c r="A70" s="3"/>
      <c r="B70" s="3"/>
    </row>
    <row r="71" spans="1:2" s="1" customFormat="1">
      <c r="A71" s="3"/>
      <c r="B71" s="3"/>
    </row>
    <row r="72" spans="1:2" s="1" customFormat="1">
      <c r="A72" s="3"/>
      <c r="B72" s="3"/>
    </row>
    <row r="73" spans="1:2" s="1" customFormat="1">
      <c r="A73" s="3"/>
      <c r="B73" s="3"/>
    </row>
    <row r="74" spans="1:2" s="1" customFormat="1">
      <c r="A74" s="3"/>
      <c r="B74" s="3"/>
    </row>
    <row r="75" spans="1:2" s="1" customFormat="1">
      <c r="A75" s="3"/>
      <c r="B75" s="3"/>
    </row>
    <row r="76" spans="1:2" s="1" customFormat="1">
      <c r="A76" s="3"/>
      <c r="B76" s="3"/>
    </row>
    <row r="77" spans="1:2" s="1" customFormat="1">
      <c r="A77" s="3"/>
      <c r="B77" s="3"/>
    </row>
    <row r="78" spans="1:2" s="1" customFormat="1">
      <c r="A78" s="3"/>
      <c r="B78" s="3"/>
    </row>
    <row r="79" spans="1:2" s="1" customFormat="1">
      <c r="A79" s="3"/>
      <c r="B79" s="3"/>
    </row>
    <row r="80" spans="1:2" s="1" customFormat="1">
      <c r="A80" s="3"/>
      <c r="B80" s="3"/>
    </row>
    <row r="81" spans="1:2" s="1" customFormat="1">
      <c r="A81" s="3"/>
      <c r="B81" s="3"/>
    </row>
    <row r="82" spans="1:2" s="1" customFormat="1">
      <c r="A82" s="3"/>
      <c r="B82" s="3"/>
    </row>
    <row r="83" spans="1:2" s="1" customFormat="1">
      <c r="A83" s="3"/>
      <c r="B83" s="3"/>
    </row>
    <row r="84" spans="1:2" s="1" customFormat="1">
      <c r="A84" s="3"/>
      <c r="B84" s="3"/>
    </row>
    <row r="85" spans="1:2" s="1" customFormat="1">
      <c r="A85" s="3"/>
      <c r="B85" s="3"/>
    </row>
    <row r="86" spans="1:2" s="1" customFormat="1">
      <c r="A86" s="3"/>
      <c r="B86" s="3"/>
    </row>
    <row r="87" spans="1:2" s="1" customFormat="1">
      <c r="A87" s="3"/>
      <c r="B87" s="3"/>
    </row>
    <row r="88" spans="1:2" s="1" customFormat="1">
      <c r="A88" s="3"/>
      <c r="B88" s="3"/>
    </row>
    <row r="89" spans="1:2" s="1" customFormat="1">
      <c r="A89" s="3"/>
      <c r="B89" s="3"/>
    </row>
    <row r="90" spans="1:2" s="1" customFormat="1">
      <c r="A90" s="3"/>
      <c r="B90" s="3"/>
    </row>
    <row r="91" spans="1:2" s="1" customFormat="1">
      <c r="A91" s="3"/>
      <c r="B91" s="3"/>
    </row>
    <row r="92" spans="1:2" s="1" customFormat="1">
      <c r="A92" s="3"/>
      <c r="B92" s="3"/>
    </row>
    <row r="93" spans="1:2" s="1" customFormat="1">
      <c r="A93" s="3"/>
      <c r="B93" s="3"/>
    </row>
    <row r="94" spans="1:2" s="1" customFormat="1">
      <c r="A94" s="3"/>
      <c r="B94" s="3"/>
    </row>
    <row r="95" spans="1:2" s="1" customFormat="1">
      <c r="A95" s="3"/>
      <c r="B95" s="3"/>
    </row>
    <row r="96" spans="1:2" s="1" customFormat="1">
      <c r="A96" s="3"/>
      <c r="B96" s="3"/>
    </row>
    <row r="97" spans="1:2" s="1" customFormat="1">
      <c r="A97" s="3"/>
      <c r="B97" s="3"/>
    </row>
    <row r="98" spans="1:2" s="1" customFormat="1">
      <c r="A98" s="3"/>
      <c r="B98" s="3"/>
    </row>
    <row r="99" spans="1:2" s="1" customFormat="1">
      <c r="A99" s="3"/>
      <c r="B99" s="3"/>
    </row>
    <row r="100" spans="1:2" s="1" customFormat="1">
      <c r="A100" s="3"/>
      <c r="B100" s="3"/>
    </row>
    <row r="101" spans="1:2" s="1" customFormat="1">
      <c r="A101" s="3"/>
      <c r="B101" s="3"/>
    </row>
    <row r="102" spans="1:2" s="1" customFormat="1">
      <c r="A102" s="3"/>
      <c r="B102" s="3"/>
    </row>
    <row r="103" spans="1:2" s="1" customFormat="1">
      <c r="A103" s="3"/>
      <c r="B103" s="3"/>
    </row>
    <row r="104" spans="1:2" s="1" customFormat="1">
      <c r="A104" s="3"/>
      <c r="B104" s="3"/>
    </row>
    <row r="105" spans="1:2" s="1" customFormat="1">
      <c r="A105" s="3"/>
      <c r="B105" s="3"/>
    </row>
    <row r="106" spans="1:2" s="1" customFormat="1">
      <c r="A106" s="3"/>
      <c r="B106" s="3"/>
    </row>
    <row r="107" spans="1:2" s="1" customFormat="1">
      <c r="A107" s="3"/>
      <c r="B107" s="3"/>
    </row>
    <row r="108" spans="1:2" s="1" customFormat="1">
      <c r="A108" s="3"/>
      <c r="B108" s="3"/>
    </row>
    <row r="109" spans="1:2" s="1" customFormat="1">
      <c r="A109" s="3"/>
      <c r="B109" s="3"/>
    </row>
    <row r="110" spans="1:2" s="1" customFormat="1">
      <c r="A110" s="3"/>
      <c r="B110" s="3"/>
    </row>
    <row r="111" spans="1:2" s="1" customFormat="1">
      <c r="A111" s="3"/>
      <c r="B111" s="3"/>
    </row>
    <row r="112" spans="1:2" s="1" customFormat="1">
      <c r="A112" s="3"/>
      <c r="B112" s="3"/>
    </row>
    <row r="113" spans="1:2" s="1" customFormat="1">
      <c r="A113" s="3"/>
      <c r="B113" s="3"/>
    </row>
    <row r="114" spans="1:2" s="1" customFormat="1">
      <c r="A114" s="3"/>
      <c r="B114" s="3"/>
    </row>
    <row r="115" spans="1:2" s="1" customFormat="1">
      <c r="A115" s="3"/>
      <c r="B115" s="3"/>
    </row>
    <row r="116" spans="1:2" s="1" customFormat="1">
      <c r="A116" s="3"/>
      <c r="B116" s="3"/>
    </row>
    <row r="117" spans="1:2" s="1" customFormat="1">
      <c r="A117" s="3"/>
      <c r="B117" s="3"/>
    </row>
    <row r="118" spans="1:2" s="1" customFormat="1">
      <c r="A118" s="3"/>
      <c r="B118" s="3"/>
    </row>
    <row r="119" spans="1:2" s="1" customFormat="1">
      <c r="A119" s="3"/>
      <c r="B119" s="3"/>
    </row>
    <row r="120" spans="1:2" s="1" customFormat="1">
      <c r="A120" s="3"/>
      <c r="B120" s="3"/>
    </row>
    <row r="121" spans="1:2" s="1" customFormat="1">
      <c r="A121" s="3"/>
      <c r="B121" s="3"/>
    </row>
    <row r="122" spans="1:2" s="1" customFormat="1">
      <c r="A122" s="3"/>
      <c r="B122" s="3"/>
    </row>
    <row r="123" spans="1:2" s="1" customFormat="1">
      <c r="A123" s="3"/>
      <c r="B123" s="3"/>
    </row>
    <row r="124" spans="1:2" s="1" customFormat="1">
      <c r="A124" s="3"/>
      <c r="B124" s="3"/>
    </row>
    <row r="125" spans="1:2" s="1" customFormat="1">
      <c r="A125" s="3"/>
      <c r="B125" s="3"/>
    </row>
    <row r="126" spans="1:2" s="1" customFormat="1">
      <c r="A126" s="3"/>
      <c r="B126" s="3"/>
    </row>
    <row r="127" spans="1:2" s="1" customFormat="1">
      <c r="A127" s="3"/>
      <c r="B127" s="3"/>
    </row>
    <row r="128" spans="1:2" s="1" customFormat="1">
      <c r="A128" s="3"/>
      <c r="B128" s="3"/>
    </row>
    <row r="129" spans="1:2" s="1" customFormat="1">
      <c r="A129" s="3"/>
      <c r="B129" s="3"/>
    </row>
    <row r="130" spans="1:2" s="1" customFormat="1">
      <c r="A130" s="3"/>
      <c r="B130" s="3"/>
    </row>
    <row r="131" spans="1:2" s="1" customFormat="1">
      <c r="A131" s="3"/>
      <c r="B131" s="3"/>
    </row>
    <row r="132" spans="1:2" s="1" customFormat="1">
      <c r="A132" s="3"/>
      <c r="B132" s="3"/>
    </row>
    <row r="133" spans="1:2" s="1" customFormat="1">
      <c r="A133" s="3"/>
      <c r="B133" s="3"/>
    </row>
    <row r="134" spans="1:2" s="1" customFormat="1">
      <c r="A134" s="3"/>
      <c r="B134" s="3"/>
    </row>
    <row r="135" spans="1:2" s="1" customFormat="1">
      <c r="A135" s="3"/>
      <c r="B135" s="3"/>
    </row>
    <row r="136" spans="1:2" s="1" customFormat="1">
      <c r="A136" s="3"/>
      <c r="B136" s="3"/>
    </row>
    <row r="137" spans="1:2" s="1" customFormat="1">
      <c r="A137" s="3"/>
      <c r="B137" s="3"/>
    </row>
    <row r="138" spans="1:2" s="1" customFormat="1">
      <c r="A138" s="3"/>
      <c r="B138" s="3"/>
    </row>
    <row r="139" spans="1:2" s="1" customFormat="1">
      <c r="A139" s="3"/>
      <c r="B139" s="3"/>
    </row>
    <row r="140" spans="1:2" s="1" customFormat="1">
      <c r="A140" s="3"/>
      <c r="B140" s="3"/>
    </row>
    <row r="141" spans="1:2" s="1" customFormat="1">
      <c r="A141" s="3"/>
      <c r="B141" s="3"/>
    </row>
    <row r="142" spans="1:2" s="1" customFormat="1">
      <c r="A142" s="3"/>
      <c r="B142" s="3"/>
    </row>
    <row r="143" spans="1:2" s="1" customFormat="1">
      <c r="A143" s="3"/>
      <c r="B143" s="3"/>
    </row>
    <row r="144" spans="1:2" s="1" customFormat="1">
      <c r="A144" s="3"/>
      <c r="B144" s="3"/>
    </row>
    <row r="145" spans="1:2" s="1" customFormat="1">
      <c r="A145" s="3"/>
      <c r="B145" s="3"/>
    </row>
    <row r="146" spans="1:2" s="1" customFormat="1">
      <c r="A146" s="3"/>
      <c r="B146" s="3"/>
    </row>
    <row r="147" spans="1:2" s="1" customFormat="1">
      <c r="A147" s="3"/>
      <c r="B147" s="3"/>
    </row>
    <row r="148" spans="1:2" s="1" customFormat="1">
      <c r="A148" s="3"/>
      <c r="B148" s="3"/>
    </row>
    <row r="149" spans="1:2" s="1" customFormat="1">
      <c r="A149" s="3"/>
      <c r="B149" s="3"/>
    </row>
    <row r="150" spans="1:2" s="1" customFormat="1">
      <c r="A150" s="3"/>
      <c r="B150" s="3"/>
    </row>
    <row r="151" spans="1:2" s="1" customFormat="1">
      <c r="A151" s="3"/>
      <c r="B151" s="3"/>
    </row>
    <row r="152" spans="1:2" s="1" customFormat="1">
      <c r="A152" s="3"/>
      <c r="B152" s="3"/>
    </row>
    <row r="153" spans="1:2" s="1" customFormat="1">
      <c r="A153" s="3"/>
      <c r="B153" s="3"/>
    </row>
    <row r="154" spans="1:2" s="1" customFormat="1">
      <c r="A154" s="3"/>
      <c r="B154" s="3"/>
    </row>
    <row r="155" spans="1:2" s="1" customFormat="1">
      <c r="A155" s="3"/>
      <c r="B155" s="3"/>
    </row>
    <row r="156" spans="1:2" s="1" customFormat="1">
      <c r="A156" s="3"/>
      <c r="B156" s="3"/>
    </row>
    <row r="157" spans="1:2" s="1" customFormat="1">
      <c r="A157" s="3"/>
      <c r="B157" s="3"/>
    </row>
    <row r="158" spans="1:2" s="1" customFormat="1">
      <c r="A158" s="3"/>
      <c r="B158" s="3"/>
    </row>
    <row r="159" spans="1:2" s="1" customFormat="1">
      <c r="A159" s="3"/>
      <c r="B159" s="3"/>
    </row>
    <row r="160" spans="1:2" s="1" customFormat="1">
      <c r="A160" s="3"/>
      <c r="B160" s="3"/>
    </row>
    <row r="161" spans="1:2" s="1" customFormat="1">
      <c r="A161" s="3"/>
      <c r="B161" s="3"/>
    </row>
    <row r="162" spans="1:2" s="1" customFormat="1">
      <c r="A162" s="3"/>
      <c r="B162" s="3"/>
    </row>
    <row r="163" spans="1:2" s="1" customFormat="1">
      <c r="A163" s="3"/>
      <c r="B163" s="3"/>
    </row>
    <row r="164" spans="1:2" s="1" customFormat="1">
      <c r="A164" s="3"/>
      <c r="B164" s="3"/>
    </row>
    <row r="165" spans="1:2" s="1" customFormat="1">
      <c r="A165" s="3"/>
      <c r="B165" s="3"/>
    </row>
    <row r="166" spans="1:2" s="1" customFormat="1">
      <c r="A166" s="3"/>
      <c r="B166" s="3"/>
    </row>
    <row r="167" spans="1:2" s="1" customFormat="1">
      <c r="A167" s="3"/>
      <c r="B167" s="3"/>
    </row>
    <row r="168" spans="1:2" s="1" customFormat="1">
      <c r="A168" s="3"/>
      <c r="B168" s="3"/>
    </row>
    <row r="169" spans="1:2" s="1" customFormat="1">
      <c r="A169" s="3"/>
      <c r="B169" s="3"/>
    </row>
    <row r="170" spans="1:2" s="1" customFormat="1">
      <c r="A170" s="3"/>
      <c r="B170" s="3"/>
    </row>
    <row r="171" spans="1:2" s="1" customFormat="1">
      <c r="A171" s="3"/>
      <c r="B171" s="3"/>
    </row>
    <row r="172" spans="1:2" s="1" customFormat="1">
      <c r="A172" s="3"/>
      <c r="B172" s="3"/>
    </row>
    <row r="173" spans="1:2" s="1" customFormat="1">
      <c r="A173" s="3"/>
      <c r="B173" s="3"/>
    </row>
    <row r="174" spans="1:2" s="1" customFormat="1">
      <c r="A174" s="3"/>
      <c r="B174" s="3"/>
    </row>
    <row r="175" spans="1:2" s="1" customFormat="1">
      <c r="A175" s="3"/>
      <c r="B175" s="3"/>
    </row>
    <row r="176" spans="1:2" s="1" customFormat="1">
      <c r="A176" s="3"/>
      <c r="B176" s="3"/>
    </row>
    <row r="177" spans="1:2" s="1" customFormat="1">
      <c r="A177" s="3"/>
      <c r="B177" s="3"/>
    </row>
    <row r="178" spans="1:2" s="1" customFormat="1">
      <c r="A178" s="3"/>
      <c r="B178" s="3"/>
    </row>
    <row r="179" spans="1:2" s="1" customFormat="1">
      <c r="A179" s="3"/>
      <c r="B179" s="3"/>
    </row>
    <row r="180" spans="1:2" s="1" customFormat="1">
      <c r="A180" s="3"/>
      <c r="B180" s="3"/>
    </row>
    <row r="181" spans="1:2" s="1" customFormat="1">
      <c r="A181" s="3"/>
      <c r="B181" s="3"/>
    </row>
    <row r="182" spans="1:2" s="1" customFormat="1">
      <c r="A182" s="3"/>
      <c r="B182" s="3"/>
    </row>
    <row r="183" spans="1:2" s="1" customFormat="1">
      <c r="A183" s="3"/>
      <c r="B183" s="3"/>
    </row>
    <row r="184" spans="1:2" s="1" customFormat="1">
      <c r="A184" s="3"/>
      <c r="B184" s="3"/>
    </row>
    <row r="185" spans="1:2" s="1" customFormat="1">
      <c r="A185" s="3"/>
      <c r="B185" s="3"/>
    </row>
    <row r="186" spans="1:2" s="1" customFormat="1">
      <c r="A186" s="3"/>
      <c r="B186" s="3"/>
    </row>
    <row r="187" spans="1:2" s="1" customFormat="1">
      <c r="A187" s="3"/>
      <c r="B187" s="3"/>
    </row>
    <row r="188" spans="1:2" s="1" customFormat="1">
      <c r="A188" s="3"/>
      <c r="B188" s="3"/>
    </row>
    <row r="189" spans="1:2" s="1" customFormat="1">
      <c r="A189" s="3"/>
      <c r="B189" s="3"/>
    </row>
    <row r="190" spans="1:2" s="1" customFormat="1">
      <c r="A190" s="3"/>
      <c r="B190" s="3"/>
    </row>
    <row r="191" spans="1:2" s="1" customFormat="1">
      <c r="A191" s="3"/>
      <c r="B191" s="3"/>
    </row>
    <row r="192" spans="1:2" s="1" customFormat="1">
      <c r="A192" s="3"/>
      <c r="B192" s="3"/>
    </row>
    <row r="193" spans="1:2" s="1" customFormat="1">
      <c r="A193" s="3"/>
      <c r="B193" s="3"/>
    </row>
    <row r="194" spans="1:2" s="1" customFormat="1">
      <c r="A194" s="3"/>
      <c r="B194" s="3"/>
    </row>
    <row r="195" spans="1:2" s="1" customFormat="1">
      <c r="A195" s="3"/>
      <c r="B195" s="3"/>
    </row>
    <row r="196" spans="1:2" s="1" customFormat="1">
      <c r="A196" s="3"/>
      <c r="B196" s="3"/>
    </row>
    <row r="197" spans="1:2" s="1" customFormat="1">
      <c r="A197" s="3"/>
      <c r="B197" s="3"/>
    </row>
    <row r="198" spans="1:2" s="1" customFormat="1">
      <c r="A198" s="3"/>
      <c r="B198" s="3"/>
    </row>
    <row r="199" spans="1:2" s="1" customFormat="1">
      <c r="A199" s="3"/>
      <c r="B199" s="3"/>
    </row>
    <row r="200" spans="1:2" s="1" customFormat="1">
      <c r="A200" s="3"/>
      <c r="B200" s="3"/>
    </row>
    <row r="201" spans="1:2" s="1" customFormat="1">
      <c r="A201" s="3"/>
      <c r="B201" s="3"/>
    </row>
    <row r="202" spans="1:2" s="1" customFormat="1">
      <c r="A202" s="3"/>
      <c r="B202" s="3"/>
    </row>
    <row r="203" spans="1:2" s="1" customFormat="1">
      <c r="A203" s="3"/>
      <c r="B203" s="3"/>
    </row>
    <row r="204" spans="1:2" s="1" customFormat="1">
      <c r="A204" s="3"/>
      <c r="B204" s="3"/>
    </row>
    <row r="205" spans="1:2" s="1" customFormat="1">
      <c r="A205" s="3"/>
      <c r="B205" s="3"/>
    </row>
    <row r="206" spans="1:2" s="1" customFormat="1">
      <c r="A206" s="3"/>
      <c r="B206" s="3"/>
    </row>
    <row r="207" spans="1:2" s="1" customFormat="1">
      <c r="A207" s="3"/>
      <c r="B207" s="3"/>
    </row>
    <row r="208" spans="1:2" s="1" customFormat="1">
      <c r="A208" s="3"/>
      <c r="B208" s="3"/>
    </row>
    <row r="209" spans="1:2" s="1" customFormat="1">
      <c r="A209" s="3"/>
      <c r="B209" s="3"/>
    </row>
    <row r="210" spans="1:2" s="1" customFormat="1">
      <c r="A210" s="3"/>
      <c r="B210" s="3"/>
    </row>
    <row r="211" spans="1:2" s="1" customFormat="1">
      <c r="A211" s="3"/>
      <c r="B211" s="3"/>
    </row>
    <row r="212" spans="1:2" s="1" customFormat="1">
      <c r="A212" s="3"/>
      <c r="B212" s="3"/>
    </row>
    <row r="213" spans="1:2" s="1" customFormat="1">
      <c r="A213" s="3"/>
      <c r="B213" s="3"/>
    </row>
    <row r="214" spans="1:2" s="1" customFormat="1">
      <c r="A214" s="3"/>
      <c r="B214" s="3"/>
    </row>
    <row r="215" spans="1:2" s="1" customFormat="1">
      <c r="A215" s="3"/>
      <c r="B215" s="3"/>
    </row>
    <row r="216" spans="1:2" s="1" customFormat="1">
      <c r="A216" s="3"/>
      <c r="B216" s="3"/>
    </row>
    <row r="217" spans="1:2" s="1" customFormat="1">
      <c r="A217" s="3"/>
      <c r="B217" s="3"/>
    </row>
    <row r="218" spans="1:2" s="1" customFormat="1">
      <c r="A218" s="3"/>
      <c r="B218" s="3"/>
    </row>
    <row r="219" spans="1:2" s="1" customFormat="1">
      <c r="A219" s="3"/>
      <c r="B219" s="3"/>
    </row>
    <row r="220" spans="1:2" s="1" customFormat="1">
      <c r="A220" s="3"/>
      <c r="B220" s="3"/>
    </row>
    <row r="221" spans="1:2" s="1" customFormat="1">
      <c r="A221" s="3"/>
      <c r="B221" s="3"/>
    </row>
    <row r="222" spans="1:2" s="1" customFormat="1">
      <c r="A222" s="3"/>
      <c r="B222" s="3"/>
    </row>
    <row r="223" spans="1:2" s="1" customFormat="1">
      <c r="A223" s="3"/>
      <c r="B223" s="3"/>
    </row>
    <row r="224" spans="1:2" s="1" customFormat="1">
      <c r="A224" s="3"/>
      <c r="B224" s="3"/>
    </row>
    <row r="225" spans="1:2" s="1" customFormat="1">
      <c r="A225" s="3"/>
      <c r="B225" s="3"/>
    </row>
    <row r="226" spans="1:2" s="1" customFormat="1">
      <c r="A226" s="3"/>
      <c r="B226" s="3"/>
    </row>
    <row r="227" spans="1:2" s="1" customFormat="1">
      <c r="A227" s="3"/>
      <c r="B227" s="3"/>
    </row>
    <row r="228" spans="1:2" s="1" customFormat="1">
      <c r="A228" s="3"/>
      <c r="B228" s="3"/>
    </row>
    <row r="229" spans="1:2" s="1" customFormat="1">
      <c r="A229" s="3"/>
      <c r="B229" s="3"/>
    </row>
    <row r="230" spans="1:2" s="1" customFormat="1">
      <c r="A230" s="3"/>
      <c r="B230" s="3"/>
    </row>
    <row r="231" spans="1:2" s="1" customFormat="1">
      <c r="A231" s="3"/>
      <c r="B231" s="3"/>
    </row>
    <row r="232" spans="1:2" s="1" customFormat="1">
      <c r="A232" s="3"/>
      <c r="B232" s="3"/>
    </row>
    <row r="233" spans="1:2" s="1" customFormat="1">
      <c r="A233" s="3"/>
      <c r="B233" s="3"/>
    </row>
    <row r="234" spans="1:2" s="1" customFormat="1">
      <c r="A234" s="3"/>
      <c r="B234" s="3"/>
    </row>
    <row r="235" spans="1:2" s="1" customFormat="1">
      <c r="A235" s="3"/>
      <c r="B235" s="3"/>
    </row>
    <row r="236" spans="1:2" s="1" customFormat="1">
      <c r="A236" s="3"/>
      <c r="B236" s="3"/>
    </row>
    <row r="237" spans="1:2" s="1" customFormat="1">
      <c r="A237" s="3"/>
      <c r="B237" s="3"/>
    </row>
    <row r="238" spans="1:2" s="1" customFormat="1">
      <c r="A238" s="3"/>
      <c r="B238" s="3"/>
    </row>
    <row r="239" spans="1:2" s="1" customFormat="1">
      <c r="A239" s="3"/>
      <c r="B239" s="3"/>
    </row>
    <row r="240" spans="1:2" s="1" customFormat="1">
      <c r="A240" s="3"/>
      <c r="B240" s="3"/>
    </row>
    <row r="241" spans="1:2" s="1" customFormat="1">
      <c r="A241" s="3"/>
      <c r="B241" s="3"/>
    </row>
    <row r="242" spans="1:2" s="1" customFormat="1">
      <c r="A242" s="3"/>
      <c r="B242" s="3"/>
    </row>
    <row r="243" spans="1:2" s="1" customFormat="1">
      <c r="A243" s="3"/>
      <c r="B243" s="3"/>
    </row>
    <row r="244" spans="1:2" s="1" customFormat="1">
      <c r="A244" s="3"/>
      <c r="B244" s="3"/>
    </row>
    <row r="245" spans="1:2" s="1" customFormat="1">
      <c r="A245" s="3"/>
      <c r="B245" s="3"/>
    </row>
    <row r="246" spans="1:2" s="1" customFormat="1">
      <c r="A246" s="3"/>
      <c r="B246" s="3"/>
    </row>
    <row r="247" spans="1:2" s="1" customFormat="1">
      <c r="A247" s="3"/>
      <c r="B247" s="3"/>
    </row>
    <row r="248" spans="1:2" s="1" customFormat="1">
      <c r="A248" s="3"/>
      <c r="B248" s="3"/>
    </row>
    <row r="249" spans="1:2" s="1" customFormat="1">
      <c r="A249" s="3"/>
      <c r="B249" s="3"/>
    </row>
    <row r="250" spans="1:2" s="1" customFormat="1">
      <c r="A250" s="3"/>
      <c r="B250" s="3"/>
    </row>
    <row r="251" spans="1:2" s="1" customFormat="1">
      <c r="A251" s="3"/>
      <c r="B251" s="3"/>
    </row>
    <row r="252" spans="1:2" s="1" customFormat="1">
      <c r="A252" s="3"/>
      <c r="B252" s="3"/>
    </row>
    <row r="253" spans="1:2" s="1" customFormat="1">
      <c r="A253" s="3"/>
      <c r="B253" s="3"/>
    </row>
    <row r="254" spans="1:2" s="1" customFormat="1">
      <c r="A254" s="3"/>
      <c r="B254" s="3"/>
    </row>
    <row r="255" spans="1:2" s="1" customFormat="1">
      <c r="A255" s="3"/>
      <c r="B255" s="3"/>
    </row>
    <row r="256" spans="1:2" s="1" customFormat="1">
      <c r="A256" s="3"/>
      <c r="B256" s="3"/>
    </row>
    <row r="257" spans="1:2" s="1" customFormat="1">
      <c r="A257" s="3"/>
      <c r="B257" s="3"/>
    </row>
    <row r="258" spans="1:2" s="1" customFormat="1">
      <c r="A258" s="3"/>
      <c r="B258" s="3"/>
    </row>
    <row r="259" spans="1:2" s="1" customFormat="1">
      <c r="A259" s="3"/>
      <c r="B259" s="3"/>
    </row>
    <row r="260" spans="1:2" s="1" customFormat="1">
      <c r="A260" s="3"/>
      <c r="B260" s="3"/>
    </row>
    <row r="261" spans="1:2" s="1" customFormat="1">
      <c r="A261" s="3"/>
      <c r="B261" s="3"/>
    </row>
    <row r="262" spans="1:2" s="1" customFormat="1">
      <c r="A262" s="3"/>
      <c r="B262" s="3"/>
    </row>
    <row r="263" spans="1:2" s="1" customFormat="1">
      <c r="A263" s="3"/>
      <c r="B263" s="3"/>
    </row>
    <row r="264" spans="1:2" s="1" customFormat="1">
      <c r="A264" s="3"/>
      <c r="B264" s="3"/>
    </row>
    <row r="265" spans="1:2" s="1" customFormat="1">
      <c r="A265" s="3"/>
      <c r="B265" s="3"/>
    </row>
    <row r="266" spans="1:2" s="1" customFormat="1">
      <c r="A266" s="3"/>
      <c r="B266" s="3"/>
    </row>
    <row r="267" spans="1:2" s="1" customFormat="1">
      <c r="A267" s="3"/>
      <c r="B267" s="3"/>
    </row>
    <row r="268" spans="1:2" s="1" customFormat="1">
      <c r="A268" s="3"/>
      <c r="B268" s="3"/>
    </row>
    <row r="269" spans="1:2" s="1" customFormat="1">
      <c r="A269" s="3"/>
      <c r="B269" s="3"/>
    </row>
    <row r="270" spans="1:2" s="1" customFormat="1">
      <c r="A270" s="3"/>
      <c r="B270" s="3"/>
    </row>
    <row r="271" spans="1:2" s="1" customFormat="1">
      <c r="A271" s="3"/>
      <c r="B271" s="3"/>
    </row>
    <row r="272" spans="1:2" s="1" customFormat="1">
      <c r="A272" s="3"/>
      <c r="B272" s="3"/>
    </row>
    <row r="273" spans="1:2" s="1" customFormat="1">
      <c r="A273" s="3"/>
      <c r="B273" s="3"/>
    </row>
    <row r="274" spans="1:2" s="1" customFormat="1">
      <c r="A274" s="3"/>
      <c r="B274" s="3"/>
    </row>
    <row r="275" spans="1:2" s="1" customFormat="1">
      <c r="A275" s="3"/>
      <c r="B275" s="3"/>
    </row>
    <row r="276" spans="1:2" s="1" customFormat="1">
      <c r="A276" s="3"/>
      <c r="B276" s="3"/>
    </row>
    <row r="277" spans="1:2" s="1" customFormat="1">
      <c r="A277" s="3"/>
      <c r="B277" s="3"/>
    </row>
    <row r="278" spans="1:2" s="1" customFormat="1">
      <c r="A278" s="3"/>
      <c r="B278" s="3"/>
    </row>
  </sheetData>
  <sortState xmlns:xlrd2="http://schemas.microsoft.com/office/spreadsheetml/2017/richdata2" ref="A32:B35">
    <sortCondition ref="A32"/>
  </sortState>
  <mergeCells count="3">
    <mergeCell ref="E1:I1"/>
    <mergeCell ref="A1:A3"/>
    <mergeCell ref="B1:C2"/>
  </mergeCells>
  <pageMargins left="0.511811024" right="0.511811024" top="0.78740157499999996" bottom="0.78740157499999996" header="0.31496062000000002" footer="0.31496062000000002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A1:AQ278"/>
  <sheetViews>
    <sheetView workbookViewId="0">
      <selection activeCell="K12" sqref="K12"/>
    </sheetView>
  </sheetViews>
  <sheetFormatPr defaultColWidth="8.85546875" defaultRowHeight="15"/>
  <cols>
    <col min="1" max="1" width="23.42578125" style="484" bestFit="1" customWidth="1"/>
    <col min="2" max="2" width="10.42578125" style="519" bestFit="1" customWidth="1"/>
    <col min="3" max="3" width="8.85546875" style="524"/>
    <col min="4" max="4" width="8.85546875" style="1"/>
    <col min="5" max="9" width="13.85546875" style="1" bestFit="1" customWidth="1"/>
    <col min="10" max="10" width="8.85546875" style="1"/>
    <col min="11" max="13" width="11.140625" style="1" bestFit="1" customWidth="1"/>
    <col min="14" max="43" width="8.85546875" style="1"/>
  </cols>
  <sheetData>
    <row r="1" spans="1:15" ht="15.75" thickBot="1">
      <c r="A1" s="1131" t="s">
        <v>241</v>
      </c>
      <c r="B1" s="1135" t="s">
        <v>242</v>
      </c>
      <c r="C1" s="1136"/>
      <c r="E1" s="1128" t="s">
        <v>243</v>
      </c>
      <c r="F1" s="1129"/>
      <c r="G1" s="1129"/>
      <c r="H1" s="1129"/>
      <c r="I1" s="1130"/>
      <c r="K1" s="1128" t="s">
        <v>244</v>
      </c>
      <c r="L1" s="1129"/>
      <c r="M1" s="1129"/>
      <c r="N1" s="1129"/>
      <c r="O1" s="1130"/>
    </row>
    <row r="2" spans="1:15" ht="15.75" thickBot="1">
      <c r="A2" s="1132"/>
      <c r="B2" s="1137"/>
      <c r="C2" s="1138"/>
      <c r="E2" s="411">
        <v>2009</v>
      </c>
      <c r="F2" s="410">
        <v>2010</v>
      </c>
      <c r="G2" s="411">
        <v>2011</v>
      </c>
      <c r="H2" s="410">
        <v>2012</v>
      </c>
      <c r="I2" s="411">
        <v>2013</v>
      </c>
      <c r="K2" s="825">
        <v>2009</v>
      </c>
      <c r="L2" s="826">
        <v>2010</v>
      </c>
      <c r="M2" s="825">
        <v>2011</v>
      </c>
      <c r="N2" s="826">
        <v>2012</v>
      </c>
      <c r="O2" s="825">
        <v>2013</v>
      </c>
    </row>
    <row r="3" spans="1:15" ht="15.75" thickBot="1">
      <c r="A3" s="1133"/>
      <c r="B3" s="515" t="s">
        <v>245</v>
      </c>
      <c r="C3" s="520" t="s">
        <v>240</v>
      </c>
      <c r="E3" s="362">
        <f>440000000-K3</f>
        <v>440000000</v>
      </c>
      <c r="F3" s="362">
        <f>489000000-L3</f>
        <v>489000000</v>
      </c>
      <c r="G3" s="362">
        <f>400000000-M3</f>
        <v>400000000</v>
      </c>
      <c r="H3" s="362">
        <f>423000000-N3</f>
        <v>423000000</v>
      </c>
      <c r="I3" s="996">
        <f>402000000-O3</f>
        <v>402000000</v>
      </c>
      <c r="K3" s="827">
        <f>SUM(K6:K12,K14:K22,K24:K27,K29:K31,K33:K36)</f>
        <v>0</v>
      </c>
      <c r="L3" s="362">
        <f t="shared" ref="L3:O3" si="0">SUM(L6:L12,L14:L22,L24:L27,L29:L31,L33:L36)</f>
        <v>0</v>
      </c>
      <c r="M3" s="362">
        <f>SUM(M6:M12,M14:M22,M24:M27,M29:M31,M33:M36)</f>
        <v>0</v>
      </c>
      <c r="N3" s="362">
        <f t="shared" si="0"/>
        <v>0</v>
      </c>
      <c r="O3" s="828">
        <f t="shared" si="0"/>
        <v>0</v>
      </c>
    </row>
    <row r="4" spans="1:15" ht="15.75" thickBot="1">
      <c r="A4" s="229" t="s">
        <v>86</v>
      </c>
      <c r="B4" s="362">
        <f>B5+B13+B23+B28+B32</f>
        <v>27187.629999999997</v>
      </c>
      <c r="C4" s="363">
        <f>C5+C13+C23+C28+C32</f>
        <v>1.0000000000000002</v>
      </c>
      <c r="E4" s="172"/>
      <c r="F4" s="172"/>
      <c r="G4" s="172"/>
      <c r="H4" s="172"/>
      <c r="I4" s="172"/>
    </row>
    <row r="5" spans="1:15" ht="15.75" thickBot="1">
      <c r="A5" s="493" t="s">
        <v>87</v>
      </c>
      <c r="B5" s="362">
        <f>SUM(B6:B12)</f>
        <v>15858.670000000002</v>
      </c>
      <c r="C5" s="521">
        <f>SUM(C6:C12)</f>
        <v>0.58330461316414861</v>
      </c>
    </row>
    <row r="6" spans="1:15">
      <c r="A6" s="492" t="s">
        <v>13</v>
      </c>
      <c r="B6" s="360">
        <v>218.89</v>
      </c>
      <c r="C6" s="512">
        <f t="shared" ref="C6:C12" si="1">B6/$B$4</f>
        <v>8.0510879396254835E-3</v>
      </c>
      <c r="E6" s="504">
        <f>(COMB!L5-$C6*E$3)/COMB!L5</f>
        <v>0.97207828636042615</v>
      </c>
      <c r="F6" s="505">
        <f>(COMB!M5-$C6*F$3)/COMB!M5</f>
        <v>0.97413269681477954</v>
      </c>
      <c r="G6" s="505">
        <f>(COMB!N5-$C6*G$3)/COMB!N5</f>
        <v>0.97956978345034573</v>
      </c>
      <c r="H6" s="505">
        <f>(COMB!O5-$C6*H$3)/COMB!O5</f>
        <v>0.98415068898616298</v>
      </c>
      <c r="I6" s="506">
        <f>(COMB!P5-$C6*I$3)/COMB!P5</f>
        <v>0.97943274760692656</v>
      </c>
      <c r="K6" s="504"/>
      <c r="L6" s="505"/>
      <c r="M6" s="505"/>
      <c r="N6" s="505"/>
      <c r="O6" s="506"/>
    </row>
    <row r="7" spans="1:15">
      <c r="A7" s="483" t="s">
        <v>14</v>
      </c>
      <c r="B7" s="359">
        <v>79.12</v>
      </c>
      <c r="C7" s="513">
        <f t="shared" si="1"/>
        <v>2.9101470043545541E-3</v>
      </c>
      <c r="E7" s="507">
        <f>(COMB!L6-$C7*E$3)/COMB!L6</f>
        <v>0.99562296282149221</v>
      </c>
      <c r="F7" s="133">
        <f>(COMB!M6-$C7*F$3)/COMB!M6</f>
        <v>0.99550298317721775</v>
      </c>
      <c r="G7" s="133">
        <f>(COMB!N6-$C7*G$3)/COMB!N6</f>
        <v>0.996865231097535</v>
      </c>
      <c r="H7" s="133">
        <f>(COMB!O6-$C7*H$3)/COMB!O6</f>
        <v>0.99739352144974447</v>
      </c>
      <c r="I7" s="508">
        <f>(COMB!P6-$C7*I$3)/COMB!P6</f>
        <v>0.99757851234310346</v>
      </c>
      <c r="K7" s="507"/>
      <c r="L7" s="133"/>
      <c r="M7" s="133"/>
      <c r="N7" s="133"/>
      <c r="O7" s="508"/>
    </row>
    <row r="8" spans="1:15">
      <c r="A8" s="483" t="s">
        <v>15</v>
      </c>
      <c r="B8" s="359">
        <v>10340.09</v>
      </c>
      <c r="C8" s="513">
        <f t="shared" si="1"/>
        <v>0.38032333086775127</v>
      </c>
      <c r="E8" s="507">
        <f>(COMB!L7-$C8*E$3)/COMB!L7</f>
        <v>0.80839683061218026</v>
      </c>
      <c r="F8" s="133">
        <f>(COMB!M7-$C8*F$3)/COMB!M7</f>
        <v>0.84327436573321291</v>
      </c>
      <c r="G8" s="133">
        <f>(COMB!N7-$C8*G$3)/COMB!N7</f>
        <v>0.8871704847930213</v>
      </c>
      <c r="H8" s="133">
        <f>(COMB!O7-$C8*H$3)/COMB!O7</f>
        <v>0.88133589303704962</v>
      </c>
      <c r="I8" s="508">
        <f>(COMB!P7-$C8*I$3)/COMB!P7</f>
        <v>0.88645084313629663</v>
      </c>
      <c r="K8" s="507"/>
      <c r="L8" s="133"/>
      <c r="M8" s="133"/>
      <c r="N8" s="133"/>
      <c r="O8" s="508"/>
    </row>
    <row r="9" spans="1:15">
      <c r="A9" s="483" t="s">
        <v>16</v>
      </c>
      <c r="B9" s="359">
        <v>2812.33</v>
      </c>
      <c r="C9" s="513">
        <f t="shared" si="1"/>
        <v>0.10344152837154251</v>
      </c>
      <c r="E9" s="507">
        <f>(COMB!L8-$C9*E$3)/COMB!L8</f>
        <v>0.96837275056779293</v>
      </c>
      <c r="F9" s="133">
        <f>(COMB!M8-$C9*F$3)/COMB!M8</f>
        <v>0.96906964086727276</v>
      </c>
      <c r="G9" s="133">
        <f>(COMB!N8-$C9*G$3)/COMB!N8</f>
        <v>0.97713820850355537</v>
      </c>
      <c r="H9" s="133">
        <f>(COMB!O8-$C9*H$3)/COMB!O8</f>
        <v>0.97832520355976493</v>
      </c>
      <c r="I9" s="508">
        <f>(COMB!P8-$C9*I$3)/COMB!P8</f>
        <v>0.98051938873460986</v>
      </c>
      <c r="K9" s="507"/>
      <c r="L9" s="133"/>
      <c r="M9" s="133"/>
      <c r="N9" s="133"/>
      <c r="O9" s="508"/>
    </row>
    <row r="10" spans="1:15">
      <c r="A10" s="483" t="s">
        <v>17</v>
      </c>
      <c r="B10" s="359">
        <v>474.02</v>
      </c>
      <c r="C10" s="513">
        <f>B10/$B$4</f>
        <v>1.743513502280265E-2</v>
      </c>
      <c r="E10" s="507">
        <f>(COMB!L9-$C10*E$3)/COMB!L9</f>
        <v>0.988973352012812</v>
      </c>
      <c r="F10" s="133">
        <f>(COMB!M9-$C10*F$3)/COMB!M9</f>
        <v>0.98880984888901435</v>
      </c>
      <c r="G10" s="133">
        <f>(COMB!N9-$C10*G$3)/COMB!N9</f>
        <v>0.99100523133082974</v>
      </c>
      <c r="H10" s="133">
        <f>(COMB!O9-$C10*H$3)/COMB!O9</f>
        <v>0.99044951570954143</v>
      </c>
      <c r="I10" s="508">
        <f>(COMB!P9-$C10*I$3)/COMB!P9</f>
        <v>0.99098115473178272</v>
      </c>
      <c r="K10" s="507"/>
      <c r="L10" s="133"/>
      <c r="M10" s="133"/>
      <c r="N10" s="133"/>
      <c r="O10" s="508"/>
    </row>
    <row r="11" spans="1:15">
      <c r="A11" s="483" t="s">
        <v>18</v>
      </c>
      <c r="B11" s="359">
        <v>756.19</v>
      </c>
      <c r="C11" s="513">
        <f t="shared" si="1"/>
        <v>2.7813752062978647E-2</v>
      </c>
      <c r="E11" s="507">
        <f>(COMB!L10-$C11*E$3)/COMB!L10</f>
        <v>0.82708565158039959</v>
      </c>
      <c r="F11" s="133">
        <f>(COMB!M10-$C11*F$3)/COMB!M10</f>
        <v>0.90520033214213902</v>
      </c>
      <c r="G11" s="133">
        <f>(COMB!N10-$C11*G$3)/COMB!N10</f>
        <v>0.87088425751621534</v>
      </c>
      <c r="H11" s="133">
        <f>(COMB!O10-$C11*H$3)/COMB!O10</f>
        <v>0.86351489293179906</v>
      </c>
      <c r="I11" s="508">
        <f>(COMB!P10-$C11*I$3)/COMB!P10</f>
        <v>0.8899309989248444</v>
      </c>
      <c r="K11" s="507"/>
      <c r="L11" s="133"/>
      <c r="M11" s="133"/>
      <c r="N11" s="133"/>
      <c r="O11" s="508"/>
    </row>
    <row r="12" spans="1:15" ht="15.75" thickBot="1">
      <c r="A12" s="485" t="s">
        <v>19</v>
      </c>
      <c r="B12" s="361">
        <v>1178.03</v>
      </c>
      <c r="C12" s="514">
        <f t="shared" si="1"/>
        <v>4.3329631895093472E-2</v>
      </c>
      <c r="E12" s="509">
        <f>(COMB!L11-$C12*E$3)/COMB!L11</f>
        <v>0.96693427273276278</v>
      </c>
      <c r="F12" s="140">
        <f>(COMB!M11-$C12*F$3)/COMB!M11</f>
        <v>0.96814363377281853</v>
      </c>
      <c r="G12" s="140">
        <f>(COMB!N11-$C12*G$3)/COMB!N11</f>
        <v>0.9749916547646218</v>
      </c>
      <c r="H12" s="140">
        <f>(COMB!O11-$C12*H$3)/COMB!O11</f>
        <v>0.97621539249170775</v>
      </c>
      <c r="I12" s="510">
        <f>(COMB!P11-$C12*I$3)/COMB!P11</f>
        <v>0.97957051292988884</v>
      </c>
      <c r="K12" s="509"/>
      <c r="L12" s="140"/>
      <c r="M12" s="140"/>
      <c r="N12" s="140"/>
      <c r="O12" s="510"/>
    </row>
    <row r="13" spans="1:15" ht="15.75" thickBot="1">
      <c r="A13" s="493" t="s">
        <v>88</v>
      </c>
      <c r="B13" s="362">
        <f>SUM(B14:B22)</f>
        <v>3722.7299999999996</v>
      </c>
      <c r="C13" s="521">
        <f>SUM(C14:C22)</f>
        <v>0.13692734526694678</v>
      </c>
      <c r="E13" s="511"/>
      <c r="F13" s="511"/>
      <c r="G13" s="511"/>
      <c r="H13" s="511"/>
      <c r="I13" s="511"/>
      <c r="K13" s="511"/>
      <c r="L13" s="511"/>
      <c r="M13" s="511"/>
      <c r="N13" s="511"/>
      <c r="O13" s="511"/>
    </row>
    <row r="14" spans="1:15">
      <c r="A14" s="492" t="s">
        <v>21</v>
      </c>
      <c r="B14" s="360">
        <v>190.62</v>
      </c>
      <c r="C14" s="513">
        <f t="shared" ref="C14:C16" si="2">B14/$B$4</f>
        <v>7.0112768196418747E-3</v>
      </c>
      <c r="E14" s="507">
        <f>(COMB!L13-$C14*E$3)/COMB!L13</f>
        <v>0.99056337368891134</v>
      </c>
      <c r="F14" s="133">
        <f>(COMB!M13-$C14*F$3)/COMB!M13</f>
        <v>0.99051497190900384</v>
      </c>
      <c r="G14" s="133">
        <f>(COMB!N13-$C14*G$3)/COMB!N13</f>
        <v>0.99297717806565311</v>
      </c>
      <c r="H14" s="133">
        <f>(COMB!O13-$C14*H$3)/COMB!O13</f>
        <v>0.99267775467809427</v>
      </c>
      <c r="I14" s="508">
        <f>(COMB!P13-$C14*I$3)/COMB!P13</f>
        <v>0.99298082016005962</v>
      </c>
      <c r="K14" s="823"/>
      <c r="L14" s="822"/>
      <c r="M14" s="822"/>
      <c r="N14" s="505"/>
      <c r="O14" s="506"/>
    </row>
    <row r="15" spans="1:15">
      <c r="A15" s="483" t="s">
        <v>22</v>
      </c>
      <c r="B15" s="359">
        <v>1400.65</v>
      </c>
      <c r="C15" s="513">
        <f t="shared" si="2"/>
        <v>5.1517914581006151E-2</v>
      </c>
      <c r="E15" s="507">
        <f>(COMB!L14-$C15*E$3)/COMB!L14</f>
        <v>0.99080289912787378</v>
      </c>
      <c r="F15" s="133">
        <f>(COMB!M14-$C15*F$3)/COMB!M14</f>
        <v>0.99076970446519685</v>
      </c>
      <c r="G15" s="133">
        <f>(COMB!N14-$C15*G$3)/COMB!N14</f>
        <v>0.99290535421258996</v>
      </c>
      <c r="H15" s="133">
        <f>(COMB!O14-$C15*H$3)/COMB!O14</f>
        <v>0.99311677823186983</v>
      </c>
      <c r="I15" s="508">
        <f>(COMB!P14-$C15*I$3)/COMB!P14</f>
        <v>0.99381590717139257</v>
      </c>
      <c r="K15" s="817"/>
      <c r="L15" s="815"/>
      <c r="M15" s="815"/>
      <c r="N15" s="133"/>
      <c r="O15" s="508"/>
    </row>
    <row r="16" spans="1:15">
      <c r="A16" s="483" t="s">
        <v>23</v>
      </c>
      <c r="B16" s="359">
        <v>0</v>
      </c>
      <c r="C16" s="513">
        <f t="shared" si="2"/>
        <v>0</v>
      </c>
      <c r="E16" s="507">
        <f>(COMB!L15-$C16*E$3)/COMB!L15</f>
        <v>1</v>
      </c>
      <c r="F16" s="133">
        <f>(COMB!M15-$C16*F$3)/COMB!M15</f>
        <v>1</v>
      </c>
      <c r="G16" s="133">
        <f>(COMB!N15-$C16*G$3)/COMB!N15</f>
        <v>1</v>
      </c>
      <c r="H16" s="133">
        <f>(COMB!O15-$C16*H$3)/COMB!O15</f>
        <v>1</v>
      </c>
      <c r="I16" s="508">
        <f>(COMB!P15-$C16*I$3)/COMB!P15</f>
        <v>1</v>
      </c>
      <c r="K16" s="824"/>
      <c r="L16" s="815"/>
      <c r="M16" s="815"/>
      <c r="N16" s="133"/>
      <c r="O16" s="508"/>
    </row>
    <row r="17" spans="1:15">
      <c r="A17" s="483" t="s">
        <v>24</v>
      </c>
      <c r="B17" s="359">
        <v>1036.22</v>
      </c>
      <c r="C17" s="513">
        <f t="shared" ref="C17:C27" si="3">B17/$B$4</f>
        <v>3.8113656835847776E-2</v>
      </c>
      <c r="E17" s="507">
        <f>(COMB!L16-$C17*E$3)/COMB!L16</f>
        <v>0.98133966680740614</v>
      </c>
      <c r="F17" s="133">
        <f>(COMB!M16-$C17*F$3)/COMB!M16</f>
        <v>0.98121310054322974</v>
      </c>
      <c r="G17" s="133">
        <f>(COMB!N16-$C17*G$3)/COMB!N16</f>
        <v>0.9858013198831771</v>
      </c>
      <c r="H17" s="133">
        <f>(COMB!O16-$C17*H$3)/COMB!O16</f>
        <v>0.98660048843370385</v>
      </c>
      <c r="I17" s="508">
        <f>(COMB!P16-$C17*I$3)/COMB!P16</f>
        <v>0.987381474716305</v>
      </c>
      <c r="K17" s="507"/>
      <c r="L17" s="133"/>
      <c r="M17" s="133"/>
      <c r="N17" s="133"/>
      <c r="O17" s="508"/>
    </row>
    <row r="18" spans="1:15">
      <c r="A18" s="483" t="s">
        <v>25</v>
      </c>
      <c r="B18" s="359">
        <v>0</v>
      </c>
      <c r="C18" s="513">
        <f t="shared" si="3"/>
        <v>0</v>
      </c>
      <c r="E18" s="507">
        <f>(COMB!L17-$C18*E$3)/COMB!L17</f>
        <v>1</v>
      </c>
      <c r="F18" s="133">
        <f>(COMB!M17-$C18*F$3)/COMB!M17</f>
        <v>1</v>
      </c>
      <c r="G18" s="133">
        <f>(COMB!N17-$C18*G$3)/COMB!N17</f>
        <v>1</v>
      </c>
      <c r="H18" s="133">
        <f>(COMB!O17-$C18*H$3)/COMB!O17</f>
        <v>1</v>
      </c>
      <c r="I18" s="508">
        <f>(COMB!P17-$C18*I$3)/COMB!P17</f>
        <v>1</v>
      </c>
      <c r="K18" s="507"/>
      <c r="L18" s="133"/>
      <c r="M18" s="133"/>
      <c r="N18" s="133"/>
      <c r="O18" s="508"/>
    </row>
    <row r="19" spans="1:15">
      <c r="A19" s="483" t="s">
        <v>26</v>
      </c>
      <c r="B19" s="359">
        <v>185.45</v>
      </c>
      <c r="C19" s="513">
        <f t="shared" si="3"/>
        <v>6.8211168093724982E-3</v>
      </c>
      <c r="E19" s="507">
        <f>(COMB!L18-$C19*E$3)/COMB!L18</f>
        <v>0.99715875318630409</v>
      </c>
      <c r="F19" s="133">
        <f>(COMB!M18-$C19*F$3)/COMB!M18</f>
        <v>0.99724206928428227</v>
      </c>
      <c r="G19" s="133">
        <f>(COMB!N18-$C19*G$3)/COMB!N18</f>
        <v>0.99789939194283872</v>
      </c>
      <c r="H19" s="133">
        <f>(COMB!O18-$C19*H$3)/COMB!O18</f>
        <v>0.99803787867142446</v>
      </c>
      <c r="I19" s="508">
        <f>(COMB!P18-$C19*I$3)/COMB!P18</f>
        <v>0.99823024607923094</v>
      </c>
      <c r="K19" s="507"/>
      <c r="L19" s="133"/>
      <c r="M19" s="133"/>
      <c r="N19" s="133"/>
      <c r="O19" s="508"/>
    </row>
    <row r="20" spans="1:15">
      <c r="A20" s="483" t="s">
        <v>27</v>
      </c>
      <c r="B20" s="359">
        <v>846.93</v>
      </c>
      <c r="C20" s="513">
        <f t="shared" si="3"/>
        <v>3.115129932252278E-2</v>
      </c>
      <c r="E20" s="507">
        <f>(COMB!L19-$C20*E$3)/COMB!L19</f>
        <v>0.96470034128260596</v>
      </c>
      <c r="F20" s="133">
        <f>(COMB!M19-$C20*F$3)/COMB!M19</f>
        <v>0.9653599790629831</v>
      </c>
      <c r="G20" s="133">
        <f>(COMB!N19-$C20*G$3)/COMB!N19</f>
        <v>0.97191952581023211</v>
      </c>
      <c r="H20" s="133">
        <f>(COMB!O19-$C20*H$3)/COMB!O19</f>
        <v>0.97459784766293633</v>
      </c>
      <c r="I20" s="508">
        <f>(COMB!P19-$C20*I$3)/COMB!P19</f>
        <v>0.97725121594565545</v>
      </c>
      <c r="K20" s="507"/>
      <c r="L20" s="133"/>
      <c r="M20" s="133"/>
      <c r="N20" s="133"/>
      <c r="O20" s="508"/>
    </row>
    <row r="21" spans="1:15">
      <c r="A21" s="483" t="s">
        <v>28</v>
      </c>
      <c r="B21" s="359">
        <v>0</v>
      </c>
      <c r="C21" s="513">
        <f t="shared" si="3"/>
        <v>0</v>
      </c>
      <c r="E21" s="507">
        <f>(COMB!L20-$C21*E$3)/COMB!L20</f>
        <v>1</v>
      </c>
      <c r="F21" s="133">
        <f>(COMB!M20-$C21*F$3)/COMB!M20</f>
        <v>1</v>
      </c>
      <c r="G21" s="133">
        <f>(COMB!N20-$C21*G$3)/COMB!N20</f>
        <v>1</v>
      </c>
      <c r="H21" s="133">
        <f>(COMB!O20-$C21*H$3)/COMB!O20</f>
        <v>1</v>
      </c>
      <c r="I21" s="508">
        <f>(COMB!P20-$C21*I$3)/COMB!P20</f>
        <v>1</v>
      </c>
      <c r="K21" s="507"/>
      <c r="L21" s="133"/>
      <c r="M21" s="133"/>
      <c r="N21" s="133"/>
      <c r="O21" s="508"/>
    </row>
    <row r="22" spans="1:15" ht="15.75" thickBot="1">
      <c r="A22" s="485" t="s">
        <v>29</v>
      </c>
      <c r="B22" s="361">
        <v>62.86</v>
      </c>
      <c r="C22" s="514">
        <f t="shared" si="3"/>
        <v>2.3120808985557036E-3</v>
      </c>
      <c r="E22" s="509">
        <f>(COMB!L21-$C22*E$3)/COMB!L21</f>
        <v>0.9965491661050182</v>
      </c>
      <c r="F22" s="140">
        <f>(COMB!M21-$C22*F$3)/COMB!M21</f>
        <v>0.9965392102363908</v>
      </c>
      <c r="G22" s="140">
        <f>(COMB!N21-$C22*G$3)/COMB!N21</f>
        <v>0.99725812790037616</v>
      </c>
      <c r="H22" s="140">
        <f>(COMB!O21-$C22*H$3)/COMB!O21</f>
        <v>0.99725139344930147</v>
      </c>
      <c r="I22" s="510">
        <f>(COMB!P21-$C22*I$3)/COMB!P21</f>
        <v>0.99745093493859005</v>
      </c>
      <c r="K22" s="509"/>
      <c r="L22" s="140"/>
      <c r="M22" s="140"/>
      <c r="N22" s="140"/>
      <c r="O22" s="510"/>
    </row>
    <row r="23" spans="1:15" ht="15.75" thickBot="1">
      <c r="A23" s="493" t="s">
        <v>90</v>
      </c>
      <c r="B23" s="362">
        <f>SUM(B24:B27)</f>
        <v>3207.3500000000004</v>
      </c>
      <c r="C23" s="521">
        <f>SUM(C24:C27)</f>
        <v>0.11797093016198913</v>
      </c>
      <c r="E23" s="511"/>
      <c r="F23" s="511"/>
      <c r="G23" s="511"/>
      <c r="H23" s="511"/>
      <c r="I23" s="511"/>
      <c r="K23" s="511"/>
      <c r="L23" s="511"/>
      <c r="M23" s="511"/>
      <c r="N23" s="511"/>
      <c r="O23" s="511"/>
    </row>
    <row r="24" spans="1:15">
      <c r="A24" s="492" t="s">
        <v>31</v>
      </c>
      <c r="B24" s="360">
        <v>0</v>
      </c>
      <c r="C24" s="513">
        <f t="shared" si="3"/>
        <v>0</v>
      </c>
      <c r="E24" s="505">
        <f>(COMB!L23-$C24*E$3)/COMB!L23</f>
        <v>1</v>
      </c>
      <c r="F24" s="505">
        <f>(COMB!M23-$C24*F$3)/COMB!M23</f>
        <v>1</v>
      </c>
      <c r="G24" s="505">
        <f>(COMB!N23-$C24*G$3)/COMB!N23</f>
        <v>1</v>
      </c>
      <c r="H24" s="505">
        <f>(COMB!O23-$C24*H$3)/COMB!O23</f>
        <v>1</v>
      </c>
      <c r="I24" s="506">
        <f>(COMB!P23-$C24*I$3)/COMB!P23</f>
        <v>1</v>
      </c>
      <c r="K24" s="823"/>
      <c r="L24" s="822"/>
      <c r="M24" s="822"/>
      <c r="N24" s="505"/>
      <c r="O24" s="506"/>
    </row>
    <row r="25" spans="1:15">
      <c r="A25" s="483" t="s">
        <v>32</v>
      </c>
      <c r="B25" s="359">
        <v>1203.67</v>
      </c>
      <c r="C25" s="513">
        <f t="shared" si="3"/>
        <v>4.4272707845442953E-2</v>
      </c>
      <c r="E25" s="133">
        <f>(COMB!L24-$C25*E$3)/COMB!L24</f>
        <v>0.99661595359517019</v>
      </c>
      <c r="F25" s="133">
        <f>(COMB!M24-$C25*F$3)/COMB!M24</f>
        <v>0.99664154624874912</v>
      </c>
      <c r="G25" s="133">
        <f>(COMB!N24-$C25*G$3)/COMB!N24</f>
        <v>0.99741939325289886</v>
      </c>
      <c r="H25" s="133">
        <f>(COMB!O24-$C25*H$3)/COMB!O24</f>
        <v>0.99736252989402874</v>
      </c>
      <c r="I25" s="508">
        <f>(COMB!P24-$C25*I$3)/COMB!P24</f>
        <v>0.99758970066593755</v>
      </c>
      <c r="K25" s="824"/>
      <c r="L25" s="815"/>
      <c r="M25" s="815"/>
      <c r="N25" s="133"/>
      <c r="O25" s="508"/>
    </row>
    <row r="26" spans="1:15">
      <c r="A26" s="483" t="s">
        <v>33</v>
      </c>
      <c r="B26" s="359">
        <v>457.99</v>
      </c>
      <c r="C26" s="513">
        <f t="shared" si="3"/>
        <v>1.6845528646667624E-2</v>
      </c>
      <c r="E26" s="133">
        <f>(COMB!L25-$C26*E$3)/COMB!L25</f>
        <v>0.99701466917261483</v>
      </c>
      <c r="F26" s="133">
        <f>(COMB!M25-$C26*F$3)/COMB!M25</f>
        <v>0.9969278716301454</v>
      </c>
      <c r="G26" s="133">
        <f>(COMB!N25-$C26*G$3)/COMB!N25</f>
        <v>0.99768535880897458</v>
      </c>
      <c r="H26" s="133">
        <f>(COMB!O25-$C26*H$3)/COMB!O25</f>
        <v>0.99763481332550441</v>
      </c>
      <c r="I26" s="508">
        <f>(COMB!P25-$C26*I$3)/COMB!P25</f>
        <v>0.99773830733717539</v>
      </c>
      <c r="K26" s="817"/>
      <c r="L26" s="814"/>
      <c r="M26" s="815"/>
      <c r="N26" s="133"/>
      <c r="O26" s="508"/>
    </row>
    <row r="27" spans="1:15" ht="15.75" thickBot="1">
      <c r="A27" s="485" t="s">
        <v>34</v>
      </c>
      <c r="B27" s="361">
        <v>1545.69</v>
      </c>
      <c r="C27" s="513">
        <f t="shared" si="3"/>
        <v>5.6852693669878551E-2</v>
      </c>
      <c r="E27" s="140">
        <f>(COMB!L26-$C27*E$3)/COMB!L26</f>
        <v>0.99759456565710236</v>
      </c>
      <c r="F27" s="140">
        <f>(COMB!M26-$C27*F$3)/COMB!M26</f>
        <v>0.99756941014310718</v>
      </c>
      <c r="G27" s="140">
        <f>(COMB!N26-$C27*G$3)/COMB!N26</f>
        <v>0.99808933377868481</v>
      </c>
      <c r="H27" s="140">
        <f>(COMB!O26-$C27*H$3)/COMB!O26</f>
        <v>0.99808210934634367</v>
      </c>
      <c r="I27" s="510">
        <f>(COMB!P26-$C27*I$3)/COMB!P26</f>
        <v>0.99824556336181003</v>
      </c>
      <c r="K27" s="818"/>
      <c r="L27" s="819"/>
      <c r="M27" s="820"/>
      <c r="N27" s="140"/>
      <c r="O27" s="510"/>
    </row>
    <row r="28" spans="1:15" ht="15.75" thickBot="1">
      <c r="A28" s="493" t="s">
        <v>91</v>
      </c>
      <c r="B28" s="362">
        <f>SUM(B29:B31)</f>
        <v>1877.17</v>
      </c>
      <c r="C28" s="521">
        <f>SUM(C29:C31)</f>
        <v>6.9045003187111209E-2</v>
      </c>
      <c r="E28" s="511"/>
      <c r="F28" s="511"/>
      <c r="G28" s="511"/>
      <c r="H28" s="511"/>
      <c r="I28" s="511"/>
      <c r="K28" s="816"/>
      <c r="L28" s="816"/>
      <c r="M28" s="816"/>
      <c r="N28" s="511"/>
      <c r="O28" s="511"/>
    </row>
    <row r="29" spans="1:15">
      <c r="A29" s="492" t="s">
        <v>36</v>
      </c>
      <c r="B29" s="360">
        <v>407.67</v>
      </c>
      <c r="C29" s="514">
        <f t="shared" ref="C29:C30" si="4">B29/$B$4</f>
        <v>1.4994686921956789E-2</v>
      </c>
      <c r="E29" s="505">
        <f>(COMB!L28-$C29*E$3)/COMB!L28</f>
        <v>0.99828808424023119</v>
      </c>
      <c r="F29" s="505">
        <f>(COMB!M28-$C29*F$3)/COMB!M28</f>
        <v>0.9982650385510804</v>
      </c>
      <c r="G29" s="505">
        <f>(COMB!N28-$C29*G$3)/COMB!N28</f>
        <v>0.9986619603774779</v>
      </c>
      <c r="H29" s="505">
        <f>(COMB!O28-$C29*H$3)/COMB!O28</f>
        <v>0.99866700089588045</v>
      </c>
      <c r="I29" s="506">
        <f>(COMB!P28-$C29*I$3)/COMB!P28</f>
        <v>0.99880857252475497</v>
      </c>
      <c r="K29" s="821"/>
      <c r="L29" s="822"/>
      <c r="M29" s="822"/>
      <c r="N29" s="505"/>
      <c r="O29" s="506"/>
    </row>
    <row r="30" spans="1:15">
      <c r="A30" s="483" t="s">
        <v>37</v>
      </c>
      <c r="B30" s="359">
        <v>1450.74</v>
      </c>
      <c r="C30" s="514">
        <f t="shared" si="4"/>
        <v>5.3360296576053158E-2</v>
      </c>
      <c r="E30" s="133">
        <f>(COMB!L29-$C30*E$3)/COMB!L29</f>
        <v>0.99152954796408799</v>
      </c>
      <c r="F30" s="133">
        <f>(COMB!M29-$C30*F$3)/COMB!M29</f>
        <v>0.99146691628650907</v>
      </c>
      <c r="G30" s="133">
        <f>(COMB!N29-$C30*G$3)/COMB!N29</f>
        <v>0.99339507480107281</v>
      </c>
      <c r="H30" s="133">
        <f>(COMB!O29-$C30*H$3)/COMB!O29</f>
        <v>0.9932306807453416</v>
      </c>
      <c r="I30" s="508">
        <f>(COMB!P29-$C30*I$3)/COMB!P29</f>
        <v>0.99397629558379408</v>
      </c>
      <c r="K30" s="817"/>
      <c r="L30" s="814"/>
      <c r="M30" s="815"/>
      <c r="N30" s="133"/>
      <c r="O30" s="508"/>
    </row>
    <row r="31" spans="1:15" ht="15.75" thickBot="1">
      <c r="A31" s="485" t="s">
        <v>38</v>
      </c>
      <c r="B31" s="361">
        <v>18.760000000000002</v>
      </c>
      <c r="C31" s="514">
        <f>B31/$B$4</f>
        <v>6.9001968910125679E-4</v>
      </c>
      <c r="E31" s="140">
        <f>(COMB!L30-$C31*E$3)/COMB!L30</f>
        <v>0.99984831947824393</v>
      </c>
      <c r="F31" s="140">
        <f>(COMB!M30-$C31*F$3)/COMB!M30</f>
        <v>0.9998454279039698</v>
      </c>
      <c r="G31" s="140">
        <f>(COMB!N30-$C31*G$3)/COMB!N30</f>
        <v>0.9998799505679451</v>
      </c>
      <c r="H31" s="140">
        <f>(COMB!O30-$C31*H$3)/COMB!O30</f>
        <v>0.99987728436777445</v>
      </c>
      <c r="I31" s="510">
        <f>(COMB!P30-$C31*I$3)/COMB!P30</f>
        <v>0.99988814047510355</v>
      </c>
      <c r="K31" s="509"/>
      <c r="L31" s="140"/>
      <c r="M31" s="140"/>
      <c r="N31" s="140"/>
      <c r="O31" s="510"/>
    </row>
    <row r="32" spans="1:15" ht="15.75" thickBot="1">
      <c r="A32" s="497" t="s">
        <v>92</v>
      </c>
      <c r="B32" s="516">
        <f>SUM(B33:B36)</f>
        <v>2521.71</v>
      </c>
      <c r="C32" s="522">
        <f>SUM(C33:C36)</f>
        <v>9.2752108219804383E-2</v>
      </c>
      <c r="E32" s="511"/>
      <c r="F32" s="511"/>
      <c r="G32" s="511"/>
      <c r="H32" s="511"/>
      <c r="I32" s="511"/>
      <c r="K32" s="511"/>
      <c r="L32" s="511"/>
      <c r="M32" s="511"/>
      <c r="N32" s="511"/>
      <c r="O32" s="511"/>
    </row>
    <row r="33" spans="1:15" ht="15.75" thickBot="1">
      <c r="A33" s="500" t="s">
        <v>40</v>
      </c>
      <c r="B33" s="517">
        <v>0</v>
      </c>
      <c r="C33" s="523">
        <f>B33/$B$4</f>
        <v>0</v>
      </c>
      <c r="E33" s="505">
        <f>(COMB!L32-$C33*E$3)/COMB!L32</f>
        <v>1</v>
      </c>
      <c r="F33" s="505">
        <f>(COMB!M32-$C33*F$3)/COMB!M32</f>
        <v>1</v>
      </c>
      <c r="G33" s="505">
        <f>(COMB!N32-$C33*G$3)/COMB!N32</f>
        <v>1</v>
      </c>
      <c r="H33" s="505">
        <f>(COMB!O32-$C33*H$3)/COMB!O32</f>
        <v>1</v>
      </c>
      <c r="I33" s="506">
        <f>(COMB!P32-$C33*I$3)/COMB!P32</f>
        <v>1</v>
      </c>
      <c r="K33" s="504"/>
      <c r="L33" s="505"/>
      <c r="M33" s="505"/>
      <c r="N33" s="505"/>
      <c r="O33" s="506"/>
    </row>
    <row r="34" spans="1:15" ht="15.75" thickBot="1">
      <c r="A34" s="483" t="s">
        <v>41</v>
      </c>
      <c r="B34" s="359">
        <v>231.49</v>
      </c>
      <c r="C34" s="523">
        <f t="shared" ref="C34:C36" si="5">B34/$B$4</f>
        <v>8.5145339994696125E-3</v>
      </c>
      <c r="E34" s="133">
        <f>(COMB!L33-$C34*E$3)/COMB!L33</f>
        <v>0.99804942098094995</v>
      </c>
      <c r="F34" s="133">
        <f>(COMB!M33-$C34*F$3)/COMB!M33</f>
        <v>0.99807848221218753</v>
      </c>
      <c r="G34" s="133">
        <f>(COMB!N33-$C34*G$3)/COMB!N33</f>
        <v>0.99852615071718998</v>
      </c>
      <c r="H34" s="133">
        <f>(COMB!O33-$C34*H$3)/COMB!O33</f>
        <v>0.99864005256925137</v>
      </c>
      <c r="I34" s="508">
        <f>(COMB!P33-$C34*I$3)/COMB!P33</f>
        <v>0.99884569148421942</v>
      </c>
      <c r="K34" s="824"/>
      <c r="L34" s="815"/>
      <c r="M34" s="815"/>
      <c r="N34" s="133"/>
      <c r="O34" s="508"/>
    </row>
    <row r="35" spans="1:15" ht="15.75" thickBot="1">
      <c r="A35" s="483" t="s">
        <v>42</v>
      </c>
      <c r="B35" s="359">
        <v>1340.23</v>
      </c>
      <c r="C35" s="523">
        <f t="shared" si="5"/>
        <v>4.9295580379753595E-2</v>
      </c>
      <c r="E35" s="133">
        <f>(COMB!L34-$C35*E$3)/COMB!L34</f>
        <v>0.98840394530712838</v>
      </c>
      <c r="F35" s="133">
        <f>(COMB!M34-$C35*F$3)/COMB!M34</f>
        <v>0.98795708891837741</v>
      </c>
      <c r="G35" s="133">
        <f>(COMB!N34-$C35*G$3)/COMB!N34</f>
        <v>0.99077609951140255</v>
      </c>
      <c r="H35" s="133">
        <f>(COMB!O34-$C35*H$3)/COMB!O34</f>
        <v>0.99161181393937603</v>
      </c>
      <c r="I35" s="508">
        <f>(COMB!P34-$C35*I$3)/COMB!P34</f>
        <v>0.99267135818445662</v>
      </c>
      <c r="K35" s="824"/>
      <c r="L35" s="815"/>
      <c r="M35" s="815"/>
      <c r="N35" s="133"/>
      <c r="O35" s="508"/>
    </row>
    <row r="36" spans="1:15" ht="15.75" thickBot="1">
      <c r="A36" s="488" t="s">
        <v>43</v>
      </c>
      <c r="B36" s="518">
        <v>949.99</v>
      </c>
      <c r="C36" s="523">
        <f t="shared" si="5"/>
        <v>3.4941993840581179E-2</v>
      </c>
      <c r="E36" s="140">
        <f>(COMB!L35-$C36*E$3)/COMB!L35</f>
        <v>0.98425878639467368</v>
      </c>
      <c r="F36" s="140">
        <f>(COMB!M35-$C36*F$3)/COMB!M35</f>
        <v>0.98403090894043055</v>
      </c>
      <c r="G36" s="140">
        <f>(COMB!N35-$C36*G$3)/COMB!N35</f>
        <v>0.98791669281185879</v>
      </c>
      <c r="H36" s="140">
        <f>(COMB!O35-$C36*H$3)/COMB!O35</f>
        <v>0.98812788713099575</v>
      </c>
      <c r="I36" s="510">
        <f>(COMB!P35-$C36*I$3)/COMB!P35</f>
        <v>0.98963774175326014</v>
      </c>
      <c r="K36" s="509"/>
      <c r="L36" s="140"/>
      <c r="M36" s="140"/>
      <c r="N36" s="140"/>
      <c r="O36" s="510"/>
    </row>
    <row r="37" spans="1:15">
      <c r="A37" s="3"/>
      <c r="B37" s="45"/>
    </row>
    <row r="38" spans="1:15">
      <c r="A38" s="3"/>
      <c r="B38" s="45"/>
    </row>
    <row r="39" spans="1:15">
      <c r="A39" s="3"/>
      <c r="B39" s="45"/>
    </row>
    <row r="40" spans="1:15">
      <c r="A40" s="3"/>
      <c r="B40" s="45"/>
    </row>
    <row r="41" spans="1:15">
      <c r="A41" s="3"/>
      <c r="B41" s="45"/>
    </row>
    <row r="42" spans="1:15">
      <c r="A42" s="3"/>
      <c r="B42" s="45"/>
    </row>
    <row r="43" spans="1:15">
      <c r="A43" s="3"/>
      <c r="B43" s="45"/>
    </row>
    <row r="44" spans="1:15">
      <c r="A44" s="3"/>
      <c r="B44" s="45"/>
    </row>
    <row r="45" spans="1:15">
      <c r="A45" s="3"/>
      <c r="B45" s="45"/>
    </row>
    <row r="46" spans="1:15">
      <c r="A46" s="3"/>
      <c r="B46" s="45"/>
    </row>
    <row r="47" spans="1:15">
      <c r="A47" s="3"/>
      <c r="B47" s="45"/>
    </row>
    <row r="48" spans="1:15">
      <c r="A48" s="3"/>
      <c r="B48" s="45"/>
    </row>
    <row r="49" spans="1:2">
      <c r="A49" s="3"/>
      <c r="B49" s="45"/>
    </row>
    <row r="50" spans="1:2">
      <c r="A50" s="3"/>
      <c r="B50" s="45"/>
    </row>
    <row r="51" spans="1:2">
      <c r="A51" s="3"/>
      <c r="B51" s="45"/>
    </row>
    <row r="52" spans="1:2">
      <c r="A52" s="3"/>
      <c r="B52" s="45"/>
    </row>
    <row r="53" spans="1:2">
      <c r="A53" s="3"/>
      <c r="B53" s="45"/>
    </row>
    <row r="54" spans="1:2">
      <c r="A54" s="3"/>
      <c r="B54" s="45"/>
    </row>
    <row r="55" spans="1:2">
      <c r="A55" s="3"/>
      <c r="B55" s="45"/>
    </row>
    <row r="56" spans="1:2">
      <c r="A56" s="3"/>
      <c r="B56" s="45"/>
    </row>
    <row r="57" spans="1:2">
      <c r="A57" s="3"/>
      <c r="B57" s="45"/>
    </row>
    <row r="58" spans="1:2">
      <c r="A58" s="3"/>
      <c r="B58" s="45"/>
    </row>
    <row r="59" spans="1:2">
      <c r="A59" s="3"/>
      <c r="B59" s="45"/>
    </row>
    <row r="60" spans="1:2">
      <c r="A60" s="3"/>
      <c r="B60" s="45"/>
    </row>
    <row r="61" spans="1:2">
      <c r="A61" s="3"/>
      <c r="B61" s="45"/>
    </row>
    <row r="62" spans="1:2">
      <c r="A62" s="3"/>
      <c r="B62" s="45"/>
    </row>
    <row r="63" spans="1:2">
      <c r="A63" s="3"/>
      <c r="B63" s="45"/>
    </row>
    <row r="64" spans="1:2">
      <c r="A64" s="3"/>
      <c r="B64" s="45"/>
    </row>
    <row r="65" spans="1:2">
      <c r="A65" s="3"/>
      <c r="B65" s="45"/>
    </row>
    <row r="66" spans="1:2">
      <c r="A66" s="3"/>
      <c r="B66" s="45"/>
    </row>
    <row r="67" spans="1:2">
      <c r="A67" s="3"/>
      <c r="B67" s="45"/>
    </row>
    <row r="68" spans="1:2">
      <c r="A68" s="3"/>
      <c r="B68" s="45"/>
    </row>
    <row r="69" spans="1:2">
      <c r="A69" s="3"/>
      <c r="B69" s="45"/>
    </row>
    <row r="70" spans="1:2">
      <c r="A70" s="3"/>
      <c r="B70" s="45"/>
    </row>
    <row r="71" spans="1:2">
      <c r="A71" s="3"/>
      <c r="B71" s="45"/>
    </row>
    <row r="72" spans="1:2">
      <c r="A72" s="3"/>
      <c r="B72" s="45"/>
    </row>
    <row r="73" spans="1:2">
      <c r="A73" s="3"/>
      <c r="B73" s="45"/>
    </row>
    <row r="74" spans="1:2">
      <c r="A74" s="3"/>
      <c r="B74" s="45"/>
    </row>
    <row r="75" spans="1:2">
      <c r="A75" s="3"/>
      <c r="B75" s="45"/>
    </row>
    <row r="76" spans="1:2">
      <c r="A76" s="3"/>
      <c r="B76" s="45"/>
    </row>
    <row r="77" spans="1:2">
      <c r="A77" s="3"/>
      <c r="B77" s="45"/>
    </row>
    <row r="78" spans="1:2">
      <c r="A78" s="3"/>
      <c r="B78" s="45"/>
    </row>
    <row r="79" spans="1:2">
      <c r="A79" s="3"/>
      <c r="B79" s="45"/>
    </row>
    <row r="80" spans="1:2">
      <c r="A80" s="3"/>
      <c r="B80" s="45"/>
    </row>
    <row r="81" spans="1:2">
      <c r="A81" s="3"/>
      <c r="B81" s="45"/>
    </row>
    <row r="82" spans="1:2">
      <c r="A82" s="3"/>
      <c r="B82" s="45"/>
    </row>
    <row r="83" spans="1:2">
      <c r="A83" s="3"/>
      <c r="B83" s="45"/>
    </row>
    <row r="84" spans="1:2">
      <c r="A84" s="3"/>
      <c r="B84" s="45"/>
    </row>
    <row r="85" spans="1:2">
      <c r="A85" s="3"/>
      <c r="B85" s="45"/>
    </row>
    <row r="86" spans="1:2">
      <c r="A86" s="3"/>
      <c r="B86" s="45"/>
    </row>
    <row r="87" spans="1:2">
      <c r="A87" s="3"/>
      <c r="B87" s="45"/>
    </row>
    <row r="88" spans="1:2">
      <c r="A88" s="3"/>
      <c r="B88" s="45"/>
    </row>
    <row r="89" spans="1:2">
      <c r="A89" s="3"/>
      <c r="B89" s="45"/>
    </row>
    <row r="90" spans="1:2">
      <c r="A90" s="3"/>
      <c r="B90" s="45"/>
    </row>
    <row r="91" spans="1:2">
      <c r="A91" s="3"/>
      <c r="B91" s="45"/>
    </row>
    <row r="92" spans="1:2">
      <c r="A92" s="3"/>
      <c r="B92" s="45"/>
    </row>
    <row r="93" spans="1:2">
      <c r="A93" s="3"/>
      <c r="B93" s="45"/>
    </row>
    <row r="94" spans="1:2">
      <c r="A94" s="3"/>
      <c r="B94" s="45"/>
    </row>
    <row r="95" spans="1:2">
      <c r="A95" s="3"/>
      <c r="B95" s="45"/>
    </row>
    <row r="96" spans="1:2">
      <c r="A96" s="3"/>
      <c r="B96" s="45"/>
    </row>
    <row r="97" spans="1:2">
      <c r="A97" s="3"/>
      <c r="B97" s="45"/>
    </row>
    <row r="98" spans="1:2">
      <c r="A98" s="3"/>
      <c r="B98" s="45"/>
    </row>
    <row r="99" spans="1:2">
      <c r="A99" s="3"/>
      <c r="B99" s="45"/>
    </row>
    <row r="100" spans="1:2">
      <c r="A100" s="3"/>
      <c r="B100" s="45"/>
    </row>
    <row r="101" spans="1:2">
      <c r="A101" s="3"/>
      <c r="B101" s="45"/>
    </row>
    <row r="102" spans="1:2">
      <c r="A102" s="3"/>
      <c r="B102" s="45"/>
    </row>
    <row r="103" spans="1:2">
      <c r="A103" s="3"/>
      <c r="B103" s="45"/>
    </row>
    <row r="104" spans="1:2">
      <c r="A104" s="3"/>
      <c r="B104" s="45"/>
    </row>
    <row r="105" spans="1:2">
      <c r="A105" s="3"/>
      <c r="B105" s="45"/>
    </row>
    <row r="106" spans="1:2">
      <c r="A106" s="3"/>
      <c r="B106" s="45"/>
    </row>
    <row r="107" spans="1:2">
      <c r="A107" s="3"/>
      <c r="B107" s="45"/>
    </row>
    <row r="108" spans="1:2">
      <c r="A108" s="3"/>
      <c r="B108" s="45"/>
    </row>
    <row r="109" spans="1:2">
      <c r="A109" s="3"/>
      <c r="B109" s="45"/>
    </row>
    <row r="110" spans="1:2">
      <c r="A110" s="3"/>
      <c r="B110" s="45"/>
    </row>
    <row r="111" spans="1:2">
      <c r="A111" s="3"/>
      <c r="B111" s="45"/>
    </row>
    <row r="112" spans="1:2">
      <c r="A112" s="3"/>
      <c r="B112" s="45"/>
    </row>
    <row r="113" spans="1:2">
      <c r="A113" s="3"/>
      <c r="B113" s="45"/>
    </row>
    <row r="114" spans="1:2">
      <c r="A114" s="3"/>
      <c r="B114" s="45"/>
    </row>
    <row r="115" spans="1:2">
      <c r="A115" s="3"/>
      <c r="B115" s="45"/>
    </row>
    <row r="116" spans="1:2">
      <c r="A116" s="3"/>
      <c r="B116" s="45"/>
    </row>
    <row r="117" spans="1:2">
      <c r="A117" s="3"/>
      <c r="B117" s="45"/>
    </row>
    <row r="118" spans="1:2">
      <c r="A118" s="3"/>
      <c r="B118" s="45"/>
    </row>
    <row r="119" spans="1:2">
      <c r="A119" s="3"/>
      <c r="B119" s="45"/>
    </row>
    <row r="120" spans="1:2">
      <c r="A120" s="3"/>
      <c r="B120" s="45"/>
    </row>
    <row r="121" spans="1:2">
      <c r="A121" s="3"/>
      <c r="B121" s="45"/>
    </row>
    <row r="122" spans="1:2">
      <c r="A122" s="3"/>
      <c r="B122" s="45"/>
    </row>
    <row r="123" spans="1:2">
      <c r="A123" s="3"/>
      <c r="B123" s="45"/>
    </row>
    <row r="124" spans="1:2">
      <c r="A124" s="3"/>
      <c r="B124" s="45"/>
    </row>
    <row r="125" spans="1:2">
      <c r="A125" s="3"/>
      <c r="B125" s="45"/>
    </row>
    <row r="126" spans="1:2">
      <c r="A126" s="3"/>
      <c r="B126" s="45"/>
    </row>
    <row r="127" spans="1:2">
      <c r="A127" s="3"/>
      <c r="B127" s="45"/>
    </row>
    <row r="128" spans="1:2">
      <c r="A128" s="3"/>
      <c r="B128" s="45"/>
    </row>
    <row r="129" spans="1:2">
      <c r="A129" s="3"/>
      <c r="B129" s="45"/>
    </row>
    <row r="130" spans="1:2">
      <c r="A130" s="3"/>
      <c r="B130" s="45"/>
    </row>
    <row r="131" spans="1:2">
      <c r="A131" s="3"/>
      <c r="B131" s="45"/>
    </row>
    <row r="132" spans="1:2">
      <c r="A132" s="3"/>
      <c r="B132" s="45"/>
    </row>
    <row r="133" spans="1:2">
      <c r="A133" s="3"/>
      <c r="B133" s="45"/>
    </row>
    <row r="134" spans="1:2">
      <c r="A134" s="3"/>
      <c r="B134" s="45"/>
    </row>
    <row r="135" spans="1:2">
      <c r="A135" s="3"/>
      <c r="B135" s="45"/>
    </row>
    <row r="136" spans="1:2">
      <c r="A136" s="3"/>
      <c r="B136" s="45"/>
    </row>
    <row r="137" spans="1:2">
      <c r="A137" s="3"/>
      <c r="B137" s="45"/>
    </row>
    <row r="138" spans="1:2">
      <c r="A138" s="3"/>
      <c r="B138" s="45"/>
    </row>
    <row r="139" spans="1:2">
      <c r="A139" s="3"/>
      <c r="B139" s="45"/>
    </row>
    <row r="140" spans="1:2">
      <c r="A140" s="3"/>
      <c r="B140" s="45"/>
    </row>
    <row r="141" spans="1:2">
      <c r="A141" s="3"/>
      <c r="B141" s="45"/>
    </row>
    <row r="142" spans="1:2">
      <c r="A142" s="3"/>
      <c r="B142" s="45"/>
    </row>
    <row r="143" spans="1:2">
      <c r="A143" s="3"/>
      <c r="B143" s="45"/>
    </row>
    <row r="144" spans="1:2">
      <c r="A144" s="3"/>
      <c r="B144" s="45"/>
    </row>
    <row r="145" spans="1:2">
      <c r="A145" s="3"/>
      <c r="B145" s="45"/>
    </row>
    <row r="146" spans="1:2">
      <c r="A146" s="3"/>
      <c r="B146" s="45"/>
    </row>
    <row r="147" spans="1:2">
      <c r="A147" s="3"/>
      <c r="B147" s="45"/>
    </row>
    <row r="148" spans="1:2">
      <c r="A148" s="3"/>
      <c r="B148" s="45"/>
    </row>
    <row r="149" spans="1:2">
      <c r="A149" s="3"/>
      <c r="B149" s="45"/>
    </row>
    <row r="150" spans="1:2">
      <c r="A150" s="3"/>
      <c r="B150" s="45"/>
    </row>
    <row r="151" spans="1:2">
      <c r="A151" s="3"/>
      <c r="B151" s="45"/>
    </row>
    <row r="152" spans="1:2">
      <c r="A152" s="3"/>
      <c r="B152" s="45"/>
    </row>
    <row r="153" spans="1:2">
      <c r="A153" s="3"/>
      <c r="B153" s="45"/>
    </row>
    <row r="154" spans="1:2">
      <c r="A154" s="3"/>
      <c r="B154" s="45"/>
    </row>
    <row r="155" spans="1:2">
      <c r="A155" s="3"/>
      <c r="B155" s="45"/>
    </row>
    <row r="156" spans="1:2">
      <c r="A156" s="3"/>
      <c r="B156" s="45"/>
    </row>
    <row r="157" spans="1:2">
      <c r="A157" s="3"/>
      <c r="B157" s="45"/>
    </row>
    <row r="158" spans="1:2">
      <c r="A158" s="3"/>
      <c r="B158" s="45"/>
    </row>
    <row r="159" spans="1:2">
      <c r="A159" s="3"/>
      <c r="B159" s="45"/>
    </row>
    <row r="160" spans="1:2">
      <c r="A160" s="3"/>
      <c r="B160" s="45"/>
    </row>
    <row r="161" spans="1:2">
      <c r="A161" s="3"/>
      <c r="B161" s="45"/>
    </row>
    <row r="162" spans="1:2">
      <c r="A162" s="3"/>
      <c r="B162" s="45"/>
    </row>
    <row r="163" spans="1:2">
      <c r="A163" s="3"/>
      <c r="B163" s="45"/>
    </row>
    <row r="164" spans="1:2">
      <c r="A164" s="3"/>
      <c r="B164" s="45"/>
    </row>
    <row r="165" spans="1:2">
      <c r="A165" s="3"/>
      <c r="B165" s="45"/>
    </row>
    <row r="166" spans="1:2">
      <c r="A166" s="3"/>
      <c r="B166" s="45"/>
    </row>
    <row r="167" spans="1:2">
      <c r="A167" s="3"/>
      <c r="B167" s="45"/>
    </row>
    <row r="168" spans="1:2">
      <c r="A168" s="3"/>
      <c r="B168" s="45"/>
    </row>
    <row r="169" spans="1:2">
      <c r="A169" s="3"/>
      <c r="B169" s="45"/>
    </row>
    <row r="170" spans="1:2">
      <c r="A170" s="3"/>
      <c r="B170" s="45"/>
    </row>
    <row r="171" spans="1:2">
      <c r="A171" s="3"/>
      <c r="B171" s="45"/>
    </row>
    <row r="172" spans="1:2">
      <c r="A172" s="3"/>
      <c r="B172" s="45"/>
    </row>
    <row r="173" spans="1:2">
      <c r="A173" s="3"/>
      <c r="B173" s="45"/>
    </row>
    <row r="174" spans="1:2">
      <c r="A174" s="3"/>
      <c r="B174" s="45"/>
    </row>
    <row r="175" spans="1:2">
      <c r="A175" s="3"/>
      <c r="B175" s="45"/>
    </row>
    <row r="176" spans="1:2">
      <c r="A176" s="3"/>
      <c r="B176" s="45"/>
    </row>
    <row r="177" spans="1:2">
      <c r="A177" s="3"/>
      <c r="B177" s="45"/>
    </row>
    <row r="178" spans="1:2">
      <c r="A178" s="3"/>
      <c r="B178" s="45"/>
    </row>
    <row r="179" spans="1:2">
      <c r="A179" s="3"/>
      <c r="B179" s="45"/>
    </row>
    <row r="180" spans="1:2">
      <c r="A180" s="3"/>
      <c r="B180" s="45"/>
    </row>
    <row r="181" spans="1:2">
      <c r="A181" s="3"/>
      <c r="B181" s="45"/>
    </row>
    <row r="182" spans="1:2">
      <c r="A182" s="3"/>
      <c r="B182" s="45"/>
    </row>
    <row r="183" spans="1:2">
      <c r="A183" s="3"/>
      <c r="B183" s="45"/>
    </row>
    <row r="184" spans="1:2">
      <c r="A184" s="3"/>
      <c r="B184" s="45"/>
    </row>
    <row r="185" spans="1:2">
      <c r="A185" s="3"/>
      <c r="B185" s="45"/>
    </row>
    <row r="186" spans="1:2">
      <c r="A186" s="3"/>
      <c r="B186" s="45"/>
    </row>
    <row r="187" spans="1:2">
      <c r="A187" s="3"/>
      <c r="B187" s="45"/>
    </row>
    <row r="188" spans="1:2">
      <c r="A188" s="3"/>
      <c r="B188" s="45"/>
    </row>
    <row r="189" spans="1:2">
      <c r="A189" s="3"/>
      <c r="B189" s="45"/>
    </row>
    <row r="190" spans="1:2">
      <c r="A190" s="3"/>
      <c r="B190" s="45"/>
    </row>
    <row r="191" spans="1:2">
      <c r="A191" s="3"/>
      <c r="B191" s="45"/>
    </row>
    <row r="192" spans="1:2">
      <c r="A192" s="3"/>
      <c r="B192" s="45"/>
    </row>
    <row r="193" spans="1:2">
      <c r="A193" s="3"/>
      <c r="B193" s="45"/>
    </row>
    <row r="194" spans="1:2">
      <c r="A194" s="3"/>
      <c r="B194" s="45"/>
    </row>
    <row r="195" spans="1:2">
      <c r="A195" s="3"/>
      <c r="B195" s="45"/>
    </row>
    <row r="196" spans="1:2">
      <c r="A196" s="3"/>
      <c r="B196" s="45"/>
    </row>
    <row r="197" spans="1:2">
      <c r="A197" s="3"/>
      <c r="B197" s="45"/>
    </row>
    <row r="198" spans="1:2">
      <c r="A198" s="3"/>
      <c r="B198" s="45"/>
    </row>
    <row r="199" spans="1:2">
      <c r="A199" s="3"/>
      <c r="B199" s="45"/>
    </row>
    <row r="200" spans="1:2">
      <c r="A200" s="3"/>
      <c r="B200" s="45"/>
    </row>
    <row r="201" spans="1:2">
      <c r="A201" s="3"/>
      <c r="B201" s="45"/>
    </row>
    <row r="202" spans="1:2">
      <c r="A202" s="3"/>
      <c r="B202" s="45"/>
    </row>
    <row r="203" spans="1:2">
      <c r="A203" s="3"/>
      <c r="B203" s="45"/>
    </row>
    <row r="204" spans="1:2">
      <c r="A204" s="3"/>
      <c r="B204" s="45"/>
    </row>
    <row r="205" spans="1:2">
      <c r="A205" s="3"/>
      <c r="B205" s="45"/>
    </row>
    <row r="206" spans="1:2">
      <c r="A206" s="3"/>
      <c r="B206" s="45"/>
    </row>
    <row r="207" spans="1:2">
      <c r="A207" s="3"/>
      <c r="B207" s="45"/>
    </row>
    <row r="208" spans="1:2">
      <c r="A208" s="3"/>
      <c r="B208" s="45"/>
    </row>
    <row r="209" spans="1:2">
      <c r="A209" s="3"/>
      <c r="B209" s="45"/>
    </row>
    <row r="210" spans="1:2">
      <c r="A210" s="3"/>
      <c r="B210" s="45"/>
    </row>
    <row r="211" spans="1:2">
      <c r="A211" s="3"/>
      <c r="B211" s="45"/>
    </row>
    <row r="212" spans="1:2">
      <c r="A212" s="3"/>
      <c r="B212" s="45"/>
    </row>
    <row r="213" spans="1:2">
      <c r="A213" s="3"/>
      <c r="B213" s="45"/>
    </row>
    <row r="214" spans="1:2">
      <c r="A214" s="3"/>
      <c r="B214" s="45"/>
    </row>
    <row r="215" spans="1:2">
      <c r="A215" s="3"/>
      <c r="B215" s="45"/>
    </row>
    <row r="216" spans="1:2">
      <c r="A216" s="3"/>
      <c r="B216" s="45"/>
    </row>
    <row r="217" spans="1:2">
      <c r="A217" s="3"/>
      <c r="B217" s="45"/>
    </row>
    <row r="218" spans="1:2">
      <c r="A218" s="3"/>
      <c r="B218" s="45"/>
    </row>
    <row r="219" spans="1:2">
      <c r="A219" s="3"/>
      <c r="B219" s="45"/>
    </row>
    <row r="220" spans="1:2">
      <c r="A220" s="3"/>
      <c r="B220" s="45"/>
    </row>
    <row r="221" spans="1:2">
      <c r="A221" s="3"/>
      <c r="B221" s="45"/>
    </row>
    <row r="222" spans="1:2">
      <c r="A222" s="3"/>
      <c r="B222" s="45"/>
    </row>
    <row r="223" spans="1:2">
      <c r="A223" s="3"/>
      <c r="B223" s="45"/>
    </row>
    <row r="224" spans="1:2">
      <c r="A224" s="3"/>
      <c r="B224" s="45"/>
    </row>
    <row r="225" spans="1:2">
      <c r="A225" s="3"/>
      <c r="B225" s="45"/>
    </row>
    <row r="226" spans="1:2">
      <c r="A226" s="3"/>
      <c r="B226" s="45"/>
    </row>
    <row r="227" spans="1:2">
      <c r="A227" s="3"/>
      <c r="B227" s="45"/>
    </row>
    <row r="228" spans="1:2">
      <c r="A228" s="3"/>
      <c r="B228" s="45"/>
    </row>
    <row r="229" spans="1:2">
      <c r="A229" s="3"/>
      <c r="B229" s="45"/>
    </row>
    <row r="230" spans="1:2">
      <c r="A230" s="3"/>
      <c r="B230" s="45"/>
    </row>
    <row r="231" spans="1:2">
      <c r="A231" s="3"/>
      <c r="B231" s="45"/>
    </row>
    <row r="232" spans="1:2">
      <c r="A232" s="3"/>
      <c r="B232" s="45"/>
    </row>
    <row r="233" spans="1:2">
      <c r="A233" s="3"/>
      <c r="B233" s="45"/>
    </row>
    <row r="234" spans="1:2">
      <c r="A234" s="3"/>
      <c r="B234" s="45"/>
    </row>
    <row r="235" spans="1:2">
      <c r="A235" s="3"/>
      <c r="B235" s="45"/>
    </row>
    <row r="236" spans="1:2">
      <c r="A236" s="3"/>
      <c r="B236" s="45"/>
    </row>
    <row r="237" spans="1:2">
      <c r="A237" s="3"/>
      <c r="B237" s="45"/>
    </row>
    <row r="238" spans="1:2">
      <c r="A238" s="3"/>
      <c r="B238" s="45"/>
    </row>
    <row r="239" spans="1:2">
      <c r="A239" s="3"/>
      <c r="B239" s="45"/>
    </row>
    <row r="240" spans="1:2">
      <c r="A240" s="3"/>
      <c r="B240" s="45"/>
    </row>
    <row r="241" spans="1:2">
      <c r="A241" s="3"/>
      <c r="B241" s="45"/>
    </row>
    <row r="242" spans="1:2">
      <c r="A242" s="3"/>
      <c r="B242" s="45"/>
    </row>
    <row r="243" spans="1:2">
      <c r="A243" s="3"/>
      <c r="B243" s="45"/>
    </row>
    <row r="244" spans="1:2">
      <c r="A244" s="3"/>
      <c r="B244" s="45"/>
    </row>
    <row r="245" spans="1:2">
      <c r="A245" s="3"/>
      <c r="B245" s="45"/>
    </row>
    <row r="246" spans="1:2">
      <c r="A246" s="3"/>
      <c r="B246" s="45"/>
    </row>
    <row r="247" spans="1:2">
      <c r="A247" s="3"/>
      <c r="B247" s="45"/>
    </row>
    <row r="248" spans="1:2">
      <c r="A248" s="3"/>
      <c r="B248" s="45"/>
    </row>
    <row r="249" spans="1:2">
      <c r="A249" s="3"/>
      <c r="B249" s="45"/>
    </row>
    <row r="250" spans="1:2">
      <c r="A250" s="3"/>
      <c r="B250" s="45"/>
    </row>
    <row r="251" spans="1:2">
      <c r="A251" s="3"/>
      <c r="B251" s="45"/>
    </row>
    <row r="252" spans="1:2">
      <c r="A252" s="3"/>
      <c r="B252" s="45"/>
    </row>
    <row r="253" spans="1:2">
      <c r="A253" s="3"/>
      <c r="B253" s="45"/>
    </row>
    <row r="254" spans="1:2">
      <c r="A254" s="3"/>
      <c r="B254" s="45"/>
    </row>
    <row r="255" spans="1:2">
      <c r="A255" s="3"/>
      <c r="B255" s="45"/>
    </row>
    <row r="256" spans="1:2">
      <c r="A256" s="3"/>
      <c r="B256" s="45"/>
    </row>
    <row r="257" spans="1:2">
      <c r="A257" s="3"/>
      <c r="B257" s="45"/>
    </row>
    <row r="258" spans="1:2">
      <c r="A258" s="3"/>
      <c r="B258" s="45"/>
    </row>
    <row r="259" spans="1:2">
      <c r="A259" s="3"/>
      <c r="B259" s="45"/>
    </row>
    <row r="260" spans="1:2">
      <c r="A260" s="3"/>
      <c r="B260" s="45"/>
    </row>
    <row r="261" spans="1:2">
      <c r="A261" s="3"/>
      <c r="B261" s="45"/>
    </row>
    <row r="262" spans="1:2">
      <c r="A262" s="3"/>
      <c r="B262" s="45"/>
    </row>
    <row r="263" spans="1:2">
      <c r="A263" s="3"/>
      <c r="B263" s="45"/>
    </row>
    <row r="264" spans="1:2">
      <c r="A264" s="3"/>
      <c r="B264" s="45"/>
    </row>
    <row r="265" spans="1:2">
      <c r="A265" s="3"/>
      <c r="B265" s="45"/>
    </row>
    <row r="266" spans="1:2">
      <c r="A266" s="3"/>
      <c r="B266" s="45"/>
    </row>
    <row r="267" spans="1:2">
      <c r="A267" s="3"/>
      <c r="B267" s="45"/>
    </row>
    <row r="268" spans="1:2">
      <c r="A268" s="3"/>
      <c r="B268" s="45"/>
    </row>
    <row r="269" spans="1:2">
      <c r="A269" s="3"/>
      <c r="B269" s="45"/>
    </row>
    <row r="270" spans="1:2">
      <c r="A270" s="3"/>
      <c r="B270" s="45"/>
    </row>
    <row r="271" spans="1:2">
      <c r="A271" s="3"/>
      <c r="B271" s="45"/>
    </row>
    <row r="272" spans="1:2">
      <c r="A272" s="3"/>
      <c r="B272" s="45"/>
    </row>
    <row r="273" spans="1:2">
      <c r="A273" s="3"/>
      <c r="B273" s="45"/>
    </row>
    <row r="274" spans="1:2">
      <c r="A274" s="3"/>
      <c r="B274" s="45"/>
    </row>
    <row r="275" spans="1:2">
      <c r="A275" s="3"/>
      <c r="B275" s="45"/>
    </row>
    <row r="276" spans="1:2">
      <c r="A276" s="3"/>
      <c r="B276" s="45"/>
    </row>
    <row r="277" spans="1:2">
      <c r="A277" s="3"/>
      <c r="B277" s="45"/>
    </row>
    <row r="278" spans="1:2">
      <c r="A278" s="3"/>
      <c r="B278" s="45"/>
    </row>
  </sheetData>
  <mergeCells count="4">
    <mergeCell ref="A1:A3"/>
    <mergeCell ref="B1:C2"/>
    <mergeCell ref="E1:I1"/>
    <mergeCell ref="K1:O1"/>
  </mergeCells>
  <pageMargins left="0.511811024" right="0.511811024" top="0.78740157499999996" bottom="0.78740157499999996" header="0.31496062000000002" footer="0.31496062000000002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6" tint="-0.249977111117893"/>
  </sheetPr>
  <dimension ref="A1:EN110"/>
  <sheetViews>
    <sheetView workbookViewId="0">
      <pane xSplit="1" topLeftCell="B1" activePane="topRight" state="frozen"/>
      <selection pane="topRight" activeCell="BM5" sqref="BM5"/>
    </sheetView>
  </sheetViews>
  <sheetFormatPr defaultColWidth="8.85546875" defaultRowHeight="15"/>
  <cols>
    <col min="1" max="1" width="33.85546875" style="58" customWidth="1"/>
    <col min="2" max="5" width="15.42578125" style="57" bestFit="1" customWidth="1"/>
    <col min="6" max="11" width="15.42578125" style="57" customWidth="1"/>
    <col min="12" max="15" width="13.7109375" style="57" bestFit="1" customWidth="1"/>
    <col min="16" max="16" width="13.7109375" style="57" customWidth="1"/>
    <col min="17" max="20" width="14.7109375" style="57" bestFit="1" customWidth="1"/>
    <col min="21" max="21" width="14.7109375" style="57" customWidth="1"/>
    <col min="22" max="23" width="14.28515625" style="885" bestFit="1" customWidth="1"/>
    <col min="24" max="25" width="15.42578125" style="885" bestFit="1" customWidth="1"/>
    <col min="26" max="26" width="15.42578125" style="885" customWidth="1"/>
    <col min="27" max="28" width="14.28515625" style="3" bestFit="1" customWidth="1"/>
    <col min="29" max="30" width="15.42578125" style="3" bestFit="1" customWidth="1"/>
    <col min="31" max="31" width="15.42578125" style="3" customWidth="1"/>
    <col min="32" max="33" width="14.28515625" style="885" bestFit="1" customWidth="1"/>
    <col min="34" max="35" width="15.42578125" style="885" bestFit="1" customWidth="1"/>
    <col min="36" max="36" width="15.42578125" style="885" customWidth="1"/>
    <col min="37" max="38" width="14.28515625" style="3" bestFit="1" customWidth="1"/>
    <col min="39" max="40" width="15.42578125" style="3" bestFit="1" customWidth="1"/>
    <col min="41" max="41" width="15.42578125" style="3" customWidth="1"/>
    <col min="42" max="43" width="14.28515625" style="885" bestFit="1" customWidth="1"/>
    <col min="44" max="45" width="15.42578125" style="885" bestFit="1" customWidth="1"/>
    <col min="46" max="46" width="15.42578125" style="885" customWidth="1"/>
    <col min="47" max="48" width="14.28515625" style="3" bestFit="1" customWidth="1"/>
    <col min="49" max="50" width="15.42578125" style="3" bestFit="1" customWidth="1"/>
    <col min="51" max="51" width="15.42578125" style="3" customWidth="1"/>
    <col min="52" max="53" width="14.28515625" style="885" bestFit="1" customWidth="1"/>
    <col min="54" max="55" width="15.42578125" style="885" bestFit="1" customWidth="1"/>
    <col min="56" max="56" width="15.42578125" style="885" customWidth="1"/>
    <col min="57" max="58" width="14.28515625" style="3" bestFit="1" customWidth="1"/>
    <col min="59" max="60" width="15.42578125" style="3" bestFit="1" customWidth="1"/>
    <col min="61" max="61" width="10.42578125" customWidth="1"/>
    <col min="62" max="63" width="14.28515625" style="724" bestFit="1" customWidth="1"/>
    <col min="64" max="65" width="15.42578125" style="724" bestFit="1" customWidth="1"/>
    <col min="66" max="66" width="10.42578125" style="725" customWidth="1"/>
    <col min="67" max="67" width="8.85546875" style="1"/>
    <col min="68" max="68" width="10.42578125" style="1" bestFit="1" customWidth="1"/>
    <col min="69" max="143" width="8.85546875" style="1"/>
  </cols>
  <sheetData>
    <row r="1" spans="1:144">
      <c r="A1" s="80" t="s">
        <v>246</v>
      </c>
      <c r="B1" s="1100" t="s">
        <v>247</v>
      </c>
      <c r="C1" s="1101"/>
      <c r="D1" s="1101"/>
      <c r="E1" s="1101"/>
      <c r="F1" s="1102"/>
      <c r="G1" s="1103" t="s">
        <v>248</v>
      </c>
      <c r="H1" s="1101"/>
      <c r="I1" s="1101"/>
      <c r="J1" s="1101"/>
      <c r="K1" s="1102"/>
      <c r="L1" s="1103" t="s">
        <v>249</v>
      </c>
      <c r="M1" s="1101"/>
      <c r="N1" s="1101"/>
      <c r="O1" s="1101"/>
      <c r="P1" s="1102"/>
      <c r="Q1" s="1103" t="s">
        <v>250</v>
      </c>
      <c r="R1" s="1101"/>
      <c r="S1" s="1101"/>
      <c r="T1" s="1101"/>
      <c r="U1" s="1102"/>
      <c r="V1" s="1141" t="s">
        <v>251</v>
      </c>
      <c r="W1" s="1142"/>
      <c r="X1" s="1142"/>
      <c r="Y1" s="1142"/>
      <c r="Z1" s="1143"/>
      <c r="AA1" s="1103" t="s">
        <v>252</v>
      </c>
      <c r="AB1" s="1101"/>
      <c r="AC1" s="1101"/>
      <c r="AD1" s="1101"/>
      <c r="AE1" s="1102"/>
      <c r="AF1" s="1141" t="s">
        <v>253</v>
      </c>
      <c r="AG1" s="1142"/>
      <c r="AH1" s="1142"/>
      <c r="AI1" s="1142"/>
      <c r="AJ1" s="1143"/>
      <c r="AK1" s="1103" t="s">
        <v>254</v>
      </c>
      <c r="AL1" s="1101"/>
      <c r="AM1" s="1101"/>
      <c r="AN1" s="1101"/>
      <c r="AO1" s="1102"/>
      <c r="AP1" s="1141" t="s">
        <v>255</v>
      </c>
      <c r="AQ1" s="1142"/>
      <c r="AR1" s="1142"/>
      <c r="AS1" s="1142"/>
      <c r="AT1" s="1143"/>
      <c r="AU1" s="1103" t="s">
        <v>256</v>
      </c>
      <c r="AV1" s="1101"/>
      <c r="AW1" s="1101"/>
      <c r="AX1" s="1101"/>
      <c r="AY1" s="1102"/>
      <c r="AZ1" s="1141" t="s">
        <v>257</v>
      </c>
      <c r="BA1" s="1142"/>
      <c r="BB1" s="1142"/>
      <c r="BC1" s="1142"/>
      <c r="BD1" s="1143"/>
      <c r="BE1" s="1144" t="s">
        <v>258</v>
      </c>
      <c r="BF1" s="1144"/>
      <c r="BG1" s="1144"/>
      <c r="BH1" s="1144"/>
      <c r="BI1" s="1145"/>
      <c r="BJ1" s="1139" t="s">
        <v>259</v>
      </c>
      <c r="BK1" s="1139"/>
      <c r="BL1" s="1139"/>
      <c r="BM1" s="1139"/>
      <c r="BN1" s="1140"/>
    </row>
    <row r="2" spans="1:144">
      <c r="A2" s="81" t="s">
        <v>10</v>
      </c>
      <c r="B2" s="63">
        <v>2009</v>
      </c>
      <c r="C2" s="64">
        <v>2010</v>
      </c>
      <c r="D2" s="64">
        <v>2011</v>
      </c>
      <c r="E2" s="64">
        <v>2012</v>
      </c>
      <c r="F2" s="64">
        <v>2013</v>
      </c>
      <c r="G2" s="63">
        <v>2009</v>
      </c>
      <c r="H2" s="64">
        <v>2010</v>
      </c>
      <c r="I2" s="64">
        <v>2011</v>
      </c>
      <c r="J2" s="64">
        <v>2012</v>
      </c>
      <c r="K2" s="64">
        <v>2013</v>
      </c>
      <c r="L2" s="63">
        <v>2009</v>
      </c>
      <c r="M2" s="64">
        <v>2010</v>
      </c>
      <c r="N2" s="64">
        <v>2011</v>
      </c>
      <c r="O2" s="64">
        <v>2012</v>
      </c>
      <c r="P2" s="64">
        <v>2013</v>
      </c>
      <c r="Q2" s="63">
        <v>2009</v>
      </c>
      <c r="R2" s="64">
        <v>2010</v>
      </c>
      <c r="S2" s="64">
        <v>2011</v>
      </c>
      <c r="T2" s="64">
        <v>2012</v>
      </c>
      <c r="U2" s="64">
        <v>2013</v>
      </c>
      <c r="V2" s="880">
        <v>2009</v>
      </c>
      <c r="W2" s="881">
        <v>2010</v>
      </c>
      <c r="X2" s="881">
        <v>2011</v>
      </c>
      <c r="Y2" s="881">
        <v>2012</v>
      </c>
      <c r="Z2" s="881">
        <v>2013</v>
      </c>
      <c r="AA2" s="63">
        <v>2009</v>
      </c>
      <c r="AB2" s="64">
        <v>2010</v>
      </c>
      <c r="AC2" s="64">
        <v>2011</v>
      </c>
      <c r="AD2" s="64">
        <v>2012</v>
      </c>
      <c r="AE2" s="64">
        <v>2013</v>
      </c>
      <c r="AF2" s="880">
        <v>2009</v>
      </c>
      <c r="AG2" s="881">
        <v>2010</v>
      </c>
      <c r="AH2" s="881">
        <v>2011</v>
      </c>
      <c r="AI2" s="881">
        <v>2012</v>
      </c>
      <c r="AJ2" s="881">
        <v>2013</v>
      </c>
      <c r="AK2" s="63">
        <v>2009</v>
      </c>
      <c r="AL2" s="64">
        <v>2010</v>
      </c>
      <c r="AM2" s="64">
        <v>2011</v>
      </c>
      <c r="AN2" s="64">
        <v>2012</v>
      </c>
      <c r="AO2" s="64">
        <v>2013</v>
      </c>
      <c r="AP2" s="880">
        <v>2009</v>
      </c>
      <c r="AQ2" s="881">
        <v>2010</v>
      </c>
      <c r="AR2" s="881">
        <v>2011</v>
      </c>
      <c r="AS2" s="881">
        <v>2012</v>
      </c>
      <c r="AT2" s="881">
        <v>2013</v>
      </c>
      <c r="AU2" s="63">
        <v>2009</v>
      </c>
      <c r="AV2" s="64">
        <v>2010</v>
      </c>
      <c r="AW2" s="64">
        <v>2011</v>
      </c>
      <c r="AX2" s="64">
        <v>2012</v>
      </c>
      <c r="AY2" s="64">
        <v>2013</v>
      </c>
      <c r="AZ2" s="880">
        <v>2009</v>
      </c>
      <c r="BA2" s="881">
        <v>2010</v>
      </c>
      <c r="BB2" s="881">
        <v>2011</v>
      </c>
      <c r="BC2" s="881">
        <v>2012</v>
      </c>
      <c r="BD2" s="881">
        <v>2013</v>
      </c>
      <c r="BE2" s="63">
        <v>2009</v>
      </c>
      <c r="BF2" s="64">
        <v>2010</v>
      </c>
      <c r="BG2" s="64">
        <v>2011</v>
      </c>
      <c r="BH2" s="64">
        <v>2012</v>
      </c>
      <c r="BI2" s="64">
        <v>2013</v>
      </c>
      <c r="BJ2" s="63">
        <v>2009</v>
      </c>
      <c r="BK2" s="64">
        <v>2010</v>
      </c>
      <c r="BL2" s="64">
        <v>2011</v>
      </c>
      <c r="BM2" s="64">
        <v>2012</v>
      </c>
      <c r="BN2" s="64">
        <v>2013</v>
      </c>
    </row>
    <row r="3" spans="1:144" ht="15.75" thickBot="1">
      <c r="A3" s="525"/>
      <c r="B3" s="542"/>
      <c r="C3" s="526"/>
      <c r="D3" s="526"/>
      <c r="E3" s="526"/>
      <c r="F3" s="526"/>
      <c r="G3" s="526"/>
      <c r="H3" s="526"/>
      <c r="I3" s="526"/>
      <c r="J3" s="526"/>
      <c r="K3" s="526"/>
      <c r="L3" s="526"/>
      <c r="M3" s="526"/>
      <c r="N3" s="526"/>
      <c r="O3" s="526"/>
      <c r="P3" s="526"/>
      <c r="Q3" s="526"/>
      <c r="R3" s="526"/>
      <c r="S3" s="526"/>
      <c r="T3" s="526"/>
      <c r="U3" s="526"/>
      <c r="V3" s="882"/>
      <c r="W3" s="882"/>
      <c r="X3" s="882"/>
      <c r="Y3" s="882"/>
      <c r="Z3" s="882"/>
      <c r="AA3" s="527"/>
      <c r="AB3" s="527"/>
      <c r="AC3" s="527"/>
      <c r="AD3" s="527"/>
      <c r="AE3" s="527"/>
      <c r="AF3" s="882"/>
      <c r="AG3" s="882"/>
      <c r="AH3" s="882"/>
      <c r="AI3" s="882"/>
      <c r="AJ3" s="882"/>
      <c r="AK3" s="527"/>
      <c r="AL3" s="527"/>
      <c r="AM3" s="527"/>
      <c r="AN3" s="527"/>
      <c r="AO3" s="527"/>
      <c r="AP3" s="882"/>
      <c r="AQ3" s="882"/>
      <c r="AR3" s="882"/>
      <c r="AS3" s="882"/>
      <c r="AT3" s="882"/>
      <c r="AU3" s="527"/>
      <c r="AV3" s="527"/>
      <c r="AW3" s="527"/>
      <c r="AX3" s="528"/>
      <c r="AY3" s="528"/>
      <c r="AZ3" s="882"/>
      <c r="BA3" s="882"/>
      <c r="BB3" s="882"/>
      <c r="BC3" s="886"/>
      <c r="BD3" s="886"/>
      <c r="BE3" s="527"/>
      <c r="BF3" s="527"/>
      <c r="BG3" s="527"/>
      <c r="BH3" s="528"/>
      <c r="BI3" s="543"/>
      <c r="BJ3" s="720"/>
      <c r="BK3" s="720"/>
      <c r="BL3" s="720"/>
      <c r="BM3" s="721"/>
      <c r="BN3" s="722"/>
    </row>
    <row r="4" spans="1:144" s="330" customFormat="1" ht="15.75" thickBot="1">
      <c r="A4" s="77" t="s">
        <v>163</v>
      </c>
      <c r="B4" s="83">
        <v>1</v>
      </c>
      <c r="C4" s="85">
        <v>1</v>
      </c>
      <c r="D4" s="85">
        <v>1</v>
      </c>
      <c r="E4" s="85">
        <v>1</v>
      </c>
      <c r="F4" s="85">
        <v>1</v>
      </c>
      <c r="G4" s="529">
        <f>CORR_ALC!L5</f>
        <v>1.0534912634536575</v>
      </c>
      <c r="H4" s="529">
        <f>CORR_ALC!M5</f>
        <v>1.1302680357091031</v>
      </c>
      <c r="I4" s="529">
        <f>CORR_ALC!N5</f>
        <v>1.2021960614452327</v>
      </c>
      <c r="J4" s="529">
        <f>CORR_ALC!O5</f>
        <v>1.2485050649282003</v>
      </c>
      <c r="K4" s="529">
        <f>CORR_ALC!P5</f>
        <v>1.2097018124147791</v>
      </c>
      <c r="L4" s="529">
        <f>CORR_ALC!V5</f>
        <v>0.9500345781466113</v>
      </c>
      <c r="M4" s="529">
        <f>CORR_ALC!W5</f>
        <v>0.94952459208827322</v>
      </c>
      <c r="N4" s="529">
        <f>CORR_ALC!X5</f>
        <v>0.93367931008166072</v>
      </c>
      <c r="O4" s="529">
        <f>CORR_ALC!Y5</f>
        <v>0.92039355992844363</v>
      </c>
      <c r="P4" s="529">
        <f>CORR_ALC!Z5</f>
        <v>0.92763713080168775</v>
      </c>
      <c r="Q4" s="89">
        <f>CORR_DSL!L5</f>
        <v>1.0372143209548697</v>
      </c>
      <c r="R4" s="89">
        <f>CORR_DSL!M5</f>
        <v>1.0438668339229833</v>
      </c>
      <c r="S4" s="89">
        <f>CORR_DSL!N5</f>
        <v>1.0297162682615815</v>
      </c>
      <c r="T4" s="89">
        <f>CORR_DSL!O5</f>
        <v>1.0303689675257104</v>
      </c>
      <c r="U4" s="89">
        <f>CORR_DSL!P5</f>
        <v>1.0357762617589499</v>
      </c>
      <c r="V4" s="883">
        <f>CORR_DSL!V5</f>
        <v>0.95471626160934409</v>
      </c>
      <c r="W4" s="883">
        <f>CORR_DSL!W5</f>
        <v>0.94817120644036934</v>
      </c>
      <c r="X4" s="883">
        <f>CORR_DSL!X5</f>
        <v>0.95293119237557855</v>
      </c>
      <c r="Y4" s="883">
        <f>CORR_DSL!Y5</f>
        <v>0.9440432978502652</v>
      </c>
      <c r="Z4" s="883">
        <f>CORR_DSL!Z5</f>
        <v>0.94664731294922</v>
      </c>
      <c r="AA4" s="89">
        <f>CORR_DSL!AF5</f>
        <v>0.99557546723600765</v>
      </c>
      <c r="AB4" s="89">
        <f>CORR_DSL!AG5</f>
        <v>0.97824896633919889</v>
      </c>
      <c r="AC4" s="89">
        <f>CORR_DSL!AH5</f>
        <v>0.97866596727592281</v>
      </c>
      <c r="AD4" s="89">
        <f>CORR_DSL!AI5</f>
        <v>0.97491966227176208</v>
      </c>
      <c r="AE4" s="89">
        <f>CORR_DSL!AJ5</f>
        <v>0.97369072296151937</v>
      </c>
      <c r="AF4" s="883">
        <f>CORR_DSL!AP5</f>
        <v>0.99848753216741082</v>
      </c>
      <c r="AG4" s="883">
        <f>CORR_DSL!AQ5</f>
        <v>0.99914701828781172</v>
      </c>
      <c r="AH4" s="883">
        <f>CORR_DSL!AR5</f>
        <v>0.99980866338364061</v>
      </c>
      <c r="AI4" s="883">
        <f>CORR_DSL!AS5</f>
        <v>0.99980322131596955</v>
      </c>
      <c r="AJ4" s="883">
        <f>CORR_DSL!AT5</f>
        <v>0.9998804899810062</v>
      </c>
      <c r="AK4" s="89">
        <f>CORR_DSL!AZ5</f>
        <v>0.99742654726992286</v>
      </c>
      <c r="AL4" s="89">
        <f>CORR_DSL!BA5</f>
        <v>0.99971567276260387</v>
      </c>
      <c r="AM4" s="89">
        <f>CORR_DSL!BB5</f>
        <v>0.99990433169182025</v>
      </c>
      <c r="AN4" s="89">
        <f>CORR_DSL!BC5</f>
        <v>0.9998389992585206</v>
      </c>
      <c r="AO4" s="89">
        <f>CORR_DSL!BD5</f>
        <v>0.99989756284086251</v>
      </c>
      <c r="AP4" s="883">
        <f>CORR_DSL!BJ5</f>
        <v>0.98117316160627766</v>
      </c>
      <c r="AQ4" s="883">
        <f>CORR_DSL!BK5</f>
        <v>0.98263572943045296</v>
      </c>
      <c r="AR4" s="883">
        <f>CORR_DSL!BL5</f>
        <v>0.97742227926958647</v>
      </c>
      <c r="AS4" s="883">
        <f>CORR_DSL!BM5</f>
        <v>0.97769245281946315</v>
      </c>
      <c r="AT4" s="883">
        <f>CORR_DSL!BN5</f>
        <v>0.97676383773564435</v>
      </c>
      <c r="AU4" s="531">
        <f>AGRO_DSL!E6</f>
        <v>0.94258894142728389</v>
      </c>
      <c r="AV4" s="531">
        <f>AGRO_DSL!F6</f>
        <v>0.94990545304492391</v>
      </c>
      <c r="AW4" s="531">
        <f>AGRO_DSL!G6</f>
        <v>0.95255540286438822</v>
      </c>
      <c r="AX4" s="531">
        <f>AGRO_DSL!H6</f>
        <v>0.96379782371301881</v>
      </c>
      <c r="AY4" s="531">
        <f>AGRO_DSL!I6</f>
        <v>0.95057435504928522</v>
      </c>
      <c r="AZ4" s="887">
        <v>1</v>
      </c>
      <c r="BA4" s="887">
        <v>1</v>
      </c>
      <c r="BB4" s="887">
        <v>1</v>
      </c>
      <c r="BC4" s="887">
        <v>1</v>
      </c>
      <c r="BD4" s="887"/>
      <c r="BE4" s="93">
        <f>HIDRO_DSL!E6</f>
        <v>0.97207828636042615</v>
      </c>
      <c r="BF4" s="93">
        <f>HIDRO_DSL!F6</f>
        <v>0.97413269681477954</v>
      </c>
      <c r="BG4" s="93">
        <f>HIDRO_DSL!G6</f>
        <v>0.97956978345034573</v>
      </c>
      <c r="BH4" s="93">
        <f>HIDRO_DSL!H6</f>
        <v>0.98415068898616298</v>
      </c>
      <c r="BI4" s="93">
        <f>HIDRO_DSL!I6</f>
        <v>0.97943274760692656</v>
      </c>
      <c r="BJ4" s="723">
        <f>IF(DIST_DSL_TOT!$J6&lt;=50%,0.5,IF(DIST_DSL_TOT!$J6&lt;=60%,0.6,IF(DIST_DSL_TOT!$J6&lt;=70%,0.7,IF(DIST_DSL_TOT!$J6&gt;=150%,1.5,IF(DIST_DSL_TOT!$J6&gt;=140%,1.4,IF(DIST_DSL_TOT!$J6&gt;=130%,1.3,1))))))</f>
        <v>1</v>
      </c>
      <c r="BK4" s="723">
        <f>IF(DIST_DSL_TOT!$S6&lt;=50%,0.5,IF(DIST_DSL_TOT!$S6&lt;=60%,0.6,IF(DIST_DSL_TOT!$S6&lt;=70%,0.7,IF(DIST_DSL_TOT!$S6&gt;=150%,1.5,IF(DIST_DSL_TOT!$S6&gt;=140%,1.4,IF(DIST_DSL_TOT!$S6&gt;=130%,1.3,1))))))</f>
        <v>1</v>
      </c>
      <c r="BL4" s="723">
        <f>IF(DIST_DSL_TOT!$AB6&lt;=50%,0.5,IF(DIST_DSL_TOT!$AB6&lt;=60%,0.6,IF(DIST_DSL_TOT!$AB6&lt;=70%,0.7,IF(DIST_DSL_TOT!$AB6&gt;=150%,1.5,IF(DIST_DSL_TOT!$AB6&gt;=140%,1.4,IF(DIST_DSL_TOT!$AB6&gt;=130%,1.3,1))))))</f>
        <v>1</v>
      </c>
      <c r="BM4" s="723">
        <f>IF(DIST_DSL_TOT!$AB6&lt;=50%,0.5,IF(DIST_DSL_TOT!$AB6&lt;=60%,0.6,IF(DIST_DSL_TOT!$AB6&lt;=70%,0.7,IF(DIST_DSL_TOT!$AB6&gt;=150%,1.5,IF(DIST_DSL_TOT!$AB6&gt;=140%,1.4,IF(DIST_DSL_TOT!$AB6&gt;=130%,1.3,1))))))</f>
        <v>1</v>
      </c>
      <c r="BN4" s="723" t="e">
        <f>IF(DIST_DSL_TOT!$AT6&lt;=50%,0.5,IF(DIST_DSL_TOT!$AT6&lt;=60%,0.6,IF(DIST_DSL_TOT!$AT6&lt;=70%,0.7,IF(DIST_DSL_TOT!$AT6&gt;=150%,1.5,IF(DIST_DSL_TOT!$AT6&gt;=140%,1.4,IF(DIST_DSL_TOT!$AT6&gt;=130%,1.3,1))))))</f>
        <v>#DIV/0!</v>
      </c>
      <c r="BO4" s="1"/>
      <c r="BP4" s="731">
        <f>Q4*V4*AA4*AF4*AK4*AP4</f>
        <v>0.96335474409132471</v>
      </c>
      <c r="BQ4" s="731">
        <f t="shared" ref="BQ4:BT4" si="0">R4*W4*AB4*AG4*AL4*AQ4</f>
        <v>0.95034153012726519</v>
      </c>
      <c r="BR4" s="731">
        <f t="shared" si="0"/>
        <v>0.93836366480123545</v>
      </c>
      <c r="BS4" s="731">
        <f t="shared" si="0"/>
        <v>0.92683063428146839</v>
      </c>
      <c r="BT4" s="731">
        <f t="shared" si="0"/>
        <v>0.93232723065967604</v>
      </c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539"/>
    </row>
    <row r="5" spans="1:144" s="530" customFormat="1" ht="15.75" thickBot="1">
      <c r="A5" s="78" t="s">
        <v>164</v>
      </c>
      <c r="B5" s="86">
        <v>1</v>
      </c>
      <c r="C5" s="84">
        <v>1</v>
      </c>
      <c r="D5" s="84">
        <v>1</v>
      </c>
      <c r="E5" s="84">
        <v>1</v>
      </c>
      <c r="F5" s="84">
        <v>1</v>
      </c>
      <c r="G5" s="529">
        <f>CORR_ALC!L6</f>
        <v>1.0534912634536575</v>
      </c>
      <c r="H5" s="529">
        <f>CORR_ALC!M6</f>
        <v>1.1302680357091033</v>
      </c>
      <c r="I5" s="529">
        <f>CORR_ALC!N6</f>
        <v>1.2021960614452325</v>
      </c>
      <c r="J5" s="529">
        <f>CORR_ALC!O6</f>
        <v>1.2485050649282003</v>
      </c>
      <c r="K5" s="529">
        <f>CORR_ALC!P6</f>
        <v>1.2097018124147791</v>
      </c>
      <c r="L5" s="529">
        <f>CORR_ALC!V6</f>
        <v>0.9500345781466113</v>
      </c>
      <c r="M5" s="529">
        <f>CORR_ALC!W6</f>
        <v>0.94952459208827322</v>
      </c>
      <c r="N5" s="529">
        <f>CORR_ALC!X6</f>
        <v>0.93367931008166072</v>
      </c>
      <c r="O5" s="529">
        <f>CORR_ALC!Y6</f>
        <v>0.92039355992844363</v>
      </c>
      <c r="P5" s="529">
        <f>CORR_ALC!Z6</f>
        <v>0.92763713080168775</v>
      </c>
      <c r="Q5" s="529">
        <f>CORR_DSL!L6</f>
        <v>1.0372143209548699</v>
      </c>
      <c r="R5" s="529">
        <f>CORR_DSL!M6</f>
        <v>1.0438668339229833</v>
      </c>
      <c r="S5" s="529">
        <f>CORR_DSL!N6</f>
        <v>1.0297162682615815</v>
      </c>
      <c r="T5" s="529">
        <f>CORR_DSL!O6</f>
        <v>1.0303689675257104</v>
      </c>
      <c r="U5" s="529">
        <f>CORR_DSL!P6</f>
        <v>1.0357762617589499</v>
      </c>
      <c r="V5" s="883">
        <f>CORR_DSL!V6</f>
        <v>0.95471626160934409</v>
      </c>
      <c r="W5" s="883">
        <f>CORR_DSL!W6</f>
        <v>0.94817120644036945</v>
      </c>
      <c r="X5" s="883">
        <f>CORR_DSL!X6</f>
        <v>0.95293119237557855</v>
      </c>
      <c r="Y5" s="883">
        <f>CORR_DSL!Y6</f>
        <v>0.94404329785026531</v>
      </c>
      <c r="Z5" s="883">
        <f>CORR_DSL!Z6</f>
        <v>0.94664731294922</v>
      </c>
      <c r="AA5" s="89">
        <f>CORR_DSL!AF6</f>
        <v>0.99557546723600765</v>
      </c>
      <c r="AB5" s="89">
        <f>CORR_DSL!AG6</f>
        <v>0.97824896633919889</v>
      </c>
      <c r="AC5" s="89">
        <f>CORR_DSL!AH6</f>
        <v>0.97866596727592281</v>
      </c>
      <c r="AD5" s="89">
        <f>CORR_DSL!AI6</f>
        <v>0.97491966227176208</v>
      </c>
      <c r="AE5" s="89">
        <f>CORR_DSL!AJ6</f>
        <v>0.97369072296151937</v>
      </c>
      <c r="AF5" s="883">
        <f>CORR_DSL!AP6</f>
        <v>0.99848753216741082</v>
      </c>
      <c r="AG5" s="883">
        <f>CORR_DSL!AQ6</f>
        <v>0.99914701828781172</v>
      </c>
      <c r="AH5" s="883">
        <f>CORR_DSL!AR6</f>
        <v>0.99980866338364061</v>
      </c>
      <c r="AI5" s="883">
        <f>CORR_DSL!AS6</f>
        <v>0.99980322131596955</v>
      </c>
      <c r="AJ5" s="883">
        <f>CORR_DSL!AT6</f>
        <v>0.9998804899810062</v>
      </c>
      <c r="AK5" s="89">
        <f>CORR_DSL!AZ6</f>
        <v>0.99742654726992286</v>
      </c>
      <c r="AL5" s="89">
        <f>CORR_DSL!BA6</f>
        <v>0.99971567276260387</v>
      </c>
      <c r="AM5" s="89">
        <f>CORR_DSL!BB6</f>
        <v>0.99990433169182025</v>
      </c>
      <c r="AN5" s="89">
        <f>CORR_DSL!BC6</f>
        <v>0.9998389992585206</v>
      </c>
      <c r="AO5" s="89">
        <f>CORR_DSL!BD6</f>
        <v>0.99989756284086251</v>
      </c>
      <c r="AP5" s="883">
        <f>CORR_DSL!BJ6</f>
        <v>0.98117316160627766</v>
      </c>
      <c r="AQ5" s="883">
        <f>CORR_DSL!BK6</f>
        <v>0.98263572943045296</v>
      </c>
      <c r="AR5" s="883">
        <f>CORR_DSL!BL6</f>
        <v>0.97742227926958647</v>
      </c>
      <c r="AS5" s="883">
        <f>CORR_DSL!BM6</f>
        <v>0.97769245281946315</v>
      </c>
      <c r="AT5" s="883">
        <f>CORR_DSL!BN6</f>
        <v>0.97676383773564435</v>
      </c>
      <c r="AU5" s="531">
        <f>AGRO_DSL!E7</f>
        <v>0.99558267204023654</v>
      </c>
      <c r="AV5" s="531">
        <f>AGRO_DSL!F7</f>
        <v>0.99572545656118028</v>
      </c>
      <c r="AW5" s="531">
        <f>AGRO_DSL!G7</f>
        <v>0.99642689938341023</v>
      </c>
      <c r="AX5" s="531">
        <f>AGRO_DSL!H7</f>
        <v>0.99707783745986833</v>
      </c>
      <c r="AY5" s="531">
        <f>AGRO_DSL!I7</f>
        <v>0.99714382870655061</v>
      </c>
      <c r="AZ5" s="888">
        <v>1</v>
      </c>
      <c r="BA5" s="888">
        <v>1</v>
      </c>
      <c r="BB5" s="888">
        <v>1</v>
      </c>
      <c r="BC5" s="888">
        <v>1</v>
      </c>
      <c r="BD5" s="888"/>
      <c r="BE5" s="93">
        <f>HIDRO_DSL!E7</f>
        <v>0.99562296282149221</v>
      </c>
      <c r="BF5" s="93">
        <f>HIDRO_DSL!F7</f>
        <v>0.99550298317721775</v>
      </c>
      <c r="BG5" s="93">
        <f>HIDRO_DSL!G7</f>
        <v>0.996865231097535</v>
      </c>
      <c r="BH5" s="93">
        <f>HIDRO_DSL!H7</f>
        <v>0.99739352144974447</v>
      </c>
      <c r="BI5" s="93">
        <f>HIDRO_DSL!I7</f>
        <v>0.99757851234310346</v>
      </c>
      <c r="BJ5" s="723">
        <f>IF(DIST_DSL_TOT!$J7&lt;=50%,0.5,IF(DIST_DSL_TOT!$J7&lt;=60%,0.6,IF(DIST_DSL_TOT!$J7&lt;=70%,0.7,IF(DIST_DSL_TOT!$J7&gt;=150%,1.5,IF(DIST_DSL_TOT!$J7&gt;=140%,1.4,IF(DIST_DSL_TOT!$J7&gt;=130%,1.3,1))))))</f>
        <v>0.5</v>
      </c>
      <c r="BK5" s="723">
        <f>IF(DIST_DSL_TOT!$S7&lt;=50%,0.5,IF(DIST_DSL_TOT!$S7&lt;=60%,0.6,IF(DIST_DSL_TOT!$S7&lt;=70%,0.7,IF(DIST_DSL_TOT!$S7&gt;=150%,1.5,IF(DIST_DSL_TOT!$S7&gt;=140%,1.4,IF(DIST_DSL_TOT!$S7&gt;=130%,1.3,1))))))</f>
        <v>0.5</v>
      </c>
      <c r="BL5" s="723">
        <f>IF(DIST_DSL_TOT!$AB7&lt;=50%,0.5,IF(DIST_DSL_TOT!$AB7&lt;=60%,0.6,IF(DIST_DSL_TOT!$AB7&lt;=70%,0.7,IF(DIST_DSL_TOT!$AB7&gt;=150%,1.5,IF(DIST_DSL_TOT!$AB7&gt;=140%,1.4,IF(DIST_DSL_TOT!$AB7&gt;=130%,1.3,1))))))</f>
        <v>0.5</v>
      </c>
      <c r="BM5" s="723">
        <f>IF(DIST_DSL_TOT!$AB7&lt;=50%,0.5,IF(DIST_DSL_TOT!$AB7&lt;=60%,0.6,IF(DIST_DSL_TOT!$AB7&lt;=70%,0.7,IF(DIST_DSL_TOT!$AB7&gt;=150%,1.5,IF(DIST_DSL_TOT!$AB7&gt;=140%,1.4,IF(DIST_DSL_TOT!$AB7&gt;=130%,1.3,1))))))</f>
        <v>0.5</v>
      </c>
      <c r="BN5" s="723" t="e">
        <f>IF(DIST_DSL_TOT!$AT7&lt;=50%,0.5,IF(DIST_DSL_TOT!$AT7&lt;=60%,0.6,IF(DIST_DSL_TOT!$AT7&lt;=70%,0.7,IF(DIST_DSL_TOT!$AT7&gt;=150%,1.5,IF(DIST_DSL_TOT!$AT7&gt;=140%,1.4,IF(DIST_DSL_TOT!$AT7&gt;=130%,1.3,1))))))</f>
        <v>#DIV/0!</v>
      </c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540"/>
    </row>
    <row r="6" spans="1:144" s="530" customFormat="1" ht="15.75" thickBot="1">
      <c r="A6" s="78" t="s">
        <v>165</v>
      </c>
      <c r="B6" s="86">
        <v>1</v>
      </c>
      <c r="C6" s="84">
        <v>1</v>
      </c>
      <c r="D6" s="84">
        <v>1</v>
      </c>
      <c r="E6" s="84">
        <v>1</v>
      </c>
      <c r="F6" s="84">
        <v>1</v>
      </c>
      <c r="G6" s="529">
        <f>CORR_ALC!L7</f>
        <v>1.0534912634536575</v>
      </c>
      <c r="H6" s="529">
        <f>CORR_ALC!M7</f>
        <v>1.1302680357091033</v>
      </c>
      <c r="I6" s="529">
        <f>CORR_ALC!N7</f>
        <v>1.2021960614452325</v>
      </c>
      <c r="J6" s="529">
        <f>CORR_ALC!O7</f>
        <v>1.2485050649282003</v>
      </c>
      <c r="K6" s="529">
        <f>CORR_ALC!P7</f>
        <v>1.2097018124147791</v>
      </c>
      <c r="L6" s="529">
        <f>CORR_ALC!V7</f>
        <v>0.9500345781466113</v>
      </c>
      <c r="M6" s="529">
        <f>CORR_ALC!W7</f>
        <v>0.94952459208827322</v>
      </c>
      <c r="N6" s="529">
        <f>CORR_ALC!X7</f>
        <v>0.93367931008166072</v>
      </c>
      <c r="O6" s="529">
        <f>CORR_ALC!Y7</f>
        <v>0.92039355992844363</v>
      </c>
      <c r="P6" s="529">
        <f>CORR_ALC!Z7</f>
        <v>0.92763713080168775</v>
      </c>
      <c r="Q6" s="529">
        <f>CORR_DSL!L7</f>
        <v>1.0372143209548699</v>
      </c>
      <c r="R6" s="529">
        <f>CORR_DSL!M7</f>
        <v>1.0438668339229833</v>
      </c>
      <c r="S6" s="529">
        <f>CORR_DSL!N7</f>
        <v>1.0297162682615815</v>
      </c>
      <c r="T6" s="529">
        <f>CORR_DSL!O7</f>
        <v>1.0303689675257104</v>
      </c>
      <c r="U6" s="529">
        <f>CORR_DSL!P7</f>
        <v>1.0357762617589501</v>
      </c>
      <c r="V6" s="883">
        <f>CORR_DSL!V7</f>
        <v>0.95471626160934409</v>
      </c>
      <c r="W6" s="883">
        <f>CORR_DSL!W7</f>
        <v>0.94817120644036934</v>
      </c>
      <c r="X6" s="883">
        <f>CORR_DSL!X7</f>
        <v>0.95293119237557855</v>
      </c>
      <c r="Y6" s="883">
        <f>CORR_DSL!Y7</f>
        <v>0.94404329785026531</v>
      </c>
      <c r="Z6" s="883">
        <f>CORR_DSL!Z7</f>
        <v>0.94664731294922</v>
      </c>
      <c r="AA6" s="89">
        <f>CORR_DSL!AF7</f>
        <v>0.99557546723600765</v>
      </c>
      <c r="AB6" s="89">
        <f>CORR_DSL!AG7</f>
        <v>0.97824896633919889</v>
      </c>
      <c r="AC6" s="89">
        <f>CORR_DSL!AH7</f>
        <v>0.97866596727592281</v>
      </c>
      <c r="AD6" s="89">
        <f>CORR_DSL!AI7</f>
        <v>0.97491966227176208</v>
      </c>
      <c r="AE6" s="89">
        <f>CORR_DSL!AJ7</f>
        <v>0.97369072296151937</v>
      </c>
      <c r="AF6" s="883">
        <f>CORR_DSL!AP7</f>
        <v>0.99848753216741082</v>
      </c>
      <c r="AG6" s="883">
        <f>CORR_DSL!AQ7</f>
        <v>0.99914701828781172</v>
      </c>
      <c r="AH6" s="883">
        <f>CORR_DSL!AR7</f>
        <v>0.99980866338364061</v>
      </c>
      <c r="AI6" s="883">
        <f>CORR_DSL!AS7</f>
        <v>0.99980322131596955</v>
      </c>
      <c r="AJ6" s="883">
        <f>CORR_DSL!AT7</f>
        <v>0.9998804899810062</v>
      </c>
      <c r="AK6" s="89">
        <f>CORR_DSL!AZ7</f>
        <v>0.99742654726992286</v>
      </c>
      <c r="AL6" s="89">
        <f>CORR_DSL!BA7</f>
        <v>0.99971567276260387</v>
      </c>
      <c r="AM6" s="89">
        <f>CORR_DSL!BB7</f>
        <v>0.99990433169182025</v>
      </c>
      <c r="AN6" s="89">
        <f>CORR_DSL!BC7</f>
        <v>0.9998389992585206</v>
      </c>
      <c r="AO6" s="89">
        <f>CORR_DSL!BD7</f>
        <v>0.99989756284086251</v>
      </c>
      <c r="AP6" s="883">
        <f>CORR_DSL!BJ7</f>
        <v>0.98117316160627766</v>
      </c>
      <c r="AQ6" s="883">
        <f>CORR_DSL!BK7</f>
        <v>0.98263572943045296</v>
      </c>
      <c r="AR6" s="883">
        <f>CORR_DSL!BL7</f>
        <v>0.97742227926958647</v>
      </c>
      <c r="AS6" s="883">
        <f>CORR_DSL!BM7</f>
        <v>0.97769245281946315</v>
      </c>
      <c r="AT6" s="883">
        <f>CORR_DSL!BN7</f>
        <v>0.97676383773564435</v>
      </c>
      <c r="AU6" s="531">
        <f>AGRO_DSL!E8</f>
        <v>0.98681416100560349</v>
      </c>
      <c r="AV6" s="531">
        <f>AGRO_DSL!F8</f>
        <v>0.98984146854010224</v>
      </c>
      <c r="AW6" s="531">
        <f>AGRO_DSL!G8</f>
        <v>0.99123023190147996</v>
      </c>
      <c r="AX6" s="531">
        <f>AGRO_DSL!H8</f>
        <v>0.99092816254341642</v>
      </c>
      <c r="AY6" s="531">
        <f>AGRO_DSL!I8</f>
        <v>0.99086703958673694</v>
      </c>
      <c r="AZ6" s="888">
        <v>1</v>
      </c>
      <c r="BA6" s="888">
        <v>1</v>
      </c>
      <c r="BB6" s="888">
        <v>1</v>
      </c>
      <c r="BC6" s="888">
        <v>1</v>
      </c>
      <c r="BD6" s="888"/>
      <c r="BE6" s="93">
        <f>HIDRO_DSL!E8</f>
        <v>0.80839683061218026</v>
      </c>
      <c r="BF6" s="93">
        <f>HIDRO_DSL!F8</f>
        <v>0.84327436573321291</v>
      </c>
      <c r="BG6" s="93">
        <f>HIDRO_DSL!G8</f>
        <v>0.8871704847930213</v>
      </c>
      <c r="BH6" s="93">
        <f>HIDRO_DSL!H8</f>
        <v>0.88133589303704962</v>
      </c>
      <c r="BI6" s="93">
        <f>HIDRO_DSL!I8</f>
        <v>0.88645084313629663</v>
      </c>
      <c r="BJ6" s="723">
        <f>IF(DIST_DSL_TOT!$J8&lt;=50%,0.5,IF(DIST_DSL_TOT!$J8&lt;=60%,0.6,IF(DIST_DSL_TOT!$J8&lt;=70%,0.7,IF(DIST_DSL_TOT!$J8&gt;=150%,1.5,IF(DIST_DSL_TOT!$J8&gt;=140%,1.4,IF(DIST_DSL_TOT!$J8&gt;=130%,1.3,1))))))</f>
        <v>1</v>
      </c>
      <c r="BK6" s="723">
        <f>IF(DIST_DSL_TOT!$S8&lt;=50%,0.5,IF(DIST_DSL_TOT!$S8&lt;=60%,0.6,IF(DIST_DSL_TOT!$S8&lt;=70%,0.7,IF(DIST_DSL_TOT!$S8&gt;=150%,1.5,IF(DIST_DSL_TOT!$S8&gt;=140%,1.4,IF(DIST_DSL_TOT!$S8&gt;=130%,1.3,1))))))</f>
        <v>0.6</v>
      </c>
      <c r="BL6" s="723">
        <f>IF(DIST_DSL_TOT!$AB8&lt;=50%,0.5,IF(DIST_DSL_TOT!$AB8&lt;=60%,0.6,IF(DIST_DSL_TOT!$AB8&lt;=70%,0.7,IF(DIST_DSL_TOT!$AB8&gt;=150%,1.5,IF(DIST_DSL_TOT!$AB8&gt;=140%,1.4,IF(DIST_DSL_TOT!$AB8&gt;=130%,1.3,1))))))</f>
        <v>0.6</v>
      </c>
      <c r="BM6" s="723">
        <f>IF(DIST_DSL_TOT!$AB8&lt;=50%,0.5,IF(DIST_DSL_TOT!$AB8&lt;=60%,0.6,IF(DIST_DSL_TOT!$AB8&lt;=70%,0.7,IF(DIST_DSL_TOT!$AB8&gt;=150%,1.5,IF(DIST_DSL_TOT!$AB8&gt;=140%,1.4,IF(DIST_DSL_TOT!$AB8&gt;=130%,1.3,1))))))</f>
        <v>0.6</v>
      </c>
      <c r="BN6" s="723" t="e">
        <f>IF(DIST_DSL_TOT!$AT8&lt;=50%,0.5,IF(DIST_DSL_TOT!$AT8&lt;=60%,0.6,IF(DIST_DSL_TOT!$AT8&lt;=70%,0.7,IF(DIST_DSL_TOT!$AT8&gt;=150%,1.5,IF(DIST_DSL_TOT!$AT8&gt;=140%,1.4,IF(DIST_DSL_TOT!$AT8&gt;=130%,1.3,1))))))</f>
        <v>#DIV/0!</v>
      </c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540"/>
    </row>
    <row r="7" spans="1:144" s="530" customFormat="1" ht="15.75" thickBot="1">
      <c r="A7" s="78" t="s">
        <v>166</v>
      </c>
      <c r="B7" s="86">
        <v>1</v>
      </c>
      <c r="C7" s="84">
        <v>1</v>
      </c>
      <c r="D7" s="84">
        <v>1</v>
      </c>
      <c r="E7" s="84">
        <v>1</v>
      </c>
      <c r="F7" s="84">
        <v>1</v>
      </c>
      <c r="G7" s="529">
        <f>CORR_ALC!L8</f>
        <v>1.0534912634536575</v>
      </c>
      <c r="H7" s="529">
        <f>CORR_ALC!M8</f>
        <v>1.1302680357091033</v>
      </c>
      <c r="I7" s="529">
        <f>CORR_ALC!N8</f>
        <v>1.2021960614452325</v>
      </c>
      <c r="J7" s="529">
        <f>CORR_ALC!O8</f>
        <v>1.2485050649282003</v>
      </c>
      <c r="K7" s="529">
        <f>CORR_ALC!P8</f>
        <v>1.2097018124147791</v>
      </c>
      <c r="L7" s="529">
        <f>CORR_ALC!V8</f>
        <v>0.9500345781466113</v>
      </c>
      <c r="M7" s="529">
        <f>CORR_ALC!W8</f>
        <v>0.94952459208827322</v>
      </c>
      <c r="N7" s="529">
        <f>CORR_ALC!X8</f>
        <v>0.93367931008166072</v>
      </c>
      <c r="O7" s="529">
        <f>CORR_ALC!Y8</f>
        <v>0.92039355992844363</v>
      </c>
      <c r="P7" s="529">
        <f>CORR_ALC!Z8</f>
        <v>0.92763713080168775</v>
      </c>
      <c r="Q7" s="529">
        <f>CORR_DSL!L8</f>
        <v>1.0372143209548697</v>
      </c>
      <c r="R7" s="529">
        <f>CORR_DSL!M8</f>
        <v>1.0438668339229833</v>
      </c>
      <c r="S7" s="529">
        <f>CORR_DSL!N8</f>
        <v>1.0297162682615815</v>
      </c>
      <c r="T7" s="529">
        <f>CORR_DSL!O8</f>
        <v>1.0303689675257104</v>
      </c>
      <c r="U7" s="529">
        <f>CORR_DSL!P8</f>
        <v>1.0357762617589501</v>
      </c>
      <c r="V7" s="883">
        <f>CORR_DSL!V8</f>
        <v>0.95471626160934409</v>
      </c>
      <c r="W7" s="883">
        <f>CORR_DSL!W8</f>
        <v>0.94817120644036934</v>
      </c>
      <c r="X7" s="883">
        <f>CORR_DSL!X8</f>
        <v>0.95293119237557855</v>
      </c>
      <c r="Y7" s="883">
        <f>CORR_DSL!Y8</f>
        <v>0.94404329785026531</v>
      </c>
      <c r="Z7" s="883">
        <f>CORR_DSL!Z8</f>
        <v>0.94664731294922</v>
      </c>
      <c r="AA7" s="89">
        <f>CORR_DSL!AF8</f>
        <v>0.99557546723600765</v>
      </c>
      <c r="AB7" s="89">
        <f>CORR_DSL!AG8</f>
        <v>0.97824896633919889</v>
      </c>
      <c r="AC7" s="89">
        <f>CORR_DSL!AH8</f>
        <v>0.97866596727592281</v>
      </c>
      <c r="AD7" s="89">
        <f>CORR_DSL!AI8</f>
        <v>0.97491966227176208</v>
      </c>
      <c r="AE7" s="89">
        <f>CORR_DSL!AJ8</f>
        <v>0.97369072296151937</v>
      </c>
      <c r="AF7" s="883">
        <f>CORR_DSL!AP8</f>
        <v>0.99848753216741082</v>
      </c>
      <c r="AG7" s="883">
        <f>CORR_DSL!AQ8</f>
        <v>0.99914701828781172</v>
      </c>
      <c r="AH7" s="883">
        <f>CORR_DSL!AR8</f>
        <v>0.99980866338364061</v>
      </c>
      <c r="AI7" s="883">
        <f>CORR_DSL!AS8</f>
        <v>0.99980322131596955</v>
      </c>
      <c r="AJ7" s="883">
        <f>CORR_DSL!AT8</f>
        <v>0.9998804899810062</v>
      </c>
      <c r="AK7" s="89">
        <f>CORR_DSL!AZ8</f>
        <v>0.99742654726992286</v>
      </c>
      <c r="AL7" s="89">
        <f>CORR_DSL!BA8</f>
        <v>0.99971567276260387</v>
      </c>
      <c r="AM7" s="89">
        <f>CORR_DSL!BB8</f>
        <v>0.99990433169182025</v>
      </c>
      <c r="AN7" s="89">
        <f>CORR_DSL!BC8</f>
        <v>0.9998389992585206</v>
      </c>
      <c r="AO7" s="89">
        <f>CORR_DSL!BD8</f>
        <v>0.99989756284086251</v>
      </c>
      <c r="AP7" s="883">
        <f>CORR_DSL!BJ8</f>
        <v>0.98117316160627766</v>
      </c>
      <c r="AQ7" s="883">
        <f>CORR_DSL!BK8</f>
        <v>0.98263572943045296</v>
      </c>
      <c r="AR7" s="883">
        <f>CORR_DSL!BL8</f>
        <v>0.97742227926958647</v>
      </c>
      <c r="AS7" s="883">
        <f>CORR_DSL!BM8</f>
        <v>0.97769245281946315</v>
      </c>
      <c r="AT7" s="883">
        <f>CORR_DSL!BN8</f>
        <v>0.97676383773564435</v>
      </c>
      <c r="AU7" s="531">
        <f>AGRO_DSL!E9</f>
        <v>0.91209535274659082</v>
      </c>
      <c r="AV7" s="531">
        <f>AGRO_DSL!F9</f>
        <v>0.91903055016057245</v>
      </c>
      <c r="AW7" s="531">
        <f>AGRO_DSL!G9</f>
        <v>0.92823363017244997</v>
      </c>
      <c r="AX7" s="531">
        <f>AGRO_DSL!H9</f>
        <v>0.93307687004517292</v>
      </c>
      <c r="AY7" s="531">
        <f>AGRO_DSL!I9</f>
        <v>0.93671867361102645</v>
      </c>
      <c r="AZ7" s="888">
        <f>FERRO_DSL!P25</f>
        <v>0.99339576372338401</v>
      </c>
      <c r="BA7" s="888">
        <f>FERRO_DSL!Q25</f>
        <v>0.99376265202150604</v>
      </c>
      <c r="BB7" s="888">
        <f>FERRO_DSL!R25</f>
        <v>0.99417397410008868</v>
      </c>
      <c r="BC7" s="888">
        <f>FERRO_DSL!S25</f>
        <v>0.99429678562698387</v>
      </c>
      <c r="BD7" s="888"/>
      <c r="BE7" s="93">
        <f>HIDRO_DSL!E9</f>
        <v>0.96837275056779293</v>
      </c>
      <c r="BF7" s="93">
        <f>HIDRO_DSL!F9</f>
        <v>0.96906964086727276</v>
      </c>
      <c r="BG7" s="93">
        <f>HIDRO_DSL!G9</f>
        <v>0.97713820850355537</v>
      </c>
      <c r="BH7" s="93">
        <f>HIDRO_DSL!H9</f>
        <v>0.97832520355976493</v>
      </c>
      <c r="BI7" s="93">
        <f>HIDRO_DSL!I9</f>
        <v>0.98051938873460986</v>
      </c>
      <c r="BJ7" s="723">
        <f>IF(DIST_DSL_TOT!$J9&lt;=50%,0.5,IF(DIST_DSL_TOT!$J9&lt;=60%,0.6,IF(DIST_DSL_TOT!$J9&lt;=70%,0.7,IF(DIST_DSL_TOT!$J9&gt;=150%,1.5,IF(DIST_DSL_TOT!$J9&gt;=140%,1.4,IF(DIST_DSL_TOT!$J9&gt;=130%,1.3,1))))))</f>
        <v>1</v>
      </c>
      <c r="BK7" s="723">
        <f>IF(DIST_DSL_TOT!$S9&lt;=50%,0.5,IF(DIST_DSL_TOT!$S9&lt;=60%,0.6,IF(DIST_DSL_TOT!$S9&lt;=70%,0.7,IF(DIST_DSL_TOT!$S9&gt;=150%,1.5,IF(DIST_DSL_TOT!$S9&gt;=140%,1.4,IF(DIST_DSL_TOT!$S9&gt;=130%,1.3,1))))))</f>
        <v>1</v>
      </c>
      <c r="BL7" s="723">
        <f>IF(DIST_DSL_TOT!$AB9&lt;=50%,0.5,IF(DIST_DSL_TOT!$AB9&lt;=60%,0.6,IF(DIST_DSL_TOT!$AB9&lt;=70%,0.7,IF(DIST_DSL_TOT!$AB9&gt;=150%,1.5,IF(DIST_DSL_TOT!$AB9&gt;=140%,1.4,IF(DIST_DSL_TOT!$AB9&gt;=130%,1.3,1))))))</f>
        <v>1</v>
      </c>
      <c r="BM7" s="723">
        <f>IF(DIST_DSL_TOT!$AB9&lt;=50%,0.5,IF(DIST_DSL_TOT!$AB9&lt;=60%,0.6,IF(DIST_DSL_TOT!$AB9&lt;=70%,0.7,IF(DIST_DSL_TOT!$AB9&gt;=150%,1.5,IF(DIST_DSL_TOT!$AB9&gt;=140%,1.4,IF(DIST_DSL_TOT!$AB9&gt;=130%,1.3,1))))))</f>
        <v>1</v>
      </c>
      <c r="BN7" s="723" t="e">
        <f>IF(DIST_DSL_TOT!$AT9&lt;=50%,0.5,IF(DIST_DSL_TOT!$AT9&lt;=60%,0.6,IF(DIST_DSL_TOT!$AT9&lt;=70%,0.7,IF(DIST_DSL_TOT!$AT9&gt;=150%,1.5,IF(DIST_DSL_TOT!$AT9&gt;=140%,1.4,IF(DIST_DSL_TOT!$AT9&gt;=130%,1.3,1))))))</f>
        <v>#DIV/0!</v>
      </c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540"/>
    </row>
    <row r="8" spans="1:144" s="530" customFormat="1" ht="15.75" thickBot="1">
      <c r="A8" s="78" t="s">
        <v>167</v>
      </c>
      <c r="B8" s="86">
        <v>1</v>
      </c>
      <c r="C8" s="84">
        <v>1</v>
      </c>
      <c r="D8" s="84">
        <v>1</v>
      </c>
      <c r="E8" s="84">
        <v>1</v>
      </c>
      <c r="F8" s="84">
        <v>1</v>
      </c>
      <c r="G8" s="529">
        <f>CORR_ALC!L9</f>
        <v>1.0534912634536575</v>
      </c>
      <c r="H8" s="529">
        <f>CORR_ALC!M9</f>
        <v>1.1302680357091033</v>
      </c>
      <c r="I8" s="529">
        <f>CORR_ALC!N9</f>
        <v>1.2021960614452327</v>
      </c>
      <c r="J8" s="529">
        <f>CORR_ALC!O9</f>
        <v>1.2485050649282001</v>
      </c>
      <c r="K8" s="529">
        <f>CORR_ALC!P9</f>
        <v>1.2097018124147791</v>
      </c>
      <c r="L8" s="529">
        <f>CORR_ALC!V9</f>
        <v>0.9500345781466113</v>
      </c>
      <c r="M8" s="529">
        <f>CORR_ALC!W9</f>
        <v>0.94952459208827322</v>
      </c>
      <c r="N8" s="529">
        <f>CORR_ALC!X9</f>
        <v>0.93367931008166072</v>
      </c>
      <c r="O8" s="529">
        <f>CORR_ALC!Y9</f>
        <v>0.92039355992844363</v>
      </c>
      <c r="P8" s="529">
        <f>CORR_ALC!Z9</f>
        <v>0.92763713080168775</v>
      </c>
      <c r="Q8" s="529">
        <f>CORR_DSL!L9</f>
        <v>1.0372143209548697</v>
      </c>
      <c r="R8" s="529">
        <f>CORR_DSL!M9</f>
        <v>1.0438668339229833</v>
      </c>
      <c r="S8" s="529">
        <f>CORR_DSL!N9</f>
        <v>1.0297162682615815</v>
      </c>
      <c r="T8" s="529">
        <f>CORR_DSL!O9</f>
        <v>1.0303689675257104</v>
      </c>
      <c r="U8" s="529">
        <f>CORR_DSL!P9</f>
        <v>1.0357762617589499</v>
      </c>
      <c r="V8" s="883">
        <f>CORR_DSL!V9</f>
        <v>0.95471626160934409</v>
      </c>
      <c r="W8" s="883">
        <f>CORR_DSL!W9</f>
        <v>0.94817120644036934</v>
      </c>
      <c r="X8" s="883">
        <f>CORR_DSL!X9</f>
        <v>0.95293119237557855</v>
      </c>
      <c r="Y8" s="883">
        <f>CORR_DSL!Y9</f>
        <v>0.94404329785026531</v>
      </c>
      <c r="Z8" s="883">
        <f>CORR_DSL!Z9</f>
        <v>0.94664731294922</v>
      </c>
      <c r="AA8" s="89">
        <f>CORR_DSL!AF9</f>
        <v>0.99557546723600765</v>
      </c>
      <c r="AB8" s="89">
        <f>CORR_DSL!AG9</f>
        <v>0.97824896633919889</v>
      </c>
      <c r="AC8" s="89">
        <f>CORR_DSL!AH9</f>
        <v>0.97866596727592281</v>
      </c>
      <c r="AD8" s="89">
        <f>CORR_DSL!AI9</f>
        <v>0.97491966227176208</v>
      </c>
      <c r="AE8" s="89">
        <f>CORR_DSL!AJ9</f>
        <v>0.97369072296151937</v>
      </c>
      <c r="AF8" s="883">
        <f>CORR_DSL!AP9</f>
        <v>0.99848753216741082</v>
      </c>
      <c r="AG8" s="883">
        <f>CORR_DSL!AQ9</f>
        <v>0.99914701828781172</v>
      </c>
      <c r="AH8" s="883">
        <f>CORR_DSL!AR9</f>
        <v>0.99980866338364061</v>
      </c>
      <c r="AI8" s="883">
        <f>CORR_DSL!AS9</f>
        <v>0.99980322131596955</v>
      </c>
      <c r="AJ8" s="883">
        <f>CORR_DSL!AT9</f>
        <v>0.9998804899810062</v>
      </c>
      <c r="AK8" s="89">
        <f>CORR_DSL!AZ9</f>
        <v>0.99742654726992286</v>
      </c>
      <c r="AL8" s="89">
        <f>CORR_DSL!BA9</f>
        <v>0.99971567276260387</v>
      </c>
      <c r="AM8" s="89">
        <f>CORR_DSL!BB9</f>
        <v>0.99990433169182025</v>
      </c>
      <c r="AN8" s="89">
        <f>CORR_DSL!BC9</f>
        <v>0.9998389992585206</v>
      </c>
      <c r="AO8" s="89">
        <f>CORR_DSL!BD9</f>
        <v>0.99989756284086251</v>
      </c>
      <c r="AP8" s="883">
        <f>CORR_DSL!BJ9</f>
        <v>0.98117316160627766</v>
      </c>
      <c r="AQ8" s="883">
        <f>CORR_DSL!BK9</f>
        <v>0.98263572943045296</v>
      </c>
      <c r="AR8" s="883">
        <f>CORR_DSL!BL9</f>
        <v>0.97742227926958647</v>
      </c>
      <c r="AS8" s="883">
        <f>CORR_DSL!BM9</f>
        <v>0.97769245281946315</v>
      </c>
      <c r="AT8" s="883">
        <f>CORR_DSL!BN9</f>
        <v>0.97676383773564435</v>
      </c>
      <c r="AU8" s="531">
        <f>AGRO_DSL!E10</f>
        <v>0.93449826588381257</v>
      </c>
      <c r="AV8" s="531">
        <f>AGRO_DSL!F10</f>
        <v>0.93739182383466702</v>
      </c>
      <c r="AW8" s="531">
        <f>AGRO_DSL!G10</f>
        <v>0.93965245694954525</v>
      </c>
      <c r="AX8" s="531">
        <f>AGRO_DSL!H10</f>
        <v>0.93697606913128884</v>
      </c>
      <c r="AY8" s="531">
        <f>AGRO_DSL!I10</f>
        <v>0.93738436273435688</v>
      </c>
      <c r="AZ8" s="888">
        <v>1</v>
      </c>
      <c r="BA8" s="888">
        <v>1</v>
      </c>
      <c r="BB8" s="888">
        <v>1</v>
      </c>
      <c r="BC8" s="888">
        <v>1</v>
      </c>
      <c r="BD8" s="888"/>
      <c r="BE8" s="93">
        <f>HIDRO_DSL!E10</f>
        <v>0.988973352012812</v>
      </c>
      <c r="BF8" s="93">
        <f>HIDRO_DSL!F10</f>
        <v>0.98880984888901435</v>
      </c>
      <c r="BG8" s="93">
        <f>HIDRO_DSL!G10</f>
        <v>0.99100523133082974</v>
      </c>
      <c r="BH8" s="93">
        <f>HIDRO_DSL!H10</f>
        <v>0.99044951570954143</v>
      </c>
      <c r="BI8" s="93">
        <f>HIDRO_DSL!I10</f>
        <v>0.99098115473178272</v>
      </c>
      <c r="BJ8" s="723">
        <f>IF(DIST_DSL_TOT!$J10&lt;=50%,0.5,IF(DIST_DSL_TOT!$J10&lt;=60%,0.6,IF(DIST_DSL_TOT!$J10&lt;=70%,0.7,IF(DIST_DSL_TOT!$J10&gt;=150%,1.5,IF(DIST_DSL_TOT!$J10&gt;=140%,1.4,IF(DIST_DSL_TOT!$J10&gt;=130%,1.3,1))))))</f>
        <v>1</v>
      </c>
      <c r="BK8" s="723">
        <f>IF(DIST_DSL_TOT!$S10&lt;=50%,0.5,IF(DIST_DSL_TOT!$S10&lt;=60%,0.6,IF(DIST_DSL_TOT!$S10&lt;=70%,0.7,IF(DIST_DSL_TOT!$S10&gt;=150%,1.5,IF(DIST_DSL_TOT!$S10&gt;=140%,1.4,IF(DIST_DSL_TOT!$S10&gt;=130%,1.3,1))))))</f>
        <v>1</v>
      </c>
      <c r="BL8" s="723">
        <f>IF(DIST_DSL_TOT!$AB10&lt;=50%,0.5,IF(DIST_DSL_TOT!$AB10&lt;=60%,0.6,IF(DIST_DSL_TOT!$AB10&lt;=70%,0.7,IF(DIST_DSL_TOT!$AB10&gt;=150%,1.5,IF(DIST_DSL_TOT!$AB10&gt;=140%,1.4,IF(DIST_DSL_TOT!$AB10&gt;=130%,1.3,1))))))</f>
        <v>1</v>
      </c>
      <c r="BM8" s="723">
        <f>IF(DIST_DSL_TOT!$AB10&lt;=50%,0.5,IF(DIST_DSL_TOT!$AB10&lt;=60%,0.6,IF(DIST_DSL_TOT!$AB10&lt;=70%,0.7,IF(DIST_DSL_TOT!$AB10&gt;=150%,1.5,IF(DIST_DSL_TOT!$AB10&gt;=140%,1.4,IF(DIST_DSL_TOT!$AB10&gt;=130%,1.3,1))))))</f>
        <v>1</v>
      </c>
      <c r="BN8" s="723" t="e">
        <f>IF(DIST_DSL_TOT!$AT10&lt;=50%,0.5,IF(DIST_DSL_TOT!$AT10&lt;=60%,0.6,IF(DIST_DSL_TOT!$AT10&lt;=70%,0.7,IF(DIST_DSL_TOT!$AT10&gt;=150%,1.5,IF(DIST_DSL_TOT!$AT10&gt;=140%,1.4,IF(DIST_DSL_TOT!$AT10&gt;=130%,1.3,1))))))</f>
        <v>#DIV/0!</v>
      </c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540"/>
    </row>
    <row r="9" spans="1:144" s="530" customFormat="1" ht="15.75" thickBot="1">
      <c r="A9" s="78" t="s">
        <v>168</v>
      </c>
      <c r="B9" s="86">
        <v>1</v>
      </c>
      <c r="C9" s="84">
        <v>1</v>
      </c>
      <c r="D9" s="84">
        <v>1</v>
      </c>
      <c r="E9" s="84">
        <v>1</v>
      </c>
      <c r="F9" s="84">
        <v>1</v>
      </c>
      <c r="G9" s="529">
        <f>CORR_ALC!L10</f>
        <v>1.0534912634536575</v>
      </c>
      <c r="H9" s="529">
        <f>CORR_ALC!M10</f>
        <v>1.1302680357091033</v>
      </c>
      <c r="I9" s="529">
        <f>CORR_ALC!N10</f>
        <v>1.2021960614452325</v>
      </c>
      <c r="J9" s="529">
        <f>CORR_ALC!O10</f>
        <v>1.2485050649282001</v>
      </c>
      <c r="K9" s="529">
        <f>CORR_ALC!P10</f>
        <v>1.2097018124147791</v>
      </c>
      <c r="L9" s="529">
        <f>CORR_ALC!V10</f>
        <v>0.9500345781466113</v>
      </c>
      <c r="M9" s="529">
        <f>CORR_ALC!W10</f>
        <v>0.94952459208827322</v>
      </c>
      <c r="N9" s="529">
        <f>CORR_ALC!X10</f>
        <v>0.93367931008166072</v>
      </c>
      <c r="O9" s="529">
        <f>CORR_ALC!Y10</f>
        <v>0.92039355992844363</v>
      </c>
      <c r="P9" s="529">
        <f>CORR_ALC!Z10</f>
        <v>0.92763713080168775</v>
      </c>
      <c r="Q9" s="529">
        <f>CORR_DSL!L10</f>
        <v>1.0372143209548697</v>
      </c>
      <c r="R9" s="529">
        <f>CORR_DSL!M10</f>
        <v>1.0438668339229833</v>
      </c>
      <c r="S9" s="529">
        <f>CORR_DSL!N10</f>
        <v>1.0297162682615815</v>
      </c>
      <c r="T9" s="529">
        <f>CORR_DSL!O10</f>
        <v>1.0303689675257104</v>
      </c>
      <c r="U9" s="529">
        <f>CORR_DSL!P10</f>
        <v>1.0357762617589501</v>
      </c>
      <c r="V9" s="883">
        <f>CORR_DSL!V10</f>
        <v>0.95471626160934409</v>
      </c>
      <c r="W9" s="883">
        <f>CORR_DSL!W10</f>
        <v>0.94817120644036945</v>
      </c>
      <c r="X9" s="883">
        <f>CORR_DSL!X10</f>
        <v>0.95293119237557855</v>
      </c>
      <c r="Y9" s="883">
        <f>CORR_DSL!Y10</f>
        <v>0.9440432978502652</v>
      </c>
      <c r="Z9" s="883">
        <f>CORR_DSL!Z10</f>
        <v>0.94664731294922</v>
      </c>
      <c r="AA9" s="89">
        <f>CORR_DSL!AF10</f>
        <v>0.99557546723600765</v>
      </c>
      <c r="AB9" s="89">
        <f>CORR_DSL!AG10</f>
        <v>0.97824896633919889</v>
      </c>
      <c r="AC9" s="89">
        <f>CORR_DSL!AH10</f>
        <v>0.97866596727592281</v>
      </c>
      <c r="AD9" s="89">
        <f>CORR_DSL!AI10</f>
        <v>0.97491966227176208</v>
      </c>
      <c r="AE9" s="89">
        <f>CORR_DSL!AJ10</f>
        <v>0.97369072296151937</v>
      </c>
      <c r="AF9" s="883">
        <f>CORR_DSL!AP10</f>
        <v>0.99848753216741082</v>
      </c>
      <c r="AG9" s="883">
        <f>CORR_DSL!AQ10</f>
        <v>0.99914701828781172</v>
      </c>
      <c r="AH9" s="883">
        <f>CORR_DSL!AR10</f>
        <v>0.99980866338364061</v>
      </c>
      <c r="AI9" s="883">
        <f>CORR_DSL!AS10</f>
        <v>0.99980322131596955</v>
      </c>
      <c r="AJ9" s="883">
        <f>CORR_DSL!AT10</f>
        <v>0.9998804899810062</v>
      </c>
      <c r="AK9" s="89">
        <f>CORR_DSL!AZ10</f>
        <v>0.99742654726992286</v>
      </c>
      <c r="AL9" s="89">
        <f>CORR_DSL!BA10</f>
        <v>0.99971567276260387</v>
      </c>
      <c r="AM9" s="89">
        <f>CORR_DSL!BB10</f>
        <v>0.99990433169182025</v>
      </c>
      <c r="AN9" s="89">
        <f>CORR_DSL!BC10</f>
        <v>0.9998389992585206</v>
      </c>
      <c r="AO9" s="89">
        <f>CORR_DSL!BD10</f>
        <v>0.99989756284086251</v>
      </c>
      <c r="AP9" s="883">
        <f>CORR_DSL!BJ10</f>
        <v>0.98117316160627766</v>
      </c>
      <c r="AQ9" s="883">
        <f>CORR_DSL!BK10</f>
        <v>0.98263572943045296</v>
      </c>
      <c r="AR9" s="883">
        <f>CORR_DSL!BL10</f>
        <v>0.97742227926958647</v>
      </c>
      <c r="AS9" s="883">
        <f>CORR_DSL!BM10</f>
        <v>0.97769245281946315</v>
      </c>
      <c r="AT9" s="883">
        <f>CORR_DSL!BN10</f>
        <v>0.97676383773564435</v>
      </c>
      <c r="AU9" s="531">
        <f>AGRO_DSL!E11</f>
        <v>0.95466054309138437</v>
      </c>
      <c r="AV9" s="531">
        <f>AGRO_DSL!F11</f>
        <v>0.97658803258975591</v>
      </c>
      <c r="AW9" s="531">
        <f>AGRO_DSL!G11</f>
        <v>0.96176291419704585</v>
      </c>
      <c r="AX9" s="531">
        <f>AGRO_DSL!H11</f>
        <v>0.96024412182094854</v>
      </c>
      <c r="AY9" s="531">
        <f>AGRO_DSL!I11</f>
        <v>0.9662687148598067</v>
      </c>
      <c r="AZ9" s="888">
        <v>1</v>
      </c>
      <c r="BA9" s="888">
        <v>1</v>
      </c>
      <c r="BB9" s="888">
        <v>1</v>
      </c>
      <c r="BC9" s="888">
        <v>1</v>
      </c>
      <c r="BD9" s="888"/>
      <c r="BE9" s="93">
        <f>HIDRO_DSL!E11</f>
        <v>0.82708565158039959</v>
      </c>
      <c r="BF9" s="93">
        <f>HIDRO_DSL!F11</f>
        <v>0.90520033214213902</v>
      </c>
      <c r="BG9" s="93">
        <f>HIDRO_DSL!G11</f>
        <v>0.87088425751621534</v>
      </c>
      <c r="BH9" s="93">
        <f>HIDRO_DSL!H11</f>
        <v>0.86351489293179906</v>
      </c>
      <c r="BI9" s="93">
        <f>HIDRO_DSL!I11</f>
        <v>0.8899309989248444</v>
      </c>
      <c r="BJ9" s="723">
        <f>IF(DIST_DSL_TOT!$J11&lt;=50%,0.5,IF(DIST_DSL_TOT!$J11&lt;=60%,0.6,IF(DIST_DSL_TOT!$J11&lt;=70%,0.7,IF(DIST_DSL_TOT!$J11&gt;=150%,1.5,IF(DIST_DSL_TOT!$J11&gt;=140%,1.4,IF(DIST_DSL_TOT!$J11&gt;=130%,1.3,1))))))</f>
        <v>1.4</v>
      </c>
      <c r="BK9" s="723">
        <f>IF(DIST_DSL_TOT!$S11&lt;=50%,0.5,IF(DIST_DSL_TOT!$S11&lt;=60%,0.6,IF(DIST_DSL_TOT!$S11&lt;=70%,0.7,IF(DIST_DSL_TOT!$S11&gt;=150%,1.5,IF(DIST_DSL_TOT!$S11&gt;=140%,1.4,IF(DIST_DSL_TOT!$S11&gt;=130%,1.3,1))))))</f>
        <v>1</v>
      </c>
      <c r="BL9" s="723">
        <f>IF(DIST_DSL_TOT!$AB11&lt;=50%,0.5,IF(DIST_DSL_TOT!$AB11&lt;=60%,0.6,IF(DIST_DSL_TOT!$AB11&lt;=70%,0.7,IF(DIST_DSL_TOT!$AB11&gt;=150%,1.5,IF(DIST_DSL_TOT!$AB11&gt;=140%,1.4,IF(DIST_DSL_TOT!$AB11&gt;=130%,1.3,1))))))</f>
        <v>1.4</v>
      </c>
      <c r="BM9" s="723">
        <f>IF(DIST_DSL_TOT!$AB11&lt;=50%,0.5,IF(DIST_DSL_TOT!$AB11&lt;=60%,0.6,IF(DIST_DSL_TOT!$AB11&lt;=70%,0.7,IF(DIST_DSL_TOT!$AB11&gt;=150%,1.5,IF(DIST_DSL_TOT!$AB11&gt;=140%,1.4,IF(DIST_DSL_TOT!$AB11&gt;=130%,1.3,1))))))</f>
        <v>1.4</v>
      </c>
      <c r="BN9" s="723" t="e">
        <f>IF(DIST_DSL_TOT!$AT11&lt;=50%,0.5,IF(DIST_DSL_TOT!$AT11&lt;=60%,0.6,IF(DIST_DSL_TOT!$AT11&lt;=70%,0.7,IF(DIST_DSL_TOT!$AT11&gt;=150%,1.5,IF(DIST_DSL_TOT!$AT11&gt;=140%,1.4,IF(DIST_DSL_TOT!$AT11&gt;=130%,1.3,1))))))</f>
        <v>#DIV/0!</v>
      </c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540"/>
    </row>
    <row r="10" spans="1:144" s="533" customFormat="1" ht="15.75" thickBot="1">
      <c r="A10" s="79" t="s">
        <v>169</v>
      </c>
      <c r="B10" s="87">
        <v>1</v>
      </c>
      <c r="C10" s="88">
        <v>1</v>
      </c>
      <c r="D10" s="88">
        <v>1</v>
      </c>
      <c r="E10" s="88">
        <v>1</v>
      </c>
      <c r="F10" s="88">
        <v>1</v>
      </c>
      <c r="G10" s="529">
        <f>CORR_ALC!L11</f>
        <v>1.0534912634536575</v>
      </c>
      <c r="H10" s="529">
        <f>CORR_ALC!M11</f>
        <v>1.1302680357091031</v>
      </c>
      <c r="I10" s="529">
        <f>CORR_ALC!N11</f>
        <v>1.2021960614452325</v>
      </c>
      <c r="J10" s="529">
        <f>CORR_ALC!O11</f>
        <v>1.2485050649282003</v>
      </c>
      <c r="K10" s="529">
        <f>CORR_ALC!P11</f>
        <v>1.2097018124147791</v>
      </c>
      <c r="L10" s="529">
        <f>CORR_ALC!V11</f>
        <v>0.9500345781466113</v>
      </c>
      <c r="M10" s="529">
        <f>CORR_ALC!W11</f>
        <v>0.94952459208827322</v>
      </c>
      <c r="N10" s="529">
        <f>CORR_ALC!X11</f>
        <v>0.93367931008166072</v>
      </c>
      <c r="O10" s="529">
        <f>CORR_ALC!Y11</f>
        <v>0.92039355992844363</v>
      </c>
      <c r="P10" s="529">
        <f>CORR_ALC!Z11</f>
        <v>0.92763713080168775</v>
      </c>
      <c r="Q10" s="532">
        <f>CORR_DSL!L11</f>
        <v>1.0372143209548697</v>
      </c>
      <c r="R10" s="532">
        <f>CORR_DSL!M11</f>
        <v>1.0438668339229833</v>
      </c>
      <c r="S10" s="532">
        <f>CORR_DSL!N11</f>
        <v>1.0297162682615815</v>
      </c>
      <c r="T10" s="532">
        <f>CORR_DSL!O11</f>
        <v>1.0303689675257104</v>
      </c>
      <c r="U10" s="532">
        <f>CORR_DSL!P11</f>
        <v>1.0357762617589501</v>
      </c>
      <c r="V10" s="883">
        <f>CORR_DSL!V11</f>
        <v>0.95471626160934409</v>
      </c>
      <c r="W10" s="883">
        <f>CORR_DSL!W11</f>
        <v>0.94817120644036934</v>
      </c>
      <c r="X10" s="883">
        <f>CORR_DSL!X11</f>
        <v>0.95293119237557855</v>
      </c>
      <c r="Y10" s="883">
        <f>CORR_DSL!Y11</f>
        <v>0.94404329785026531</v>
      </c>
      <c r="Z10" s="883">
        <f>CORR_DSL!Z11</f>
        <v>0.94664731294922</v>
      </c>
      <c r="AA10" s="89">
        <f>CORR_DSL!AF11</f>
        <v>0.99557546723600765</v>
      </c>
      <c r="AB10" s="89">
        <f>CORR_DSL!AG11</f>
        <v>0.97824896633919889</v>
      </c>
      <c r="AC10" s="89">
        <f>CORR_DSL!AH11</f>
        <v>0.97866596727592281</v>
      </c>
      <c r="AD10" s="89">
        <f>CORR_DSL!AI11</f>
        <v>0.97491966227176208</v>
      </c>
      <c r="AE10" s="89">
        <f>CORR_DSL!AJ11</f>
        <v>0.97369072296151937</v>
      </c>
      <c r="AF10" s="883">
        <f>CORR_DSL!AP11</f>
        <v>0.99848753216741082</v>
      </c>
      <c r="AG10" s="883">
        <f>CORR_DSL!AQ11</f>
        <v>0.99914701828781172</v>
      </c>
      <c r="AH10" s="883">
        <f>CORR_DSL!AR11</f>
        <v>0.99980866338364061</v>
      </c>
      <c r="AI10" s="883">
        <f>CORR_DSL!AS11</f>
        <v>0.99980322131596955</v>
      </c>
      <c r="AJ10" s="883">
        <f>CORR_DSL!AT11</f>
        <v>0.9998804899810062</v>
      </c>
      <c r="AK10" s="89">
        <f>CORR_DSL!AZ11</f>
        <v>0.99742654726992286</v>
      </c>
      <c r="AL10" s="89">
        <f>CORR_DSL!BA11</f>
        <v>0.99971567276260387</v>
      </c>
      <c r="AM10" s="89">
        <f>CORR_DSL!BB11</f>
        <v>0.99990433169182025</v>
      </c>
      <c r="AN10" s="89">
        <f>CORR_DSL!BC11</f>
        <v>0.9998389992585206</v>
      </c>
      <c r="AO10" s="89">
        <f>CORR_DSL!BD11</f>
        <v>0.99989756284086251</v>
      </c>
      <c r="AP10" s="883">
        <f>CORR_DSL!BJ11</f>
        <v>0.98117316160627766</v>
      </c>
      <c r="AQ10" s="883">
        <f>CORR_DSL!BK11</f>
        <v>0.98263572943045296</v>
      </c>
      <c r="AR10" s="883">
        <f>CORR_DSL!BL11</f>
        <v>0.97742227926958647</v>
      </c>
      <c r="AS10" s="883">
        <f>CORR_DSL!BM11</f>
        <v>0.97769245281946315</v>
      </c>
      <c r="AT10" s="883">
        <f>CORR_DSL!BN11</f>
        <v>0.97676383773564435</v>
      </c>
      <c r="AU10" s="531">
        <f>AGRO_DSL!E12</f>
        <v>0.85397599942078883</v>
      </c>
      <c r="AV10" s="531">
        <f>AGRO_DSL!F12</f>
        <v>0.86749623682155619</v>
      </c>
      <c r="AW10" s="531">
        <f>AGRO_DSL!G12</f>
        <v>0.87526411098329371</v>
      </c>
      <c r="AX10" s="531">
        <f>AGRO_DSL!H12</f>
        <v>0.88331555696850395</v>
      </c>
      <c r="AY10" s="531">
        <f>AGRO_DSL!I12</f>
        <v>0.89455494744837494</v>
      </c>
      <c r="AZ10" s="889">
        <v>1</v>
      </c>
      <c r="BA10" s="889">
        <v>1</v>
      </c>
      <c r="BB10" s="889">
        <v>1</v>
      </c>
      <c r="BC10" s="889">
        <v>1</v>
      </c>
      <c r="BD10" s="889"/>
      <c r="BE10" s="93">
        <f>HIDRO_DSL!E12</f>
        <v>0.96693427273276278</v>
      </c>
      <c r="BF10" s="93">
        <f>HIDRO_DSL!F12</f>
        <v>0.96814363377281853</v>
      </c>
      <c r="BG10" s="93">
        <f>HIDRO_DSL!G12</f>
        <v>0.9749916547646218</v>
      </c>
      <c r="BH10" s="93">
        <f>HIDRO_DSL!H12</f>
        <v>0.97621539249170775</v>
      </c>
      <c r="BI10" s="93">
        <f>HIDRO_DSL!I12</f>
        <v>0.97957051292988884</v>
      </c>
      <c r="BJ10" s="723">
        <f>IF(DIST_DSL_TOT!$J12&lt;=50%,0.5,IF(DIST_DSL_TOT!$J12&lt;=60%,0.6,IF(DIST_DSL_TOT!$J12&lt;=70%,0.7,IF(DIST_DSL_TOT!$J12&gt;=150%,1.5,IF(DIST_DSL_TOT!$J12&gt;=140%,1.4,IF(DIST_DSL_TOT!$J12&gt;=130%,1.3,1))))))</f>
        <v>1</v>
      </c>
      <c r="BK10" s="723">
        <f>IF(DIST_DSL_TOT!$S12&lt;=50%,0.5,IF(DIST_DSL_TOT!$S12&lt;=60%,0.6,IF(DIST_DSL_TOT!$S12&lt;=70%,0.7,IF(DIST_DSL_TOT!$S12&gt;=150%,1.5,IF(DIST_DSL_TOT!$S12&gt;=140%,1.4,IF(DIST_DSL_TOT!$S12&gt;=130%,1.3,1))))))</f>
        <v>1</v>
      </c>
      <c r="BL10" s="723">
        <f>IF(DIST_DSL_TOT!$AB12&lt;=50%,0.5,IF(DIST_DSL_TOT!$AB12&lt;=60%,0.6,IF(DIST_DSL_TOT!$AB12&lt;=70%,0.7,IF(DIST_DSL_TOT!$AB12&gt;=150%,1.5,IF(DIST_DSL_TOT!$AB12&gt;=140%,1.4,IF(DIST_DSL_TOT!$AB12&gt;=130%,1.3,1))))))</f>
        <v>1</v>
      </c>
      <c r="BM10" s="723">
        <f>IF(DIST_DSL_TOT!$AB12&lt;=50%,0.5,IF(DIST_DSL_TOT!$AB12&lt;=60%,0.6,IF(DIST_DSL_TOT!$AB12&lt;=70%,0.7,IF(DIST_DSL_TOT!$AB12&gt;=150%,1.5,IF(DIST_DSL_TOT!$AB12&gt;=140%,1.4,IF(DIST_DSL_TOT!$AB12&gt;=130%,1.3,1))))))</f>
        <v>1</v>
      </c>
      <c r="BN10" s="723" t="e">
        <f>IF(DIST_DSL_TOT!$AT12&lt;=50%,0.5,IF(DIST_DSL_TOT!$AT12&lt;=60%,0.6,IF(DIST_DSL_TOT!$AT12&lt;=70%,0.7,IF(DIST_DSL_TOT!$AT12&gt;=150%,1.5,IF(DIST_DSL_TOT!$AT12&gt;=140%,1.4,IF(DIST_DSL_TOT!$AT12&gt;=130%,1.3,1))))))</f>
        <v>#DIV/0!</v>
      </c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541"/>
    </row>
    <row r="11" spans="1:144" ht="15.75" thickBot="1">
      <c r="B11" s="544"/>
      <c r="G11" s="534"/>
      <c r="H11" s="534"/>
      <c r="I11" s="534"/>
      <c r="J11" s="534"/>
      <c r="K11" s="534"/>
      <c r="L11" s="534"/>
      <c r="M11" s="534"/>
      <c r="N11" s="534"/>
      <c r="O11" s="534"/>
      <c r="P11" s="534"/>
      <c r="Q11" s="534"/>
      <c r="R11" s="534"/>
      <c r="S11" s="534"/>
      <c r="T11" s="534"/>
      <c r="U11" s="534"/>
      <c r="V11" s="884"/>
      <c r="W11" s="884"/>
      <c r="X11" s="884"/>
      <c r="Y11" s="884"/>
      <c r="Z11" s="884"/>
      <c r="AA11" s="534"/>
      <c r="AB11" s="534"/>
      <c r="AC11" s="534"/>
      <c r="AD11" s="534"/>
      <c r="AE11" s="534"/>
      <c r="AF11" s="884"/>
      <c r="AG11" s="884"/>
      <c r="AH11" s="884"/>
      <c r="AI11" s="884"/>
      <c r="AJ11" s="884"/>
      <c r="AK11" s="534"/>
      <c r="AL11" s="534"/>
      <c r="AM11" s="534"/>
      <c r="AN11" s="534"/>
      <c r="AO11" s="534"/>
      <c r="AP11" s="884"/>
      <c r="AQ11" s="884"/>
      <c r="AR11" s="884"/>
      <c r="AS11" s="884"/>
      <c r="AT11" s="884"/>
      <c r="AU11" s="535"/>
      <c r="AV11" s="535"/>
      <c r="AW11" s="535"/>
      <c r="AX11" s="535"/>
      <c r="AY11" s="535"/>
      <c r="BE11" s="536"/>
      <c r="BF11" s="536"/>
      <c r="BG11" s="536"/>
      <c r="BH11" s="536"/>
      <c r="BI11" s="545"/>
      <c r="BJ11" s="723"/>
      <c r="BK11" s="723"/>
      <c r="BL11" s="723"/>
      <c r="BM11" s="723"/>
      <c r="BN11" s="723"/>
    </row>
    <row r="12" spans="1:144" s="330" customFormat="1" ht="15.75" thickBot="1">
      <c r="A12" s="77" t="s">
        <v>170</v>
      </c>
      <c r="B12" s="83">
        <v>1</v>
      </c>
      <c r="C12" s="85">
        <v>1</v>
      </c>
      <c r="D12" s="85">
        <v>1</v>
      </c>
      <c r="E12" s="85">
        <v>1</v>
      </c>
      <c r="F12" s="85">
        <v>1</v>
      </c>
      <c r="G12" s="529">
        <f>CORR_ALC!L13</f>
        <v>1.0534912634536575</v>
      </c>
      <c r="H12" s="529">
        <f>CORR_ALC!M13</f>
        <v>1.1302680357091033</v>
      </c>
      <c r="I12" s="529">
        <f>CORR_ALC!N13</f>
        <v>1.2021960614452325</v>
      </c>
      <c r="J12" s="529">
        <f>CORR_ALC!O13</f>
        <v>1.2485050649282003</v>
      </c>
      <c r="K12" s="529">
        <f>CORR_ALC!P13</f>
        <v>1.2097018124147791</v>
      </c>
      <c r="L12" s="529">
        <f>CORR_ALC!V13</f>
        <v>0.9500345781466113</v>
      </c>
      <c r="M12" s="529">
        <f>CORR_ALC!W13</f>
        <v>0.94952459208827322</v>
      </c>
      <c r="N12" s="529">
        <f>CORR_ALC!X13</f>
        <v>0.93367931008166072</v>
      </c>
      <c r="O12" s="529">
        <f>CORR_ALC!Y13</f>
        <v>0.92039355992844363</v>
      </c>
      <c r="P12" s="529">
        <f>CORR_ALC!Z13</f>
        <v>0.92763713080168775</v>
      </c>
      <c r="Q12" s="89">
        <f>CORR_DSL!L13</f>
        <v>1.0372143209548699</v>
      </c>
      <c r="R12" s="89">
        <f>CORR_DSL!M13</f>
        <v>1.0438668339229833</v>
      </c>
      <c r="S12" s="89">
        <f>CORR_DSL!N13</f>
        <v>1.0297162682615815</v>
      </c>
      <c r="T12" s="89">
        <f>CORR_DSL!O13</f>
        <v>1.0303689675257104</v>
      </c>
      <c r="U12" s="89">
        <f>CORR_DSL!P13</f>
        <v>1.0357762617589501</v>
      </c>
      <c r="V12" s="883">
        <f>CORR_DSL!V13</f>
        <v>0.95471626160934409</v>
      </c>
      <c r="W12" s="883">
        <f>CORR_DSL!W13</f>
        <v>0.94817120644036934</v>
      </c>
      <c r="X12" s="883">
        <f>CORR_DSL!X13</f>
        <v>0.95293119237557855</v>
      </c>
      <c r="Y12" s="883">
        <f>CORR_DSL!Y13</f>
        <v>0.94404329785026531</v>
      </c>
      <c r="Z12" s="883">
        <f>CORR_DSL!Z13</f>
        <v>0.94664731294922</v>
      </c>
      <c r="AA12" s="89">
        <f>CORR_DSL!AF13</f>
        <v>0.99557546723600765</v>
      </c>
      <c r="AB12" s="89">
        <f>CORR_DSL!AG13</f>
        <v>0.97824896633919889</v>
      </c>
      <c r="AC12" s="89">
        <f>CORR_DSL!AH13</f>
        <v>0.97866596727592281</v>
      </c>
      <c r="AD12" s="89">
        <f>CORR_DSL!AI13</f>
        <v>0.97491966227176208</v>
      </c>
      <c r="AE12" s="89">
        <f>CORR_DSL!AJ13</f>
        <v>0.97369072296151937</v>
      </c>
      <c r="AF12" s="883">
        <f>CORR_DSL!AP13</f>
        <v>0.99848753216741082</v>
      </c>
      <c r="AG12" s="883">
        <f>CORR_DSL!AQ13</f>
        <v>0.99914701828781172</v>
      </c>
      <c r="AH12" s="883">
        <f>CORR_DSL!AR13</f>
        <v>0.99980866338364061</v>
      </c>
      <c r="AI12" s="883">
        <f>CORR_DSL!AS13</f>
        <v>0.99980322131596955</v>
      </c>
      <c r="AJ12" s="883">
        <f>CORR_DSL!AT13</f>
        <v>0.9998804899810062</v>
      </c>
      <c r="AK12" s="89">
        <f>CORR_DSL!AZ13</f>
        <v>0.99742654726992286</v>
      </c>
      <c r="AL12" s="89">
        <f>CORR_DSL!BA13</f>
        <v>0.99971567276260387</v>
      </c>
      <c r="AM12" s="89">
        <f>CORR_DSL!BB13</f>
        <v>0.99990433169182025</v>
      </c>
      <c r="AN12" s="89">
        <f>CORR_DSL!BC13</f>
        <v>0.9998389992585206</v>
      </c>
      <c r="AO12" s="89">
        <f>CORR_DSL!BD13</f>
        <v>0.99989756284086251</v>
      </c>
      <c r="AP12" s="883">
        <f>CORR_DSL!BJ13</f>
        <v>0.98117316160627766</v>
      </c>
      <c r="AQ12" s="883">
        <f>CORR_DSL!BK13</f>
        <v>0.98263572943045296</v>
      </c>
      <c r="AR12" s="883">
        <f>CORR_DSL!BL13</f>
        <v>0.97742227926958647</v>
      </c>
      <c r="AS12" s="883">
        <f>CORR_DSL!BM13</f>
        <v>0.97769245281946315</v>
      </c>
      <c r="AT12" s="883">
        <f>CORR_DSL!BN13</f>
        <v>0.97676383773564435</v>
      </c>
      <c r="AU12" s="531">
        <f>AGRO_DSL!E14</f>
        <v>0.74327020291408297</v>
      </c>
      <c r="AV12" s="531">
        <f>AGRO_DSL!F14</f>
        <v>0.75695653087051629</v>
      </c>
      <c r="AW12" s="531">
        <f>AGRO_DSL!G14</f>
        <v>0.78420991582338051</v>
      </c>
      <c r="AX12" s="531">
        <f>AGRO_DSL!H14</f>
        <v>0.77870347180256416</v>
      </c>
      <c r="AY12" s="531">
        <f>AGRO_DSL!I14</f>
        <v>0.77681321747264609</v>
      </c>
      <c r="AZ12" s="890">
        <f>FERRO_DSL!P22</f>
        <v>1</v>
      </c>
      <c r="BA12" s="890">
        <f>FERRO_DSL!Q22</f>
        <v>1</v>
      </c>
      <c r="BB12" s="890">
        <f>FERRO_DSL!R22</f>
        <v>1</v>
      </c>
      <c r="BC12" s="890">
        <f>FERRO_DSL!S22</f>
        <v>1</v>
      </c>
      <c r="BD12" s="890"/>
      <c r="BE12" s="93">
        <f>HIDRO_DSL!E14</f>
        <v>0.99056337368891134</v>
      </c>
      <c r="BF12" s="93">
        <f>HIDRO_DSL!F14</f>
        <v>0.99051497190900384</v>
      </c>
      <c r="BG12" s="93">
        <f>HIDRO_DSL!G14</f>
        <v>0.99297717806565311</v>
      </c>
      <c r="BH12" s="93">
        <f>HIDRO_DSL!H14</f>
        <v>0.99267775467809427</v>
      </c>
      <c r="BI12" s="93">
        <f>HIDRO_DSL!I14</f>
        <v>0.99298082016005962</v>
      </c>
      <c r="BJ12" s="723">
        <f>IF(DIST_DSL_TOT!$J14&lt;=50%,0.5,IF(DIST_DSL_TOT!$J14&lt;=60%,0.6,IF(DIST_DSL_TOT!$J14&lt;=70%,0.7,IF(DIST_DSL_TOT!$J14&gt;=150%,1.5,IF(DIST_DSL_TOT!$J14&gt;=140%,1.4,IF(DIST_DSL_TOT!$J14&gt;=130%,1.3,1))))))</f>
        <v>1</v>
      </c>
      <c r="BK12" s="723">
        <f>IF(DIST_DSL_TOT!$S14&lt;=50%,0.5,IF(DIST_DSL_TOT!$S14&lt;=60%,0.6,IF(DIST_DSL_TOT!$S14&lt;=70%,0.7,IF(DIST_DSL_TOT!$S14&gt;=150%,1.5,IF(DIST_DSL_TOT!$S14&gt;=140%,1.4,IF(DIST_DSL_TOT!$S14&gt;=130%,1.3,1))))))</f>
        <v>1</v>
      </c>
      <c r="BL12" s="723">
        <f>IF(DIST_DSL_TOT!$AB14&lt;=50%,0.5,IF(DIST_DSL_TOT!$AB14&lt;=60%,0.6,IF(DIST_DSL_TOT!$AB14&lt;=70%,0.7,IF(DIST_DSL_TOT!$AB14&gt;=150%,1.5,IF(DIST_DSL_TOT!$AB14&gt;=140%,1.4,IF(DIST_DSL_TOT!$AB14&gt;=130%,1.3,1))))))</f>
        <v>1</v>
      </c>
      <c r="BM12" s="723">
        <f>IF(DIST_DSL_TOT!$AB14&lt;=50%,0.5,IF(DIST_DSL_TOT!$AB14&lt;=60%,0.6,IF(DIST_DSL_TOT!$AB14&lt;=70%,0.7,IF(DIST_DSL_TOT!$AB14&gt;=150%,1.5,IF(DIST_DSL_TOT!$AB14&gt;=140%,1.4,IF(DIST_DSL_TOT!$AB14&gt;=130%,1.3,1))))))</f>
        <v>1</v>
      </c>
      <c r="BN12" s="723" t="e">
        <f>IF(DIST_DSL_TOT!$AT14&lt;=50%,0.5,IF(DIST_DSL_TOT!$AT14&lt;=60%,0.6,IF(DIST_DSL_TOT!$AT14&lt;=70%,0.7,IF(DIST_DSL_TOT!$AT14&gt;=150%,1.5,IF(DIST_DSL_TOT!$AT14&gt;=140%,1.4,IF(DIST_DSL_TOT!$AT14&gt;=130%,1.3,1))))))</f>
        <v>#DIV/0!</v>
      </c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539"/>
    </row>
    <row r="13" spans="1:144" s="530" customFormat="1" ht="15.75" thickBot="1">
      <c r="A13" s="78" t="s">
        <v>171</v>
      </c>
      <c r="B13" s="86">
        <v>1</v>
      </c>
      <c r="C13" s="84">
        <v>1</v>
      </c>
      <c r="D13" s="84">
        <v>1</v>
      </c>
      <c r="E13" s="84">
        <v>1</v>
      </c>
      <c r="F13" s="84">
        <v>1</v>
      </c>
      <c r="G13" s="529">
        <f>CORR_ALC!L14</f>
        <v>1.0534912634536575</v>
      </c>
      <c r="H13" s="529">
        <f>CORR_ALC!M14</f>
        <v>1.1302680357091033</v>
      </c>
      <c r="I13" s="529">
        <f>CORR_ALC!N14</f>
        <v>1.2021960614452325</v>
      </c>
      <c r="J13" s="529">
        <f>CORR_ALC!O14</f>
        <v>1.2485050649282001</v>
      </c>
      <c r="K13" s="529">
        <f>CORR_ALC!P14</f>
        <v>1.2097018124147789</v>
      </c>
      <c r="L13" s="529">
        <f>CORR_ALC!V14</f>
        <v>0.9500345781466113</v>
      </c>
      <c r="M13" s="529">
        <f>CORR_ALC!W14</f>
        <v>0.94952459208827322</v>
      </c>
      <c r="N13" s="529">
        <f>CORR_ALC!X14</f>
        <v>0.93367931008166072</v>
      </c>
      <c r="O13" s="529">
        <f>CORR_ALC!Y14</f>
        <v>0.92039355992844363</v>
      </c>
      <c r="P13" s="529">
        <f>CORR_ALC!Z14</f>
        <v>0.92763713080168775</v>
      </c>
      <c r="Q13" s="529">
        <f>CORR_DSL!L14</f>
        <v>1.0372143209548697</v>
      </c>
      <c r="R13" s="529">
        <f>CORR_DSL!M14</f>
        <v>1.0438668339229833</v>
      </c>
      <c r="S13" s="529">
        <f>CORR_DSL!N14</f>
        <v>1.0297162682615812</v>
      </c>
      <c r="T13" s="529">
        <f>CORR_DSL!O14</f>
        <v>1.0303689675257104</v>
      </c>
      <c r="U13" s="529">
        <f>CORR_DSL!P14</f>
        <v>1.0357762617589501</v>
      </c>
      <c r="V13" s="883">
        <f>CORR_DSL!V14</f>
        <v>0.95471626160934409</v>
      </c>
      <c r="W13" s="883">
        <f>CORR_DSL!W14</f>
        <v>0.94817120644036934</v>
      </c>
      <c r="X13" s="883">
        <f>CORR_DSL!X14</f>
        <v>0.95293119237557855</v>
      </c>
      <c r="Y13" s="883">
        <f>CORR_DSL!Y14</f>
        <v>0.94404329785026531</v>
      </c>
      <c r="Z13" s="883">
        <f>CORR_DSL!Z14</f>
        <v>0.94664731294922</v>
      </c>
      <c r="AA13" s="89">
        <f>CORR_DSL!AF14</f>
        <v>0.99557546723600765</v>
      </c>
      <c r="AB13" s="89">
        <f>CORR_DSL!AG14</f>
        <v>0.97824896633919889</v>
      </c>
      <c r="AC13" s="89">
        <f>CORR_DSL!AH14</f>
        <v>0.97866596727592281</v>
      </c>
      <c r="AD13" s="89">
        <f>CORR_DSL!AI14</f>
        <v>0.97491966227176208</v>
      </c>
      <c r="AE13" s="89">
        <f>CORR_DSL!AJ14</f>
        <v>0.97369072296151937</v>
      </c>
      <c r="AF13" s="883">
        <f>CORR_DSL!AP14</f>
        <v>0.99848753216741082</v>
      </c>
      <c r="AG13" s="883">
        <f>CORR_DSL!AQ14</f>
        <v>0.99914701828781172</v>
      </c>
      <c r="AH13" s="883">
        <f>CORR_DSL!AR14</f>
        <v>0.99980866338364061</v>
      </c>
      <c r="AI13" s="883">
        <f>CORR_DSL!AS14</f>
        <v>0.99980322131596955</v>
      </c>
      <c r="AJ13" s="883">
        <f>CORR_DSL!AT14</f>
        <v>0.9998804899810062</v>
      </c>
      <c r="AK13" s="89">
        <f>CORR_DSL!AZ14</f>
        <v>0.99742654726992286</v>
      </c>
      <c r="AL13" s="89">
        <f>CORR_DSL!BA14</f>
        <v>0.99971567276260387</v>
      </c>
      <c r="AM13" s="89">
        <f>CORR_DSL!BB14</f>
        <v>0.99990433169182025</v>
      </c>
      <c r="AN13" s="89">
        <f>CORR_DSL!BC14</f>
        <v>0.9998389992585206</v>
      </c>
      <c r="AO13" s="89">
        <f>CORR_DSL!BD14</f>
        <v>0.99989756284086251</v>
      </c>
      <c r="AP13" s="883">
        <f>CORR_DSL!BJ14</f>
        <v>0.98117316160627766</v>
      </c>
      <c r="AQ13" s="883">
        <f>CORR_DSL!BK14</f>
        <v>0.98263572943045296</v>
      </c>
      <c r="AR13" s="883">
        <f>CORR_DSL!BL14</f>
        <v>0.97742227926958647</v>
      </c>
      <c r="AS13" s="883">
        <f>CORR_DSL!BM14</f>
        <v>0.97769245281946315</v>
      </c>
      <c r="AT13" s="883">
        <f>CORR_DSL!BN14</f>
        <v>0.97676383773564435</v>
      </c>
      <c r="AU13" s="531">
        <f>AGRO_DSL!E15</f>
        <v>0.89419429688796126</v>
      </c>
      <c r="AV13" s="531">
        <f>AGRO_DSL!F15</f>
        <v>0.89998628758068577</v>
      </c>
      <c r="AW13" s="531">
        <f>AGRO_DSL!G15</f>
        <v>0.90781735767451921</v>
      </c>
      <c r="AX13" s="531">
        <f>AGRO_DSL!H15</f>
        <v>0.91203281487778098</v>
      </c>
      <c r="AY13" s="531">
        <f>AGRO_DSL!I15</f>
        <v>0.91685106146818351</v>
      </c>
      <c r="AZ13" s="891">
        <f>FERRO_DSL!P11</f>
        <v>0.99952154164107443</v>
      </c>
      <c r="BA13" s="891">
        <f>FERRO_DSL!Q11</f>
        <v>0.99956793148487411</v>
      </c>
      <c r="BB13" s="891">
        <f>FERRO_DSL!R11</f>
        <v>0.99959400881967286</v>
      </c>
      <c r="BC13" s="891">
        <f>FERRO_DSL!S11</f>
        <v>0.99962752488077111</v>
      </c>
      <c r="BD13" s="891"/>
      <c r="BE13" s="93">
        <f>HIDRO_DSL!E15</f>
        <v>0.99080289912787378</v>
      </c>
      <c r="BF13" s="93">
        <f>HIDRO_DSL!F15</f>
        <v>0.99076970446519685</v>
      </c>
      <c r="BG13" s="93">
        <f>HIDRO_DSL!G15</f>
        <v>0.99290535421258996</v>
      </c>
      <c r="BH13" s="93">
        <f>HIDRO_DSL!H15</f>
        <v>0.99311677823186983</v>
      </c>
      <c r="BI13" s="93">
        <f>HIDRO_DSL!I15</f>
        <v>0.99381590717139257</v>
      </c>
      <c r="BJ13" s="723">
        <f>IF(DIST_DSL_TOT!$J15&lt;=50%,0.5,IF(DIST_DSL_TOT!$J15&lt;=60%,0.6,IF(DIST_DSL_TOT!$J15&lt;=70%,0.7,IF(DIST_DSL_TOT!$J15&gt;=150%,1.5,IF(DIST_DSL_TOT!$J15&gt;=140%,1.4,IF(DIST_DSL_TOT!$J15&gt;=130%,1.3,1))))))</f>
        <v>1</v>
      </c>
      <c r="BK13" s="723">
        <f>IF(DIST_DSL_TOT!$S15&lt;=50%,0.5,IF(DIST_DSL_TOT!$S15&lt;=60%,0.6,IF(DIST_DSL_TOT!$S15&lt;=70%,0.7,IF(DIST_DSL_TOT!$S15&gt;=150%,1.5,IF(DIST_DSL_TOT!$S15&gt;=140%,1.4,IF(DIST_DSL_TOT!$S15&gt;=130%,1.3,1))))))</f>
        <v>1</v>
      </c>
      <c r="BL13" s="723">
        <f>IF(DIST_DSL_TOT!$AB15&lt;=50%,0.5,IF(DIST_DSL_TOT!$AB15&lt;=60%,0.6,IF(DIST_DSL_TOT!$AB15&lt;=70%,0.7,IF(DIST_DSL_TOT!$AB15&gt;=150%,1.5,IF(DIST_DSL_TOT!$AB15&gt;=140%,1.4,IF(DIST_DSL_TOT!$AB15&gt;=130%,1.3,1))))))</f>
        <v>1</v>
      </c>
      <c r="BM13" s="723">
        <f>IF(DIST_DSL_TOT!$AB15&lt;=50%,0.5,IF(DIST_DSL_TOT!$AB15&lt;=60%,0.6,IF(DIST_DSL_TOT!$AB15&lt;=70%,0.7,IF(DIST_DSL_TOT!$AB15&gt;=150%,1.5,IF(DIST_DSL_TOT!$AB15&gt;=140%,1.4,IF(DIST_DSL_TOT!$AB15&gt;=130%,1.3,1))))))</f>
        <v>1</v>
      </c>
      <c r="BN13" s="723" t="e">
        <f>IF(DIST_DSL_TOT!$AT15&lt;=50%,0.5,IF(DIST_DSL_TOT!$AT15&lt;=60%,0.6,IF(DIST_DSL_TOT!$AT15&lt;=70%,0.7,IF(DIST_DSL_TOT!$AT15&gt;=150%,1.5,IF(DIST_DSL_TOT!$AT15&gt;=140%,1.4,IF(DIST_DSL_TOT!$AT15&gt;=130%,1.3,1))))))</f>
        <v>#DIV/0!</v>
      </c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540"/>
    </row>
    <row r="14" spans="1:144" s="530" customFormat="1" ht="15.75" thickBot="1">
      <c r="A14" s="78" t="s">
        <v>172</v>
      </c>
      <c r="B14" s="86">
        <v>1</v>
      </c>
      <c r="C14" s="84">
        <v>1</v>
      </c>
      <c r="D14" s="84">
        <v>1</v>
      </c>
      <c r="E14" s="84">
        <v>1</v>
      </c>
      <c r="F14" s="84">
        <v>1</v>
      </c>
      <c r="G14" s="529">
        <f>CORR_ALC!L15</f>
        <v>1.0534912634536575</v>
      </c>
      <c r="H14" s="529">
        <f>CORR_ALC!M15</f>
        <v>1.1302680357091031</v>
      </c>
      <c r="I14" s="529">
        <f>CORR_ALC!N15</f>
        <v>1.2021960614452325</v>
      </c>
      <c r="J14" s="529">
        <f>CORR_ALC!O15</f>
        <v>1.2485050649282003</v>
      </c>
      <c r="K14" s="529">
        <f>CORR_ALC!P15</f>
        <v>1.2097018124147791</v>
      </c>
      <c r="L14" s="529">
        <f>CORR_ALC!V15</f>
        <v>0.9500345781466113</v>
      </c>
      <c r="M14" s="529">
        <f>CORR_ALC!W15</f>
        <v>0.94952459208827322</v>
      </c>
      <c r="N14" s="529">
        <f>CORR_ALC!X15</f>
        <v>0.93367931008166072</v>
      </c>
      <c r="O14" s="529">
        <f>CORR_ALC!Y15</f>
        <v>0.92039355992844363</v>
      </c>
      <c r="P14" s="529">
        <f>CORR_ALC!Z15</f>
        <v>0.92763713080168775</v>
      </c>
      <c r="Q14" s="529">
        <f>CORR_DSL!L15</f>
        <v>1.0372143209548699</v>
      </c>
      <c r="R14" s="529">
        <f>CORR_DSL!M15</f>
        <v>1.0438668339229833</v>
      </c>
      <c r="S14" s="529">
        <f>CORR_DSL!N15</f>
        <v>1.0297162682615815</v>
      </c>
      <c r="T14" s="529">
        <f>CORR_DSL!O15</f>
        <v>1.0303689675257106</v>
      </c>
      <c r="U14" s="529">
        <f>CORR_DSL!P15</f>
        <v>1.0357762617589501</v>
      </c>
      <c r="V14" s="883">
        <f>CORR_DSL!V15</f>
        <v>0.95471626160934409</v>
      </c>
      <c r="W14" s="883">
        <f>CORR_DSL!W15</f>
        <v>0.94817120644036945</v>
      </c>
      <c r="X14" s="883">
        <f>CORR_DSL!X15</f>
        <v>0.95293119237557855</v>
      </c>
      <c r="Y14" s="883">
        <f>CORR_DSL!Y15</f>
        <v>0.9440432978502652</v>
      </c>
      <c r="Z14" s="883">
        <f>CORR_DSL!Z15</f>
        <v>0.94664731294922</v>
      </c>
      <c r="AA14" s="89">
        <f>CORR_DSL!AF15</f>
        <v>0.99557546723600765</v>
      </c>
      <c r="AB14" s="89">
        <f>CORR_DSL!AG15</f>
        <v>0.97824896633919889</v>
      </c>
      <c r="AC14" s="89">
        <f>CORR_DSL!AH15</f>
        <v>0.97866596727592281</v>
      </c>
      <c r="AD14" s="89">
        <f>CORR_DSL!AI15</f>
        <v>0.97491966227176208</v>
      </c>
      <c r="AE14" s="89">
        <f>CORR_DSL!AJ15</f>
        <v>0.97369072296151937</v>
      </c>
      <c r="AF14" s="883">
        <f>CORR_DSL!AP15</f>
        <v>0.99848753216741082</v>
      </c>
      <c r="AG14" s="883">
        <f>CORR_DSL!AQ15</f>
        <v>0.99914701828781172</v>
      </c>
      <c r="AH14" s="883">
        <f>CORR_DSL!AR15</f>
        <v>0.99980866338364061</v>
      </c>
      <c r="AI14" s="883">
        <f>CORR_DSL!AS15</f>
        <v>0.99980322131596955</v>
      </c>
      <c r="AJ14" s="883">
        <f>CORR_DSL!AT15</f>
        <v>0.9998804899810062</v>
      </c>
      <c r="AK14" s="89">
        <f>CORR_DSL!AZ15</f>
        <v>0.99742654726992286</v>
      </c>
      <c r="AL14" s="89">
        <f>CORR_DSL!BA15</f>
        <v>0.99971567276260387</v>
      </c>
      <c r="AM14" s="89">
        <f>CORR_DSL!BB15</f>
        <v>0.99990433169182025</v>
      </c>
      <c r="AN14" s="89">
        <f>CORR_DSL!BC15</f>
        <v>0.9998389992585206</v>
      </c>
      <c r="AO14" s="89">
        <f>CORR_DSL!BD15</f>
        <v>0.99989756284086251</v>
      </c>
      <c r="AP14" s="883">
        <f>CORR_DSL!BJ15</f>
        <v>0.98117316160627766</v>
      </c>
      <c r="AQ14" s="883">
        <f>CORR_DSL!BK15</f>
        <v>0.98263572943045296</v>
      </c>
      <c r="AR14" s="883">
        <f>CORR_DSL!BL15</f>
        <v>0.97742227926958647</v>
      </c>
      <c r="AS14" s="883">
        <f>CORR_DSL!BM15</f>
        <v>0.97769245281946315</v>
      </c>
      <c r="AT14" s="883">
        <f>CORR_DSL!BN15</f>
        <v>0.97676383773564435</v>
      </c>
      <c r="AU14" s="531">
        <f>AGRO_DSL!E16</f>
        <v>0.95471976673073367</v>
      </c>
      <c r="AV14" s="531">
        <f>AGRO_DSL!F16</f>
        <v>0.95855091483994181</v>
      </c>
      <c r="AW14" s="531">
        <f>AGRO_DSL!G16</f>
        <v>0.96196637631763393</v>
      </c>
      <c r="AX14" s="531">
        <f>AGRO_DSL!H16</f>
        <v>0.96512529540095959</v>
      </c>
      <c r="AY14" s="531">
        <f>AGRO_DSL!I16</f>
        <v>0.96790969551328032</v>
      </c>
      <c r="AZ14" s="891">
        <f>FERRO_DSL!P20</f>
        <v>0.99205117682203436</v>
      </c>
      <c r="BA14" s="891">
        <f>FERRO_DSL!Q20</f>
        <v>0.99304868236745647</v>
      </c>
      <c r="BB14" s="891">
        <f>FERRO_DSL!R20</f>
        <v>0.99349729183798163</v>
      </c>
      <c r="BC14" s="891">
        <f>FERRO_DSL!S20</f>
        <v>0.99426747150395756</v>
      </c>
      <c r="BD14" s="891"/>
      <c r="BE14" s="93">
        <f>HIDRO_DSL!E16</f>
        <v>1</v>
      </c>
      <c r="BF14" s="93">
        <f>HIDRO_DSL!F16</f>
        <v>1</v>
      </c>
      <c r="BG14" s="93">
        <f>HIDRO_DSL!G16</f>
        <v>1</v>
      </c>
      <c r="BH14" s="93">
        <f>HIDRO_DSL!H16</f>
        <v>1</v>
      </c>
      <c r="BI14" s="93">
        <f>HIDRO_DSL!I16</f>
        <v>1</v>
      </c>
      <c r="BJ14" s="723">
        <f>IF(DIST_DSL_TOT!$J16&lt;=50%,0.5,IF(DIST_DSL_TOT!$J16&lt;=60%,0.6,IF(DIST_DSL_TOT!$J16&lt;=70%,0.7,IF(DIST_DSL_TOT!$J16&gt;=150%,1.5,IF(DIST_DSL_TOT!$J16&gt;=140%,1.4,IF(DIST_DSL_TOT!$J16&gt;=130%,1.3,1))))))</f>
        <v>1</v>
      </c>
      <c r="BK14" s="723">
        <f>IF(DIST_DSL_TOT!$S16&lt;=50%,0.5,IF(DIST_DSL_TOT!$S16&lt;=60%,0.6,IF(DIST_DSL_TOT!$S16&lt;=70%,0.7,IF(DIST_DSL_TOT!$S16&gt;=150%,1.5,IF(DIST_DSL_TOT!$S16&gt;=140%,1.4,IF(DIST_DSL_TOT!$S16&gt;=130%,1.3,1))))))</f>
        <v>1</v>
      </c>
      <c r="BL14" s="723">
        <f>IF(DIST_DSL_TOT!$AB16&lt;=50%,0.5,IF(DIST_DSL_TOT!$AB16&lt;=60%,0.6,IF(DIST_DSL_TOT!$AB16&lt;=70%,0.7,IF(DIST_DSL_TOT!$AB16&gt;=150%,1.5,IF(DIST_DSL_TOT!$AB16&gt;=140%,1.4,IF(DIST_DSL_TOT!$AB16&gt;=130%,1.3,1))))))</f>
        <v>1</v>
      </c>
      <c r="BM14" s="723">
        <f>IF(DIST_DSL_TOT!$AB16&lt;=50%,0.5,IF(DIST_DSL_TOT!$AB16&lt;=60%,0.6,IF(DIST_DSL_TOT!$AB16&lt;=70%,0.7,IF(DIST_DSL_TOT!$AB16&gt;=150%,1.5,IF(DIST_DSL_TOT!$AB16&gt;=140%,1.4,IF(DIST_DSL_TOT!$AB16&gt;=130%,1.3,1))))))</f>
        <v>1</v>
      </c>
      <c r="BN14" s="723" t="e">
        <f>IF(DIST_DSL_TOT!$AT16&lt;=50%,0.5,IF(DIST_DSL_TOT!$AT16&lt;=60%,0.6,IF(DIST_DSL_TOT!$AT16&lt;=70%,0.7,IF(DIST_DSL_TOT!$AT16&gt;=150%,1.5,IF(DIST_DSL_TOT!$AT16&gt;=140%,1.4,IF(DIST_DSL_TOT!$AT16&gt;=130%,1.3,1))))))</f>
        <v>#DIV/0!</v>
      </c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540"/>
    </row>
    <row r="15" spans="1:144" s="530" customFormat="1" ht="15.75" thickBot="1">
      <c r="A15" s="78" t="s">
        <v>173</v>
      </c>
      <c r="B15" s="86">
        <v>1</v>
      </c>
      <c r="C15" s="84">
        <v>1</v>
      </c>
      <c r="D15" s="84">
        <v>1</v>
      </c>
      <c r="E15" s="84">
        <v>1</v>
      </c>
      <c r="F15" s="84">
        <v>1</v>
      </c>
      <c r="G15" s="529">
        <f>CORR_ALC!L16</f>
        <v>1.0534912634536575</v>
      </c>
      <c r="H15" s="529">
        <f>CORR_ALC!M16</f>
        <v>1.1302680357091033</v>
      </c>
      <c r="I15" s="529">
        <f>CORR_ALC!N16</f>
        <v>1.2021960614452325</v>
      </c>
      <c r="J15" s="529">
        <f>CORR_ALC!O16</f>
        <v>1.2485050649282001</v>
      </c>
      <c r="K15" s="529">
        <f>CORR_ALC!P16</f>
        <v>1.2097018124147791</v>
      </c>
      <c r="L15" s="529">
        <f>CORR_ALC!V16</f>
        <v>0.9500345781466113</v>
      </c>
      <c r="M15" s="529">
        <f>CORR_ALC!W16</f>
        <v>0.94952459208827322</v>
      </c>
      <c r="N15" s="529">
        <f>CORR_ALC!X16</f>
        <v>0.93367931008166072</v>
      </c>
      <c r="O15" s="529">
        <f>CORR_ALC!Y16</f>
        <v>0.92039355992844363</v>
      </c>
      <c r="P15" s="529">
        <f>CORR_ALC!Z16</f>
        <v>0.92763713080168775</v>
      </c>
      <c r="Q15" s="529">
        <f>CORR_DSL!L16</f>
        <v>1.0372143209548697</v>
      </c>
      <c r="R15" s="529">
        <f>CORR_DSL!M16</f>
        <v>1.0438668339229833</v>
      </c>
      <c r="S15" s="529">
        <f>CORR_DSL!N16</f>
        <v>1.0297162682615815</v>
      </c>
      <c r="T15" s="529">
        <f>CORR_DSL!O16</f>
        <v>1.0303689675257104</v>
      </c>
      <c r="U15" s="529">
        <f>CORR_DSL!P16</f>
        <v>1.0357762617589501</v>
      </c>
      <c r="V15" s="883">
        <f>CORR_DSL!V16</f>
        <v>0.95471626160934409</v>
      </c>
      <c r="W15" s="883">
        <f>CORR_DSL!W16</f>
        <v>0.94817120644036934</v>
      </c>
      <c r="X15" s="883">
        <f>CORR_DSL!X16</f>
        <v>0.95293119237557855</v>
      </c>
      <c r="Y15" s="883">
        <f>CORR_DSL!Y16</f>
        <v>0.9440432978502652</v>
      </c>
      <c r="Z15" s="883">
        <f>CORR_DSL!Z16</f>
        <v>0.94664731294922</v>
      </c>
      <c r="AA15" s="89">
        <f>CORR_DSL!AF16</f>
        <v>0.99557546723600765</v>
      </c>
      <c r="AB15" s="89">
        <f>CORR_DSL!AG16</f>
        <v>0.97824896633919889</v>
      </c>
      <c r="AC15" s="89">
        <f>CORR_DSL!AH16</f>
        <v>0.97866596727592281</v>
      </c>
      <c r="AD15" s="89">
        <f>CORR_DSL!AI16</f>
        <v>0.97491966227176208</v>
      </c>
      <c r="AE15" s="89">
        <f>CORR_DSL!AJ16</f>
        <v>0.97369072296151937</v>
      </c>
      <c r="AF15" s="883">
        <f>CORR_DSL!AP16</f>
        <v>0.99848753216741082</v>
      </c>
      <c r="AG15" s="883">
        <f>CORR_DSL!AQ16</f>
        <v>0.99914701828781172</v>
      </c>
      <c r="AH15" s="883">
        <f>CORR_DSL!AR16</f>
        <v>0.99980866338364061</v>
      </c>
      <c r="AI15" s="883">
        <f>CORR_DSL!AS16</f>
        <v>0.99980322131596955</v>
      </c>
      <c r="AJ15" s="883">
        <f>CORR_DSL!AT16</f>
        <v>0.9998804899810062</v>
      </c>
      <c r="AK15" s="89">
        <f>CORR_DSL!AZ16</f>
        <v>0.99742654726992286</v>
      </c>
      <c r="AL15" s="89">
        <f>CORR_DSL!BA16</f>
        <v>0.99971567276260387</v>
      </c>
      <c r="AM15" s="89">
        <f>CORR_DSL!BB16</f>
        <v>0.99990433169182025</v>
      </c>
      <c r="AN15" s="89">
        <f>CORR_DSL!BC16</f>
        <v>0.9998389992585206</v>
      </c>
      <c r="AO15" s="89">
        <f>CORR_DSL!BD16</f>
        <v>0.99989756284086251</v>
      </c>
      <c r="AP15" s="883">
        <f>CORR_DSL!BJ16</f>
        <v>0.98117316160627766</v>
      </c>
      <c r="AQ15" s="883">
        <f>CORR_DSL!BK16</f>
        <v>0.98263572943045296</v>
      </c>
      <c r="AR15" s="883">
        <f>CORR_DSL!BL16</f>
        <v>0.97742227926958647</v>
      </c>
      <c r="AS15" s="883">
        <f>CORR_DSL!BM16</f>
        <v>0.97769245281946315</v>
      </c>
      <c r="AT15" s="883">
        <f>CORR_DSL!BN16</f>
        <v>0.97676383773564435</v>
      </c>
      <c r="AU15" s="531">
        <f>AGRO_DSL!E17</f>
        <v>0.92353073179967182</v>
      </c>
      <c r="AV15" s="531">
        <f>AGRO_DSL!F17</f>
        <v>0.9274882368857823</v>
      </c>
      <c r="AW15" s="531">
        <f>AGRO_DSL!G17</f>
        <v>0.93428328858593956</v>
      </c>
      <c r="AX15" s="531">
        <f>AGRO_DSL!H17</f>
        <v>0.93900035422373318</v>
      </c>
      <c r="AY15" s="531">
        <f>AGRO_DSL!I17</f>
        <v>0.93956358095414694</v>
      </c>
      <c r="AZ15" s="891">
        <f>FERRO_DSL!P18</f>
        <v>0.93664230343775134</v>
      </c>
      <c r="BA15" s="891">
        <f>FERRO_DSL!Q18</f>
        <v>0.93839883450235884</v>
      </c>
      <c r="BB15" s="891">
        <f>FERRO_DSL!R18</f>
        <v>0.94116592453101411</v>
      </c>
      <c r="BC15" s="891">
        <f>FERRO_DSL!S18</f>
        <v>0.94267125383106931</v>
      </c>
      <c r="BD15" s="891"/>
      <c r="BE15" s="93">
        <f>HIDRO_DSL!E17</f>
        <v>0.98133966680740614</v>
      </c>
      <c r="BF15" s="93">
        <f>HIDRO_DSL!F17</f>
        <v>0.98121310054322974</v>
      </c>
      <c r="BG15" s="93">
        <f>HIDRO_DSL!G17</f>
        <v>0.9858013198831771</v>
      </c>
      <c r="BH15" s="93">
        <f>HIDRO_DSL!H17</f>
        <v>0.98660048843370385</v>
      </c>
      <c r="BI15" s="93">
        <f>HIDRO_DSL!I17</f>
        <v>0.987381474716305</v>
      </c>
      <c r="BJ15" s="723">
        <f>IF(DIST_DSL_TOT!$J17&lt;=50%,0.5,IF(DIST_DSL_TOT!$J17&lt;=60%,0.6,IF(DIST_DSL_TOT!$J17&lt;=70%,0.7,IF(DIST_DSL_TOT!$J17&gt;=150%,1.5,IF(DIST_DSL_TOT!$J17&gt;=140%,1.4,IF(DIST_DSL_TOT!$J17&gt;=130%,1.3,1))))))</f>
        <v>0.5</v>
      </c>
      <c r="BK15" s="723">
        <f>IF(DIST_DSL_TOT!$S17&lt;=50%,0.5,IF(DIST_DSL_TOT!$S17&lt;=60%,0.6,IF(DIST_DSL_TOT!$S17&lt;=70%,0.7,IF(DIST_DSL_TOT!$S17&gt;=150%,1.5,IF(DIST_DSL_TOT!$S17&gt;=140%,1.4,IF(DIST_DSL_TOT!$S17&gt;=130%,1.3,1))))))</f>
        <v>0.5</v>
      </c>
      <c r="BL15" s="723">
        <f>IF(DIST_DSL_TOT!$AB17&lt;=50%,0.5,IF(DIST_DSL_TOT!$AB17&lt;=60%,0.6,IF(DIST_DSL_TOT!$AB17&lt;=70%,0.7,IF(DIST_DSL_TOT!$AB17&gt;=150%,1.5,IF(DIST_DSL_TOT!$AB17&gt;=140%,1.4,IF(DIST_DSL_TOT!$AB17&gt;=130%,1.3,1))))))</f>
        <v>0.5</v>
      </c>
      <c r="BM15" s="723">
        <f>IF(DIST_DSL_TOT!$AB17&lt;=50%,0.5,IF(DIST_DSL_TOT!$AB17&lt;=60%,0.6,IF(DIST_DSL_TOT!$AB17&lt;=70%,0.7,IF(DIST_DSL_TOT!$AB17&gt;=150%,1.5,IF(DIST_DSL_TOT!$AB17&gt;=140%,1.4,IF(DIST_DSL_TOT!$AB17&gt;=130%,1.3,1))))))</f>
        <v>0.5</v>
      </c>
      <c r="BN15" s="723" t="e">
        <f>IF(DIST_DSL_TOT!$AT17&lt;=50%,0.5,IF(DIST_DSL_TOT!$AT17&lt;=60%,0.6,IF(DIST_DSL_TOT!$AT17&lt;=70%,0.7,IF(DIST_DSL_TOT!$AT17&gt;=150%,1.5,IF(DIST_DSL_TOT!$AT17&gt;=140%,1.4,IF(DIST_DSL_TOT!$AT17&gt;=130%,1.3,1))))))</f>
        <v>#DIV/0!</v>
      </c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540"/>
    </row>
    <row r="16" spans="1:144" s="530" customFormat="1" ht="15.75" thickBot="1">
      <c r="A16" s="78" t="s">
        <v>174</v>
      </c>
      <c r="B16" s="86">
        <v>1</v>
      </c>
      <c r="C16" s="84">
        <v>1</v>
      </c>
      <c r="D16" s="84">
        <v>1</v>
      </c>
      <c r="E16" s="84">
        <v>1</v>
      </c>
      <c r="F16" s="84">
        <v>1</v>
      </c>
      <c r="G16" s="529">
        <f>CORR_ALC!L17</f>
        <v>1.0534912634536575</v>
      </c>
      <c r="H16" s="529">
        <f>CORR_ALC!M17</f>
        <v>1.1302680357091033</v>
      </c>
      <c r="I16" s="529">
        <f>CORR_ALC!N17</f>
        <v>1.2021960614452325</v>
      </c>
      <c r="J16" s="529">
        <f>CORR_ALC!O17</f>
        <v>1.2485050649282003</v>
      </c>
      <c r="K16" s="529">
        <f>CORR_ALC!P17</f>
        <v>1.2097018124147791</v>
      </c>
      <c r="L16" s="529">
        <f>CORR_ALC!V17</f>
        <v>0.9500345781466113</v>
      </c>
      <c r="M16" s="529">
        <f>CORR_ALC!W17</f>
        <v>0.94952459208827322</v>
      </c>
      <c r="N16" s="529">
        <f>CORR_ALC!X17</f>
        <v>0.93367931008166072</v>
      </c>
      <c r="O16" s="529">
        <f>CORR_ALC!Y17</f>
        <v>0.92039355992844363</v>
      </c>
      <c r="P16" s="529">
        <f>CORR_ALC!Z17</f>
        <v>0.92763713080168775</v>
      </c>
      <c r="Q16" s="529">
        <f>CORR_DSL!L17</f>
        <v>1.0372143209548697</v>
      </c>
      <c r="R16" s="529">
        <f>CORR_DSL!M17</f>
        <v>1.0438668339229833</v>
      </c>
      <c r="S16" s="529">
        <f>CORR_DSL!N17</f>
        <v>1.0297162682615815</v>
      </c>
      <c r="T16" s="529">
        <f>CORR_DSL!O17</f>
        <v>1.0303689675257104</v>
      </c>
      <c r="U16" s="529">
        <f>CORR_DSL!P17</f>
        <v>1.0357762617589501</v>
      </c>
      <c r="V16" s="883">
        <f>CORR_DSL!V17</f>
        <v>0.95471626160934409</v>
      </c>
      <c r="W16" s="883">
        <f>CORR_DSL!W17</f>
        <v>0.94817120644036945</v>
      </c>
      <c r="X16" s="883">
        <f>CORR_DSL!X17</f>
        <v>0.95293119237557855</v>
      </c>
      <c r="Y16" s="883">
        <f>CORR_DSL!Y17</f>
        <v>0.94404329785026531</v>
      </c>
      <c r="Z16" s="883">
        <f>CORR_DSL!Z17</f>
        <v>0.94664731294922</v>
      </c>
      <c r="AA16" s="89">
        <f>CORR_DSL!AF17</f>
        <v>0.99557546723600765</v>
      </c>
      <c r="AB16" s="89">
        <f>CORR_DSL!AG17</f>
        <v>0.97824896633919889</v>
      </c>
      <c r="AC16" s="89">
        <f>CORR_DSL!AH17</f>
        <v>0.97866596727592281</v>
      </c>
      <c r="AD16" s="89">
        <f>CORR_DSL!AI17</f>
        <v>0.97491966227176208</v>
      </c>
      <c r="AE16" s="89">
        <f>CORR_DSL!AJ17</f>
        <v>0.97369072296151937</v>
      </c>
      <c r="AF16" s="883">
        <f>CORR_DSL!AP17</f>
        <v>0.99848753216741082</v>
      </c>
      <c r="AG16" s="883">
        <f>CORR_DSL!AQ17</f>
        <v>0.99914701828781172</v>
      </c>
      <c r="AH16" s="883">
        <f>CORR_DSL!AR17</f>
        <v>0.99980866338364061</v>
      </c>
      <c r="AI16" s="883">
        <f>CORR_DSL!AS17</f>
        <v>0.99980322131596955</v>
      </c>
      <c r="AJ16" s="883">
        <f>CORR_DSL!AT17</f>
        <v>0.9998804899810062</v>
      </c>
      <c r="AK16" s="89">
        <f>CORR_DSL!AZ17</f>
        <v>0.99742654726992286</v>
      </c>
      <c r="AL16" s="89">
        <f>CORR_DSL!BA17</f>
        <v>0.99971567276260387</v>
      </c>
      <c r="AM16" s="89">
        <f>CORR_DSL!BB17</f>
        <v>0.99990433169182025</v>
      </c>
      <c r="AN16" s="89">
        <f>CORR_DSL!BC17</f>
        <v>0.9998389992585206</v>
      </c>
      <c r="AO16" s="89">
        <f>CORR_DSL!BD17</f>
        <v>0.99989756284086251</v>
      </c>
      <c r="AP16" s="883">
        <f>CORR_DSL!BJ17</f>
        <v>0.98117316160627766</v>
      </c>
      <c r="AQ16" s="883">
        <f>CORR_DSL!BK17</f>
        <v>0.98263572943045296</v>
      </c>
      <c r="AR16" s="883">
        <f>CORR_DSL!BL17</f>
        <v>0.97742227926958647</v>
      </c>
      <c r="AS16" s="883">
        <f>CORR_DSL!BM17</f>
        <v>0.97769245281946315</v>
      </c>
      <c r="AT16" s="883">
        <f>CORR_DSL!BN17</f>
        <v>0.97676383773564435</v>
      </c>
      <c r="AU16" s="531">
        <f>AGRO_DSL!E18</f>
        <v>0.95194150553635926</v>
      </c>
      <c r="AV16" s="531">
        <f>AGRO_DSL!F18</f>
        <v>0.95410999371191474</v>
      </c>
      <c r="AW16" s="531">
        <f>AGRO_DSL!G18</f>
        <v>0.95764452693966351</v>
      </c>
      <c r="AX16" s="531">
        <f>AGRO_DSL!H18</f>
        <v>0.95956498702684989</v>
      </c>
      <c r="AY16" s="531">
        <f>AGRO_DSL!I18</f>
        <v>0.96086952601087805</v>
      </c>
      <c r="AZ16" s="891">
        <f>FERRO_DSL!P23</f>
        <v>0.92050149225696909</v>
      </c>
      <c r="BA16" s="891">
        <f>FERRO_DSL!Q23</f>
        <v>0.92216499621274006</v>
      </c>
      <c r="BB16" s="891">
        <f>FERRO_DSL!R23</f>
        <v>0.92429248049221135</v>
      </c>
      <c r="BC16" s="891">
        <f>FERRO_DSL!S23</f>
        <v>0.92412842723062039</v>
      </c>
      <c r="BD16" s="891"/>
      <c r="BE16" s="93">
        <f>HIDRO_DSL!E18</f>
        <v>1</v>
      </c>
      <c r="BF16" s="93">
        <f>HIDRO_DSL!F18</f>
        <v>1</v>
      </c>
      <c r="BG16" s="93">
        <f>HIDRO_DSL!G18</f>
        <v>1</v>
      </c>
      <c r="BH16" s="93">
        <f>HIDRO_DSL!H18</f>
        <v>1</v>
      </c>
      <c r="BI16" s="93">
        <f>HIDRO_DSL!I18</f>
        <v>1</v>
      </c>
      <c r="BJ16" s="723">
        <f>IF(DIST_DSL_TOT!$J18&lt;=50%,0.5,IF(DIST_DSL_TOT!$J18&lt;=60%,0.6,IF(DIST_DSL_TOT!$J18&lt;=70%,0.7,IF(DIST_DSL_TOT!$J18&gt;=150%,1.5,IF(DIST_DSL_TOT!$J18&gt;=140%,1.4,IF(DIST_DSL_TOT!$J18&gt;=130%,1.3,1))))))</f>
        <v>1</v>
      </c>
      <c r="BK16" s="723">
        <f>IF(DIST_DSL_TOT!$S18&lt;=50%,0.5,IF(DIST_DSL_TOT!$S18&lt;=60%,0.6,IF(DIST_DSL_TOT!$S18&lt;=70%,0.7,IF(DIST_DSL_TOT!$S18&gt;=150%,1.5,IF(DIST_DSL_TOT!$S18&gt;=140%,1.4,IF(DIST_DSL_TOT!$S18&gt;=130%,1.3,1))))))</f>
        <v>1</v>
      </c>
      <c r="BL16" s="723">
        <f>IF(DIST_DSL_TOT!$AB18&lt;=50%,0.5,IF(DIST_DSL_TOT!$AB18&lt;=60%,0.6,IF(DIST_DSL_TOT!$AB18&lt;=70%,0.7,IF(DIST_DSL_TOT!$AB18&gt;=150%,1.5,IF(DIST_DSL_TOT!$AB18&gt;=140%,1.4,IF(DIST_DSL_TOT!$AB18&gt;=130%,1.3,1))))))</f>
        <v>1</v>
      </c>
      <c r="BM16" s="723">
        <f>IF(DIST_DSL_TOT!$AB18&lt;=50%,0.5,IF(DIST_DSL_TOT!$AB18&lt;=60%,0.6,IF(DIST_DSL_TOT!$AB18&lt;=70%,0.7,IF(DIST_DSL_TOT!$AB18&gt;=150%,1.5,IF(DIST_DSL_TOT!$AB18&gt;=140%,1.4,IF(DIST_DSL_TOT!$AB18&gt;=130%,1.3,1))))))</f>
        <v>1</v>
      </c>
      <c r="BN16" s="723" t="e">
        <f>IF(DIST_DSL_TOT!$AT18&lt;=50%,0.5,IF(DIST_DSL_TOT!$AT18&lt;=60%,0.6,IF(DIST_DSL_TOT!$AT18&lt;=70%,0.7,IF(DIST_DSL_TOT!$AT18&gt;=150%,1.5,IF(DIST_DSL_TOT!$AT18&gt;=140%,1.4,IF(DIST_DSL_TOT!$AT18&gt;=130%,1.3,1))))))</f>
        <v>#DIV/0!</v>
      </c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540"/>
    </row>
    <row r="17" spans="1:144" s="530" customFormat="1" ht="15.75" thickBot="1">
      <c r="A17" s="78" t="s">
        <v>175</v>
      </c>
      <c r="B17" s="86">
        <v>1</v>
      </c>
      <c r="C17" s="84">
        <v>1</v>
      </c>
      <c r="D17" s="84">
        <v>1</v>
      </c>
      <c r="E17" s="84">
        <v>1</v>
      </c>
      <c r="F17" s="84">
        <v>1</v>
      </c>
      <c r="G17" s="529">
        <f>CORR_ALC!L18</f>
        <v>1.0534912634536575</v>
      </c>
      <c r="H17" s="529">
        <f>CORR_ALC!M18</f>
        <v>1.1302680357091031</v>
      </c>
      <c r="I17" s="529">
        <f>CORR_ALC!N18</f>
        <v>1.2021960614452323</v>
      </c>
      <c r="J17" s="529">
        <f>CORR_ALC!O18</f>
        <v>1.2485050649282003</v>
      </c>
      <c r="K17" s="529">
        <f>CORR_ALC!P18</f>
        <v>1.2097018124147791</v>
      </c>
      <c r="L17" s="529">
        <f>CORR_ALC!V18</f>
        <v>0.9500345781466113</v>
      </c>
      <c r="M17" s="529">
        <f>CORR_ALC!W18</f>
        <v>0.94952459208827322</v>
      </c>
      <c r="N17" s="529">
        <f>CORR_ALC!X18</f>
        <v>0.93367931008166072</v>
      </c>
      <c r="O17" s="529">
        <f>CORR_ALC!Y18</f>
        <v>0.92039355992844363</v>
      </c>
      <c r="P17" s="529">
        <f>CORR_ALC!Z18</f>
        <v>0.92763713080168775</v>
      </c>
      <c r="Q17" s="529">
        <f>CORR_DSL!L18</f>
        <v>1.0372143209548697</v>
      </c>
      <c r="R17" s="529">
        <f>CORR_DSL!M18</f>
        <v>1.0438668339229833</v>
      </c>
      <c r="S17" s="529">
        <f>CORR_DSL!N18</f>
        <v>1.0297162682615815</v>
      </c>
      <c r="T17" s="529">
        <f>CORR_DSL!O18</f>
        <v>1.0303689675257106</v>
      </c>
      <c r="U17" s="529">
        <f>CORR_DSL!P18</f>
        <v>1.0357762617589501</v>
      </c>
      <c r="V17" s="883">
        <f>CORR_DSL!V18</f>
        <v>0.95471626160934409</v>
      </c>
      <c r="W17" s="883">
        <f>CORR_DSL!W18</f>
        <v>0.94817120644036934</v>
      </c>
      <c r="X17" s="883">
        <f>CORR_DSL!X18</f>
        <v>0.95293119237557855</v>
      </c>
      <c r="Y17" s="883">
        <f>CORR_DSL!Y18</f>
        <v>0.94404329785026531</v>
      </c>
      <c r="Z17" s="883">
        <f>CORR_DSL!Z18</f>
        <v>0.94664731294922</v>
      </c>
      <c r="AA17" s="89">
        <f>CORR_DSL!AF18</f>
        <v>0.99557546723600765</v>
      </c>
      <c r="AB17" s="89">
        <f>CORR_DSL!AG18</f>
        <v>0.97824896633919889</v>
      </c>
      <c r="AC17" s="89">
        <f>CORR_DSL!AH18</f>
        <v>0.97866596727592281</v>
      </c>
      <c r="AD17" s="89">
        <f>CORR_DSL!AI18</f>
        <v>0.97491966227176208</v>
      </c>
      <c r="AE17" s="89">
        <f>CORR_DSL!AJ18</f>
        <v>0.97369072296151937</v>
      </c>
      <c r="AF17" s="883">
        <f>CORR_DSL!AP18</f>
        <v>0.99848753216741082</v>
      </c>
      <c r="AG17" s="883">
        <f>CORR_DSL!AQ18</f>
        <v>0.99914701828781172</v>
      </c>
      <c r="AH17" s="883">
        <f>CORR_DSL!AR18</f>
        <v>0.99980866338364061</v>
      </c>
      <c r="AI17" s="883">
        <f>CORR_DSL!AS18</f>
        <v>0.99980322131596955</v>
      </c>
      <c r="AJ17" s="883">
        <f>CORR_DSL!AT18</f>
        <v>0.9998804899810062</v>
      </c>
      <c r="AK17" s="89">
        <f>CORR_DSL!AZ18</f>
        <v>0.99742654726992286</v>
      </c>
      <c r="AL17" s="89">
        <f>CORR_DSL!BA18</f>
        <v>0.99971567276260387</v>
      </c>
      <c r="AM17" s="89">
        <f>CORR_DSL!BB18</f>
        <v>0.99990433169182025</v>
      </c>
      <c r="AN17" s="89">
        <f>CORR_DSL!BC18</f>
        <v>0.9998389992585206</v>
      </c>
      <c r="AO17" s="89">
        <f>CORR_DSL!BD18</f>
        <v>0.99989756284086251</v>
      </c>
      <c r="AP17" s="883">
        <f>CORR_DSL!BJ18</f>
        <v>0.98117316160627766</v>
      </c>
      <c r="AQ17" s="883">
        <f>CORR_DSL!BK18</f>
        <v>0.98263572943045296</v>
      </c>
      <c r="AR17" s="883">
        <f>CORR_DSL!BL18</f>
        <v>0.97742227926958647</v>
      </c>
      <c r="AS17" s="883">
        <f>CORR_DSL!BM18</f>
        <v>0.97769245281946315</v>
      </c>
      <c r="AT17" s="883">
        <f>CORR_DSL!BN18</f>
        <v>0.97676383773564435</v>
      </c>
      <c r="AU17" s="531">
        <f>AGRO_DSL!E19</f>
        <v>0.94450243154035063</v>
      </c>
      <c r="AV17" s="531">
        <f>AGRO_DSL!F19</f>
        <v>0.94926190473312544</v>
      </c>
      <c r="AW17" s="531">
        <f>AGRO_DSL!G19</f>
        <v>0.95365847426973271</v>
      </c>
      <c r="AX17" s="531">
        <f>AGRO_DSL!H19</f>
        <v>0.95742431365923364</v>
      </c>
      <c r="AY17" s="531">
        <f>AGRO_DSL!I19</f>
        <v>0.95959822379843351</v>
      </c>
      <c r="AZ17" s="891">
        <f>FERRO_DSL!P24</f>
        <v>0.96152070795714928</v>
      </c>
      <c r="BA17" s="891">
        <f>FERRO_DSL!Q24</f>
        <v>0.96392923977426737</v>
      </c>
      <c r="BB17" s="891">
        <f>FERRO_DSL!R24</f>
        <v>0.96528124756760736</v>
      </c>
      <c r="BC17" s="891">
        <f>FERRO_DSL!S24</f>
        <v>0.96651521921417582</v>
      </c>
      <c r="BD17" s="891"/>
      <c r="BE17" s="93">
        <f>HIDRO_DSL!E19</f>
        <v>0.99715875318630409</v>
      </c>
      <c r="BF17" s="93">
        <f>HIDRO_DSL!F19</f>
        <v>0.99724206928428227</v>
      </c>
      <c r="BG17" s="93">
        <f>HIDRO_DSL!G19</f>
        <v>0.99789939194283872</v>
      </c>
      <c r="BH17" s="93">
        <f>HIDRO_DSL!H19</f>
        <v>0.99803787867142446</v>
      </c>
      <c r="BI17" s="93">
        <f>HIDRO_DSL!I19</f>
        <v>0.99823024607923094</v>
      </c>
      <c r="BJ17" s="723">
        <f>IF(DIST_DSL_TOT!$J19&lt;=50%,0.5,IF(DIST_DSL_TOT!$J19&lt;=60%,0.6,IF(DIST_DSL_TOT!$J19&lt;=70%,0.7,IF(DIST_DSL_TOT!$J19&gt;=150%,1.5,IF(DIST_DSL_TOT!$J19&gt;=140%,1.4,IF(DIST_DSL_TOT!$J19&gt;=130%,1.3,1))))))</f>
        <v>1</v>
      </c>
      <c r="BK17" s="723">
        <f>IF(DIST_DSL_TOT!$S19&lt;=50%,0.5,IF(DIST_DSL_TOT!$S19&lt;=60%,0.6,IF(DIST_DSL_TOT!$S19&lt;=70%,0.7,IF(DIST_DSL_TOT!$S19&gt;=150%,1.5,IF(DIST_DSL_TOT!$S19&gt;=140%,1.4,IF(DIST_DSL_TOT!$S19&gt;=130%,1.3,1))))))</f>
        <v>1</v>
      </c>
      <c r="BL17" s="723">
        <f>IF(DIST_DSL_TOT!$AB19&lt;=50%,0.5,IF(DIST_DSL_TOT!$AB19&lt;=60%,0.6,IF(DIST_DSL_TOT!$AB19&lt;=70%,0.7,IF(DIST_DSL_TOT!$AB19&gt;=150%,1.5,IF(DIST_DSL_TOT!$AB19&gt;=140%,1.4,IF(DIST_DSL_TOT!$AB19&gt;=130%,1.3,1))))))</f>
        <v>1</v>
      </c>
      <c r="BM17" s="723">
        <f>IF(DIST_DSL_TOT!$AB19&lt;=50%,0.5,IF(DIST_DSL_TOT!$AB19&lt;=60%,0.6,IF(DIST_DSL_TOT!$AB19&lt;=70%,0.7,IF(DIST_DSL_TOT!$AB19&gt;=150%,1.5,IF(DIST_DSL_TOT!$AB19&gt;=140%,1.4,IF(DIST_DSL_TOT!$AB19&gt;=130%,1.3,1))))))</f>
        <v>1</v>
      </c>
      <c r="BN17" s="723" t="e">
        <f>IF(DIST_DSL_TOT!$AT19&lt;=50%,0.5,IF(DIST_DSL_TOT!$AT19&lt;=60%,0.6,IF(DIST_DSL_TOT!$AT19&lt;=70%,0.7,IF(DIST_DSL_TOT!$AT19&gt;=150%,1.5,IF(DIST_DSL_TOT!$AT19&gt;=140%,1.4,IF(DIST_DSL_TOT!$AT19&gt;=130%,1.3,1))))))</f>
        <v>#DIV/0!</v>
      </c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540"/>
    </row>
    <row r="18" spans="1:144" s="530" customFormat="1" ht="15.75" thickBot="1">
      <c r="A18" s="78" t="s">
        <v>176</v>
      </c>
      <c r="B18" s="86">
        <v>1</v>
      </c>
      <c r="C18" s="84">
        <v>1</v>
      </c>
      <c r="D18" s="84">
        <v>1</v>
      </c>
      <c r="E18" s="84">
        <v>1</v>
      </c>
      <c r="F18" s="84">
        <v>1</v>
      </c>
      <c r="G18" s="529">
        <f>CORR_ALC!L19</f>
        <v>1.0534912634536575</v>
      </c>
      <c r="H18" s="529">
        <f>CORR_ALC!M19</f>
        <v>1.1302680357091033</v>
      </c>
      <c r="I18" s="529">
        <f>CORR_ALC!N19</f>
        <v>1.2021960614452325</v>
      </c>
      <c r="J18" s="529">
        <f>CORR_ALC!O19</f>
        <v>1.2485050649282003</v>
      </c>
      <c r="K18" s="529">
        <f>CORR_ALC!P19</f>
        <v>1.2097018124147791</v>
      </c>
      <c r="L18" s="529">
        <f>CORR_ALC!V19</f>
        <v>0.9500345781466113</v>
      </c>
      <c r="M18" s="529">
        <f>CORR_ALC!W19</f>
        <v>0.94952459208827322</v>
      </c>
      <c r="N18" s="529">
        <f>CORR_ALC!X19</f>
        <v>0.93367931008166072</v>
      </c>
      <c r="O18" s="529">
        <f>CORR_ALC!Y19</f>
        <v>0.92039355992844363</v>
      </c>
      <c r="P18" s="529">
        <f>CORR_ALC!Z19</f>
        <v>0.92763713080168775</v>
      </c>
      <c r="Q18" s="529">
        <f>CORR_DSL!L19</f>
        <v>1.0372143209548697</v>
      </c>
      <c r="R18" s="529">
        <f>CORR_DSL!M19</f>
        <v>1.0438668339229833</v>
      </c>
      <c r="S18" s="529">
        <f>CORR_DSL!N19</f>
        <v>1.0297162682615815</v>
      </c>
      <c r="T18" s="529">
        <f>CORR_DSL!O19</f>
        <v>1.0303689675257104</v>
      </c>
      <c r="U18" s="529">
        <f>CORR_DSL!P19</f>
        <v>1.0357762617589503</v>
      </c>
      <c r="V18" s="883">
        <f>CORR_DSL!V19</f>
        <v>0.95471626160934409</v>
      </c>
      <c r="W18" s="883">
        <f>CORR_DSL!W19</f>
        <v>0.94817120644036934</v>
      </c>
      <c r="X18" s="883">
        <f>CORR_DSL!X19</f>
        <v>0.95293119237557855</v>
      </c>
      <c r="Y18" s="883">
        <f>CORR_DSL!Y19</f>
        <v>0.94404329785026531</v>
      </c>
      <c r="Z18" s="883">
        <f>CORR_DSL!Z19</f>
        <v>0.94664731294922</v>
      </c>
      <c r="AA18" s="89">
        <f>CORR_DSL!AF19</f>
        <v>0.99557546723600765</v>
      </c>
      <c r="AB18" s="89">
        <f>CORR_DSL!AG19</f>
        <v>0.97824896633919889</v>
      </c>
      <c r="AC18" s="89">
        <f>CORR_DSL!AH19</f>
        <v>0.97866596727592281</v>
      </c>
      <c r="AD18" s="89">
        <f>CORR_DSL!AI19</f>
        <v>0.97491966227176208</v>
      </c>
      <c r="AE18" s="89">
        <f>CORR_DSL!AJ19</f>
        <v>0.97369072296151937</v>
      </c>
      <c r="AF18" s="883">
        <f>CORR_DSL!AP19</f>
        <v>0.99848753216741082</v>
      </c>
      <c r="AG18" s="883">
        <f>CORR_DSL!AQ19</f>
        <v>0.99914701828781172</v>
      </c>
      <c r="AH18" s="883">
        <f>CORR_DSL!AR19</f>
        <v>0.99980866338364061</v>
      </c>
      <c r="AI18" s="883">
        <f>CORR_DSL!AS19</f>
        <v>0.99980322131596955</v>
      </c>
      <c r="AJ18" s="883">
        <f>CORR_DSL!AT19</f>
        <v>0.9998804899810062</v>
      </c>
      <c r="AK18" s="89">
        <f>CORR_DSL!AZ19</f>
        <v>0.99742654726992286</v>
      </c>
      <c r="AL18" s="89">
        <f>CORR_DSL!BA19</f>
        <v>0.99971567276260387</v>
      </c>
      <c r="AM18" s="89">
        <f>CORR_DSL!BB19</f>
        <v>0.99990433169182025</v>
      </c>
      <c r="AN18" s="89">
        <f>CORR_DSL!BC19</f>
        <v>0.9998389992585206</v>
      </c>
      <c r="AO18" s="89">
        <f>CORR_DSL!BD19</f>
        <v>0.99989756284086251</v>
      </c>
      <c r="AP18" s="883">
        <f>CORR_DSL!BJ19</f>
        <v>0.98117316160627766</v>
      </c>
      <c r="AQ18" s="883">
        <f>CORR_DSL!BK19</f>
        <v>0.98263572943045296</v>
      </c>
      <c r="AR18" s="883">
        <f>CORR_DSL!BL19</f>
        <v>0.97742227926958647</v>
      </c>
      <c r="AS18" s="883">
        <f>CORR_DSL!BM19</f>
        <v>0.97769245281946315</v>
      </c>
      <c r="AT18" s="883">
        <f>CORR_DSL!BN19</f>
        <v>0.97676383773564435</v>
      </c>
      <c r="AU18" s="531">
        <f>AGRO_DSL!E20</f>
        <v>0.91489723549839441</v>
      </c>
      <c r="AV18" s="531">
        <f>AGRO_DSL!F20</f>
        <v>0.92134304654695465</v>
      </c>
      <c r="AW18" s="531">
        <f>AGRO_DSL!G20</f>
        <v>0.92353936398841507</v>
      </c>
      <c r="AX18" s="531">
        <f>AGRO_DSL!H20</f>
        <v>0.93196780507906751</v>
      </c>
      <c r="AY18" s="531">
        <f>AGRO_DSL!I20</f>
        <v>0.93590060489618565</v>
      </c>
      <c r="AZ18" s="891">
        <f>FERRO_DSL!P19</f>
        <v>0.97377511022135566</v>
      </c>
      <c r="BA18" s="891">
        <f>FERRO_DSL!Q19</f>
        <v>0.97514721039344199</v>
      </c>
      <c r="BB18" s="891">
        <f>FERRO_DSL!R19</f>
        <v>0.97454057593084642</v>
      </c>
      <c r="BC18" s="891">
        <f>FERRO_DSL!S19</f>
        <v>0.9762197086507044</v>
      </c>
      <c r="BD18" s="891"/>
      <c r="BE18" s="93">
        <f>HIDRO_DSL!E20</f>
        <v>0.96470034128260596</v>
      </c>
      <c r="BF18" s="93">
        <f>HIDRO_DSL!F20</f>
        <v>0.9653599790629831</v>
      </c>
      <c r="BG18" s="93">
        <f>HIDRO_DSL!G20</f>
        <v>0.97191952581023211</v>
      </c>
      <c r="BH18" s="93">
        <f>HIDRO_DSL!H20</f>
        <v>0.97459784766293633</v>
      </c>
      <c r="BI18" s="93">
        <f>HIDRO_DSL!I20</f>
        <v>0.97725121594565545</v>
      </c>
      <c r="BJ18" s="723">
        <f>IF(DIST_DSL_TOT!$J20&lt;=50%,0.5,IF(DIST_DSL_TOT!$J20&lt;=60%,0.6,IF(DIST_DSL_TOT!$J20&lt;=70%,0.7,IF(DIST_DSL_TOT!$J20&gt;=150%,1.5,IF(DIST_DSL_TOT!$J20&gt;=140%,1.4,IF(DIST_DSL_TOT!$J20&gt;=130%,1.3,1))))))</f>
        <v>1</v>
      </c>
      <c r="BK18" s="723">
        <f>IF(DIST_DSL_TOT!$S20&lt;=50%,0.5,IF(DIST_DSL_TOT!$S20&lt;=60%,0.6,IF(DIST_DSL_TOT!$S20&lt;=70%,0.7,IF(DIST_DSL_TOT!$S20&gt;=150%,1.5,IF(DIST_DSL_TOT!$S20&gt;=140%,1.4,IF(DIST_DSL_TOT!$S20&gt;=130%,1.3,1))))))</f>
        <v>1</v>
      </c>
      <c r="BL18" s="723">
        <f>IF(DIST_DSL_TOT!$AB20&lt;=50%,0.5,IF(DIST_DSL_TOT!$AB20&lt;=60%,0.6,IF(DIST_DSL_TOT!$AB20&lt;=70%,0.7,IF(DIST_DSL_TOT!$AB20&gt;=150%,1.5,IF(DIST_DSL_TOT!$AB20&gt;=140%,1.4,IF(DIST_DSL_TOT!$AB20&gt;=130%,1.3,1))))))</f>
        <v>1</v>
      </c>
      <c r="BM18" s="723">
        <f>IF(DIST_DSL_TOT!$AB20&lt;=50%,0.5,IF(DIST_DSL_TOT!$AB20&lt;=60%,0.6,IF(DIST_DSL_TOT!$AB20&lt;=70%,0.7,IF(DIST_DSL_TOT!$AB20&gt;=150%,1.5,IF(DIST_DSL_TOT!$AB20&gt;=140%,1.4,IF(DIST_DSL_TOT!$AB20&gt;=130%,1.3,1))))))</f>
        <v>1</v>
      </c>
      <c r="BN18" s="723" t="e">
        <f>IF(DIST_DSL_TOT!$AT20&lt;=50%,0.5,IF(DIST_DSL_TOT!$AT20&lt;=60%,0.6,IF(DIST_DSL_TOT!$AT20&lt;=70%,0.7,IF(DIST_DSL_TOT!$AT20&gt;=150%,1.5,IF(DIST_DSL_TOT!$AT20&gt;=140%,1.4,IF(DIST_DSL_TOT!$AT20&gt;=130%,1.3,1))))))</f>
        <v>#DIV/0!</v>
      </c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540"/>
    </row>
    <row r="19" spans="1:144" s="530" customFormat="1" ht="15.75" thickBot="1">
      <c r="A19" s="78" t="s">
        <v>177</v>
      </c>
      <c r="B19" s="86">
        <v>1</v>
      </c>
      <c r="C19" s="84">
        <v>1</v>
      </c>
      <c r="D19" s="84">
        <v>1</v>
      </c>
      <c r="E19" s="84">
        <v>1</v>
      </c>
      <c r="F19" s="84">
        <v>1</v>
      </c>
      <c r="G19" s="529">
        <f>CORR_ALC!L20</f>
        <v>1.0534912634536577</v>
      </c>
      <c r="H19" s="529">
        <f>CORR_ALC!M20</f>
        <v>1.1302680357091033</v>
      </c>
      <c r="I19" s="529">
        <f>CORR_ALC!N20</f>
        <v>1.2021960614452325</v>
      </c>
      <c r="J19" s="529">
        <f>CORR_ALC!O20</f>
        <v>1.2485050649282003</v>
      </c>
      <c r="K19" s="529">
        <f>CORR_ALC!P20</f>
        <v>1.2097018124147791</v>
      </c>
      <c r="L19" s="529">
        <f>CORR_ALC!V20</f>
        <v>0.9500345781466113</v>
      </c>
      <c r="M19" s="529">
        <f>CORR_ALC!W20</f>
        <v>0.94952459208827322</v>
      </c>
      <c r="N19" s="529">
        <f>CORR_ALC!X20</f>
        <v>0.93367931008166072</v>
      </c>
      <c r="O19" s="529">
        <f>CORR_ALC!Y20</f>
        <v>0.92039355992844363</v>
      </c>
      <c r="P19" s="529">
        <f>CORR_ALC!Z20</f>
        <v>0.92763713080168775</v>
      </c>
      <c r="Q19" s="529">
        <f>CORR_DSL!L20</f>
        <v>1.0372143209548697</v>
      </c>
      <c r="R19" s="529">
        <f>CORR_DSL!M20</f>
        <v>1.0438668339229833</v>
      </c>
      <c r="S19" s="529">
        <f>CORR_DSL!N20</f>
        <v>1.0297162682615812</v>
      </c>
      <c r="T19" s="529">
        <f>CORR_DSL!O20</f>
        <v>1.0303689675257104</v>
      </c>
      <c r="U19" s="529">
        <f>CORR_DSL!P20</f>
        <v>1.0357762617589501</v>
      </c>
      <c r="V19" s="883">
        <f>CORR_DSL!V20</f>
        <v>0.95471626160934409</v>
      </c>
      <c r="W19" s="883">
        <f>CORR_DSL!W20</f>
        <v>0.94817120644036934</v>
      </c>
      <c r="X19" s="883">
        <f>CORR_DSL!X20</f>
        <v>0.95293119237557855</v>
      </c>
      <c r="Y19" s="883">
        <f>CORR_DSL!Y20</f>
        <v>0.9440432978502652</v>
      </c>
      <c r="Z19" s="883">
        <f>CORR_DSL!Z20</f>
        <v>0.94664731294922</v>
      </c>
      <c r="AA19" s="89">
        <f>CORR_DSL!AF20</f>
        <v>0.99557546723600765</v>
      </c>
      <c r="AB19" s="89">
        <f>CORR_DSL!AG20</f>
        <v>0.97824896633919889</v>
      </c>
      <c r="AC19" s="89">
        <f>CORR_DSL!AH20</f>
        <v>0.97866596727592281</v>
      </c>
      <c r="AD19" s="89">
        <f>CORR_DSL!AI20</f>
        <v>0.97491966227176208</v>
      </c>
      <c r="AE19" s="89">
        <f>CORR_DSL!AJ20</f>
        <v>0.97369072296151937</v>
      </c>
      <c r="AF19" s="883">
        <f>CORR_DSL!AP20</f>
        <v>0.99848753216741082</v>
      </c>
      <c r="AG19" s="883">
        <f>CORR_DSL!AQ20</f>
        <v>0.99914701828781172</v>
      </c>
      <c r="AH19" s="883">
        <f>CORR_DSL!AR20</f>
        <v>0.99980866338364061</v>
      </c>
      <c r="AI19" s="883">
        <f>CORR_DSL!AS20</f>
        <v>0.99980322131596955</v>
      </c>
      <c r="AJ19" s="883">
        <f>CORR_DSL!AT20</f>
        <v>0.9998804899810062</v>
      </c>
      <c r="AK19" s="89">
        <f>CORR_DSL!AZ20</f>
        <v>0.99742654726992286</v>
      </c>
      <c r="AL19" s="89">
        <f>CORR_DSL!BA20</f>
        <v>0.99971567276260387</v>
      </c>
      <c r="AM19" s="89">
        <f>CORR_DSL!BB20</f>
        <v>0.99990433169182025</v>
      </c>
      <c r="AN19" s="89">
        <f>CORR_DSL!BC20</f>
        <v>0.9998389992585206</v>
      </c>
      <c r="AO19" s="89">
        <f>CORR_DSL!BD20</f>
        <v>0.99989756284086251</v>
      </c>
      <c r="AP19" s="883">
        <f>CORR_DSL!BJ20</f>
        <v>0.98117316160627766</v>
      </c>
      <c r="AQ19" s="883">
        <f>CORR_DSL!BK20</f>
        <v>0.98263572943045296</v>
      </c>
      <c r="AR19" s="883">
        <f>CORR_DSL!BL20</f>
        <v>0.97742227926958647</v>
      </c>
      <c r="AS19" s="883">
        <f>CORR_DSL!BM20</f>
        <v>0.97769245281946315</v>
      </c>
      <c r="AT19" s="883">
        <f>CORR_DSL!BN20</f>
        <v>0.97676383773564435</v>
      </c>
      <c r="AU19" s="531">
        <f>AGRO_DSL!E21</f>
        <v>0.95251145535791359</v>
      </c>
      <c r="AV19" s="531">
        <f>AGRO_DSL!F21</f>
        <v>0.95287397104664906</v>
      </c>
      <c r="AW19" s="531">
        <f>AGRO_DSL!G21</f>
        <v>0.95674693367770192</v>
      </c>
      <c r="AX19" s="531">
        <f>AGRO_DSL!H21</f>
        <v>0.9620532480826689</v>
      </c>
      <c r="AY19" s="531">
        <f>AGRO_DSL!I21</f>
        <v>0.96503836270482646</v>
      </c>
      <c r="AZ19" s="891">
        <f>FERRO_DSL!P21</f>
        <v>0.95405809451040402</v>
      </c>
      <c r="BA19" s="891">
        <f>FERRO_DSL!Q21</f>
        <v>0.95325350988609459</v>
      </c>
      <c r="BB19" s="891">
        <f>FERRO_DSL!R21</f>
        <v>0.95478550231835635</v>
      </c>
      <c r="BC19" s="891">
        <f>FERRO_DSL!S21</f>
        <v>0.95835839725229743</v>
      </c>
      <c r="BD19" s="891"/>
      <c r="BE19" s="93">
        <f>HIDRO_DSL!E21</f>
        <v>1</v>
      </c>
      <c r="BF19" s="93">
        <f>HIDRO_DSL!F21</f>
        <v>1</v>
      </c>
      <c r="BG19" s="93">
        <f>HIDRO_DSL!G21</f>
        <v>1</v>
      </c>
      <c r="BH19" s="93">
        <f>HIDRO_DSL!H21</f>
        <v>1</v>
      </c>
      <c r="BI19" s="93">
        <f>HIDRO_DSL!I21</f>
        <v>1</v>
      </c>
      <c r="BJ19" s="723">
        <f>IF(DIST_DSL_TOT!$J21&lt;=50%,0.5,IF(DIST_DSL_TOT!$J21&lt;=60%,0.6,IF(DIST_DSL_TOT!$J21&lt;=70%,0.7,IF(DIST_DSL_TOT!$J21&gt;=150%,1.5,IF(DIST_DSL_TOT!$J21&gt;=140%,1.4,IF(DIST_DSL_TOT!$J21&gt;=130%,1.3,1))))))</f>
        <v>1</v>
      </c>
      <c r="BK19" s="723">
        <f>IF(DIST_DSL_TOT!$S21&lt;=50%,0.5,IF(DIST_DSL_TOT!$S21&lt;=60%,0.6,IF(DIST_DSL_TOT!$S21&lt;=70%,0.7,IF(DIST_DSL_TOT!$S21&gt;=150%,1.5,IF(DIST_DSL_TOT!$S21&gt;=140%,1.4,IF(DIST_DSL_TOT!$S21&gt;=130%,1.3,1))))))</f>
        <v>1</v>
      </c>
      <c r="BL19" s="723">
        <f>IF(DIST_DSL_TOT!$AB21&lt;=50%,0.5,IF(DIST_DSL_TOT!$AB21&lt;=60%,0.6,IF(DIST_DSL_TOT!$AB21&lt;=70%,0.7,IF(DIST_DSL_TOT!$AB21&gt;=150%,1.5,IF(DIST_DSL_TOT!$AB21&gt;=140%,1.4,IF(DIST_DSL_TOT!$AB21&gt;=130%,1.3,1))))))</f>
        <v>1</v>
      </c>
      <c r="BM19" s="723">
        <f>IF(DIST_DSL_TOT!$AB21&lt;=50%,0.5,IF(DIST_DSL_TOT!$AB21&lt;=60%,0.6,IF(DIST_DSL_TOT!$AB21&lt;=70%,0.7,IF(DIST_DSL_TOT!$AB21&gt;=150%,1.5,IF(DIST_DSL_TOT!$AB21&gt;=140%,1.4,IF(DIST_DSL_TOT!$AB21&gt;=130%,1.3,1))))))</f>
        <v>1</v>
      </c>
      <c r="BN19" s="723" t="e">
        <f>IF(DIST_DSL_TOT!$AT21&lt;=50%,0.5,IF(DIST_DSL_TOT!$AT21&lt;=60%,0.6,IF(DIST_DSL_TOT!$AT21&lt;=70%,0.7,IF(DIST_DSL_TOT!$AT21&gt;=150%,1.5,IF(DIST_DSL_TOT!$AT21&gt;=140%,1.4,IF(DIST_DSL_TOT!$AT21&gt;=130%,1.3,1))))))</f>
        <v>#DIV/0!</v>
      </c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540"/>
    </row>
    <row r="20" spans="1:144" s="533" customFormat="1" ht="15.75" thickBot="1">
      <c r="A20" s="79" t="s">
        <v>178</v>
      </c>
      <c r="B20" s="87">
        <v>1</v>
      </c>
      <c r="C20" s="88">
        <v>1</v>
      </c>
      <c r="D20" s="88">
        <v>1</v>
      </c>
      <c r="E20" s="88">
        <v>1</v>
      </c>
      <c r="F20" s="88">
        <v>1</v>
      </c>
      <c r="G20" s="529">
        <f>CORR_ALC!L21</f>
        <v>1.0534912634536577</v>
      </c>
      <c r="H20" s="529">
        <f>CORR_ALC!M21</f>
        <v>1.1302680357091031</v>
      </c>
      <c r="I20" s="529">
        <f>CORR_ALC!N21</f>
        <v>1.2021960614452327</v>
      </c>
      <c r="J20" s="529">
        <f>CORR_ALC!O21</f>
        <v>1.2485050649282003</v>
      </c>
      <c r="K20" s="529">
        <f>CORR_ALC!P21</f>
        <v>1.2097018124147791</v>
      </c>
      <c r="L20" s="529">
        <f>CORR_ALC!V21</f>
        <v>0.9500345781466113</v>
      </c>
      <c r="M20" s="529">
        <f>CORR_ALC!W21</f>
        <v>0.94952459208827322</v>
      </c>
      <c r="N20" s="529">
        <f>CORR_ALC!X21</f>
        <v>0.93367931008166072</v>
      </c>
      <c r="O20" s="529">
        <f>CORR_ALC!Y21</f>
        <v>0.92039355992844363</v>
      </c>
      <c r="P20" s="529">
        <f>CORR_ALC!Z21</f>
        <v>0.92763713080168775</v>
      </c>
      <c r="Q20" s="532">
        <f>CORR_DSL!L21</f>
        <v>1.0372143209548697</v>
      </c>
      <c r="R20" s="532">
        <f>CORR_DSL!M21</f>
        <v>1.0438668339229833</v>
      </c>
      <c r="S20" s="532">
        <f>CORR_DSL!N21</f>
        <v>1.0297162682615815</v>
      </c>
      <c r="T20" s="532">
        <f>CORR_DSL!O21</f>
        <v>1.0303689675257104</v>
      </c>
      <c r="U20" s="532">
        <f>CORR_DSL!P21</f>
        <v>1.0357762617589501</v>
      </c>
      <c r="V20" s="883">
        <f>CORR_DSL!V21</f>
        <v>0.95471626160934409</v>
      </c>
      <c r="W20" s="883">
        <f>CORR_DSL!W21</f>
        <v>0.94817120644036934</v>
      </c>
      <c r="X20" s="883">
        <f>CORR_DSL!X21</f>
        <v>0.95293119237557855</v>
      </c>
      <c r="Y20" s="883">
        <f>CORR_DSL!Y21</f>
        <v>0.94404329785026531</v>
      </c>
      <c r="Z20" s="883">
        <f>CORR_DSL!Z21</f>
        <v>0.94664731294922</v>
      </c>
      <c r="AA20" s="89">
        <f>CORR_DSL!AF21</f>
        <v>0.99557546723600765</v>
      </c>
      <c r="AB20" s="89">
        <f>CORR_DSL!AG21</f>
        <v>0.97824896633919889</v>
      </c>
      <c r="AC20" s="89">
        <f>CORR_DSL!AH21</f>
        <v>0.97866596727592281</v>
      </c>
      <c r="AD20" s="89">
        <f>CORR_DSL!AI21</f>
        <v>0.97491966227176208</v>
      </c>
      <c r="AE20" s="89">
        <f>CORR_DSL!AJ21</f>
        <v>0.97369072296151937</v>
      </c>
      <c r="AF20" s="883">
        <f>CORR_DSL!AP21</f>
        <v>0.99848753216741082</v>
      </c>
      <c r="AG20" s="883">
        <f>CORR_DSL!AQ21</f>
        <v>0.99914701828781172</v>
      </c>
      <c r="AH20" s="883">
        <f>CORR_DSL!AR21</f>
        <v>0.99980866338364061</v>
      </c>
      <c r="AI20" s="883">
        <f>CORR_DSL!AS21</f>
        <v>0.99980322131596955</v>
      </c>
      <c r="AJ20" s="883">
        <f>CORR_DSL!AT21</f>
        <v>0.9998804899810062</v>
      </c>
      <c r="AK20" s="89">
        <f>CORR_DSL!AZ21</f>
        <v>0.99742654726992286</v>
      </c>
      <c r="AL20" s="89">
        <f>CORR_DSL!BA21</f>
        <v>0.99971567276260387</v>
      </c>
      <c r="AM20" s="89">
        <f>CORR_DSL!BB21</f>
        <v>0.99990433169182025</v>
      </c>
      <c r="AN20" s="89">
        <f>CORR_DSL!BC21</f>
        <v>0.9998389992585206</v>
      </c>
      <c r="AO20" s="89">
        <f>CORR_DSL!BD21</f>
        <v>0.99989756284086251</v>
      </c>
      <c r="AP20" s="883">
        <f>CORR_DSL!BJ21</f>
        <v>0.98117316160627766</v>
      </c>
      <c r="AQ20" s="883">
        <f>CORR_DSL!BK21</f>
        <v>0.98263572943045296</v>
      </c>
      <c r="AR20" s="883">
        <f>CORR_DSL!BL21</f>
        <v>0.97742227926958647</v>
      </c>
      <c r="AS20" s="883">
        <f>CORR_DSL!BM21</f>
        <v>0.97769245281946315</v>
      </c>
      <c r="AT20" s="883">
        <f>CORR_DSL!BN21</f>
        <v>0.97676383773564435</v>
      </c>
      <c r="AU20" s="531">
        <f>AGRO_DSL!E22</f>
        <v>0.94370590926528763</v>
      </c>
      <c r="AV20" s="531">
        <f>AGRO_DSL!F22</f>
        <v>0.94682594442562518</v>
      </c>
      <c r="AW20" s="531">
        <f>AGRO_DSL!G22</f>
        <v>0.94948198780952187</v>
      </c>
      <c r="AX20" s="531">
        <f>AGRO_DSL!H22</f>
        <v>0.95018935837709684</v>
      </c>
      <c r="AY20" s="531">
        <f>AGRO_DSL!I22</f>
        <v>0.95139933009214894</v>
      </c>
      <c r="AZ20" s="892">
        <f>FERRO_DSL!P12</f>
        <v>0.95998950592236088</v>
      </c>
      <c r="BA20" s="892">
        <f>FERRO_DSL!Q12</f>
        <v>0.96124935735962436</v>
      </c>
      <c r="BB20" s="892">
        <f>FERRO_DSL!R12</f>
        <v>0.96120301076938885</v>
      </c>
      <c r="BC20" s="892">
        <f>FERRO_DSL!S12</f>
        <v>0.95984256856905081</v>
      </c>
      <c r="BD20" s="892"/>
      <c r="BE20" s="93">
        <f>HIDRO_DSL!E22</f>
        <v>0.9965491661050182</v>
      </c>
      <c r="BF20" s="93">
        <f>HIDRO_DSL!F22</f>
        <v>0.9965392102363908</v>
      </c>
      <c r="BG20" s="93">
        <f>HIDRO_DSL!G22</f>
        <v>0.99725812790037616</v>
      </c>
      <c r="BH20" s="93">
        <f>HIDRO_DSL!H22</f>
        <v>0.99725139344930147</v>
      </c>
      <c r="BI20" s="93">
        <f>HIDRO_DSL!I22</f>
        <v>0.99745093493859005</v>
      </c>
      <c r="BJ20" s="723">
        <f>IF(DIST_DSL_TOT!$J22&lt;=50%,0.5,IF(DIST_DSL_TOT!$J22&lt;=60%,0.6,IF(DIST_DSL_TOT!$J22&lt;=70%,0.7,IF(DIST_DSL_TOT!$J22&gt;=150%,1.5,IF(DIST_DSL_TOT!$J22&gt;=140%,1.4,IF(DIST_DSL_TOT!$J22&gt;=130%,1.3,1))))))</f>
        <v>1</v>
      </c>
      <c r="BK20" s="723">
        <f>IF(DIST_DSL_TOT!$S22&lt;=50%,0.5,IF(DIST_DSL_TOT!$S22&lt;=60%,0.6,IF(DIST_DSL_TOT!$S22&lt;=70%,0.7,IF(DIST_DSL_TOT!$S22&gt;=150%,1.5,IF(DIST_DSL_TOT!$S22&gt;=140%,1.4,IF(DIST_DSL_TOT!$S22&gt;=130%,1.3,1))))))</f>
        <v>1</v>
      </c>
      <c r="BL20" s="723">
        <f>IF(DIST_DSL_TOT!$AB22&lt;=50%,0.5,IF(DIST_DSL_TOT!$AB22&lt;=60%,0.6,IF(DIST_DSL_TOT!$AB22&lt;=70%,0.7,IF(DIST_DSL_TOT!$AB22&gt;=150%,1.5,IF(DIST_DSL_TOT!$AB22&gt;=140%,1.4,IF(DIST_DSL_TOT!$AB22&gt;=130%,1.3,1))))))</f>
        <v>1</v>
      </c>
      <c r="BM20" s="723">
        <f>IF(DIST_DSL_TOT!$AB22&lt;=50%,0.5,IF(DIST_DSL_TOT!$AB22&lt;=60%,0.6,IF(DIST_DSL_TOT!$AB22&lt;=70%,0.7,IF(DIST_DSL_TOT!$AB22&gt;=150%,1.5,IF(DIST_DSL_TOT!$AB22&gt;=140%,1.4,IF(DIST_DSL_TOT!$AB22&gt;=130%,1.3,1))))))</f>
        <v>1</v>
      </c>
      <c r="BN20" s="723" t="e">
        <f>IF(DIST_DSL_TOT!$AT22&lt;=50%,0.5,IF(DIST_DSL_TOT!$AT22&lt;=60%,0.6,IF(DIST_DSL_TOT!$AT22&lt;=70%,0.7,IF(DIST_DSL_TOT!$AT22&gt;=150%,1.5,IF(DIST_DSL_TOT!$AT22&gt;=140%,1.4,IF(DIST_DSL_TOT!$AT22&gt;=130%,1.3,1))))))</f>
        <v>#DIV/0!</v>
      </c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541"/>
    </row>
    <row r="21" spans="1:144" ht="15.75" thickBot="1">
      <c r="B21" s="544"/>
      <c r="G21" s="534"/>
      <c r="H21" s="534"/>
      <c r="I21" s="534"/>
      <c r="J21" s="534"/>
      <c r="K21" s="534"/>
      <c r="L21" s="534"/>
      <c r="M21" s="534"/>
      <c r="N21" s="534"/>
      <c r="O21" s="534"/>
      <c r="P21" s="534"/>
      <c r="Q21" s="534"/>
      <c r="R21" s="534"/>
      <c r="S21" s="534"/>
      <c r="T21" s="534"/>
      <c r="U21" s="534"/>
      <c r="V21" s="884"/>
      <c r="W21" s="884"/>
      <c r="X21" s="884"/>
      <c r="Y21" s="884"/>
      <c r="Z21" s="884"/>
      <c r="AA21" s="534"/>
      <c r="AB21" s="534"/>
      <c r="AC21" s="534"/>
      <c r="AD21" s="534"/>
      <c r="AE21" s="534"/>
      <c r="AF21" s="884"/>
      <c r="AG21" s="884"/>
      <c r="AH21" s="884"/>
      <c r="AI21" s="884"/>
      <c r="AJ21" s="884"/>
      <c r="AK21" s="534"/>
      <c r="AL21" s="534"/>
      <c r="AM21" s="534"/>
      <c r="AN21" s="534"/>
      <c r="AO21" s="534"/>
      <c r="AP21" s="884"/>
      <c r="AQ21" s="884"/>
      <c r="AR21" s="884"/>
      <c r="AS21" s="884"/>
      <c r="AT21" s="884"/>
      <c r="AU21" s="535"/>
      <c r="AV21" s="535"/>
      <c r="AW21" s="535"/>
      <c r="AX21" s="535"/>
      <c r="AY21" s="535"/>
      <c r="BE21" s="536"/>
      <c r="BF21" s="536"/>
      <c r="BG21" s="536"/>
      <c r="BH21" s="536"/>
      <c r="BI21" s="545"/>
      <c r="BJ21" s="723"/>
      <c r="BK21" s="723"/>
      <c r="BL21" s="723"/>
      <c r="BM21" s="723"/>
      <c r="BN21" s="723"/>
    </row>
    <row r="22" spans="1:144" s="477" customFormat="1" ht="15.75" thickBot="1">
      <c r="A22" s="77" t="s">
        <v>179</v>
      </c>
      <c r="B22" s="83">
        <v>1</v>
      </c>
      <c r="C22" s="83">
        <v>1</v>
      </c>
      <c r="D22" s="83">
        <v>1</v>
      </c>
      <c r="E22" s="83">
        <v>1</v>
      </c>
      <c r="F22" s="83">
        <v>1</v>
      </c>
      <c r="G22" s="529">
        <f>CORR_ALC!L23</f>
        <v>1.0534912634536577</v>
      </c>
      <c r="H22" s="529">
        <f>CORR_ALC!M23</f>
        <v>1.1302680357091031</v>
      </c>
      <c r="I22" s="529">
        <f>CORR_ALC!N23</f>
        <v>1.2021960614452325</v>
      </c>
      <c r="J22" s="529">
        <f>CORR_ALC!O23</f>
        <v>1.2485050649282001</v>
      </c>
      <c r="K22" s="529">
        <f>CORR_ALC!P23</f>
        <v>1.2097018124147791</v>
      </c>
      <c r="L22" s="529">
        <f>CORR_ALC!V23</f>
        <v>0.9500345781466113</v>
      </c>
      <c r="M22" s="529">
        <f>CORR_ALC!W23</f>
        <v>0.94952459208827322</v>
      </c>
      <c r="N22" s="529">
        <f>CORR_ALC!X23</f>
        <v>0.93367931008166072</v>
      </c>
      <c r="O22" s="529">
        <f>CORR_ALC!Y23</f>
        <v>0.92039355992844363</v>
      </c>
      <c r="P22" s="529">
        <f>CORR_ALC!Z23</f>
        <v>0.92763713080168775</v>
      </c>
      <c r="Q22" s="89">
        <f>CORR_DSL!L23</f>
        <v>1.0372143209548697</v>
      </c>
      <c r="R22" s="89">
        <f>CORR_DSL!M23</f>
        <v>1.0438668339229831</v>
      </c>
      <c r="S22" s="89">
        <f>CORR_DSL!N23</f>
        <v>1.0297162682615815</v>
      </c>
      <c r="T22" s="89">
        <f>CORR_DSL!O23</f>
        <v>1.0303689675257106</v>
      </c>
      <c r="U22" s="89">
        <f>CORR_DSL!P23</f>
        <v>1.0357762617589501</v>
      </c>
      <c r="V22" s="883">
        <f>CORR_DSL!V23</f>
        <v>0.95471626160934409</v>
      </c>
      <c r="W22" s="883">
        <f>CORR_DSL!W23</f>
        <v>0.94817120644036945</v>
      </c>
      <c r="X22" s="883">
        <f>CORR_DSL!X23</f>
        <v>0.95293119237557855</v>
      </c>
      <c r="Y22" s="883">
        <f>CORR_DSL!Y23</f>
        <v>0.9440432978502652</v>
      </c>
      <c r="Z22" s="883">
        <f>CORR_DSL!Z23</f>
        <v>0.94664731294922</v>
      </c>
      <c r="AA22" s="89">
        <f>CORR_DSL!AF23</f>
        <v>0.99557546723600765</v>
      </c>
      <c r="AB22" s="89">
        <f>CORR_DSL!AG23</f>
        <v>0.97824896633919889</v>
      </c>
      <c r="AC22" s="89">
        <f>CORR_DSL!AH23</f>
        <v>0.97866596727592281</v>
      </c>
      <c r="AD22" s="89">
        <f>CORR_DSL!AI23</f>
        <v>0.97491966227176208</v>
      </c>
      <c r="AE22" s="89">
        <f>CORR_DSL!AJ23</f>
        <v>0.97369072296151937</v>
      </c>
      <c r="AF22" s="883">
        <f>CORR_DSL!AP23</f>
        <v>0.99848753216741082</v>
      </c>
      <c r="AG22" s="883">
        <f>CORR_DSL!AQ23</f>
        <v>0.99914701828781172</v>
      </c>
      <c r="AH22" s="883">
        <f>CORR_DSL!AR23</f>
        <v>0.99980866338364061</v>
      </c>
      <c r="AI22" s="883">
        <f>CORR_DSL!AS23</f>
        <v>0.99980322131596955</v>
      </c>
      <c r="AJ22" s="883">
        <f>CORR_DSL!AT23</f>
        <v>0.9998804899810062</v>
      </c>
      <c r="AK22" s="89">
        <f>CORR_DSL!AZ23</f>
        <v>0.99742654726992286</v>
      </c>
      <c r="AL22" s="89">
        <f>CORR_DSL!BA23</f>
        <v>0.99971567276260387</v>
      </c>
      <c r="AM22" s="89">
        <f>CORR_DSL!BB23</f>
        <v>0.99990433169182025</v>
      </c>
      <c r="AN22" s="89">
        <f>CORR_DSL!BC23</f>
        <v>0.9998389992585206</v>
      </c>
      <c r="AO22" s="89">
        <f>CORR_DSL!BD23</f>
        <v>0.99989756284086251</v>
      </c>
      <c r="AP22" s="883">
        <f>CORR_DSL!BJ23</f>
        <v>0.98117316160627766</v>
      </c>
      <c r="AQ22" s="883">
        <f>CORR_DSL!BK23</f>
        <v>0.98263572943045296</v>
      </c>
      <c r="AR22" s="883">
        <f>CORR_DSL!BL23</f>
        <v>0.97742227926958647</v>
      </c>
      <c r="AS22" s="883">
        <f>CORR_DSL!BM23</f>
        <v>0.97769245281946315</v>
      </c>
      <c r="AT22" s="883">
        <f>CORR_DSL!BN23</f>
        <v>0.97676383773564435</v>
      </c>
      <c r="AU22" s="531">
        <f>AGRO_DSL!E24</f>
        <v>0.93121876014860561</v>
      </c>
      <c r="AV22" s="531">
        <f>AGRO_DSL!F24</f>
        <v>0.9356647851956208</v>
      </c>
      <c r="AW22" s="531">
        <f>AGRO_DSL!G24</f>
        <v>0.9427380034649302</v>
      </c>
      <c r="AX22" s="531">
        <f>AGRO_DSL!H24</f>
        <v>0.94348911489564002</v>
      </c>
      <c r="AY22" s="531">
        <f>AGRO_DSL!I24</f>
        <v>0.94369881712155634</v>
      </c>
      <c r="AZ22" s="890">
        <f>FERRO_DSL!P13</f>
        <v>0.80718696936575174</v>
      </c>
      <c r="BA22" s="890">
        <f>FERRO_DSL!Q13</f>
        <v>0.82770481548467445</v>
      </c>
      <c r="BB22" s="890">
        <f>FERRO_DSL!R13</f>
        <v>0.84366175050449976</v>
      </c>
      <c r="BC22" s="890">
        <f>FERRO_DSL!S13</f>
        <v>0.85166624384404921</v>
      </c>
      <c r="BD22" s="890"/>
      <c r="BE22" s="93">
        <f>HIDRO_DSL!E24</f>
        <v>1</v>
      </c>
      <c r="BF22" s="93">
        <f>HIDRO_DSL!F24</f>
        <v>1</v>
      </c>
      <c r="BG22" s="93">
        <f>HIDRO_DSL!G24</f>
        <v>1</v>
      </c>
      <c r="BH22" s="93">
        <f>HIDRO_DSL!H24</f>
        <v>1</v>
      </c>
      <c r="BI22" s="93">
        <f>HIDRO_DSL!I24</f>
        <v>1</v>
      </c>
      <c r="BJ22" s="723">
        <f>IF(DIST_DSL_TOT!$J24&lt;=50%,0.5,IF(DIST_DSL_TOT!$J24&lt;=60%,0.6,IF(DIST_DSL_TOT!$J24&lt;=70%,0.7,IF(DIST_DSL_TOT!$J24&gt;=150%,1.5,IF(DIST_DSL_TOT!$J24&gt;=140%,1.4,IF(DIST_DSL_TOT!$J24&gt;=130%,1.3,1))))))</f>
        <v>1</v>
      </c>
      <c r="BK22" s="723">
        <f>IF(DIST_DSL_TOT!$S24&lt;=50%,0.5,IF(DIST_DSL_TOT!$S24&lt;=60%,0.6,IF(DIST_DSL_TOT!$S24&lt;=70%,0.7,IF(DIST_DSL_TOT!$S24&gt;=150%,1.5,IF(DIST_DSL_TOT!$S24&gt;=140%,1.4,IF(DIST_DSL_TOT!$S24&gt;=130%,1.3,1))))))</f>
        <v>1</v>
      </c>
      <c r="BL22" s="723">
        <f>IF(DIST_DSL_TOT!$AB24&lt;=50%,0.5,IF(DIST_DSL_TOT!$AB24&lt;=60%,0.6,IF(DIST_DSL_TOT!$AB24&lt;=70%,0.7,IF(DIST_DSL_TOT!$AB24&gt;=150%,1.5,IF(DIST_DSL_TOT!$AB24&gt;=140%,1.4,IF(DIST_DSL_TOT!$AB24&gt;=130%,1.3,1))))))</f>
        <v>1</v>
      </c>
      <c r="BM22" s="723">
        <f>IF(DIST_DSL_TOT!$AB24&lt;=50%,0.5,IF(DIST_DSL_TOT!$AB24&lt;=60%,0.6,IF(DIST_DSL_TOT!$AB24&lt;=70%,0.7,IF(DIST_DSL_TOT!$AB24&gt;=150%,1.5,IF(DIST_DSL_TOT!$AB24&gt;=140%,1.4,IF(DIST_DSL_TOT!$AB24&gt;=130%,1.3,1))))))</f>
        <v>1</v>
      </c>
      <c r="BN22" s="723" t="e">
        <f>IF(DIST_DSL_TOT!$AT24&lt;=50%,0.5,IF(DIST_DSL_TOT!$AT24&lt;=60%,0.6,IF(DIST_DSL_TOT!$AT24&lt;=70%,0.7,IF(DIST_DSL_TOT!$AT24&gt;=150%,1.5,IF(DIST_DSL_TOT!$AT24&gt;=140%,1.4,IF(DIST_DSL_TOT!$AT24&gt;=130%,1.3,1))))))</f>
        <v>#DIV/0!</v>
      </c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</row>
    <row r="23" spans="1:144" ht="15.75" thickBot="1">
      <c r="A23" s="78" t="s">
        <v>180</v>
      </c>
      <c r="B23" s="83">
        <v>1</v>
      </c>
      <c r="C23" s="83">
        <v>1</v>
      </c>
      <c r="D23" s="83">
        <v>1</v>
      </c>
      <c r="E23" s="83">
        <v>1</v>
      </c>
      <c r="F23" s="83">
        <v>1</v>
      </c>
      <c r="G23" s="529">
        <f>CORR_ALC!L24</f>
        <v>1.0534912634536577</v>
      </c>
      <c r="H23" s="529">
        <f>CORR_ALC!M24</f>
        <v>1.1302680357091033</v>
      </c>
      <c r="I23" s="529">
        <f>CORR_ALC!N24</f>
        <v>1.2021960614452325</v>
      </c>
      <c r="J23" s="529">
        <f>CORR_ALC!O24</f>
        <v>1.2485050649282003</v>
      </c>
      <c r="K23" s="529">
        <f>CORR_ALC!P24</f>
        <v>1.2097018124147789</v>
      </c>
      <c r="L23" s="529">
        <f>CORR_ALC!V24</f>
        <v>0.9500345781466113</v>
      </c>
      <c r="M23" s="529">
        <f>CORR_ALC!W24</f>
        <v>0.94952459208827322</v>
      </c>
      <c r="N23" s="529">
        <f>CORR_ALC!X24</f>
        <v>0.93367931008166072</v>
      </c>
      <c r="O23" s="529">
        <f>CORR_ALC!Y24</f>
        <v>0.92039355992844363</v>
      </c>
      <c r="P23" s="529">
        <f>CORR_ALC!Z24</f>
        <v>0.92763713080168775</v>
      </c>
      <c r="Q23" s="89">
        <f>CORR_DSL!L24</f>
        <v>1.0372143209548697</v>
      </c>
      <c r="R23" s="89">
        <f>CORR_DSL!M24</f>
        <v>1.0438668339229833</v>
      </c>
      <c r="S23" s="89">
        <f>CORR_DSL!N24</f>
        <v>1.0297162682615815</v>
      </c>
      <c r="T23" s="89">
        <f>CORR_DSL!O24</f>
        <v>1.0303689675257104</v>
      </c>
      <c r="U23" s="89">
        <f>CORR_DSL!P24</f>
        <v>1.0357762617589501</v>
      </c>
      <c r="V23" s="883">
        <f>CORR_DSL!V24</f>
        <v>0.95471626160934409</v>
      </c>
      <c r="W23" s="883">
        <f>CORR_DSL!W24</f>
        <v>0.94817120644036934</v>
      </c>
      <c r="X23" s="883">
        <f>CORR_DSL!X24</f>
        <v>0.95293119237557855</v>
      </c>
      <c r="Y23" s="883">
        <f>CORR_DSL!Y24</f>
        <v>0.94404329785026531</v>
      </c>
      <c r="Z23" s="883">
        <f>CORR_DSL!Z24</f>
        <v>0.94664731294922</v>
      </c>
      <c r="AA23" s="89">
        <f>CORR_DSL!AF24</f>
        <v>0.99557546723600765</v>
      </c>
      <c r="AB23" s="89">
        <f>CORR_DSL!AG24</f>
        <v>0.97824896633919889</v>
      </c>
      <c r="AC23" s="89">
        <f>CORR_DSL!AH24</f>
        <v>0.97866596727592281</v>
      </c>
      <c r="AD23" s="89">
        <f>CORR_DSL!AI24</f>
        <v>0.97491966227176208</v>
      </c>
      <c r="AE23" s="89">
        <f>CORR_DSL!AJ24</f>
        <v>0.97369072296151937</v>
      </c>
      <c r="AF23" s="883">
        <f>CORR_DSL!AP24</f>
        <v>0.99848753216741082</v>
      </c>
      <c r="AG23" s="883">
        <f>CORR_DSL!AQ24</f>
        <v>0.99914701828781172</v>
      </c>
      <c r="AH23" s="883">
        <f>CORR_DSL!AR24</f>
        <v>0.99980866338364061</v>
      </c>
      <c r="AI23" s="883">
        <f>CORR_DSL!AS24</f>
        <v>0.99980322131596955</v>
      </c>
      <c r="AJ23" s="883">
        <f>CORR_DSL!AT24</f>
        <v>0.9998804899810062</v>
      </c>
      <c r="AK23" s="89">
        <f>CORR_DSL!AZ24</f>
        <v>0.99742654726992286</v>
      </c>
      <c r="AL23" s="89">
        <f>CORR_DSL!BA24</f>
        <v>0.99971567276260387</v>
      </c>
      <c r="AM23" s="89">
        <f>CORR_DSL!BB24</f>
        <v>0.99990433169182025</v>
      </c>
      <c r="AN23" s="89">
        <f>CORR_DSL!BC24</f>
        <v>0.9998389992585206</v>
      </c>
      <c r="AO23" s="89">
        <f>CORR_DSL!BD24</f>
        <v>0.99989756284086251</v>
      </c>
      <c r="AP23" s="883">
        <f>CORR_DSL!BJ24</f>
        <v>0.98117316160627766</v>
      </c>
      <c r="AQ23" s="883">
        <f>CORR_DSL!BK24</f>
        <v>0.98263572943045296</v>
      </c>
      <c r="AR23" s="883">
        <f>CORR_DSL!BL24</f>
        <v>0.97742227926958647</v>
      </c>
      <c r="AS23" s="883">
        <f>CORR_DSL!BM24</f>
        <v>0.97769245281946315</v>
      </c>
      <c r="AT23" s="883">
        <f>CORR_DSL!BN24</f>
        <v>0.97676383773564435</v>
      </c>
      <c r="AU23" s="531">
        <f>AGRO_DSL!E25</f>
        <v>0.89316646931437593</v>
      </c>
      <c r="AV23" s="531">
        <f>AGRO_DSL!F25</f>
        <v>0.90013887424804828</v>
      </c>
      <c r="AW23" s="531">
        <f>AGRO_DSL!G25</f>
        <v>0.90798610661573065</v>
      </c>
      <c r="AX23" s="531">
        <f>AGRO_DSL!H25</f>
        <v>0.907502579280553</v>
      </c>
      <c r="AY23" s="531">
        <f>AGRO_DSL!I25</f>
        <v>0.9110666127279623</v>
      </c>
      <c r="AZ23" s="891">
        <f>FERRO_DSL!P8</f>
        <v>0.97746568396977329</v>
      </c>
      <c r="BA23" s="891">
        <f>FERRO_DSL!Q8</f>
        <v>0.97036440918515121</v>
      </c>
      <c r="BB23" s="891">
        <f>FERRO_DSL!R8</f>
        <v>0.97216155877543919</v>
      </c>
      <c r="BC23" s="891">
        <f>FERRO_DSL!S8</f>
        <v>0.97309516981168087</v>
      </c>
      <c r="BD23" s="891"/>
      <c r="BE23" s="93">
        <f>HIDRO_DSL!E25</f>
        <v>0.99661595359517019</v>
      </c>
      <c r="BF23" s="93">
        <f>HIDRO_DSL!F25</f>
        <v>0.99664154624874912</v>
      </c>
      <c r="BG23" s="93">
        <f>HIDRO_DSL!G25</f>
        <v>0.99741939325289886</v>
      </c>
      <c r="BH23" s="93">
        <f>HIDRO_DSL!H25</f>
        <v>0.99736252989402874</v>
      </c>
      <c r="BI23" s="93">
        <f>HIDRO_DSL!I25</f>
        <v>0.99758970066593755</v>
      </c>
      <c r="BJ23" s="723">
        <f>IF(DIST_DSL_TOT!$J25&lt;=50%,0.5,IF(DIST_DSL_TOT!$J25&lt;=60%,0.6,IF(DIST_DSL_TOT!$J25&lt;=70%,0.7,IF(DIST_DSL_TOT!$J25&gt;=150%,1.5,IF(DIST_DSL_TOT!$J25&gt;=140%,1.4,IF(DIST_DSL_TOT!$J25&gt;=130%,1.3,1))))))</f>
        <v>1</v>
      </c>
      <c r="BK23" s="723">
        <f>IF(DIST_DSL_TOT!$S25&lt;=50%,0.5,IF(DIST_DSL_TOT!$S25&lt;=60%,0.6,IF(DIST_DSL_TOT!$S25&lt;=70%,0.7,IF(DIST_DSL_TOT!$S25&gt;=150%,1.5,IF(DIST_DSL_TOT!$S25&gt;=140%,1.4,IF(DIST_DSL_TOT!$S25&gt;=130%,1.3,1))))))</f>
        <v>1</v>
      </c>
      <c r="BL23" s="723">
        <f>IF(DIST_DSL_TOT!$AB25&lt;=50%,0.5,IF(DIST_DSL_TOT!$AB25&lt;=60%,0.6,IF(DIST_DSL_TOT!$AB25&lt;=70%,0.7,IF(DIST_DSL_TOT!$AB25&gt;=150%,1.5,IF(DIST_DSL_TOT!$AB25&gt;=140%,1.4,IF(DIST_DSL_TOT!$AB25&gt;=130%,1.3,1))))))</f>
        <v>1</v>
      </c>
      <c r="BM23" s="723">
        <f>IF(DIST_DSL_TOT!$AB25&lt;=50%,0.5,IF(DIST_DSL_TOT!$AB25&lt;=60%,0.6,IF(DIST_DSL_TOT!$AB25&lt;=70%,0.7,IF(DIST_DSL_TOT!$AB25&gt;=150%,1.5,IF(DIST_DSL_TOT!$AB25&gt;=140%,1.4,IF(DIST_DSL_TOT!$AB25&gt;=130%,1.3,1))))))</f>
        <v>1</v>
      </c>
      <c r="BN23" s="723" t="e">
        <f>IF(DIST_DSL_TOT!$AT25&lt;=50%,0.5,IF(DIST_DSL_TOT!$AT25&lt;=60%,0.6,IF(DIST_DSL_TOT!$AT25&lt;=70%,0.7,IF(DIST_DSL_TOT!$AT25&gt;=150%,1.5,IF(DIST_DSL_TOT!$AT25&gt;=140%,1.4,IF(DIST_DSL_TOT!$AT25&gt;=130%,1.3,1))))))</f>
        <v>#DIV/0!</v>
      </c>
    </row>
    <row r="24" spans="1:144" ht="15.75" thickBot="1">
      <c r="A24" s="78" t="s">
        <v>181</v>
      </c>
      <c r="B24" s="83">
        <v>1</v>
      </c>
      <c r="C24" s="83">
        <v>1</v>
      </c>
      <c r="D24" s="83">
        <v>1</v>
      </c>
      <c r="E24" s="83">
        <v>1</v>
      </c>
      <c r="F24" s="83">
        <v>1</v>
      </c>
      <c r="G24" s="529">
        <f>CORR_ALC!L25</f>
        <v>1.0534912634536575</v>
      </c>
      <c r="H24" s="529">
        <f>CORR_ALC!M25</f>
        <v>1.1302680357091033</v>
      </c>
      <c r="I24" s="529">
        <f>CORR_ALC!N25</f>
        <v>1.2021960614452325</v>
      </c>
      <c r="J24" s="529">
        <f>CORR_ALC!O25</f>
        <v>1.2485050649282001</v>
      </c>
      <c r="K24" s="529">
        <f>CORR_ALC!P25</f>
        <v>1.2097018124147791</v>
      </c>
      <c r="L24" s="529">
        <f>CORR_ALC!V25</f>
        <v>0.9500345781466113</v>
      </c>
      <c r="M24" s="529">
        <f>CORR_ALC!W25</f>
        <v>0.94952459208827322</v>
      </c>
      <c r="N24" s="529">
        <f>CORR_ALC!X25</f>
        <v>0.93367931008166072</v>
      </c>
      <c r="O24" s="529">
        <f>CORR_ALC!Y25</f>
        <v>0.92039355992844363</v>
      </c>
      <c r="P24" s="529">
        <f>CORR_ALC!Z25</f>
        <v>0.92763713080168775</v>
      </c>
      <c r="Q24" s="89">
        <f>CORR_DSL!L25</f>
        <v>1.0372143209548697</v>
      </c>
      <c r="R24" s="89">
        <f>CORR_DSL!M25</f>
        <v>1.0438668339229831</v>
      </c>
      <c r="S24" s="89">
        <f>CORR_DSL!N25</f>
        <v>1.0297162682615812</v>
      </c>
      <c r="T24" s="89">
        <f>CORR_DSL!O25</f>
        <v>1.0303689675257104</v>
      </c>
      <c r="U24" s="89">
        <f>CORR_DSL!P25</f>
        <v>1.0357762617589501</v>
      </c>
      <c r="V24" s="883">
        <f>CORR_DSL!V25</f>
        <v>0.95471626160934409</v>
      </c>
      <c r="W24" s="883">
        <f>CORR_DSL!W25</f>
        <v>0.94817120644036934</v>
      </c>
      <c r="X24" s="883">
        <f>CORR_DSL!X25</f>
        <v>0.95293119237557855</v>
      </c>
      <c r="Y24" s="883">
        <f>CORR_DSL!Y25</f>
        <v>0.9440432978502652</v>
      </c>
      <c r="Z24" s="883">
        <f>CORR_DSL!Z25</f>
        <v>0.94664731294922</v>
      </c>
      <c r="AA24" s="89">
        <f>CORR_DSL!AF25</f>
        <v>0.99557546723600765</v>
      </c>
      <c r="AB24" s="89">
        <f>CORR_DSL!AG25</f>
        <v>0.97824896633919889</v>
      </c>
      <c r="AC24" s="89">
        <f>CORR_DSL!AH25</f>
        <v>0.97866596727592281</v>
      </c>
      <c r="AD24" s="89">
        <f>CORR_DSL!AI25</f>
        <v>0.97491966227176208</v>
      </c>
      <c r="AE24" s="89">
        <f>CORR_DSL!AJ25</f>
        <v>0.97369072296151937</v>
      </c>
      <c r="AF24" s="883">
        <f>CORR_DSL!AP25</f>
        <v>0.99848753216741082</v>
      </c>
      <c r="AG24" s="883">
        <f>CORR_DSL!AQ25</f>
        <v>0.99914701828781172</v>
      </c>
      <c r="AH24" s="883">
        <f>CORR_DSL!AR25</f>
        <v>0.99980866338364061</v>
      </c>
      <c r="AI24" s="883">
        <f>CORR_DSL!AS25</f>
        <v>0.99980322131596955</v>
      </c>
      <c r="AJ24" s="883">
        <f>CORR_DSL!AT25</f>
        <v>0.9998804899810062</v>
      </c>
      <c r="AK24" s="89">
        <f>CORR_DSL!AZ25</f>
        <v>0.99742654726992286</v>
      </c>
      <c r="AL24" s="89">
        <f>CORR_DSL!BA25</f>
        <v>0.99971567276260387</v>
      </c>
      <c r="AM24" s="89">
        <f>CORR_DSL!BB25</f>
        <v>0.99990433169182025</v>
      </c>
      <c r="AN24" s="89">
        <f>CORR_DSL!BC25</f>
        <v>0.9998389992585206</v>
      </c>
      <c r="AO24" s="89">
        <f>CORR_DSL!BD25</f>
        <v>0.99989756284086251</v>
      </c>
      <c r="AP24" s="883">
        <f>CORR_DSL!BJ25</f>
        <v>0.98117316160627766</v>
      </c>
      <c r="AQ24" s="883">
        <f>CORR_DSL!BK25</f>
        <v>0.98263572943045296</v>
      </c>
      <c r="AR24" s="883">
        <f>CORR_DSL!BL25</f>
        <v>0.97742227926958647</v>
      </c>
      <c r="AS24" s="883">
        <f>CORR_DSL!BM25</f>
        <v>0.97769245281946315</v>
      </c>
      <c r="AT24" s="883">
        <f>CORR_DSL!BN25</f>
        <v>0.97676383773564435</v>
      </c>
      <c r="AU24" s="531">
        <f>AGRO_DSL!E26</f>
        <v>0.98288874768633927</v>
      </c>
      <c r="AV24" s="531">
        <f>AGRO_DSL!F26</f>
        <v>0.98341503717384471</v>
      </c>
      <c r="AW24" s="531">
        <f>AGRO_DSL!G26</f>
        <v>0.98501580850937809</v>
      </c>
      <c r="AX24" s="531">
        <f>AGRO_DSL!H26</f>
        <v>0.9849399796649474</v>
      </c>
      <c r="AY24" s="531">
        <f>AGRO_DSL!I26</f>
        <v>0.98484885340306683</v>
      </c>
      <c r="AZ24" s="891">
        <f>FERRO_DSL!P14</f>
        <v>0.94675670737200124</v>
      </c>
      <c r="BA24" s="891">
        <f>FERRO_DSL!Q14</f>
        <v>0.94959952603580833</v>
      </c>
      <c r="BB24" s="891">
        <f>FERRO_DSL!R14</f>
        <v>0.9535775767394703</v>
      </c>
      <c r="BC24" s="891">
        <f>FERRO_DSL!S14</f>
        <v>0.95514310824579529</v>
      </c>
      <c r="BD24" s="891"/>
      <c r="BE24" s="93">
        <f>HIDRO_DSL!E26</f>
        <v>0.99701466917261483</v>
      </c>
      <c r="BF24" s="93">
        <f>HIDRO_DSL!F26</f>
        <v>0.9969278716301454</v>
      </c>
      <c r="BG24" s="93">
        <f>HIDRO_DSL!G26</f>
        <v>0.99768535880897458</v>
      </c>
      <c r="BH24" s="93">
        <f>HIDRO_DSL!H26</f>
        <v>0.99763481332550441</v>
      </c>
      <c r="BI24" s="93">
        <f>HIDRO_DSL!I26</f>
        <v>0.99773830733717539</v>
      </c>
      <c r="BJ24" s="723">
        <f>IF(DIST_DSL_TOT!$J26&lt;=50%,0.5,IF(DIST_DSL_TOT!$J26&lt;=60%,0.6,IF(DIST_DSL_TOT!$J26&lt;=70%,0.7,IF(DIST_DSL_TOT!$J26&gt;=150%,1.5,IF(DIST_DSL_TOT!$J26&gt;=140%,1.4,IF(DIST_DSL_TOT!$J26&gt;=130%,1.3,1))))))</f>
        <v>1</v>
      </c>
      <c r="BK24" s="723">
        <f>IF(DIST_DSL_TOT!$S26&lt;=50%,0.5,IF(DIST_DSL_TOT!$S26&lt;=60%,0.6,IF(DIST_DSL_TOT!$S26&lt;=70%,0.7,IF(DIST_DSL_TOT!$S26&gt;=150%,1.5,IF(DIST_DSL_TOT!$S26&gt;=140%,1.4,IF(DIST_DSL_TOT!$S26&gt;=130%,1.3,1))))))</f>
        <v>1</v>
      </c>
      <c r="BL24" s="723">
        <f>IF(DIST_DSL_TOT!$AB26&lt;=50%,0.5,IF(DIST_DSL_TOT!$AB26&lt;=60%,0.6,IF(DIST_DSL_TOT!$AB26&lt;=70%,0.7,IF(DIST_DSL_TOT!$AB26&gt;=150%,1.5,IF(DIST_DSL_TOT!$AB26&gt;=140%,1.4,IF(DIST_DSL_TOT!$AB26&gt;=130%,1.3,1))))))</f>
        <v>1</v>
      </c>
      <c r="BM24" s="723">
        <f>IF(DIST_DSL_TOT!$AB26&lt;=50%,0.5,IF(DIST_DSL_TOT!$AB26&lt;=60%,0.6,IF(DIST_DSL_TOT!$AB26&lt;=70%,0.7,IF(DIST_DSL_TOT!$AB26&gt;=150%,1.5,IF(DIST_DSL_TOT!$AB26&gt;=140%,1.4,IF(DIST_DSL_TOT!$AB26&gt;=130%,1.3,1))))))</f>
        <v>1</v>
      </c>
      <c r="BN24" s="723" t="e">
        <f>IF(DIST_DSL_TOT!$AT26&lt;=50%,0.5,IF(DIST_DSL_TOT!$AT26&lt;=60%,0.6,IF(DIST_DSL_TOT!$AT26&lt;=70%,0.7,IF(DIST_DSL_TOT!$AT26&gt;=150%,1.5,IF(DIST_DSL_TOT!$AT26&gt;=140%,1.4,IF(DIST_DSL_TOT!$AT26&gt;=130%,1.3,1))))))</f>
        <v>#DIV/0!</v>
      </c>
    </row>
    <row r="25" spans="1:144" s="478" customFormat="1" ht="15.75" thickBot="1">
      <c r="A25" s="79" t="s">
        <v>182</v>
      </c>
      <c r="B25" s="537">
        <v>1</v>
      </c>
      <c r="C25" s="537">
        <v>1</v>
      </c>
      <c r="D25" s="537">
        <v>1</v>
      </c>
      <c r="E25" s="537">
        <v>1</v>
      </c>
      <c r="F25" s="537">
        <v>1</v>
      </c>
      <c r="G25" s="529">
        <f>CORR_ALC!L26</f>
        <v>1.0534912634536577</v>
      </c>
      <c r="H25" s="529">
        <f>CORR_ALC!M26</f>
        <v>1.1302680357091033</v>
      </c>
      <c r="I25" s="529">
        <f>CORR_ALC!N26</f>
        <v>1.2021960614452325</v>
      </c>
      <c r="J25" s="529">
        <f>CORR_ALC!O26</f>
        <v>1.2485050649282001</v>
      </c>
      <c r="K25" s="529">
        <f>CORR_ALC!P26</f>
        <v>1.2097018124147789</v>
      </c>
      <c r="L25" s="529">
        <f>CORR_ALC!V26</f>
        <v>0.9500345781466113</v>
      </c>
      <c r="M25" s="529">
        <f>CORR_ALC!W26</f>
        <v>0.94952459208827322</v>
      </c>
      <c r="N25" s="529">
        <f>CORR_ALC!X26</f>
        <v>0.93367931008166072</v>
      </c>
      <c r="O25" s="529">
        <f>CORR_ALC!Y26</f>
        <v>0.92039355992844363</v>
      </c>
      <c r="P25" s="529">
        <f>CORR_ALC!Z26</f>
        <v>0.92763713080168775</v>
      </c>
      <c r="Q25" s="538">
        <f>CORR_DSL!L26</f>
        <v>1.0372143209548697</v>
      </c>
      <c r="R25" s="538">
        <f>CORR_DSL!M26</f>
        <v>1.0438668339229833</v>
      </c>
      <c r="S25" s="538">
        <f>CORR_DSL!N26</f>
        <v>1.0297162682615815</v>
      </c>
      <c r="T25" s="538">
        <f>CORR_DSL!O26</f>
        <v>1.0303689675257104</v>
      </c>
      <c r="U25" s="538">
        <f>CORR_DSL!P26</f>
        <v>1.0357762617589501</v>
      </c>
      <c r="V25" s="883">
        <f>CORR_DSL!V26</f>
        <v>0.95471626160934409</v>
      </c>
      <c r="W25" s="883">
        <f>CORR_DSL!W26</f>
        <v>0.94817120644036945</v>
      </c>
      <c r="X25" s="883">
        <f>CORR_DSL!X26</f>
        <v>0.95293119237557855</v>
      </c>
      <c r="Y25" s="883">
        <f>CORR_DSL!Y26</f>
        <v>0.94404329785026531</v>
      </c>
      <c r="Z25" s="883">
        <f>CORR_DSL!Z26</f>
        <v>0.94664731294922</v>
      </c>
      <c r="AA25" s="89">
        <f>CORR_DSL!AF26</f>
        <v>0.99557546723600765</v>
      </c>
      <c r="AB25" s="89">
        <f>CORR_DSL!AG26</f>
        <v>0.97824896633919889</v>
      </c>
      <c r="AC25" s="89">
        <f>CORR_DSL!AH26</f>
        <v>0.97866596727592281</v>
      </c>
      <c r="AD25" s="89">
        <f>CORR_DSL!AI26</f>
        <v>0.97491966227176208</v>
      </c>
      <c r="AE25" s="89">
        <f>CORR_DSL!AJ26</f>
        <v>0.97369072296151937</v>
      </c>
      <c r="AF25" s="883">
        <f>CORR_DSL!AP26</f>
        <v>0.99848753216741082</v>
      </c>
      <c r="AG25" s="883">
        <f>CORR_DSL!AQ26</f>
        <v>0.99914701828781172</v>
      </c>
      <c r="AH25" s="883">
        <f>CORR_DSL!AR26</f>
        <v>0.99980866338364061</v>
      </c>
      <c r="AI25" s="883">
        <f>CORR_DSL!AS26</f>
        <v>0.99980322131596955</v>
      </c>
      <c r="AJ25" s="883">
        <f>CORR_DSL!AT26</f>
        <v>0.9998804899810062</v>
      </c>
      <c r="AK25" s="89">
        <f>CORR_DSL!AZ26</f>
        <v>0.99742654726992286</v>
      </c>
      <c r="AL25" s="89">
        <f>CORR_DSL!BA26</f>
        <v>0.99971567276260387</v>
      </c>
      <c r="AM25" s="89">
        <f>CORR_DSL!BB26</f>
        <v>0.99990433169182025</v>
      </c>
      <c r="AN25" s="89">
        <f>CORR_DSL!BC26</f>
        <v>0.9998389992585206</v>
      </c>
      <c r="AO25" s="89">
        <f>CORR_DSL!BD26</f>
        <v>0.99989756284086251</v>
      </c>
      <c r="AP25" s="883">
        <f>CORR_DSL!BJ26</f>
        <v>0.98117316160627766</v>
      </c>
      <c r="AQ25" s="883">
        <f>CORR_DSL!BK26</f>
        <v>0.98263572943045296</v>
      </c>
      <c r="AR25" s="883">
        <f>CORR_DSL!BL26</f>
        <v>0.97742227926958647</v>
      </c>
      <c r="AS25" s="883">
        <f>CORR_DSL!BM26</f>
        <v>0.97769245281946315</v>
      </c>
      <c r="AT25" s="883">
        <f>CORR_DSL!BN26</f>
        <v>0.97676383773564435</v>
      </c>
      <c r="AU25" s="531">
        <f>AGRO_DSL!E27</f>
        <v>0.8600741753201534</v>
      </c>
      <c r="AV25" s="531">
        <f>AGRO_DSL!F27</f>
        <v>0.86683139106803841</v>
      </c>
      <c r="AW25" s="531">
        <f>AGRO_DSL!G27</f>
        <v>0.87446942991016208</v>
      </c>
      <c r="AX25" s="531">
        <f>AGRO_DSL!H27</f>
        <v>0.87606356035347532</v>
      </c>
      <c r="AY25" s="531">
        <f>AGRO_DSL!I27</f>
        <v>0.88072082194475176</v>
      </c>
      <c r="AZ25" s="892">
        <f>FERRO_DSL!P7</f>
        <v>0.98201827337034131</v>
      </c>
      <c r="BA25" s="892">
        <f>FERRO_DSL!Q7</f>
        <v>0.98487491308671726</v>
      </c>
      <c r="BB25" s="892">
        <f>FERRO_DSL!R7</f>
        <v>0.9854648375059023</v>
      </c>
      <c r="BC25" s="892">
        <f>FERRO_DSL!S7</f>
        <v>0.98620319480802765</v>
      </c>
      <c r="BD25" s="892"/>
      <c r="BE25" s="93">
        <f>HIDRO_DSL!E27</f>
        <v>0.99759456565710236</v>
      </c>
      <c r="BF25" s="93">
        <f>HIDRO_DSL!F27</f>
        <v>0.99756941014310718</v>
      </c>
      <c r="BG25" s="93">
        <f>HIDRO_DSL!G27</f>
        <v>0.99808933377868481</v>
      </c>
      <c r="BH25" s="93">
        <f>HIDRO_DSL!H27</f>
        <v>0.99808210934634367</v>
      </c>
      <c r="BI25" s="93">
        <f>HIDRO_DSL!I27</f>
        <v>0.99824556336181003</v>
      </c>
      <c r="BJ25" s="723">
        <f>IF(DIST_DSL_TOT!$J27&lt;=50%,0.5,IF(DIST_DSL_TOT!$J27&lt;=60%,0.6,IF(DIST_DSL_TOT!$J27&lt;=70%,0.7,IF(DIST_DSL_TOT!$J27&gt;=150%,1.5,IF(DIST_DSL_TOT!$J27&gt;=140%,1.4,IF(DIST_DSL_TOT!$J27&gt;=130%,1.3,1))))))</f>
        <v>1</v>
      </c>
      <c r="BK25" s="723">
        <f>IF(DIST_DSL_TOT!$S27&lt;=50%,0.5,IF(DIST_DSL_TOT!$S27&lt;=60%,0.6,IF(DIST_DSL_TOT!$S27&lt;=70%,0.7,IF(DIST_DSL_TOT!$S27&gt;=150%,1.5,IF(DIST_DSL_TOT!$S27&gt;=140%,1.4,IF(DIST_DSL_TOT!$S27&gt;=130%,1.3,1))))))</f>
        <v>1</v>
      </c>
      <c r="BL25" s="723">
        <f>IF(DIST_DSL_TOT!$AB27&lt;=50%,0.5,IF(DIST_DSL_TOT!$AB27&lt;=60%,0.6,IF(DIST_DSL_TOT!$AB27&lt;=70%,0.7,IF(DIST_DSL_TOT!$AB27&gt;=150%,1.5,IF(DIST_DSL_TOT!$AB27&gt;=140%,1.4,IF(DIST_DSL_TOT!$AB27&gt;=130%,1.3,1))))))</f>
        <v>1</v>
      </c>
      <c r="BM25" s="723">
        <f>IF(DIST_DSL_TOT!$AB27&lt;=50%,0.5,IF(DIST_DSL_TOT!$AB27&lt;=60%,0.6,IF(DIST_DSL_TOT!$AB27&lt;=70%,0.7,IF(DIST_DSL_TOT!$AB27&gt;=150%,1.5,IF(DIST_DSL_TOT!$AB27&gt;=140%,1.4,IF(DIST_DSL_TOT!$AB27&gt;=130%,1.3,1))))))</f>
        <v>1</v>
      </c>
      <c r="BN25" s="723" t="e">
        <f>IF(DIST_DSL_TOT!$AT27&lt;=50%,0.5,IF(DIST_DSL_TOT!$AT27&lt;=60%,0.6,IF(DIST_DSL_TOT!$AT27&lt;=70%,0.7,IF(DIST_DSL_TOT!$AT27&gt;=150%,1.5,IF(DIST_DSL_TOT!$AT27&gt;=140%,1.4,IF(DIST_DSL_TOT!$AT27&gt;=130%,1.3,1))))))</f>
        <v>#DIV/0!</v>
      </c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</row>
    <row r="26" spans="1:144" ht="15.75" thickBot="1">
      <c r="B26" s="544"/>
      <c r="G26" s="534"/>
      <c r="H26" s="534"/>
      <c r="I26" s="534"/>
      <c r="J26" s="534"/>
      <c r="K26" s="534"/>
      <c r="L26" s="534"/>
      <c r="M26" s="534"/>
      <c r="N26" s="534"/>
      <c r="O26" s="534"/>
      <c r="P26" s="534"/>
      <c r="Q26" s="534"/>
      <c r="R26" s="534"/>
      <c r="S26" s="534"/>
      <c r="T26" s="534"/>
      <c r="U26" s="534"/>
      <c r="V26" s="884"/>
      <c r="W26" s="884"/>
      <c r="X26" s="884"/>
      <c r="Y26" s="884"/>
      <c r="Z26" s="884"/>
      <c r="AA26" s="534"/>
      <c r="AB26" s="534"/>
      <c r="AC26" s="534"/>
      <c r="AD26" s="534"/>
      <c r="AE26" s="534"/>
      <c r="AF26" s="884"/>
      <c r="AG26" s="884"/>
      <c r="AH26" s="884"/>
      <c r="AI26" s="884"/>
      <c r="AJ26" s="884"/>
      <c r="AK26" s="534"/>
      <c r="AL26" s="534"/>
      <c r="AM26" s="534"/>
      <c r="AN26" s="534"/>
      <c r="AO26" s="534"/>
      <c r="AP26" s="884"/>
      <c r="AQ26" s="884"/>
      <c r="AR26" s="884"/>
      <c r="AS26" s="884"/>
      <c r="AT26" s="884"/>
      <c r="AU26" s="535"/>
      <c r="AV26" s="535"/>
      <c r="AW26" s="535"/>
      <c r="AX26" s="535"/>
      <c r="AY26" s="535"/>
      <c r="BE26" s="536"/>
      <c r="BF26" s="536"/>
      <c r="BG26" s="536"/>
      <c r="BH26" s="536"/>
      <c r="BI26" s="545"/>
      <c r="BJ26" s="723"/>
      <c r="BK26" s="723"/>
      <c r="BL26" s="723"/>
      <c r="BM26" s="723"/>
      <c r="BN26" s="723"/>
    </row>
    <row r="27" spans="1:144" s="477" customFormat="1" ht="15.75" thickBot="1">
      <c r="A27" s="77" t="s">
        <v>183</v>
      </c>
      <c r="B27" s="83">
        <v>1</v>
      </c>
      <c r="C27" s="83">
        <v>1</v>
      </c>
      <c r="D27" s="83">
        <v>1</v>
      </c>
      <c r="E27" s="83">
        <v>1</v>
      </c>
      <c r="F27" s="83">
        <v>1</v>
      </c>
      <c r="G27" s="529">
        <f>CORR_ALC!L28</f>
        <v>1.0534912634536577</v>
      </c>
      <c r="H27" s="529">
        <f>CORR_ALC!M28</f>
        <v>1.1302680357091033</v>
      </c>
      <c r="I27" s="529">
        <f>CORR_ALC!N28</f>
        <v>1.2021960614452325</v>
      </c>
      <c r="J27" s="529">
        <f>CORR_ALC!O28</f>
        <v>1.2485050649282003</v>
      </c>
      <c r="K27" s="529">
        <f>CORR_ALC!P28</f>
        <v>1.2097018124147791</v>
      </c>
      <c r="L27" s="529">
        <f>CORR_ALC!V28</f>
        <v>0.9500345781466113</v>
      </c>
      <c r="M27" s="529">
        <f>CORR_ALC!W28</f>
        <v>0.94952459208827322</v>
      </c>
      <c r="N27" s="529">
        <f>CORR_ALC!X28</f>
        <v>0.93367931008166072</v>
      </c>
      <c r="O27" s="529">
        <f>CORR_ALC!Y28</f>
        <v>0.92039355992844363</v>
      </c>
      <c r="P27" s="529">
        <f>CORR_ALC!Z28</f>
        <v>0.92763713080168775</v>
      </c>
      <c r="Q27" s="89">
        <f>CORR_DSL!L28</f>
        <v>1.0372143209548697</v>
      </c>
      <c r="R27" s="89">
        <f>CORR_DSL!M28</f>
        <v>1.0438668339229833</v>
      </c>
      <c r="S27" s="89">
        <f>CORR_DSL!N28</f>
        <v>1.0297162682615815</v>
      </c>
      <c r="T27" s="89">
        <f>CORR_DSL!O28</f>
        <v>1.0303689675257104</v>
      </c>
      <c r="U27" s="89">
        <f>CORR_DSL!P28</f>
        <v>1.0357762617589499</v>
      </c>
      <c r="V27" s="883">
        <f>CORR_DSL!V28</f>
        <v>0.95471626160934409</v>
      </c>
      <c r="W27" s="883">
        <f>CORR_DSL!W28</f>
        <v>0.94817120644036934</v>
      </c>
      <c r="X27" s="883">
        <f>CORR_DSL!X28</f>
        <v>0.95293119237557855</v>
      </c>
      <c r="Y27" s="883">
        <f>CORR_DSL!Y28</f>
        <v>0.94404329785026531</v>
      </c>
      <c r="Z27" s="883">
        <f>CORR_DSL!Z28</f>
        <v>0.94664731294922</v>
      </c>
      <c r="AA27" s="89">
        <f>CORR_DSL!AF28</f>
        <v>0.99557546723600765</v>
      </c>
      <c r="AB27" s="89">
        <f>CORR_DSL!AG28</f>
        <v>0.97824896633919889</v>
      </c>
      <c r="AC27" s="89">
        <f>CORR_DSL!AH28</f>
        <v>0.97866596727592281</v>
      </c>
      <c r="AD27" s="89">
        <f>CORR_DSL!AI28</f>
        <v>0.97491966227176208</v>
      </c>
      <c r="AE27" s="89">
        <f>CORR_DSL!AJ28</f>
        <v>0.97369072296151937</v>
      </c>
      <c r="AF27" s="883">
        <f>CORR_DSL!AP28</f>
        <v>0.99848753216741082</v>
      </c>
      <c r="AG27" s="883">
        <f>CORR_DSL!AQ28</f>
        <v>0.99914701828781172</v>
      </c>
      <c r="AH27" s="883">
        <f>CORR_DSL!AR28</f>
        <v>0.99980866338364061</v>
      </c>
      <c r="AI27" s="883">
        <f>CORR_DSL!AS28</f>
        <v>0.99980322131596955</v>
      </c>
      <c r="AJ27" s="883">
        <f>CORR_DSL!AT28</f>
        <v>0.9998804899810062</v>
      </c>
      <c r="AK27" s="89">
        <f>CORR_DSL!AZ28</f>
        <v>0.99742654726992286</v>
      </c>
      <c r="AL27" s="89">
        <f>CORR_DSL!BA28</f>
        <v>0.99971567276260387</v>
      </c>
      <c r="AM27" s="89">
        <f>CORR_DSL!BB28</f>
        <v>0.99990433169182025</v>
      </c>
      <c r="AN27" s="89">
        <f>CORR_DSL!BC28</f>
        <v>0.9998389992585206</v>
      </c>
      <c r="AO27" s="89">
        <f>CORR_DSL!BD28</f>
        <v>0.99989756284086251</v>
      </c>
      <c r="AP27" s="883">
        <f>CORR_DSL!BJ28</f>
        <v>0.98117316160627766</v>
      </c>
      <c r="AQ27" s="883">
        <f>CORR_DSL!BK28</f>
        <v>0.98263572943045296</v>
      </c>
      <c r="AR27" s="883">
        <f>CORR_DSL!BL28</f>
        <v>0.97742227926958647</v>
      </c>
      <c r="AS27" s="883">
        <f>CORR_DSL!BM28</f>
        <v>0.97769245281946315</v>
      </c>
      <c r="AT27" s="883">
        <f>CORR_DSL!BN28</f>
        <v>0.97676383773564435</v>
      </c>
      <c r="AU27" s="531">
        <f>AGRO_DSL!E29</f>
        <v>0.78366875061473573</v>
      </c>
      <c r="AV27" s="531">
        <f>AGRO_DSL!F29</f>
        <v>0.79350358722376291</v>
      </c>
      <c r="AW27" s="531">
        <f>AGRO_DSL!G29</f>
        <v>0.80902955946231114</v>
      </c>
      <c r="AX27" s="531">
        <f>AGRO_DSL!H29</f>
        <v>0.81287253634379064</v>
      </c>
      <c r="AY27" s="531">
        <f>AGRO_DSL!I29</f>
        <v>0.82403468914408684</v>
      </c>
      <c r="AZ27" s="890">
        <f>FERRO_DSL!P17</f>
        <v>0.97093167118909773</v>
      </c>
      <c r="BA27" s="890">
        <f>FERRO_DSL!Q17</f>
        <v>0.97349234432535625</v>
      </c>
      <c r="BB27" s="890">
        <f>FERRO_DSL!R17</f>
        <v>0.97500809660972343</v>
      </c>
      <c r="BC27" s="890">
        <f>FERRO_DSL!S17</f>
        <v>0.97645602213700844</v>
      </c>
      <c r="BD27" s="890"/>
      <c r="BE27" s="93">
        <f>HIDRO_DSL!E29</f>
        <v>0.99828808424023119</v>
      </c>
      <c r="BF27" s="93">
        <f>HIDRO_DSL!F29</f>
        <v>0.9982650385510804</v>
      </c>
      <c r="BG27" s="93">
        <f>HIDRO_DSL!G29</f>
        <v>0.9986619603774779</v>
      </c>
      <c r="BH27" s="93">
        <f>HIDRO_DSL!H29</f>
        <v>0.99866700089588045</v>
      </c>
      <c r="BI27" s="93">
        <f>HIDRO_DSL!I29</f>
        <v>0.99880857252475497</v>
      </c>
      <c r="BJ27" s="723">
        <f>IF(DIST_DSL_TOT!$J29&lt;=50%,0.5,IF(DIST_DSL_TOT!$J29&lt;=60%,0.6,IF(DIST_DSL_TOT!$J29&lt;=70%,0.7,IF(DIST_DSL_TOT!$J29&gt;=150%,1.5,IF(DIST_DSL_TOT!$J29&gt;=140%,1.4,IF(DIST_DSL_TOT!$J29&gt;=130%,1.3,1))))))</f>
        <v>1</v>
      </c>
      <c r="BK27" s="723">
        <f>IF(DIST_DSL_TOT!$S29&lt;=50%,0.5,IF(DIST_DSL_TOT!$S29&lt;=60%,0.6,IF(DIST_DSL_TOT!$S29&lt;=70%,0.7,IF(DIST_DSL_TOT!$S29&gt;=150%,1.5,IF(DIST_DSL_TOT!$S29&gt;=140%,1.4,IF(DIST_DSL_TOT!$S29&gt;=130%,1.3,1))))))</f>
        <v>1</v>
      </c>
      <c r="BL27" s="723">
        <f>IF(DIST_DSL_TOT!$AB29&lt;=50%,0.5,IF(DIST_DSL_TOT!$AB29&lt;=60%,0.6,IF(DIST_DSL_TOT!$AB29&lt;=70%,0.7,IF(DIST_DSL_TOT!$AB29&gt;=150%,1.5,IF(DIST_DSL_TOT!$AB29&gt;=140%,1.4,IF(DIST_DSL_TOT!$AB29&gt;=130%,1.3,1))))))</f>
        <v>1</v>
      </c>
      <c r="BM27" s="723">
        <f>IF(DIST_DSL_TOT!$AB29&lt;=50%,0.5,IF(DIST_DSL_TOT!$AB29&lt;=60%,0.6,IF(DIST_DSL_TOT!$AB29&lt;=70%,0.7,IF(DIST_DSL_TOT!$AB29&gt;=150%,1.5,IF(DIST_DSL_TOT!$AB29&gt;=140%,1.4,IF(DIST_DSL_TOT!$AB29&gt;=130%,1.3,1))))))</f>
        <v>1</v>
      </c>
      <c r="BN27" s="723" t="e">
        <f>IF(DIST_DSL_TOT!$AT29&lt;=50%,0.5,IF(DIST_DSL_TOT!$AT29&lt;=60%,0.6,IF(DIST_DSL_TOT!$AT29&lt;=70%,0.7,IF(DIST_DSL_TOT!$AT29&gt;=150%,1.5,IF(DIST_DSL_TOT!$AT29&gt;=140%,1.4,IF(DIST_DSL_TOT!$AT29&gt;=130%,1.3,1))))))</f>
        <v>#DIV/0!</v>
      </c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</row>
    <row r="28" spans="1:144" ht="15.75" thickBot="1">
      <c r="A28" s="78" t="s">
        <v>184</v>
      </c>
      <c r="B28" s="83">
        <v>1</v>
      </c>
      <c r="C28" s="83">
        <v>1</v>
      </c>
      <c r="D28" s="83">
        <v>1</v>
      </c>
      <c r="E28" s="83">
        <v>1</v>
      </c>
      <c r="F28" s="83">
        <v>1</v>
      </c>
      <c r="G28" s="529">
        <f>CORR_ALC!L29</f>
        <v>1.0534912634536577</v>
      </c>
      <c r="H28" s="529">
        <f>CORR_ALC!M29</f>
        <v>1.1302680357091033</v>
      </c>
      <c r="I28" s="529">
        <f>CORR_ALC!N29</f>
        <v>1.2021960614452327</v>
      </c>
      <c r="J28" s="529">
        <f>CORR_ALC!O29</f>
        <v>1.2485050649282003</v>
      </c>
      <c r="K28" s="529">
        <f>CORR_ALC!P29</f>
        <v>1.2097018124147791</v>
      </c>
      <c r="L28" s="529">
        <f>CORR_ALC!V29</f>
        <v>0.9500345781466113</v>
      </c>
      <c r="M28" s="529">
        <f>CORR_ALC!W29</f>
        <v>0.94952459208827322</v>
      </c>
      <c r="N28" s="529">
        <f>CORR_ALC!X29</f>
        <v>0.93367931008166072</v>
      </c>
      <c r="O28" s="529">
        <f>CORR_ALC!Y29</f>
        <v>0.92039355992844363</v>
      </c>
      <c r="P28" s="529">
        <f>CORR_ALC!Z29</f>
        <v>0.92763713080168775</v>
      </c>
      <c r="Q28" s="89">
        <f>CORR_DSL!L29</f>
        <v>1.0372143209548699</v>
      </c>
      <c r="R28" s="89">
        <f>CORR_DSL!M29</f>
        <v>1.0438668339229833</v>
      </c>
      <c r="S28" s="89">
        <f>CORR_DSL!N29</f>
        <v>1.0297162682615815</v>
      </c>
      <c r="T28" s="89">
        <f>CORR_DSL!O29</f>
        <v>1.0303689675257104</v>
      </c>
      <c r="U28" s="89">
        <f>CORR_DSL!P29</f>
        <v>1.0357762617589501</v>
      </c>
      <c r="V28" s="883">
        <f>CORR_DSL!V29</f>
        <v>0.95471626160934409</v>
      </c>
      <c r="W28" s="883">
        <f>CORR_DSL!W29</f>
        <v>0.94817120644036945</v>
      </c>
      <c r="X28" s="883">
        <f>CORR_DSL!X29</f>
        <v>0.95293119237557855</v>
      </c>
      <c r="Y28" s="883">
        <f>CORR_DSL!Y29</f>
        <v>0.94404329785026531</v>
      </c>
      <c r="Z28" s="883">
        <f>CORR_DSL!Z29</f>
        <v>0.94664731294922</v>
      </c>
      <c r="AA28" s="89">
        <f>CORR_DSL!AF29</f>
        <v>0.99557546723600765</v>
      </c>
      <c r="AB28" s="89">
        <f>CORR_DSL!AG29</f>
        <v>0.97824896633919889</v>
      </c>
      <c r="AC28" s="89">
        <f>CORR_DSL!AH29</f>
        <v>0.97866596727592281</v>
      </c>
      <c r="AD28" s="89">
        <f>CORR_DSL!AI29</f>
        <v>0.97491966227176208</v>
      </c>
      <c r="AE28" s="89">
        <f>CORR_DSL!AJ29</f>
        <v>0.97369072296151937</v>
      </c>
      <c r="AF28" s="883">
        <f>CORR_DSL!AP29</f>
        <v>0.99848753216741082</v>
      </c>
      <c r="AG28" s="883">
        <f>CORR_DSL!AQ29</f>
        <v>0.99914701828781172</v>
      </c>
      <c r="AH28" s="883">
        <f>CORR_DSL!AR29</f>
        <v>0.99980866338364061</v>
      </c>
      <c r="AI28" s="883">
        <f>CORR_DSL!AS29</f>
        <v>0.99980322131596955</v>
      </c>
      <c r="AJ28" s="883">
        <f>CORR_DSL!AT29</f>
        <v>0.9998804899810062</v>
      </c>
      <c r="AK28" s="89">
        <f>CORR_DSL!AZ29</f>
        <v>0.99742654726992286</v>
      </c>
      <c r="AL28" s="89">
        <f>CORR_DSL!BA29</f>
        <v>0.99971567276260387</v>
      </c>
      <c r="AM28" s="89">
        <f>CORR_DSL!BB29</f>
        <v>0.99990433169182025</v>
      </c>
      <c r="AN28" s="89">
        <f>CORR_DSL!BC29</f>
        <v>0.9998389992585206</v>
      </c>
      <c r="AO28" s="89">
        <f>CORR_DSL!BD29</f>
        <v>0.99989756284086251</v>
      </c>
      <c r="AP28" s="883">
        <f>CORR_DSL!BJ29</f>
        <v>0.98117316160627766</v>
      </c>
      <c r="AQ28" s="883">
        <f>CORR_DSL!BK29</f>
        <v>0.98263572943045296</v>
      </c>
      <c r="AR28" s="883">
        <f>CORR_DSL!BL29</f>
        <v>0.97742227926958647</v>
      </c>
      <c r="AS28" s="883">
        <f>CORR_DSL!BM29</f>
        <v>0.97769245281946315</v>
      </c>
      <c r="AT28" s="883">
        <f>CORR_DSL!BN29</f>
        <v>0.97676383773564435</v>
      </c>
      <c r="AU28" s="531">
        <f>AGRO_DSL!E30</f>
        <v>0.67018301032798622</v>
      </c>
      <c r="AV28" s="531">
        <f>AGRO_DSL!F30</f>
        <v>0.68706203354501638</v>
      </c>
      <c r="AW28" s="531">
        <f>AGRO_DSL!G30</f>
        <v>0.70953443961730756</v>
      </c>
      <c r="AX28" s="531">
        <f>AGRO_DSL!H30</f>
        <v>0.70719247221492332</v>
      </c>
      <c r="AY28" s="531">
        <f>AGRO_DSL!I30</f>
        <v>0.72587245906800413</v>
      </c>
      <c r="AZ28" s="891">
        <f>FERRO_DSL!P16</f>
        <v>0.96361879102939407</v>
      </c>
      <c r="BA28" s="891">
        <f>FERRO_DSL!Q16</f>
        <v>0.98911175381767458</v>
      </c>
      <c r="BB28" s="891">
        <f>FERRO_DSL!R16</f>
        <v>0.98969688145450774</v>
      </c>
      <c r="BC28" s="891">
        <f>FERRO_DSL!S16</f>
        <v>0.99001460121451268</v>
      </c>
      <c r="BD28" s="891"/>
      <c r="BE28" s="93">
        <f>HIDRO_DSL!E30</f>
        <v>0.99152954796408799</v>
      </c>
      <c r="BF28" s="93">
        <f>HIDRO_DSL!F30</f>
        <v>0.99146691628650907</v>
      </c>
      <c r="BG28" s="93">
        <f>HIDRO_DSL!G30</f>
        <v>0.99339507480107281</v>
      </c>
      <c r="BH28" s="93">
        <f>HIDRO_DSL!H30</f>
        <v>0.9932306807453416</v>
      </c>
      <c r="BI28" s="93">
        <f>HIDRO_DSL!I30</f>
        <v>0.99397629558379408</v>
      </c>
      <c r="BJ28" s="723">
        <f>IF(DIST_DSL_TOT!$J30&lt;=50%,0.5,IF(DIST_DSL_TOT!$J30&lt;=60%,0.6,IF(DIST_DSL_TOT!$J30&lt;=70%,0.7,IF(DIST_DSL_TOT!$J30&gt;=150%,1.5,IF(DIST_DSL_TOT!$J30&gt;=140%,1.4,IF(DIST_DSL_TOT!$J30&gt;=130%,1.3,1))))))</f>
        <v>1.5</v>
      </c>
      <c r="BK28" s="723">
        <f>IF(DIST_DSL_TOT!$S30&lt;=50%,0.5,IF(DIST_DSL_TOT!$S30&lt;=60%,0.6,IF(DIST_DSL_TOT!$S30&lt;=70%,0.7,IF(DIST_DSL_TOT!$S30&gt;=150%,1.5,IF(DIST_DSL_TOT!$S30&gt;=140%,1.4,IF(DIST_DSL_TOT!$S30&gt;=130%,1.3,1))))))</f>
        <v>1.4</v>
      </c>
      <c r="BL28" s="723">
        <f>IF(DIST_DSL_TOT!$AB30&lt;=50%,0.5,IF(DIST_DSL_TOT!$AB30&lt;=60%,0.6,IF(DIST_DSL_TOT!$AB30&lt;=70%,0.7,IF(DIST_DSL_TOT!$AB30&gt;=150%,1.5,IF(DIST_DSL_TOT!$AB30&gt;=140%,1.4,IF(DIST_DSL_TOT!$AB30&gt;=130%,1.3,1))))))</f>
        <v>1.3</v>
      </c>
      <c r="BM28" s="723">
        <f>IF(DIST_DSL_TOT!$AB30&lt;=50%,0.5,IF(DIST_DSL_TOT!$AB30&lt;=60%,0.6,IF(DIST_DSL_TOT!$AB30&lt;=70%,0.7,IF(DIST_DSL_TOT!$AB30&gt;=150%,1.5,IF(DIST_DSL_TOT!$AB30&gt;=140%,1.4,IF(DIST_DSL_TOT!$AB30&gt;=130%,1.3,1))))))</f>
        <v>1.3</v>
      </c>
      <c r="BN28" s="723" t="e">
        <f>IF(DIST_DSL_TOT!$AT30&lt;=50%,0.5,IF(DIST_DSL_TOT!$AT30&lt;=60%,0.6,IF(DIST_DSL_TOT!$AT30&lt;=70%,0.7,IF(DIST_DSL_TOT!$AT30&gt;=150%,1.5,IF(DIST_DSL_TOT!$AT30&gt;=140%,1.4,IF(DIST_DSL_TOT!$AT30&gt;=130%,1.3,1))))))</f>
        <v>#DIV/0!</v>
      </c>
    </row>
    <row r="29" spans="1:144" s="478" customFormat="1" ht="15.75" thickBot="1">
      <c r="A29" s="79" t="s">
        <v>185</v>
      </c>
      <c r="B29" s="537">
        <v>1</v>
      </c>
      <c r="C29" s="537">
        <v>1</v>
      </c>
      <c r="D29" s="537">
        <v>1</v>
      </c>
      <c r="E29" s="537">
        <v>1</v>
      </c>
      <c r="F29" s="537">
        <v>1</v>
      </c>
      <c r="G29" s="529">
        <f>CORR_ALC!L30</f>
        <v>1.0534912634536575</v>
      </c>
      <c r="H29" s="529">
        <f>CORR_ALC!M30</f>
        <v>1.1302680357091033</v>
      </c>
      <c r="I29" s="529">
        <f>CORR_ALC!N30</f>
        <v>1.2021960614452323</v>
      </c>
      <c r="J29" s="529">
        <f>CORR_ALC!O30</f>
        <v>1.2485050649282001</v>
      </c>
      <c r="K29" s="529">
        <f>CORR_ALC!P30</f>
        <v>1.2097018124147789</v>
      </c>
      <c r="L29" s="529">
        <f>CORR_ALC!V30</f>
        <v>0.9500345781466113</v>
      </c>
      <c r="M29" s="529">
        <f>CORR_ALC!W30</f>
        <v>0.94952459208827322</v>
      </c>
      <c r="N29" s="529">
        <f>CORR_ALC!X30</f>
        <v>0.93367931008166072</v>
      </c>
      <c r="O29" s="529">
        <f>CORR_ALC!Y30</f>
        <v>0.92039355992844363</v>
      </c>
      <c r="P29" s="529">
        <f>CORR_ALC!Z30</f>
        <v>0.92763713080168775</v>
      </c>
      <c r="Q29" s="538">
        <f>CORR_DSL!L30</f>
        <v>1.0372143209548697</v>
      </c>
      <c r="R29" s="538">
        <f>CORR_DSL!M30</f>
        <v>1.0438668339229833</v>
      </c>
      <c r="S29" s="538">
        <f>CORR_DSL!N30</f>
        <v>1.0297162682615812</v>
      </c>
      <c r="T29" s="538">
        <f>CORR_DSL!O30</f>
        <v>1.0303689675257104</v>
      </c>
      <c r="U29" s="538">
        <f>CORR_DSL!P30</f>
        <v>1.0357762617589499</v>
      </c>
      <c r="V29" s="883">
        <f>CORR_DSL!V30</f>
        <v>0.95471626160934409</v>
      </c>
      <c r="W29" s="883">
        <f>CORR_DSL!W30</f>
        <v>0.94817120644036934</v>
      </c>
      <c r="X29" s="883">
        <f>CORR_DSL!X30</f>
        <v>0.95293119237557855</v>
      </c>
      <c r="Y29" s="883">
        <f>CORR_DSL!Y30</f>
        <v>0.94404329785026531</v>
      </c>
      <c r="Z29" s="883">
        <f>CORR_DSL!Z30</f>
        <v>0.94664731294922</v>
      </c>
      <c r="AA29" s="89">
        <f>CORR_DSL!AF30</f>
        <v>0.99557546723600765</v>
      </c>
      <c r="AB29" s="89">
        <f>CORR_DSL!AG30</f>
        <v>0.97824896633919889</v>
      </c>
      <c r="AC29" s="89">
        <f>CORR_DSL!AH30</f>
        <v>0.97866596727592281</v>
      </c>
      <c r="AD29" s="89">
        <f>CORR_DSL!AI30</f>
        <v>0.97491966227176208</v>
      </c>
      <c r="AE29" s="89">
        <f>CORR_DSL!AJ30</f>
        <v>0.97369072296151937</v>
      </c>
      <c r="AF29" s="883">
        <f>CORR_DSL!AP30</f>
        <v>0.99848753216741082</v>
      </c>
      <c r="AG29" s="883">
        <f>CORR_DSL!AQ30</f>
        <v>0.99914701828781172</v>
      </c>
      <c r="AH29" s="883">
        <f>CORR_DSL!AR30</f>
        <v>0.99980866338364061</v>
      </c>
      <c r="AI29" s="883">
        <f>CORR_DSL!AS30</f>
        <v>0.99980322131596955</v>
      </c>
      <c r="AJ29" s="883">
        <f>CORR_DSL!AT30</f>
        <v>0.9998804899810062</v>
      </c>
      <c r="AK29" s="89">
        <f>CORR_DSL!AZ30</f>
        <v>0.99742654726992286</v>
      </c>
      <c r="AL29" s="89">
        <f>CORR_DSL!BA30</f>
        <v>0.99971567276260387</v>
      </c>
      <c r="AM29" s="89">
        <f>CORR_DSL!BB30</f>
        <v>0.99990433169182025</v>
      </c>
      <c r="AN29" s="89">
        <f>CORR_DSL!BC30</f>
        <v>0.9998389992585206</v>
      </c>
      <c r="AO29" s="89">
        <f>CORR_DSL!BD30</f>
        <v>0.99989756284086251</v>
      </c>
      <c r="AP29" s="883">
        <f>CORR_DSL!BJ30</f>
        <v>0.98117316160627766</v>
      </c>
      <c r="AQ29" s="883">
        <f>CORR_DSL!BK30</f>
        <v>0.98263572943045296</v>
      </c>
      <c r="AR29" s="883">
        <f>CORR_DSL!BL30</f>
        <v>0.97742227926958647</v>
      </c>
      <c r="AS29" s="883">
        <f>CORR_DSL!BM30</f>
        <v>0.97769245281946315</v>
      </c>
      <c r="AT29" s="883">
        <f>CORR_DSL!BN30</f>
        <v>0.97676383773564435</v>
      </c>
      <c r="AU29" s="531">
        <f>AGRO_DSL!E31</f>
        <v>0.85167776077796176</v>
      </c>
      <c r="AV29" s="531">
        <f>AGRO_DSL!F31</f>
        <v>0.85763823309747189</v>
      </c>
      <c r="AW29" s="531">
        <f>AGRO_DSL!G31</f>
        <v>0.86741424175012638</v>
      </c>
      <c r="AX29" s="531">
        <f>AGRO_DSL!H31</f>
        <v>0.8666947806435118</v>
      </c>
      <c r="AY29" s="531">
        <f>AGRO_DSL!I31</f>
        <v>0.87215845473512432</v>
      </c>
      <c r="AZ29" s="892">
        <f>FERRO_DSL!P15</f>
        <v>0.97106596041832238</v>
      </c>
      <c r="BA29" s="892">
        <f>FERRO_DSL!Q15</f>
        <v>0.97152497028919804</v>
      </c>
      <c r="BB29" s="892">
        <f>FERRO_DSL!R15</f>
        <v>0.97205266892351661</v>
      </c>
      <c r="BC29" s="892">
        <f>FERRO_DSL!S15</f>
        <v>0.9705026747759089</v>
      </c>
      <c r="BD29" s="892"/>
      <c r="BE29" s="93">
        <f>HIDRO_DSL!E31</f>
        <v>0.99984831947824393</v>
      </c>
      <c r="BF29" s="93">
        <f>HIDRO_DSL!F31</f>
        <v>0.9998454279039698</v>
      </c>
      <c r="BG29" s="93">
        <f>HIDRO_DSL!G31</f>
        <v>0.9998799505679451</v>
      </c>
      <c r="BH29" s="93">
        <f>HIDRO_DSL!H31</f>
        <v>0.99987728436777445</v>
      </c>
      <c r="BI29" s="93">
        <f>HIDRO_DSL!I31</f>
        <v>0.99988814047510355</v>
      </c>
      <c r="BJ29" s="723">
        <f>IF(DIST_DSL_TOT!$J31&lt;=50%,0.5,IF(DIST_DSL_TOT!$J31&lt;=60%,0.6,IF(DIST_DSL_TOT!$J31&lt;=70%,0.7,IF(DIST_DSL_TOT!$J31&gt;=150%,1.5,IF(DIST_DSL_TOT!$J31&gt;=140%,1.4,IF(DIST_DSL_TOT!$J31&gt;=130%,1.3,1))))))</f>
        <v>1</v>
      </c>
      <c r="BK29" s="723">
        <f>IF(DIST_DSL_TOT!$S31&lt;=50%,0.5,IF(DIST_DSL_TOT!$S31&lt;=60%,0.6,IF(DIST_DSL_TOT!$S31&lt;=70%,0.7,IF(DIST_DSL_TOT!$S31&gt;=150%,1.5,IF(DIST_DSL_TOT!$S31&gt;=140%,1.4,IF(DIST_DSL_TOT!$S31&gt;=130%,1.3,1))))))</f>
        <v>1</v>
      </c>
      <c r="BL29" s="723">
        <f>IF(DIST_DSL_TOT!$AB31&lt;=50%,0.5,IF(DIST_DSL_TOT!$AB31&lt;=60%,0.6,IF(DIST_DSL_TOT!$AB31&lt;=70%,0.7,IF(DIST_DSL_TOT!$AB31&gt;=150%,1.5,IF(DIST_DSL_TOT!$AB31&gt;=140%,1.4,IF(DIST_DSL_TOT!$AB31&gt;=130%,1.3,1))))))</f>
        <v>1</v>
      </c>
      <c r="BM29" s="723">
        <f>IF(DIST_DSL_TOT!$AB31&lt;=50%,0.5,IF(DIST_DSL_TOT!$AB31&lt;=60%,0.6,IF(DIST_DSL_TOT!$AB31&lt;=70%,0.7,IF(DIST_DSL_TOT!$AB31&gt;=150%,1.5,IF(DIST_DSL_TOT!$AB31&gt;=140%,1.4,IF(DIST_DSL_TOT!$AB31&gt;=130%,1.3,1))))))</f>
        <v>1</v>
      </c>
      <c r="BN29" s="723" t="e">
        <f>IF(DIST_DSL_TOT!$AT31&lt;=50%,0.5,IF(DIST_DSL_TOT!$AT31&lt;=60%,0.6,IF(DIST_DSL_TOT!$AT31&lt;=70%,0.7,IF(DIST_DSL_TOT!$AT31&gt;=150%,1.5,IF(DIST_DSL_TOT!$AT31&gt;=140%,1.4,IF(DIST_DSL_TOT!$AT31&gt;=130%,1.3,1))))))</f>
        <v>#DIV/0!</v>
      </c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</row>
    <row r="30" spans="1:144" ht="15.75" thickBot="1">
      <c r="B30" s="544"/>
      <c r="G30" s="534"/>
      <c r="H30" s="534"/>
      <c r="I30" s="534"/>
      <c r="J30" s="534"/>
      <c r="K30" s="534"/>
      <c r="L30" s="534"/>
      <c r="M30" s="534"/>
      <c r="N30" s="534"/>
      <c r="O30" s="534"/>
      <c r="P30" s="534"/>
      <c r="Q30" s="534"/>
      <c r="R30" s="534"/>
      <c r="S30" s="534"/>
      <c r="T30" s="534"/>
      <c r="U30" s="534"/>
      <c r="V30" s="884"/>
      <c r="W30" s="884"/>
      <c r="X30" s="884"/>
      <c r="Y30" s="884"/>
      <c r="Z30" s="884"/>
      <c r="AA30" s="534"/>
      <c r="AB30" s="534"/>
      <c r="AC30" s="534"/>
      <c r="AD30" s="534"/>
      <c r="AE30" s="534"/>
      <c r="AF30" s="884"/>
      <c r="AG30" s="884"/>
      <c r="AH30" s="884"/>
      <c r="AI30" s="884"/>
      <c r="AJ30" s="884"/>
      <c r="AK30" s="534"/>
      <c r="AL30" s="534"/>
      <c r="AM30" s="534"/>
      <c r="AN30" s="534"/>
      <c r="AO30" s="534"/>
      <c r="AP30" s="884"/>
      <c r="AQ30" s="884"/>
      <c r="AR30" s="884"/>
      <c r="AS30" s="884"/>
      <c r="AT30" s="884"/>
      <c r="AU30" s="535"/>
      <c r="AV30" s="535"/>
      <c r="AW30" s="535"/>
      <c r="AX30" s="535"/>
      <c r="AY30" s="535"/>
      <c r="BE30" s="536"/>
      <c r="BF30" s="536"/>
      <c r="BG30" s="536"/>
      <c r="BH30" s="536"/>
      <c r="BI30" s="545"/>
      <c r="BJ30" s="723"/>
      <c r="BK30" s="723"/>
      <c r="BL30" s="723"/>
      <c r="BM30" s="723"/>
      <c r="BN30" s="723"/>
    </row>
    <row r="31" spans="1:144" s="477" customFormat="1" ht="15.75" thickBot="1">
      <c r="A31" s="77" t="s">
        <v>186</v>
      </c>
      <c r="B31" s="83">
        <v>1</v>
      </c>
      <c r="C31" s="83">
        <v>1</v>
      </c>
      <c r="D31" s="83">
        <v>1</v>
      </c>
      <c r="E31" s="83">
        <v>1</v>
      </c>
      <c r="F31" s="83">
        <v>1</v>
      </c>
      <c r="G31" s="529">
        <f>CORR_ALC!L32</f>
        <v>1.0534912634536575</v>
      </c>
      <c r="H31" s="529">
        <f>CORR_ALC!M32</f>
        <v>1.1302680357091033</v>
      </c>
      <c r="I31" s="529">
        <f>CORR_ALC!N32</f>
        <v>1.2021960614452325</v>
      </c>
      <c r="J31" s="529">
        <f>CORR_ALC!O32</f>
        <v>1.2485050649282003</v>
      </c>
      <c r="K31" s="529">
        <f>CORR_ALC!P32</f>
        <v>1.2097018124147791</v>
      </c>
      <c r="L31" s="529">
        <f>CORR_ALC!V32</f>
        <v>0.9500345781466113</v>
      </c>
      <c r="M31" s="529">
        <f>CORR_ALC!W32</f>
        <v>0.94952459208827322</v>
      </c>
      <c r="N31" s="529">
        <f>CORR_ALC!X32</f>
        <v>0.93367931008166072</v>
      </c>
      <c r="O31" s="529">
        <f>CORR_ALC!Y32</f>
        <v>0.92039355992844363</v>
      </c>
      <c r="P31" s="529">
        <f>CORR_ALC!Z32</f>
        <v>0.92763713080168775</v>
      </c>
      <c r="Q31" s="89">
        <f>CORR_DSL!L32</f>
        <v>1.0372143209548697</v>
      </c>
      <c r="R31" s="89">
        <f>CORR_DSL!M32</f>
        <v>1.0438668339229833</v>
      </c>
      <c r="S31" s="89">
        <f>CORR_DSL!N32</f>
        <v>1.0297162682615815</v>
      </c>
      <c r="T31" s="89">
        <f>CORR_DSL!O32</f>
        <v>1.0303689675257104</v>
      </c>
      <c r="U31" s="89">
        <f>CORR_DSL!P32</f>
        <v>1.0357762617589501</v>
      </c>
      <c r="V31" s="883">
        <f>CORR_DSL!V32</f>
        <v>0.95471626160934409</v>
      </c>
      <c r="W31" s="883">
        <f>CORR_DSL!W32</f>
        <v>0.94817120644036934</v>
      </c>
      <c r="X31" s="883">
        <f>CORR_DSL!X32</f>
        <v>0.95293119237557855</v>
      </c>
      <c r="Y31" s="883">
        <f>CORR_DSL!Y32</f>
        <v>0.9440432978502652</v>
      </c>
      <c r="Z31" s="883">
        <f>CORR_DSL!Z32</f>
        <v>0.94664731294922</v>
      </c>
      <c r="AA31" s="89">
        <f>CORR_DSL!AF32</f>
        <v>0.99557546723600765</v>
      </c>
      <c r="AB31" s="89">
        <f>CORR_DSL!AG32</f>
        <v>0.97824896633919889</v>
      </c>
      <c r="AC31" s="89">
        <f>CORR_DSL!AH32</f>
        <v>0.97866596727592281</v>
      </c>
      <c r="AD31" s="89">
        <f>CORR_DSL!AI32</f>
        <v>0.97491966227176208</v>
      </c>
      <c r="AE31" s="89">
        <f>CORR_DSL!AJ32</f>
        <v>0.97369072296151937</v>
      </c>
      <c r="AF31" s="883">
        <f>CORR_DSL!AP32</f>
        <v>0.99848753216741082</v>
      </c>
      <c r="AG31" s="883">
        <f>CORR_DSL!AQ32</f>
        <v>0.99914701828781172</v>
      </c>
      <c r="AH31" s="883">
        <f>CORR_DSL!AR32</f>
        <v>0.99980866338364061</v>
      </c>
      <c r="AI31" s="883">
        <f>CORR_DSL!AS32</f>
        <v>0.99980322131596955</v>
      </c>
      <c r="AJ31" s="883">
        <f>CORR_DSL!AT32</f>
        <v>0.9998804899810062</v>
      </c>
      <c r="AK31" s="89">
        <f>CORR_DSL!AZ32</f>
        <v>0.99742654726992286</v>
      </c>
      <c r="AL31" s="89">
        <f>CORR_DSL!BA32</f>
        <v>0.99971567276260387</v>
      </c>
      <c r="AM31" s="89">
        <f>CORR_DSL!BB32</f>
        <v>0.99990433169182025</v>
      </c>
      <c r="AN31" s="89">
        <f>CORR_DSL!BC32</f>
        <v>0.9998389992585206</v>
      </c>
      <c r="AO31" s="89">
        <f>CORR_DSL!BD32</f>
        <v>0.99989756284086251</v>
      </c>
      <c r="AP31" s="883">
        <f>CORR_DSL!BJ32</f>
        <v>0.98117316160627766</v>
      </c>
      <c r="AQ31" s="883">
        <f>CORR_DSL!BK32</f>
        <v>0.98263572943045296</v>
      </c>
      <c r="AR31" s="883">
        <f>CORR_DSL!BL32</f>
        <v>0.97742227926958647</v>
      </c>
      <c r="AS31" s="883">
        <f>CORR_DSL!BM32</f>
        <v>0.97769245281946315</v>
      </c>
      <c r="AT31" s="883">
        <f>CORR_DSL!BN32</f>
        <v>0.97676383773564435</v>
      </c>
      <c r="AU31" s="531">
        <f>AGRO_DSL!E33</f>
        <v>0.94480417724719135</v>
      </c>
      <c r="AV31" s="531">
        <f>AGRO_DSL!F33</f>
        <v>0.94499967458078815</v>
      </c>
      <c r="AW31" s="531">
        <f>AGRO_DSL!G33</f>
        <v>0.94715586823560971</v>
      </c>
      <c r="AX31" s="531">
        <f>AGRO_DSL!H33</f>
        <v>0.9472277177615831</v>
      </c>
      <c r="AY31" s="531">
        <f>AGRO_DSL!I33</f>
        <v>0.94964033836419981</v>
      </c>
      <c r="AZ31" s="887">
        <f>FERRO_DSL!P10</f>
        <v>0.99479155227873994</v>
      </c>
      <c r="BA31" s="887">
        <f>FERRO_DSL!Q10</f>
        <v>0.99467848395903657</v>
      </c>
      <c r="BB31" s="887">
        <f>FERRO_DSL!R10</f>
        <v>0.9946118518285324</v>
      </c>
      <c r="BC31" s="887">
        <f>FERRO_DSL!S10</f>
        <v>0.99435140211151907</v>
      </c>
      <c r="BD31" s="887"/>
      <c r="BE31" s="93">
        <f>HIDRO_DSL!E33</f>
        <v>1</v>
      </c>
      <c r="BF31" s="93">
        <f>HIDRO_DSL!F33</f>
        <v>1</v>
      </c>
      <c r="BG31" s="93">
        <f>HIDRO_DSL!G33</f>
        <v>1</v>
      </c>
      <c r="BH31" s="93">
        <f>HIDRO_DSL!H33</f>
        <v>1</v>
      </c>
      <c r="BI31" s="93">
        <f>HIDRO_DSL!I33</f>
        <v>1</v>
      </c>
      <c r="BJ31" s="723">
        <f>IF(DIST_DSL_TOT!$J33&lt;=50%,0.5,IF(DIST_DSL_TOT!$J33&lt;=60%,0.6,IF(DIST_DSL_TOT!$J33&lt;=70%,0.7,IF(DIST_DSL_TOT!$J33&gt;=150%,1.5,IF(DIST_DSL_TOT!$J33&gt;=140%,1.4,IF(DIST_DSL_TOT!$J33&gt;=130%,1.3,1))))))</f>
        <v>1.5</v>
      </c>
      <c r="BK31" s="723">
        <f>IF(DIST_DSL_TOT!$S33&lt;=50%,0.5,IF(DIST_DSL_TOT!$S33&lt;=60%,0.6,IF(DIST_DSL_TOT!$S33&lt;=70%,0.7,IF(DIST_DSL_TOT!$S33&gt;=150%,1.5,IF(DIST_DSL_TOT!$S33&gt;=140%,1.4,IF(DIST_DSL_TOT!$S33&gt;=130%,1.3,1))))))</f>
        <v>1.5</v>
      </c>
      <c r="BL31" s="723">
        <f>IF(DIST_DSL_TOT!$AB33&lt;=50%,0.5,IF(DIST_DSL_TOT!$AB33&lt;=60%,0.6,IF(DIST_DSL_TOT!$AB33&lt;=70%,0.7,IF(DIST_DSL_TOT!$AB33&gt;=150%,1.5,IF(DIST_DSL_TOT!$AB33&gt;=140%,1.4,IF(DIST_DSL_TOT!$AB33&gt;=130%,1.3,1))))))</f>
        <v>1.5</v>
      </c>
      <c r="BM31" s="723">
        <f>IF(DIST_DSL_TOT!$AB33&lt;=50%,0.5,IF(DIST_DSL_TOT!$AB33&lt;=60%,0.6,IF(DIST_DSL_TOT!$AB33&lt;=70%,0.7,IF(DIST_DSL_TOT!$AB33&gt;=150%,1.5,IF(DIST_DSL_TOT!$AB33&gt;=140%,1.4,IF(DIST_DSL_TOT!$AB33&gt;=130%,1.3,1))))))</f>
        <v>1.5</v>
      </c>
      <c r="BN31" s="723" t="e">
        <f>IF(DIST_DSL_TOT!$AT33&lt;=50%,0.5,IF(DIST_DSL_TOT!$AT33&lt;=60%,0.6,IF(DIST_DSL_TOT!$AT33&lt;=70%,0.7,IF(DIST_DSL_TOT!$AT33&gt;=150%,1.5,IF(DIST_DSL_TOT!$AT33&gt;=140%,1.4,IF(DIST_DSL_TOT!$AT33&gt;=130%,1.3,1))))))</f>
        <v>#DIV/0!</v>
      </c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</row>
    <row r="32" spans="1:144" ht="15.75" thickBot="1">
      <c r="A32" s="78" t="s">
        <v>187</v>
      </c>
      <c r="B32" s="83">
        <v>1</v>
      </c>
      <c r="C32" s="83">
        <v>1</v>
      </c>
      <c r="D32" s="83">
        <v>1</v>
      </c>
      <c r="E32" s="83">
        <v>1</v>
      </c>
      <c r="F32" s="83">
        <v>1</v>
      </c>
      <c r="G32" s="529">
        <f>CORR_ALC!L33</f>
        <v>1.0534912634536575</v>
      </c>
      <c r="H32" s="529">
        <f>CORR_ALC!M33</f>
        <v>1.1302680357091033</v>
      </c>
      <c r="I32" s="529">
        <f>CORR_ALC!N33</f>
        <v>1.2021960614452325</v>
      </c>
      <c r="J32" s="529">
        <f>CORR_ALC!O33</f>
        <v>1.2485050649282003</v>
      </c>
      <c r="K32" s="529">
        <f>CORR_ALC!P33</f>
        <v>1.2097018124147791</v>
      </c>
      <c r="L32" s="529">
        <f>CORR_ALC!V33</f>
        <v>0.9500345781466113</v>
      </c>
      <c r="M32" s="529">
        <f>CORR_ALC!W33</f>
        <v>0.94952459208827322</v>
      </c>
      <c r="N32" s="529">
        <f>CORR_ALC!X33</f>
        <v>0.93367931008166072</v>
      </c>
      <c r="O32" s="529">
        <f>CORR_ALC!Y33</f>
        <v>0.92039355992844363</v>
      </c>
      <c r="P32" s="529">
        <f>CORR_ALC!Z33</f>
        <v>0.92763713080168775</v>
      </c>
      <c r="Q32" s="89">
        <f>CORR_DSL!L33</f>
        <v>1.0372143209548697</v>
      </c>
      <c r="R32" s="89">
        <f>CORR_DSL!M33</f>
        <v>1.0438668339229831</v>
      </c>
      <c r="S32" s="89">
        <f>CORR_DSL!N33</f>
        <v>1.0297162682615815</v>
      </c>
      <c r="T32" s="89">
        <f>CORR_DSL!O33</f>
        <v>1.0303689675257104</v>
      </c>
      <c r="U32" s="89">
        <f>CORR_DSL!P33</f>
        <v>1.0357762617589501</v>
      </c>
      <c r="V32" s="883">
        <f>CORR_DSL!V33</f>
        <v>0.95471626160934409</v>
      </c>
      <c r="W32" s="883">
        <f>CORR_DSL!W33</f>
        <v>0.94817120644036945</v>
      </c>
      <c r="X32" s="883">
        <f>CORR_DSL!X33</f>
        <v>0.95293119237557855</v>
      </c>
      <c r="Y32" s="883">
        <f>CORR_DSL!Y33</f>
        <v>0.94404329785026531</v>
      </c>
      <c r="Z32" s="883">
        <f>CORR_DSL!Z33</f>
        <v>0.94664731294922</v>
      </c>
      <c r="AA32" s="89">
        <f>CORR_DSL!AF33</f>
        <v>0.99557546723600765</v>
      </c>
      <c r="AB32" s="89">
        <f>CORR_DSL!AG33</f>
        <v>0.97824896633919889</v>
      </c>
      <c r="AC32" s="89">
        <f>CORR_DSL!AH33</f>
        <v>0.97866596727592281</v>
      </c>
      <c r="AD32" s="89">
        <f>CORR_DSL!AI33</f>
        <v>0.97491966227176208</v>
      </c>
      <c r="AE32" s="89">
        <f>CORR_DSL!AJ33</f>
        <v>0.97369072296151937</v>
      </c>
      <c r="AF32" s="883">
        <f>CORR_DSL!AP33</f>
        <v>0.99848753216741082</v>
      </c>
      <c r="AG32" s="883">
        <f>CORR_DSL!AQ33</f>
        <v>0.99914701828781172</v>
      </c>
      <c r="AH32" s="883">
        <f>CORR_DSL!AR33</f>
        <v>0.99980866338364061</v>
      </c>
      <c r="AI32" s="883">
        <f>CORR_DSL!AS33</f>
        <v>0.99980322131596955</v>
      </c>
      <c r="AJ32" s="883">
        <f>CORR_DSL!AT33</f>
        <v>0.9998804899810062</v>
      </c>
      <c r="AK32" s="89">
        <f>CORR_DSL!AZ33</f>
        <v>0.99742654726992286</v>
      </c>
      <c r="AL32" s="89">
        <f>CORR_DSL!BA33</f>
        <v>0.99971567276260387</v>
      </c>
      <c r="AM32" s="89">
        <f>CORR_DSL!BB33</f>
        <v>0.99990433169182025</v>
      </c>
      <c r="AN32" s="89">
        <f>CORR_DSL!BC33</f>
        <v>0.9998389992585206</v>
      </c>
      <c r="AO32" s="89">
        <f>CORR_DSL!BD33</f>
        <v>0.99989756284086251</v>
      </c>
      <c r="AP32" s="883">
        <f>CORR_DSL!BJ33</f>
        <v>0.98117316160627766</v>
      </c>
      <c r="AQ32" s="883">
        <f>CORR_DSL!BK33</f>
        <v>0.98263572943045296</v>
      </c>
      <c r="AR32" s="883">
        <f>CORR_DSL!BL33</f>
        <v>0.97742227926958647</v>
      </c>
      <c r="AS32" s="883">
        <f>CORR_DSL!BM33</f>
        <v>0.97769245281946315</v>
      </c>
      <c r="AT32" s="883">
        <f>CORR_DSL!BN33</f>
        <v>0.97676383773564435</v>
      </c>
      <c r="AU32" s="531">
        <f>AGRO_DSL!E34</f>
        <v>0.78005242504379779</v>
      </c>
      <c r="AV32" s="531">
        <f>AGRO_DSL!F34</f>
        <v>0.79592685730506196</v>
      </c>
      <c r="AW32" s="531">
        <f>AGRO_DSL!G34</f>
        <v>0.81229795195141297</v>
      </c>
      <c r="AX32" s="531">
        <f>AGRO_DSL!H34</f>
        <v>0.82964748268986122</v>
      </c>
      <c r="AY32" s="531">
        <f>AGRO_DSL!I34</f>
        <v>0.84787516833148002</v>
      </c>
      <c r="AZ32" s="888">
        <f>FERRO_DSL!P9</f>
        <v>0.99631612075276721</v>
      </c>
      <c r="BA32" s="888">
        <f>FERRO_DSL!Q9</f>
        <v>0.99673464755090924</v>
      </c>
      <c r="BB32" s="888">
        <f>FERRO_DSL!R9</f>
        <v>0.99693812400994075</v>
      </c>
      <c r="BC32" s="888">
        <f>FERRO_DSL!S9</f>
        <v>0.99732837027021093</v>
      </c>
      <c r="BD32" s="888"/>
      <c r="BE32" s="93">
        <f>HIDRO_DSL!E34</f>
        <v>0.99804942098094995</v>
      </c>
      <c r="BF32" s="93">
        <f>HIDRO_DSL!F34</f>
        <v>0.99807848221218753</v>
      </c>
      <c r="BG32" s="93">
        <f>HIDRO_DSL!G34</f>
        <v>0.99852615071718998</v>
      </c>
      <c r="BH32" s="93">
        <f>HIDRO_DSL!H34</f>
        <v>0.99864005256925137</v>
      </c>
      <c r="BI32" s="93">
        <f>HIDRO_DSL!I34</f>
        <v>0.99884569148421942</v>
      </c>
      <c r="BJ32" s="723">
        <f>IF(DIST_DSL_TOT!$J34&lt;=50%,0.5,IF(DIST_DSL_TOT!$J34&lt;=60%,0.6,IF(DIST_DSL_TOT!$J34&lt;=70%,0.7,IF(DIST_DSL_TOT!$J34&gt;=150%,1.5,IF(DIST_DSL_TOT!$J34&gt;=140%,1.4,IF(DIST_DSL_TOT!$J34&gt;=130%,1.3,1))))))</f>
        <v>1</v>
      </c>
      <c r="BK32" s="723">
        <f>IF(DIST_DSL_TOT!$S34&lt;=50%,0.5,IF(DIST_DSL_TOT!$S34&lt;=60%,0.6,IF(DIST_DSL_TOT!$S34&lt;=70%,0.7,IF(DIST_DSL_TOT!$S34&gt;=150%,1.5,IF(DIST_DSL_TOT!$S34&gt;=140%,1.4,IF(DIST_DSL_TOT!$S34&gt;=130%,1.3,1))))))</f>
        <v>1</v>
      </c>
      <c r="BL32" s="723">
        <f>IF(DIST_DSL_TOT!$AB34&lt;=50%,0.5,IF(DIST_DSL_TOT!$AB34&lt;=60%,0.6,IF(DIST_DSL_TOT!$AB34&lt;=70%,0.7,IF(DIST_DSL_TOT!$AB34&gt;=150%,1.5,IF(DIST_DSL_TOT!$AB34&gt;=140%,1.4,IF(DIST_DSL_TOT!$AB34&gt;=130%,1.3,1))))))</f>
        <v>1</v>
      </c>
      <c r="BM32" s="723">
        <f>IF(DIST_DSL_TOT!$AB34&lt;=50%,0.5,IF(DIST_DSL_TOT!$AB34&lt;=60%,0.6,IF(DIST_DSL_TOT!$AB34&lt;=70%,0.7,IF(DIST_DSL_TOT!$AB34&gt;=150%,1.5,IF(DIST_DSL_TOT!$AB34&gt;=140%,1.4,IF(DIST_DSL_TOT!$AB34&gt;=130%,1.3,1))))))</f>
        <v>1</v>
      </c>
      <c r="BN32" s="723" t="e">
        <f>IF(DIST_DSL_TOT!$AT34&lt;=50%,0.5,IF(DIST_DSL_TOT!$AT34&lt;=60%,0.6,IF(DIST_DSL_TOT!$AT34&lt;=70%,0.7,IF(DIST_DSL_TOT!$AT34&gt;=150%,1.5,IF(DIST_DSL_TOT!$AT34&gt;=140%,1.4,IF(DIST_DSL_TOT!$AT34&gt;=130%,1.3,1))))))</f>
        <v>#DIV/0!</v>
      </c>
    </row>
    <row r="33" spans="1:143" ht="15.75" thickBot="1">
      <c r="A33" s="78" t="s">
        <v>188</v>
      </c>
      <c r="B33" s="83">
        <v>1</v>
      </c>
      <c r="C33" s="83">
        <v>1</v>
      </c>
      <c r="D33" s="83">
        <v>1</v>
      </c>
      <c r="E33" s="83">
        <v>1</v>
      </c>
      <c r="F33" s="83">
        <v>1</v>
      </c>
      <c r="G33" s="529">
        <f>CORR_ALC!L34</f>
        <v>1.0534912634536575</v>
      </c>
      <c r="H33" s="529">
        <f>CORR_ALC!M34</f>
        <v>1.1302680357091033</v>
      </c>
      <c r="I33" s="529">
        <f>CORR_ALC!N34</f>
        <v>1.2021960614452325</v>
      </c>
      <c r="J33" s="529">
        <f>CORR_ALC!O34</f>
        <v>1.2485050649282003</v>
      </c>
      <c r="K33" s="529">
        <f>CORR_ALC!P34</f>
        <v>1.2097018124147791</v>
      </c>
      <c r="L33" s="529">
        <f>CORR_ALC!V34</f>
        <v>0.9500345781466113</v>
      </c>
      <c r="M33" s="529">
        <f>CORR_ALC!W34</f>
        <v>0.94952459208827322</v>
      </c>
      <c r="N33" s="529">
        <f>CORR_ALC!X34</f>
        <v>0.93367931008166072</v>
      </c>
      <c r="O33" s="529">
        <f>CORR_ALC!Y34</f>
        <v>0.92039355992844363</v>
      </c>
      <c r="P33" s="529">
        <f>CORR_ALC!Z34</f>
        <v>0.92763713080168775</v>
      </c>
      <c r="Q33" s="89">
        <f>CORR_DSL!L34</f>
        <v>1.0372143209548697</v>
      </c>
      <c r="R33" s="89">
        <f>CORR_DSL!M34</f>
        <v>1.0438668339229833</v>
      </c>
      <c r="S33" s="89">
        <f>CORR_DSL!N34</f>
        <v>1.0297162682615815</v>
      </c>
      <c r="T33" s="89">
        <f>CORR_DSL!O34</f>
        <v>1.0303689675257104</v>
      </c>
      <c r="U33" s="89">
        <f>CORR_DSL!P34</f>
        <v>1.0357762617589499</v>
      </c>
      <c r="V33" s="883">
        <f>CORR_DSL!V34</f>
        <v>0.95471626160934409</v>
      </c>
      <c r="W33" s="883">
        <f>CORR_DSL!W34</f>
        <v>0.94817120644036934</v>
      </c>
      <c r="X33" s="883">
        <f>CORR_DSL!X34</f>
        <v>0.95293119237557855</v>
      </c>
      <c r="Y33" s="883">
        <f>CORR_DSL!Y34</f>
        <v>0.9440432978502652</v>
      </c>
      <c r="Z33" s="883">
        <f>CORR_DSL!Z34</f>
        <v>0.94664731294922</v>
      </c>
      <c r="AA33" s="89">
        <f>CORR_DSL!AF34</f>
        <v>0.99557546723600765</v>
      </c>
      <c r="AB33" s="89">
        <f>CORR_DSL!AG34</f>
        <v>0.97824896633919889</v>
      </c>
      <c r="AC33" s="89">
        <f>CORR_DSL!AH34</f>
        <v>0.97866596727592281</v>
      </c>
      <c r="AD33" s="89">
        <f>CORR_DSL!AI34</f>
        <v>0.97491966227176208</v>
      </c>
      <c r="AE33" s="89">
        <f>CORR_DSL!AJ34</f>
        <v>0.97369072296151937</v>
      </c>
      <c r="AF33" s="883">
        <f>CORR_DSL!AP34</f>
        <v>0.99848753216741082</v>
      </c>
      <c r="AG33" s="883">
        <f>CORR_DSL!AQ34</f>
        <v>0.99914701828781172</v>
      </c>
      <c r="AH33" s="883">
        <f>CORR_DSL!AR34</f>
        <v>0.99980866338364061</v>
      </c>
      <c r="AI33" s="883">
        <f>CORR_DSL!AS34</f>
        <v>0.99980322131596955</v>
      </c>
      <c r="AJ33" s="883">
        <f>CORR_DSL!AT34</f>
        <v>0.9998804899810062</v>
      </c>
      <c r="AK33" s="89">
        <f>CORR_DSL!AZ34</f>
        <v>0.99742654726992286</v>
      </c>
      <c r="AL33" s="89">
        <f>CORR_DSL!BA34</f>
        <v>0.99971567276260387</v>
      </c>
      <c r="AM33" s="89">
        <f>CORR_DSL!BB34</f>
        <v>0.99990433169182025</v>
      </c>
      <c r="AN33" s="89">
        <f>CORR_DSL!BC34</f>
        <v>0.9998389992585206</v>
      </c>
      <c r="AO33" s="89">
        <f>CORR_DSL!BD34</f>
        <v>0.99989756284086251</v>
      </c>
      <c r="AP33" s="883">
        <f>CORR_DSL!BJ34</f>
        <v>0.98117316160627766</v>
      </c>
      <c r="AQ33" s="883">
        <f>CORR_DSL!BK34</f>
        <v>0.98263572943045296</v>
      </c>
      <c r="AR33" s="883">
        <f>CORR_DSL!BL34</f>
        <v>0.97742227926958647</v>
      </c>
      <c r="AS33" s="883">
        <f>CORR_DSL!BM34</f>
        <v>0.97769245281946315</v>
      </c>
      <c r="AT33" s="883">
        <f>CORR_DSL!BN34</f>
        <v>0.97676383773564435</v>
      </c>
      <c r="AU33" s="531">
        <f>AGRO_DSL!E35</f>
        <v>0.68650883218239944</v>
      </c>
      <c r="AV33" s="531">
        <f>AGRO_DSL!F35</f>
        <v>0.69335749901693189</v>
      </c>
      <c r="AW33" s="531">
        <f>AGRO_DSL!G35</f>
        <v>0.71836283046625948</v>
      </c>
      <c r="AX33" s="531">
        <f>AGRO_DSL!H35</f>
        <v>0.74808506550181009</v>
      </c>
      <c r="AY33" s="531">
        <f>AGRO_DSL!I35</f>
        <v>0.76844128414553192</v>
      </c>
      <c r="AZ33" s="888">
        <f>FERRO_DSL!P27</f>
        <v>0.99338022785322522</v>
      </c>
      <c r="BA33" s="888">
        <f>FERRO_DSL!Q27</f>
        <v>0.99381402609941483</v>
      </c>
      <c r="BB33" s="888">
        <f>FERRO_DSL!R27</f>
        <v>0.99420784626565861</v>
      </c>
      <c r="BC33" s="888">
        <f>FERRO_DSL!S27</f>
        <v>0.99501903889551058</v>
      </c>
      <c r="BD33" s="888"/>
      <c r="BE33" s="93">
        <f>HIDRO_DSL!E35</f>
        <v>0.98840394530712838</v>
      </c>
      <c r="BF33" s="93">
        <f>HIDRO_DSL!F35</f>
        <v>0.98795708891837741</v>
      </c>
      <c r="BG33" s="93">
        <f>HIDRO_DSL!G35</f>
        <v>0.99077609951140255</v>
      </c>
      <c r="BH33" s="93">
        <f>HIDRO_DSL!H35</f>
        <v>0.99161181393937603</v>
      </c>
      <c r="BI33" s="93">
        <f>HIDRO_DSL!I35</f>
        <v>0.99267135818445662</v>
      </c>
      <c r="BJ33" s="723">
        <f>IF(DIST_DSL_TOT!$J35&lt;=50%,0.5,IF(DIST_DSL_TOT!$J35&lt;=60%,0.6,IF(DIST_DSL_TOT!$J35&lt;=70%,0.7,IF(DIST_DSL_TOT!$J35&gt;=150%,1.5,IF(DIST_DSL_TOT!$J35&gt;=140%,1.4,IF(DIST_DSL_TOT!$J35&gt;=130%,1.3,1))))))</f>
        <v>1</v>
      </c>
      <c r="BK33" s="723">
        <f>IF(DIST_DSL_TOT!$S35&lt;=50%,0.5,IF(DIST_DSL_TOT!$S35&lt;=60%,0.6,IF(DIST_DSL_TOT!$S35&lt;=70%,0.7,IF(DIST_DSL_TOT!$S35&gt;=150%,1.5,IF(DIST_DSL_TOT!$S35&gt;=140%,1.4,IF(DIST_DSL_TOT!$S35&gt;=130%,1.3,1))))))</f>
        <v>1</v>
      </c>
      <c r="BL33" s="723">
        <f>IF(DIST_DSL_TOT!$AB35&lt;=50%,0.5,IF(DIST_DSL_TOT!$AB35&lt;=60%,0.6,IF(DIST_DSL_TOT!$AB35&lt;=70%,0.7,IF(DIST_DSL_TOT!$AB35&gt;=150%,1.5,IF(DIST_DSL_TOT!$AB35&gt;=140%,1.4,IF(DIST_DSL_TOT!$AB35&gt;=130%,1.3,1))))))</f>
        <v>1</v>
      </c>
      <c r="BM33" s="723">
        <f>IF(DIST_DSL_TOT!$AB35&lt;=50%,0.5,IF(DIST_DSL_TOT!$AB35&lt;=60%,0.6,IF(DIST_DSL_TOT!$AB35&lt;=70%,0.7,IF(DIST_DSL_TOT!$AB35&gt;=150%,1.5,IF(DIST_DSL_TOT!$AB35&gt;=140%,1.4,IF(DIST_DSL_TOT!$AB35&gt;=130%,1.3,1))))))</f>
        <v>1</v>
      </c>
      <c r="BN33" s="723" t="e">
        <f>IF(DIST_DSL_TOT!$AT35&lt;=50%,0.5,IF(DIST_DSL_TOT!$AT35&lt;=60%,0.6,IF(DIST_DSL_TOT!$AT35&lt;=70%,0.7,IF(DIST_DSL_TOT!$AT35&gt;=150%,1.5,IF(DIST_DSL_TOT!$AT35&gt;=140%,1.4,IF(DIST_DSL_TOT!$AT35&gt;=130%,1.3,1))))))</f>
        <v>#DIV/0!</v>
      </c>
    </row>
    <row r="34" spans="1:143" s="478" customFormat="1" ht="15.75" thickBot="1">
      <c r="A34" s="79" t="s">
        <v>189</v>
      </c>
      <c r="B34" s="537">
        <v>1</v>
      </c>
      <c r="C34" s="537">
        <v>1</v>
      </c>
      <c r="D34" s="537">
        <v>1</v>
      </c>
      <c r="E34" s="537">
        <v>1</v>
      </c>
      <c r="F34" s="537">
        <v>1</v>
      </c>
      <c r="G34" s="529">
        <f>CORR_ALC!L35</f>
        <v>1.0534912634536577</v>
      </c>
      <c r="H34" s="529">
        <f>CORR_ALC!M35</f>
        <v>1.1302680357091033</v>
      </c>
      <c r="I34" s="529">
        <f>CORR_ALC!N35</f>
        <v>1.2021960614452325</v>
      </c>
      <c r="J34" s="529">
        <f>CORR_ALC!O35</f>
        <v>1.2485050649282001</v>
      </c>
      <c r="K34" s="529">
        <f>CORR_ALC!P35</f>
        <v>1.2097018124147789</v>
      </c>
      <c r="L34" s="529">
        <f>CORR_ALC!V35</f>
        <v>0.9500345781466113</v>
      </c>
      <c r="M34" s="529">
        <f>CORR_ALC!W35</f>
        <v>0.94952459208827322</v>
      </c>
      <c r="N34" s="529">
        <f>CORR_ALC!X35</f>
        <v>0.93367931008166072</v>
      </c>
      <c r="O34" s="529">
        <f>CORR_ALC!Y35</f>
        <v>0.92039355992844363</v>
      </c>
      <c r="P34" s="529">
        <f>CORR_ALC!Z35</f>
        <v>0.92763713080168775</v>
      </c>
      <c r="Q34" s="538">
        <f>CORR_DSL!L35</f>
        <v>1.0372143209548697</v>
      </c>
      <c r="R34" s="538">
        <f>CORR_DSL!M35</f>
        <v>1.0438668339229833</v>
      </c>
      <c r="S34" s="538">
        <f>CORR_DSL!N35</f>
        <v>1.0297162682615815</v>
      </c>
      <c r="T34" s="538">
        <f>CORR_DSL!O35</f>
        <v>1.0303689675257104</v>
      </c>
      <c r="U34" s="538">
        <f>CORR_DSL!P35</f>
        <v>1.0357762617589501</v>
      </c>
      <c r="V34" s="883">
        <f>CORR_DSL!V35</f>
        <v>0.95471626160934409</v>
      </c>
      <c r="W34" s="883">
        <f>CORR_DSL!W35</f>
        <v>0.94817120644036934</v>
      </c>
      <c r="X34" s="883">
        <f>CORR_DSL!X35</f>
        <v>0.95293119237557855</v>
      </c>
      <c r="Y34" s="883">
        <f>CORR_DSL!Y35</f>
        <v>0.94404329785026531</v>
      </c>
      <c r="Z34" s="883">
        <f>CORR_DSL!Z35</f>
        <v>0.94664731294922</v>
      </c>
      <c r="AA34" s="89">
        <f>CORR_DSL!AF35</f>
        <v>0.99557546723600765</v>
      </c>
      <c r="AB34" s="89">
        <f>CORR_DSL!AG35</f>
        <v>0.97824896633919889</v>
      </c>
      <c r="AC34" s="89">
        <f>CORR_DSL!AH35</f>
        <v>0.97866596727592281</v>
      </c>
      <c r="AD34" s="89">
        <f>CORR_DSL!AI35</f>
        <v>0.97491966227176208</v>
      </c>
      <c r="AE34" s="89">
        <f>CORR_DSL!AJ35</f>
        <v>0.97369072296151937</v>
      </c>
      <c r="AF34" s="883">
        <f>CORR_DSL!AP35</f>
        <v>0.99848753216741082</v>
      </c>
      <c r="AG34" s="883">
        <f>CORR_DSL!AQ35</f>
        <v>0.99914701828781172</v>
      </c>
      <c r="AH34" s="883">
        <f>CORR_DSL!AR35</f>
        <v>0.99980866338364061</v>
      </c>
      <c r="AI34" s="883">
        <f>CORR_DSL!AS35</f>
        <v>0.99980322131596955</v>
      </c>
      <c r="AJ34" s="883">
        <f>CORR_DSL!AT35</f>
        <v>0.9998804899810062</v>
      </c>
      <c r="AK34" s="89">
        <f>CORR_DSL!AZ35</f>
        <v>0.99742654726992286</v>
      </c>
      <c r="AL34" s="89">
        <f>CORR_DSL!BA35</f>
        <v>0.99971567276260387</v>
      </c>
      <c r="AM34" s="89">
        <f>CORR_DSL!BB35</f>
        <v>0.99990433169182025</v>
      </c>
      <c r="AN34" s="89">
        <f>CORR_DSL!BC35</f>
        <v>0.9998389992585206</v>
      </c>
      <c r="AO34" s="89">
        <f>CORR_DSL!BD35</f>
        <v>0.99989756284086251</v>
      </c>
      <c r="AP34" s="883">
        <f>CORR_DSL!BJ35</f>
        <v>0.98117316160627766</v>
      </c>
      <c r="AQ34" s="883">
        <f>CORR_DSL!BK35</f>
        <v>0.98263572943045296</v>
      </c>
      <c r="AR34" s="883">
        <f>CORR_DSL!BL35</f>
        <v>0.97742227926958647</v>
      </c>
      <c r="AS34" s="883">
        <f>CORR_DSL!BM35</f>
        <v>0.97769245281946315</v>
      </c>
      <c r="AT34" s="883">
        <f>CORR_DSL!BN35</f>
        <v>0.97676383773564435</v>
      </c>
      <c r="AU34" s="531">
        <f>AGRO_DSL!E36</f>
        <v>0.6068712478746755</v>
      </c>
      <c r="AV34" s="531">
        <f>AGRO_DSL!F36</f>
        <v>0.62436797900402674</v>
      </c>
      <c r="AW34" s="531">
        <f>AGRO_DSL!G36</f>
        <v>0.65916615067097206</v>
      </c>
      <c r="AX34" s="531">
        <f>AGRO_DSL!H36</f>
        <v>0.67062137095331609</v>
      </c>
      <c r="AY34" s="531">
        <f>AGRO_DSL!I36</f>
        <v>0.69753607147512708</v>
      </c>
      <c r="AZ34" s="889">
        <f>FERRO_DSL!P26</f>
        <v>0.93032082781192615</v>
      </c>
      <c r="BA34" s="889">
        <f>FERRO_DSL!Q26</f>
        <v>0.93173488911114855</v>
      </c>
      <c r="BB34" s="889">
        <f>FERRO_DSL!R26</f>
        <v>0.93472429675431312</v>
      </c>
      <c r="BC34" s="889">
        <f>FERRO_DSL!S26</f>
        <v>0.9337789173056219</v>
      </c>
      <c r="BD34" s="889"/>
      <c r="BE34" s="93">
        <f>HIDRO_DSL!E36</f>
        <v>0.98425878639467368</v>
      </c>
      <c r="BF34" s="93">
        <f>HIDRO_DSL!F36</f>
        <v>0.98403090894043055</v>
      </c>
      <c r="BG34" s="93">
        <f>HIDRO_DSL!G36</f>
        <v>0.98791669281185879</v>
      </c>
      <c r="BH34" s="93">
        <f>HIDRO_DSL!H36</f>
        <v>0.98812788713099575</v>
      </c>
      <c r="BI34" s="93">
        <f>HIDRO_DSL!I36</f>
        <v>0.98963774175326014</v>
      </c>
      <c r="BJ34" s="723">
        <f>IF(DIST_DSL_TOT!$J36&lt;=50%,0.5,IF(DIST_DSL_TOT!$J36&lt;=60%,0.6,IF(DIST_DSL_TOT!$J36&lt;=70%,0.7,IF(DIST_DSL_TOT!$J36&gt;=150%,1.5,IF(DIST_DSL_TOT!$J36&gt;=140%,1.4,IF(DIST_DSL_TOT!$J36&gt;=130%,1.3,1))))))</f>
        <v>1.5</v>
      </c>
      <c r="BK34" s="723">
        <f>IF(DIST_DSL_TOT!$S36&lt;=50%,0.5,IF(DIST_DSL_TOT!$S36&lt;=60%,0.6,IF(DIST_DSL_TOT!$S36&lt;=70%,0.7,IF(DIST_DSL_TOT!$S36&gt;=150%,1.5,IF(DIST_DSL_TOT!$S36&gt;=140%,1.4,IF(DIST_DSL_TOT!$S36&gt;=130%,1.3,1))))))</f>
        <v>1.5</v>
      </c>
      <c r="BL34" s="723">
        <f>IF(DIST_DSL_TOT!$AB36&lt;=50%,0.5,IF(DIST_DSL_TOT!$AB36&lt;=60%,0.6,IF(DIST_DSL_TOT!$AB36&lt;=70%,0.7,IF(DIST_DSL_TOT!$AB36&gt;=150%,1.5,IF(DIST_DSL_TOT!$AB36&gt;=140%,1.4,IF(DIST_DSL_TOT!$AB36&gt;=130%,1.3,1))))))</f>
        <v>1.4</v>
      </c>
      <c r="BM34" s="723">
        <f>IF(DIST_DSL_TOT!$AB36&lt;=50%,0.5,IF(DIST_DSL_TOT!$AB36&lt;=60%,0.6,IF(DIST_DSL_TOT!$AB36&lt;=70%,0.7,IF(DIST_DSL_TOT!$AB36&gt;=150%,1.5,IF(DIST_DSL_TOT!$AB36&gt;=140%,1.4,IF(DIST_DSL_TOT!$AB36&gt;=130%,1.3,1))))))</f>
        <v>1.4</v>
      </c>
      <c r="BN34" s="723" t="e">
        <f>IF(DIST_DSL_TOT!$AT36&lt;=50%,0.5,IF(DIST_DSL_TOT!$AT36&lt;=60%,0.6,IF(DIST_DSL_TOT!$AT36&lt;=70%,0.7,IF(DIST_DSL_TOT!$AT36&gt;=150%,1.5,IF(DIST_DSL_TOT!$AT36&gt;=140%,1.4,IF(DIST_DSL_TOT!$AT36&gt;=130%,1.3,1))))))</f>
        <v>#DIV/0!</v>
      </c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</row>
    <row r="35" spans="1:143">
      <c r="BI35" s="1"/>
    </row>
    <row r="36" spans="1:143" ht="15.75" thickBot="1">
      <c r="BI36" s="1"/>
    </row>
    <row r="37" spans="1:143">
      <c r="A37" s="90" t="s">
        <v>247</v>
      </c>
      <c r="B37" s="57" t="s">
        <v>260</v>
      </c>
      <c r="BI37" s="1"/>
    </row>
    <row r="38" spans="1:143">
      <c r="A38" s="91" t="s">
        <v>248</v>
      </c>
      <c r="B38" s="57" t="s">
        <v>261</v>
      </c>
      <c r="BI38" s="1"/>
    </row>
    <row r="39" spans="1:143">
      <c r="A39" s="91" t="s">
        <v>249</v>
      </c>
      <c r="B39" s="57" t="s">
        <v>262</v>
      </c>
      <c r="BI39" s="1"/>
    </row>
    <row r="40" spans="1:143">
      <c r="A40" s="91" t="s">
        <v>250</v>
      </c>
      <c r="B40" s="57" t="s">
        <v>261</v>
      </c>
      <c r="BI40" s="1"/>
    </row>
    <row r="41" spans="1:143">
      <c r="A41" s="91" t="s">
        <v>251</v>
      </c>
      <c r="B41" s="57" t="s">
        <v>263</v>
      </c>
      <c r="BI41" s="1"/>
    </row>
    <row r="42" spans="1:143">
      <c r="A42" s="91" t="s">
        <v>252</v>
      </c>
      <c r="B42" s="57" t="s">
        <v>264</v>
      </c>
      <c r="BI42" s="1"/>
    </row>
    <row r="43" spans="1:143">
      <c r="A43" s="91" t="s">
        <v>253</v>
      </c>
      <c r="B43" s="57" t="s">
        <v>265</v>
      </c>
      <c r="BI43" s="1"/>
    </row>
    <row r="44" spans="1:143">
      <c r="A44" s="91" t="s">
        <v>254</v>
      </c>
      <c r="B44" s="57" t="s">
        <v>266</v>
      </c>
      <c r="BI44" s="1"/>
    </row>
    <row r="45" spans="1:143">
      <c r="A45" s="91" t="s">
        <v>255</v>
      </c>
      <c r="B45" s="57" t="s">
        <v>267</v>
      </c>
      <c r="BI45" s="1"/>
    </row>
    <row r="46" spans="1:143">
      <c r="A46" s="91" t="s">
        <v>256</v>
      </c>
      <c r="B46" s="57" t="s">
        <v>268</v>
      </c>
      <c r="BI46" s="1"/>
    </row>
    <row r="47" spans="1:143">
      <c r="A47" s="91" t="s">
        <v>257</v>
      </c>
      <c r="B47" s="57" t="s">
        <v>269</v>
      </c>
      <c r="BI47" s="1"/>
    </row>
    <row r="48" spans="1:143" ht="15.75" thickBot="1">
      <c r="A48" s="92" t="s">
        <v>258</v>
      </c>
      <c r="B48" s="57" t="s">
        <v>270</v>
      </c>
      <c r="BI48" s="1"/>
    </row>
    <row r="49" spans="61:61">
      <c r="BI49" s="1"/>
    </row>
    <row r="50" spans="61:61">
      <c r="BI50" s="1"/>
    </row>
    <row r="51" spans="61:61">
      <c r="BI51" s="1"/>
    </row>
    <row r="52" spans="61:61">
      <c r="BI52" s="1"/>
    </row>
    <row r="53" spans="61:61">
      <c r="BI53" s="1"/>
    </row>
    <row r="54" spans="61:61">
      <c r="BI54" s="1"/>
    </row>
    <row r="55" spans="61:61">
      <c r="BI55" s="1"/>
    </row>
    <row r="56" spans="61:61">
      <c r="BI56" s="1"/>
    </row>
    <row r="57" spans="61:61">
      <c r="BI57" s="1"/>
    </row>
    <row r="58" spans="61:61">
      <c r="BI58" s="1"/>
    </row>
    <row r="59" spans="61:61">
      <c r="BI59" s="1"/>
    </row>
    <row r="60" spans="61:61">
      <c r="BI60" s="1"/>
    </row>
    <row r="61" spans="61:61">
      <c r="BI61" s="1"/>
    </row>
    <row r="62" spans="61:61">
      <c r="BI62" s="1"/>
    </row>
    <row r="63" spans="61:61">
      <c r="BI63" s="1"/>
    </row>
    <row r="64" spans="61:61">
      <c r="BI64" s="1"/>
    </row>
    <row r="65" spans="61:61">
      <c r="BI65" s="1"/>
    </row>
    <row r="66" spans="61:61">
      <c r="BI66" s="1"/>
    </row>
    <row r="67" spans="61:61">
      <c r="BI67" s="1"/>
    </row>
    <row r="68" spans="61:61">
      <c r="BI68" s="1"/>
    </row>
    <row r="69" spans="61:61">
      <c r="BI69" s="1"/>
    </row>
    <row r="70" spans="61:61">
      <c r="BI70" s="1"/>
    </row>
    <row r="71" spans="61:61">
      <c r="BI71" s="1"/>
    </row>
    <row r="72" spans="61:61">
      <c r="BI72" s="1"/>
    </row>
    <row r="73" spans="61:61">
      <c r="BI73" s="1"/>
    </row>
    <row r="74" spans="61:61">
      <c r="BI74" s="1"/>
    </row>
    <row r="75" spans="61:61">
      <c r="BI75" s="1"/>
    </row>
    <row r="76" spans="61:61">
      <c r="BI76" s="1"/>
    </row>
    <row r="77" spans="61:61">
      <c r="BI77" s="1"/>
    </row>
    <row r="78" spans="61:61">
      <c r="BI78" s="1"/>
    </row>
    <row r="79" spans="61:61">
      <c r="BI79" s="1"/>
    </row>
    <row r="80" spans="61:61">
      <c r="BI80" s="1"/>
    </row>
    <row r="81" spans="61:61">
      <c r="BI81" s="1"/>
    </row>
    <row r="82" spans="61:61">
      <c r="BI82" s="1"/>
    </row>
    <row r="83" spans="61:61">
      <c r="BI83" s="1"/>
    </row>
    <row r="84" spans="61:61">
      <c r="BI84" s="1"/>
    </row>
    <row r="85" spans="61:61">
      <c r="BI85" s="1"/>
    </row>
    <row r="86" spans="61:61">
      <c r="BI86" s="1"/>
    </row>
    <row r="87" spans="61:61">
      <c r="BI87" s="1"/>
    </row>
    <row r="88" spans="61:61">
      <c r="BI88" s="1"/>
    </row>
    <row r="89" spans="61:61">
      <c r="BI89" s="1"/>
    </row>
    <row r="90" spans="61:61">
      <c r="BI90" s="1"/>
    </row>
    <row r="91" spans="61:61">
      <c r="BI91" s="1"/>
    </row>
    <row r="92" spans="61:61">
      <c r="BI92" s="1"/>
    </row>
    <row r="93" spans="61:61">
      <c r="BI93" s="1"/>
    </row>
    <row r="94" spans="61:61">
      <c r="BI94" s="1"/>
    </row>
    <row r="95" spans="61:61">
      <c r="BI95" s="1"/>
    </row>
    <row r="96" spans="61:61">
      <c r="BI96" s="1"/>
    </row>
    <row r="97" spans="61:61">
      <c r="BI97" s="1"/>
    </row>
    <row r="98" spans="61:61">
      <c r="BI98" s="1"/>
    </row>
    <row r="99" spans="61:61">
      <c r="BI99" s="1"/>
    </row>
    <row r="100" spans="61:61">
      <c r="BI100" s="1"/>
    </row>
    <row r="101" spans="61:61">
      <c r="BI101" s="1"/>
    </row>
    <row r="102" spans="61:61">
      <c r="BI102" s="1"/>
    </row>
    <row r="103" spans="61:61">
      <c r="BI103" s="1"/>
    </row>
    <row r="104" spans="61:61">
      <c r="BI104" s="1"/>
    </row>
    <row r="105" spans="61:61">
      <c r="BI105" s="1"/>
    </row>
    <row r="106" spans="61:61">
      <c r="BI106" s="1"/>
    </row>
    <row r="107" spans="61:61">
      <c r="BI107" s="1"/>
    </row>
    <row r="108" spans="61:61">
      <c r="BI108" s="1"/>
    </row>
    <row r="109" spans="61:61">
      <c r="BI109" s="1"/>
    </row>
    <row r="110" spans="61:61">
      <c r="BI110" s="1"/>
    </row>
  </sheetData>
  <mergeCells count="13">
    <mergeCell ref="BJ1:BN1"/>
    <mergeCell ref="B1:F1"/>
    <mergeCell ref="L1:P1"/>
    <mergeCell ref="G1:K1"/>
    <mergeCell ref="Q1:U1"/>
    <mergeCell ref="AU1:AY1"/>
    <mergeCell ref="AZ1:BD1"/>
    <mergeCell ref="BE1:BI1"/>
    <mergeCell ref="V1:Z1"/>
    <mergeCell ref="AA1:AE1"/>
    <mergeCell ref="AF1:AJ1"/>
    <mergeCell ref="AK1:AO1"/>
    <mergeCell ref="AP1:AT1"/>
  </mergeCells>
  <pageMargins left="0.511811024" right="0.511811024" top="0.78740157499999996" bottom="0.78740157499999996" header="0.31496062000000002" footer="0.31496062000000002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1:W35"/>
  <sheetViews>
    <sheetView workbookViewId="0">
      <pane xSplit="1" topLeftCell="B1" activePane="topRight" state="frozen"/>
      <selection pane="topRight" activeCell="U13" sqref="U13"/>
    </sheetView>
  </sheetViews>
  <sheetFormatPr defaultColWidth="8.85546875" defaultRowHeight="15"/>
  <cols>
    <col min="1" max="1" width="16.28515625" customWidth="1"/>
    <col min="2" max="5" width="13.85546875" bestFit="1" customWidth="1"/>
    <col min="6" max="6" width="16.140625" bestFit="1" customWidth="1"/>
    <col min="7" max="10" width="13.85546875" bestFit="1" customWidth="1"/>
    <col min="11" max="11" width="13.85546875" customWidth="1"/>
    <col min="12" max="15" width="13.85546875" bestFit="1" customWidth="1"/>
    <col min="16" max="16" width="13.85546875" customWidth="1"/>
    <col min="17" max="20" width="14.7109375" bestFit="1" customWidth="1"/>
    <col min="21" max="21" width="12.7109375" bestFit="1" customWidth="1"/>
  </cols>
  <sheetData>
    <row r="1" spans="1:23">
      <c r="A1" s="80" t="s">
        <v>158</v>
      </c>
      <c r="B1" s="1100" t="s">
        <v>159</v>
      </c>
      <c r="C1" s="1101"/>
      <c r="D1" s="1101"/>
      <c r="E1" s="1101"/>
      <c r="F1" s="1147"/>
      <c r="G1" s="1100" t="s">
        <v>160</v>
      </c>
      <c r="H1" s="1101"/>
      <c r="I1" s="1101"/>
      <c r="J1" s="1101"/>
      <c r="K1" s="1147"/>
      <c r="L1" s="1100" t="s">
        <v>161</v>
      </c>
      <c r="M1" s="1101"/>
      <c r="N1" s="1101"/>
      <c r="O1" s="1101"/>
      <c r="P1" s="1147"/>
      <c r="Q1" s="1146" t="s">
        <v>162</v>
      </c>
      <c r="R1" s="1144"/>
      <c r="S1" s="1144"/>
      <c r="T1" s="1144"/>
      <c r="U1" s="1145"/>
    </row>
    <row r="2" spans="1:23">
      <c r="A2" s="81" t="s">
        <v>10</v>
      </c>
      <c r="B2" s="550">
        <v>2009</v>
      </c>
      <c r="C2" s="334">
        <v>2010</v>
      </c>
      <c r="D2" s="550">
        <v>2011</v>
      </c>
      <c r="E2" s="334">
        <v>2012</v>
      </c>
      <c r="F2" s="550">
        <v>2013</v>
      </c>
      <c r="G2" s="550">
        <v>2009</v>
      </c>
      <c r="H2" s="334">
        <v>2010</v>
      </c>
      <c r="I2" s="550">
        <v>2011</v>
      </c>
      <c r="J2" s="334">
        <v>2012</v>
      </c>
      <c r="K2" s="550">
        <v>2013</v>
      </c>
      <c r="L2" s="550">
        <v>2009</v>
      </c>
      <c r="M2" s="334">
        <v>2010</v>
      </c>
      <c r="N2" s="550">
        <v>2011</v>
      </c>
      <c r="O2" s="334">
        <v>2012</v>
      </c>
      <c r="P2" s="550">
        <v>2013</v>
      </c>
      <c r="Q2" s="550">
        <v>2009</v>
      </c>
      <c r="R2" s="334">
        <v>2010</v>
      </c>
      <c r="S2" s="550">
        <v>2011</v>
      </c>
      <c r="T2" s="334">
        <v>2012</v>
      </c>
      <c r="U2" s="550">
        <v>2013</v>
      </c>
    </row>
    <row r="3" spans="1:23">
      <c r="A3" s="82" t="s">
        <v>86</v>
      </c>
      <c r="B3" s="229">
        <f>B4+B12+B22+B27+B31</f>
        <v>25409089747.000019</v>
      </c>
      <c r="C3" s="229">
        <f t="shared" ref="C3:U3" si="0">C4+C12+C22+C27+C31</f>
        <v>29843664982</v>
      </c>
      <c r="D3" s="229">
        <f t="shared" si="0"/>
        <v>35491255695</v>
      </c>
      <c r="E3" s="229">
        <f t="shared" si="0"/>
        <v>39697714725</v>
      </c>
      <c r="F3" s="971">
        <f t="shared" si="0"/>
        <v>41426236592</v>
      </c>
      <c r="G3" s="229">
        <f t="shared" si="0"/>
        <v>16485000000</v>
      </c>
      <c r="H3" s="229">
        <f t="shared" si="0"/>
        <v>16177999999.999998</v>
      </c>
      <c r="I3" s="229">
        <f t="shared" si="0"/>
        <v>12233999999.999998</v>
      </c>
      <c r="J3" s="229">
        <f t="shared" si="0"/>
        <v>11318999999.999998</v>
      </c>
      <c r="K3" s="229">
        <f t="shared" si="0"/>
        <v>13190999999.999998</v>
      </c>
      <c r="L3" s="229">
        <f t="shared" si="0"/>
        <v>35069713741.304962</v>
      </c>
      <c r="M3" s="229">
        <f t="shared" si="0"/>
        <v>38931873438.150948</v>
      </c>
      <c r="N3" s="229">
        <f t="shared" si="0"/>
        <v>41454074880.611244</v>
      </c>
      <c r="O3" s="229">
        <f t="shared" ref="O3" si="1">O4+O12+O22+O27+O31</f>
        <v>44018286961.207855</v>
      </c>
      <c r="P3" s="229">
        <f t="shared" si="0"/>
        <v>0</v>
      </c>
      <c r="Q3" s="229">
        <f t="shared" si="0"/>
        <v>2101595310</v>
      </c>
      <c r="R3" s="229">
        <f t="shared" si="0"/>
        <v>2007264580</v>
      </c>
      <c r="S3" s="229">
        <f t="shared" si="0"/>
        <v>1971808910</v>
      </c>
      <c r="T3" s="229">
        <f t="shared" si="0"/>
        <v>1947060300</v>
      </c>
      <c r="U3" s="230">
        <f t="shared" si="0"/>
        <v>0</v>
      </c>
    </row>
    <row r="4" spans="1:23">
      <c r="A4" s="546" t="s">
        <v>87</v>
      </c>
      <c r="B4" s="173">
        <f>SUM(B5:B11)</f>
        <v>1636286944.6008751</v>
      </c>
      <c r="C4" s="173">
        <f t="shared" ref="C4:U4" si="2">SUM(C5:C11)</f>
        <v>1927184313</v>
      </c>
      <c r="D4" s="173">
        <f t="shared" si="2"/>
        <v>2169569578</v>
      </c>
      <c r="E4" s="228">
        <f t="shared" si="2"/>
        <v>2486780899</v>
      </c>
      <c r="F4" s="998">
        <f t="shared" si="2"/>
        <v>2649750811</v>
      </c>
      <c r="G4" s="967">
        <f t="shared" si="2"/>
        <v>276082403.68182182</v>
      </c>
      <c r="H4" s="173">
        <f t="shared" si="2"/>
        <v>237562370.26908046</v>
      </c>
      <c r="I4" s="173">
        <f t="shared" si="2"/>
        <v>172939248.40934926</v>
      </c>
      <c r="J4" s="173">
        <f t="shared" si="2"/>
        <v>148636347.54231113</v>
      </c>
      <c r="K4" s="173">
        <f t="shared" si="2"/>
        <v>163604305.07386231</v>
      </c>
      <c r="L4" s="173">
        <f t="shared" si="2"/>
        <v>3410846634.4034004</v>
      </c>
      <c r="M4" s="173">
        <f t="shared" si="2"/>
        <v>4071310190.8380294</v>
      </c>
      <c r="N4" s="173">
        <f t="shared" si="2"/>
        <v>4428352286.4441328</v>
      </c>
      <c r="O4" s="173">
        <f t="shared" ref="O4" si="3">SUM(O5:O11)</f>
        <v>4766148599.1097755</v>
      </c>
      <c r="P4" s="173">
        <f t="shared" si="2"/>
        <v>0</v>
      </c>
      <c r="Q4" s="173">
        <f t="shared" si="2"/>
        <v>912500</v>
      </c>
      <c r="R4" s="173">
        <f t="shared" si="2"/>
        <v>913980</v>
      </c>
      <c r="S4" s="173">
        <f t="shared" si="2"/>
        <v>1297580</v>
      </c>
      <c r="T4" s="173">
        <f t="shared" ref="T4" si="4">SUM(T5:T11)</f>
        <v>2652690</v>
      </c>
      <c r="U4" s="173">
        <f t="shared" si="2"/>
        <v>0</v>
      </c>
    </row>
    <row r="5" spans="1:23">
      <c r="A5" s="77" t="s">
        <v>163</v>
      </c>
      <c r="B5" s="74">
        <f>COMB!B5*CORR!B4</f>
        <v>75724202.742917895</v>
      </c>
      <c r="C5" s="74">
        <f>COMB!C5*CORR!C4</f>
        <v>94983801</v>
      </c>
      <c r="D5" s="74">
        <f>COMB!D5*CORR!D4</f>
        <v>106948783</v>
      </c>
      <c r="E5" s="960">
        <f>COMB!E5*CORR!E4</f>
        <v>118891750</v>
      </c>
      <c r="F5" s="999">
        <f>COMB!F5*CORR!F4</f>
        <v>125329986</v>
      </c>
      <c r="G5" s="961">
        <f>COMB!G5*CORR!G4*CORR!L4</f>
        <v>11962203.749581622</v>
      </c>
      <c r="H5" s="66">
        <f>COMB!H5*CORR!H4*CORR!M4</f>
        <v>10189695.61170375</v>
      </c>
      <c r="I5" s="66">
        <f>COMB!I5*CORR!I4*CORR!N4</f>
        <v>9635873.7212088462</v>
      </c>
      <c r="J5" s="66">
        <f>COMB!J5*CORR!J4*CORR!O4</f>
        <v>6602242.4398125773</v>
      </c>
      <c r="K5" s="66">
        <f>COMB!K5*CORR!K4*CORR!P4</f>
        <v>6760849.2503900081</v>
      </c>
      <c r="L5" s="66">
        <f>((COMB!L5*CORR!Q4*CORR!V4*CORR!AA4*CORR!AF4*CORR!AK4*CORR!AP4*CORR!AU4*CORR!AZ4*CORR!BE4))</f>
        <v>111988905.72051582</v>
      </c>
      <c r="M5" s="66">
        <f>((COMB!M5*CORR!R4*CORR!W4*CORR!AB4*CORR!AG4*CORR!AL4*CORR!AQ4*CORR!AV4*CORR!BA4*CORR!BF4))</f>
        <v>133841404.70403644</v>
      </c>
      <c r="N5" s="66">
        <f>((COMB!N5*CORR!S4*CORR!X4*CORR!AC4*CORR!AH4*CORR!AM4*CORR!AR4*CORR!AW4*CORR!BB4*CORR!BG4))</f>
        <v>138018848.330437</v>
      </c>
      <c r="O5" s="66">
        <f>((COMB!O5*CORR!T4*CORR!Y4*CORR!AD4*CORR!AI4*CORR!AN4*CORR!AS4*CORR!AX4*CORR!BC4*CORR!BH4))</f>
        <v>188900223.6579839</v>
      </c>
      <c r="P5" s="66">
        <f>((COMB!P5*CORR!U4*CORR!Z4*CORR!AE4*CORR!AJ4*CORR!AO4*CORR!AT4*CORR!AY4*CORR!BD4*CORR!BI4)*0.7)*0.5</f>
        <v>0</v>
      </c>
      <c r="Q5" s="66">
        <f>COMB!Q5</f>
        <v>0</v>
      </c>
      <c r="R5" s="66">
        <f>COMB!R5</f>
        <v>0</v>
      </c>
      <c r="S5" s="66">
        <f>COMB!S5</f>
        <v>0</v>
      </c>
      <c r="T5" s="66">
        <f>COMB!T5</f>
        <v>0</v>
      </c>
      <c r="U5" s="67">
        <f>COMB!U5</f>
        <v>0</v>
      </c>
    </row>
    <row r="6" spans="1:23">
      <c r="A6" s="78" t="s">
        <v>164</v>
      </c>
      <c r="B6" s="74">
        <f>COMB!B6*CORR!B5</f>
        <v>86003946.648278996</v>
      </c>
      <c r="C6" s="74">
        <f>COMB!C6*CORR!C5</f>
        <v>99396500</v>
      </c>
      <c r="D6" s="74">
        <f>COMB!D6*CORR!D5</f>
        <v>109515600</v>
      </c>
      <c r="E6" s="960">
        <f>COMB!E6*CORR!E5</f>
        <v>127984499.99999999</v>
      </c>
      <c r="F6" s="1000">
        <f>COMB!F6*CORR!F5</f>
        <v>137899800</v>
      </c>
      <c r="G6" s="961">
        <f>COMB!G6*CORR!G5*CORR!L5</f>
        <v>8304180.5759246349</v>
      </c>
      <c r="H6" s="66">
        <f>COMB!H6*CORR!H5*CORR!M5</f>
        <v>7213783.3268750645</v>
      </c>
      <c r="I6" s="66">
        <f>COMB!I6*CORR!I5*CORR!N5</f>
        <v>5537844.2798387306</v>
      </c>
      <c r="J6" s="66">
        <f>COMB!J6*CORR!J5*CORR!O5</f>
        <v>3804730.9489030074</v>
      </c>
      <c r="K6" s="66">
        <f>COMB!K6*CORR!K5*CORR!P5</f>
        <v>1637013.3076732361</v>
      </c>
      <c r="L6" s="66">
        <f>((COMB!L6*CORR!Q5*CORR!V5*CORR!AA5*CORR!AF5*CORR!AK5*CORR!AP5*CORR!AU5*CORR!AZ5*CORR!BE5))</f>
        <v>279348177.78355938</v>
      </c>
      <c r="M6" s="66">
        <f>((COMB!M6*CORR!R5*CORR!W5*CORR!AB5*CORR!AG5*CORR!AL5*CORR!AQ5*CORR!AV5*CORR!BA5*CORR!BF5))</f>
        <v>298099439.31976748</v>
      </c>
      <c r="N6" s="66">
        <f>((COMB!N6*CORR!S5*CORR!X5*CORR!AC5*CORR!AH5*CORR!AM5*CORR!AR5*CORR!AW5*CORR!BB5*CORR!BG5))</f>
        <v>346116627.92673099</v>
      </c>
      <c r="O6" s="66">
        <f>((COMB!O6*CORR!T5*CORR!Y5*CORR!AD5*CORR!AI5*CORR!AN5*CORR!AS5*CORR!AX5*CORR!BC5*CORR!BH5))</f>
        <v>435308478.2555005</v>
      </c>
      <c r="P6" s="66">
        <f>((COMB!P6*CORR!U5*CORR!Z5*CORR!AE5*CORR!AJ5*CORR!AO5*CORR!AT5*CORR!AY5*CORR!BD5*CORR!BI5)*0.7)*0.5</f>
        <v>0</v>
      </c>
      <c r="Q6" s="66">
        <f>COMB!Q6</f>
        <v>0</v>
      </c>
      <c r="R6" s="66">
        <f>COMB!R6</f>
        <v>0</v>
      </c>
      <c r="S6" s="66">
        <f>COMB!S6</f>
        <v>0</v>
      </c>
      <c r="T6" s="66">
        <f>COMB!T6</f>
        <v>0</v>
      </c>
      <c r="U6" s="67">
        <f>COMB!U6</f>
        <v>0</v>
      </c>
    </row>
    <row r="7" spans="1:23">
      <c r="A7" s="78" t="s">
        <v>165</v>
      </c>
      <c r="B7" s="74">
        <f>COMB!B7*CORR!B6</f>
        <v>403312309.05350298</v>
      </c>
      <c r="C7" s="74">
        <f>COMB!C7*CORR!C6</f>
        <v>468688196</v>
      </c>
      <c r="D7" s="74">
        <f>COMB!D7*CORR!D6</f>
        <v>521355097.00000006</v>
      </c>
      <c r="E7" s="960">
        <f>COMB!E7*CORR!E6</f>
        <v>569396746</v>
      </c>
      <c r="F7" s="1000">
        <f>COMB!F7*CORR!F6</f>
        <v>590749207</v>
      </c>
      <c r="G7" s="961">
        <f>COMB!G7*CORR!G6*CORR!L6</f>
        <v>79668638.776103243</v>
      </c>
      <c r="H7" s="66">
        <f>COMB!H7*CORR!H6*CORR!M6</f>
        <v>58893543.678593881</v>
      </c>
      <c r="I7" s="66">
        <f>COMB!I7*CORR!I6*CORR!N6</f>
        <v>45479291.264493965</v>
      </c>
      <c r="J7" s="66">
        <f>COMB!J7*CORR!J6*CORR!O6</f>
        <v>46044231.801135845</v>
      </c>
      <c r="K7" s="66">
        <f>COMB!K7*CORR!K6*CORR!P6</f>
        <v>52754347.313102156</v>
      </c>
      <c r="L7" s="66">
        <f>((COMB!L7*CORR!Q6*CORR!V6*CORR!AA6*CORR!AF6*CORR!AK6*CORR!AP6*CORR!AU6*CORR!AZ6*CORR!BE6))</f>
        <v>671195709.16022527</v>
      </c>
      <c r="M7" s="66">
        <f>((COMB!M7*CORR!R6*CORR!W6*CORR!AB6*CORR!AG6*CORR!AL6*CORR!AQ6*CORR!AV6*CORR!BA6*CORR!BF6))</f>
        <v>941317303.99726546</v>
      </c>
      <c r="N7" s="66">
        <f>((COMB!N7*CORR!S6*CORR!X6*CORR!AC6*CORR!AH6*CORR!AM6*CORR!AR6*CORR!AW6*CORR!BB6*CORR!BG6))</f>
        <v>1112610217.8567066</v>
      </c>
      <c r="O7" s="66">
        <f>((COMB!O7*CORR!T6*CORR!Y6*CORR!AD6*CORR!AI6*CORR!AN6*CORR!AS6*CORR!AX6*CORR!BC6*CORR!BH6))</f>
        <v>1097382345.1967051</v>
      </c>
      <c r="P7" s="66">
        <f>((COMB!P7*CORR!U6*CORR!Z6*CORR!AE6*CORR!AJ6*CORR!AO6*CORR!AT6*CORR!AY6*CORR!BD6*CORR!BI6)*0.7)*0.5</f>
        <v>0</v>
      </c>
      <c r="Q7" s="66">
        <f>COMB!Q7</f>
        <v>912500</v>
      </c>
      <c r="R7" s="66">
        <f>COMB!R7</f>
        <v>913980</v>
      </c>
      <c r="S7" s="66">
        <f>COMB!S7</f>
        <v>1297580</v>
      </c>
      <c r="T7" s="66">
        <f>COMB!T7</f>
        <v>2652690</v>
      </c>
      <c r="U7" s="67">
        <f>COMB!U7</f>
        <v>0</v>
      </c>
    </row>
    <row r="8" spans="1:23">
      <c r="A8" s="78" t="s">
        <v>166</v>
      </c>
      <c r="B8" s="74">
        <f>COMB!B8*CORR!B7</f>
        <v>585376660.474558</v>
      </c>
      <c r="C8" s="74">
        <f>COMB!C8*CORR!C7</f>
        <v>674940641</v>
      </c>
      <c r="D8" s="74">
        <f>COMB!D8*CORR!D7</f>
        <v>768592559</v>
      </c>
      <c r="E8" s="960">
        <f>COMB!E8*CORR!E7</f>
        <v>909505429.00000012</v>
      </c>
      <c r="F8" s="1000">
        <f>COMB!F8*CORR!F7</f>
        <v>996631282</v>
      </c>
      <c r="G8" s="961">
        <f>COMB!G8*CORR!G7*CORR!L7</f>
        <v>46231743.715788439</v>
      </c>
      <c r="H8" s="66">
        <f>COMB!H8*CORR!H7*CORR!M7</f>
        <v>50405369.988024153</v>
      </c>
      <c r="I8" s="66">
        <f>COMB!I8*CORR!I7*CORR!N7</f>
        <v>37677273.869994178</v>
      </c>
      <c r="J8" s="66">
        <f>COMB!J8*CORR!J7*CORR!O7</f>
        <v>35295181.555488221</v>
      </c>
      <c r="K8" s="66">
        <f>COMB!K8*CORR!K7*CORR!P7</f>
        <v>36982101.140881501</v>
      </c>
      <c r="L8" s="66">
        <f>((COMB!L8*CORR!Q7*CORR!V7*CORR!AA7*CORR!AF7*CORR!AK7*CORR!AP7*CORR!AU7*CORR!AZ7*CORR!BE7))</f>
        <v>1216403129.0894985</v>
      </c>
      <c r="M8" s="66">
        <f>((COMB!M8*CORR!R7*CORR!W7*CORR!AB7*CORR!AG7*CORR!AL7*CORR!AQ7*CORR!AV7*CORR!BA7*CORR!BF7))</f>
        <v>1375517566.3604836</v>
      </c>
      <c r="N8" s="66">
        <f>((COMB!N8*CORR!S7*CORR!X7*CORR!AC7*CORR!AH7*CORR!AM7*CORR!AR7*CORR!AW7*CORR!BB7*CORR!BG7))</f>
        <v>1531410172.43699</v>
      </c>
      <c r="O8" s="66">
        <f>((COMB!O8*CORR!T7*CORR!Y7*CORR!AD7*CORR!AI7*CORR!AN7*CORR!AS7*CORR!AX7*CORR!BC7*CORR!BH7))</f>
        <v>1698233289.4169972</v>
      </c>
      <c r="P8" s="66">
        <f>((COMB!P8*CORR!U7*CORR!Z7*CORR!AE7*CORR!AJ7*CORR!AO7*CORR!AT7*CORR!AY7*CORR!BD7*CORR!BI7)*0.7)*0.5</f>
        <v>0</v>
      </c>
      <c r="Q8" s="66">
        <f>COMB!Q8</f>
        <v>0</v>
      </c>
      <c r="R8" s="66">
        <f>COMB!R8</f>
        <v>0</v>
      </c>
      <c r="S8" s="66">
        <f>COMB!S8</f>
        <v>0</v>
      </c>
      <c r="T8" s="66">
        <f>COMB!T8</f>
        <v>0</v>
      </c>
      <c r="U8" s="67">
        <f>COMB!U8</f>
        <v>0</v>
      </c>
    </row>
    <row r="9" spans="1:23">
      <c r="A9" s="78" t="s">
        <v>167</v>
      </c>
      <c r="B9" s="74">
        <f>COMB!B9*CORR!B8</f>
        <v>233616635.387871</v>
      </c>
      <c r="C9" s="74">
        <f>COMB!C9*CORR!C8</f>
        <v>286145898</v>
      </c>
      <c r="D9" s="74">
        <f>COMB!D9*CORR!D8</f>
        <v>325210119</v>
      </c>
      <c r="E9" s="960">
        <f>COMB!E9*CORR!E8</f>
        <v>365370290.00000006</v>
      </c>
      <c r="F9" s="1000">
        <f>COMB!F9*CORR!F8</f>
        <v>378462950</v>
      </c>
      <c r="G9" s="961">
        <f>COMB!G9*CORR!G8*CORR!L8</f>
        <v>57236460.944793768</v>
      </c>
      <c r="H9" s="66">
        <f>COMB!H9*CORR!H8*CORR!M8</f>
        <v>43015318.834508985</v>
      </c>
      <c r="I9" s="66">
        <f>COMB!I9*CORR!I8*CORR!N8</f>
        <v>29755619.060129922</v>
      </c>
      <c r="J9" s="66">
        <f>COMB!J9*CORR!J8*CORR!O8</f>
        <v>22633772.258636855</v>
      </c>
      <c r="K9" s="66">
        <f>COMB!K9*CORR!K8*CORR!P8</f>
        <v>23282114.295359362</v>
      </c>
      <c r="L9" s="66">
        <f>((COMB!L9*CORR!Q8*CORR!V8*CORR!AA8*CORR!AF8*CORR!AK8*CORR!AP8*CORR!AU8*CORR!AZ8*CORR!BE8))</f>
        <v>619417984.80493736</v>
      </c>
      <c r="M9" s="66">
        <f>((COMB!M9*CORR!R8*CORR!W8*CORR!AB8*CORR!AG8*CORR!AL8*CORR!AQ8*CORR!AV8*CORR!BA8*CORR!BF8))</f>
        <v>671138072.06970549</v>
      </c>
      <c r="N9" s="66">
        <f>((COMB!N9*CORR!S8*CORR!X8*CORR!AC8*CORR!AH8*CORR!AM8*CORR!AR8*CORR!AW8*CORR!BB8*CORR!BG8))</f>
        <v>677500611.18746245</v>
      </c>
      <c r="O9" s="66">
        <f>((COMB!O9*CORR!T8*CORR!Y8*CORR!AD8*CORR!AI8*CORR!AN8*CORR!AS8*CORR!AX8*CORR!BC8*CORR!BH8))</f>
        <v>664204036.73517036</v>
      </c>
      <c r="P9" s="66">
        <f>((COMB!P9*CORR!U8*CORR!Z8*CORR!AE8*CORR!AJ8*CORR!AO8*CORR!AT8*CORR!AY8*CORR!BD8*CORR!BI8)*0.7)*0.5</f>
        <v>0</v>
      </c>
      <c r="Q9" s="66">
        <f>COMB!Q9</f>
        <v>0</v>
      </c>
      <c r="R9" s="66">
        <f>COMB!R9</f>
        <v>0</v>
      </c>
      <c r="S9" s="66">
        <f>COMB!S9</f>
        <v>0</v>
      </c>
      <c r="T9" s="66">
        <f>COMB!T9</f>
        <v>0</v>
      </c>
      <c r="U9" s="67">
        <f>COMB!U9</f>
        <v>0</v>
      </c>
    </row>
    <row r="10" spans="1:23">
      <c r="A10" s="78" t="s">
        <v>168</v>
      </c>
      <c r="B10" s="74">
        <f>COMB!B10*CORR!B9</f>
        <v>74627006.372739196</v>
      </c>
      <c r="C10" s="74">
        <f>COMB!C10*CORR!C9</f>
        <v>85768400</v>
      </c>
      <c r="D10" s="74">
        <f>COMB!D10*CORR!D9</f>
        <v>88273250.000000015</v>
      </c>
      <c r="E10" s="960">
        <f>COMB!E10*CORR!E9</f>
        <v>99430000</v>
      </c>
      <c r="F10" s="1000">
        <f>COMB!F10*CORR!F9</f>
        <v>108861300</v>
      </c>
      <c r="G10" s="961">
        <f>COMB!G10*CORR!G9*CORR!L9</f>
        <v>2910553.114302217</v>
      </c>
      <c r="H10" s="66">
        <f>COMB!H10*CORR!H9*CORR!M9</f>
        <v>2958124.937946951</v>
      </c>
      <c r="I10" s="66">
        <f>COMB!I10*CORR!I9*CORR!N9</f>
        <v>2791367.1304678298</v>
      </c>
      <c r="J10" s="66">
        <f>COMB!J10*CORR!J9*CORR!O9</f>
        <v>2216418.9146954557</v>
      </c>
      <c r="K10" s="66">
        <f>COMB!K10*CORR!K9*CORR!P9</f>
        <v>2045481.1195686695</v>
      </c>
      <c r="L10" s="66">
        <f>((COMB!L10*CORR!Q9*CORR!V9*CORR!AA9*CORR!AF9*CORR!AK9*CORR!AP9*CORR!AU9*CORR!AZ9*CORR!BE9))</f>
        <v>53835273.437006325</v>
      </c>
      <c r="M10" s="66">
        <f>((COMB!M10*CORR!R9*CORR!W9*CORR!AB9*CORR!AG9*CORR!AL9*CORR!AQ9*CORR!AV9*CORR!BA9*CORR!BF9))</f>
        <v>120530631.89904872</v>
      </c>
      <c r="N10" s="66">
        <f>((COMB!N10*CORR!S9*CORR!X9*CORR!AC9*CORR!AH9*CORR!AM9*CORR!AR9*CORR!AW9*CORR!BB9*CORR!BG9))</f>
        <v>67723597.933895007</v>
      </c>
      <c r="O10" s="66">
        <f>((COMB!O10*CORR!T9*CORR!Y9*CORR!AD9*CORR!AI9*CORR!AN9*CORR!AS9*CORR!AX9*CORR!BC9*CORR!BH9))</f>
        <v>66247051.101664014</v>
      </c>
      <c r="P10" s="66">
        <f>((COMB!P10*CORR!U9*CORR!Z9*CORR!AE9*CORR!AJ9*CORR!AO9*CORR!AT9*CORR!AY9*CORR!BD9*CORR!BI9)*0.7)*0.5</f>
        <v>0</v>
      </c>
      <c r="Q10" s="66">
        <f>COMB!Q10</f>
        <v>0</v>
      </c>
      <c r="R10" s="66">
        <f>COMB!R10</f>
        <v>0</v>
      </c>
      <c r="S10" s="66">
        <f>COMB!S10</f>
        <v>0</v>
      </c>
      <c r="T10" s="66">
        <f>COMB!T10</f>
        <v>0</v>
      </c>
      <c r="U10" s="67">
        <f>COMB!U10</f>
        <v>0</v>
      </c>
      <c r="W10">
        <v>0.5</v>
      </c>
    </row>
    <row r="11" spans="1:23">
      <c r="A11" s="79" t="s">
        <v>169</v>
      </c>
      <c r="B11" s="74">
        <f>COMB!B11*CORR!B10</f>
        <v>177626183.92100701</v>
      </c>
      <c r="C11" s="74">
        <f>COMB!C11*CORR!C10</f>
        <v>217260877</v>
      </c>
      <c r="D11" s="74">
        <f>COMB!D11*CORR!D10</f>
        <v>249674169.99999997</v>
      </c>
      <c r="E11" s="960">
        <f>COMB!E11*CORR!E10</f>
        <v>296202184</v>
      </c>
      <c r="F11" s="1001">
        <f>COMB!F11*CORR!F10</f>
        <v>311816286</v>
      </c>
      <c r="G11" s="961">
        <f>COMB!G11*CORR!G10*CORR!L10</f>
        <v>69768622.805327907</v>
      </c>
      <c r="H11" s="66">
        <f>COMB!H11*CORR!H10*CORR!M10</f>
        <v>64886533.891427681</v>
      </c>
      <c r="I11" s="66">
        <f>COMB!I11*CORR!I10*CORR!N10</f>
        <v>42061979.083215795</v>
      </c>
      <c r="J11" s="66">
        <f>COMB!J11*CORR!J10*CORR!O10</f>
        <v>32039769.623639163</v>
      </c>
      <c r="K11" s="66">
        <f>COMB!K11*CORR!K10*CORR!P10</f>
        <v>40142398.646887377</v>
      </c>
      <c r="L11" s="66">
        <f>((COMB!L11*CORR!Q10*CORR!V10*CORR!AA10*CORR!AF10*CORR!AK10*CORR!AP10*CORR!AU10*CORR!AZ10*CORR!BE10))</f>
        <v>458657454.40765738</v>
      </c>
      <c r="M11" s="66">
        <f>((COMB!M11*CORR!R10*CORR!W10*CORR!AB10*CORR!AG10*CORR!AL10*CORR!AQ10*CORR!AV10*CORR!BA10*CORR!BF10))</f>
        <v>530865772.48772174</v>
      </c>
      <c r="N11" s="66">
        <f>((COMB!N11*CORR!S10*CORR!X10*CORR!AC10*CORR!AH10*CORR!AM10*CORR!AR10*CORR!AW10*CORR!BB10*CORR!BG10))</f>
        <v>554972210.77191067</v>
      </c>
      <c r="O11" s="66">
        <f>((COMB!O11*CORR!T10*CORR!Y10*CORR!AD10*CORR!AI10*CORR!AN10*CORR!AS10*CORR!AX10*CORR!BC10*CORR!BH10))</f>
        <v>615873174.7457552</v>
      </c>
      <c r="P11" s="66">
        <f>((COMB!P11*CORR!U10*CORR!Z10*CORR!AE10*CORR!AJ10*CORR!AO10*CORR!AT10*CORR!AY10*CORR!BD10*CORR!BI10)*0.7)*0.5</f>
        <v>0</v>
      </c>
      <c r="Q11" s="66">
        <f>COMB!Q11</f>
        <v>0</v>
      </c>
      <c r="R11" s="66">
        <f>COMB!R11</f>
        <v>0</v>
      </c>
      <c r="S11" s="66">
        <f>COMB!S11</f>
        <v>0</v>
      </c>
      <c r="T11" s="66">
        <f>COMB!T11</f>
        <v>0</v>
      </c>
      <c r="U11" s="67">
        <f>COMB!U11</f>
        <v>0</v>
      </c>
    </row>
    <row r="12" spans="1:23">
      <c r="A12" s="546" t="s">
        <v>88</v>
      </c>
      <c r="B12" s="228">
        <f>SUM(B13:B21)</f>
        <v>4178166175.7577772</v>
      </c>
      <c r="C12" s="228">
        <f t="shared" ref="C12:U12" si="5">SUM(C13:C21)</f>
        <v>5212948677</v>
      </c>
      <c r="D12" s="228">
        <f t="shared" si="5"/>
        <v>6239598498</v>
      </c>
      <c r="E12" s="228">
        <f t="shared" si="5"/>
        <v>7313574522</v>
      </c>
      <c r="F12" s="998">
        <f t="shared" si="5"/>
        <v>7840969281</v>
      </c>
      <c r="G12" s="968">
        <f t="shared" si="5"/>
        <v>1626752600.0849977</v>
      </c>
      <c r="H12" s="228">
        <f t="shared" si="5"/>
        <v>1459606551.7455111</v>
      </c>
      <c r="I12" s="228">
        <f t="shared" si="5"/>
        <v>890657842.75137806</v>
      </c>
      <c r="J12" s="228">
        <f t="shared" si="5"/>
        <v>741909562.66167021</v>
      </c>
      <c r="K12" s="228">
        <f t="shared" si="5"/>
        <v>785168988.92012012</v>
      </c>
      <c r="L12" s="228">
        <f t="shared" si="5"/>
        <v>5896078310.9802666</v>
      </c>
      <c r="M12" s="228">
        <f t="shared" si="5"/>
        <v>6525406170.1340389</v>
      </c>
      <c r="N12" s="228">
        <f t="shared" si="5"/>
        <v>6937204170.7173138</v>
      </c>
      <c r="O12" s="228">
        <f t="shared" ref="O12" si="6">SUM(O13:O21)</f>
        <v>7647762046.9837284</v>
      </c>
      <c r="P12" s="228">
        <f t="shared" si="5"/>
        <v>0</v>
      </c>
      <c r="Q12" s="228">
        <f t="shared" si="5"/>
        <v>402944050</v>
      </c>
      <c r="R12" s="228">
        <f t="shared" si="5"/>
        <v>376488990</v>
      </c>
      <c r="S12" s="228">
        <f t="shared" si="5"/>
        <v>355770620</v>
      </c>
      <c r="T12" s="228">
        <f t="shared" ref="T12" si="7">SUM(T13:T21)</f>
        <v>342221680</v>
      </c>
      <c r="U12" s="173">
        <f t="shared" si="5"/>
        <v>0</v>
      </c>
    </row>
    <row r="13" spans="1:23">
      <c r="A13" s="77" t="s">
        <v>170</v>
      </c>
      <c r="B13" s="74">
        <f>COMB!B13*CORR!B12</f>
        <v>179400465.826906</v>
      </c>
      <c r="C13" s="74">
        <f>COMB!C13*CORR!C12</f>
        <v>245327832</v>
      </c>
      <c r="D13" s="74">
        <f>COMB!D13*CORR!D12</f>
        <v>303096084.00000006</v>
      </c>
      <c r="E13" s="960">
        <f>COMB!E13*CORR!E12</f>
        <v>363832649</v>
      </c>
      <c r="F13" s="999">
        <f>COMB!F13*CORR!F12</f>
        <v>400517967</v>
      </c>
      <c r="G13" s="961">
        <f>COMB!G13*CORR!G12*CORR!L12</f>
        <v>104603557.69243026</v>
      </c>
      <c r="H13" s="66">
        <f>COMB!H13*CORR!H12*CORR!M12</f>
        <v>81672323.815833092</v>
      </c>
      <c r="I13" s="66">
        <f>COMB!I13*CORR!I12*CORR!N12</f>
        <v>59758226.725693613</v>
      </c>
      <c r="J13" s="66">
        <f>COMB!J13*CORR!J12*CORR!O12</f>
        <v>45451645.892149344</v>
      </c>
      <c r="K13" s="66">
        <f>COMB!K13*CORR!K12*CORR!P12</f>
        <v>39238810.616594441</v>
      </c>
      <c r="L13" s="66">
        <f>COMB!L13*CORR!Q12*CORR!V12*CORR!AA12*CORR!AF12*CORR!AK12*CORR!AP12*CORR!AU12*CORR!AZ12*CORR!BE12</f>
        <v>231871975.56904864</v>
      </c>
      <c r="M13" s="66">
        <f>COMB!M13*CORR!R12*CORR!W12*CORR!AB12*CORR!AG12*CORR!AL12*CORR!AQ12*CORR!AV12*CORR!BA12*CORR!BF12</f>
        <v>257560372.87700903</v>
      </c>
      <c r="N13" s="66">
        <f>COMB!N13*CORR!S12*CORR!X12*CORR!AC12*CORR!AH12*CORR!AM12*CORR!AR12*CORR!AW12*CORR!BB12*CORR!BG12</f>
        <v>291801975.60706633</v>
      </c>
      <c r="O13" s="66">
        <f>COMB!O13*CORR!T12*CORR!Y12*CORR!AD12*CORR!AI12*CORR!AN12*CORR!AS12*CORR!AX12*CORR!BC12*CORR!BH12</f>
        <v>290184350.25871325</v>
      </c>
      <c r="P13" s="66">
        <f>COMB!P13*CORR!U12*CORR!Z12*CORR!AE12*CORR!AJ12*CORR!AO12*CORR!AT12*CORR!AY12*CORR!BD12*CORR!BI12</f>
        <v>0</v>
      </c>
      <c r="Q13" s="66">
        <f>COMB!Q13</f>
        <v>37282460</v>
      </c>
      <c r="R13" s="66">
        <f>COMB!R13</f>
        <v>36079430</v>
      </c>
      <c r="S13" s="66">
        <f>COMB!S13</f>
        <v>36337680</v>
      </c>
      <c r="T13" s="66">
        <f>COMB!T13</f>
        <v>36129090.000000007</v>
      </c>
      <c r="U13" s="67">
        <f>COMB!U13</f>
        <v>0</v>
      </c>
    </row>
    <row r="14" spans="1:23">
      <c r="A14" s="78" t="s">
        <v>171</v>
      </c>
      <c r="B14" s="74">
        <f>COMB!B14*CORR!B13</f>
        <v>1056462814.72923</v>
      </c>
      <c r="C14" s="74">
        <f>COMB!C14*CORR!C13</f>
        <v>1273406049</v>
      </c>
      <c r="D14" s="74">
        <f>COMB!D14*CORR!D13</f>
        <v>1588825697.9999998</v>
      </c>
      <c r="E14" s="964">
        <f>COMB!E14*CORR!E13</f>
        <v>1842729921</v>
      </c>
      <c r="F14" s="1000">
        <f>COMB!F14*CORR!F13</f>
        <v>1943731376</v>
      </c>
      <c r="G14" s="961">
        <f>COMB!G14*CORR!G13*CORR!L13</f>
        <v>541631354.05763054</v>
      </c>
      <c r="H14" s="66">
        <f>COMB!H14*CORR!H13*CORR!M13</f>
        <v>534849053.03190422</v>
      </c>
      <c r="I14" s="66">
        <f>COMB!I14*CORR!I13*CORR!N13</f>
        <v>285362849.44630736</v>
      </c>
      <c r="J14" s="66">
        <f>COMB!J14*CORR!J13*CORR!O13</f>
        <v>227079467.84247327</v>
      </c>
      <c r="K14" s="66">
        <f>COMB!K14*CORR!K13*CORR!P13</f>
        <v>275535699.32124466</v>
      </c>
      <c r="L14" s="66">
        <f>COMB!L14*CORR!Q13*CORR!V13*CORR!AA13*CORR!AF13*CORR!AK13*CORR!AP13*CORR!AU13*CORR!AZ13*CORR!BE13</f>
        <v>2102604379.1512303</v>
      </c>
      <c r="M14" s="66">
        <f>COMB!M14*CORR!R13*CORR!W13*CORR!AB13*CORR!AG13*CORR!AL13*CORR!AQ13*CORR!AV13*CORR!BA13*CORR!BF13</f>
        <v>2311810123.0372095</v>
      </c>
      <c r="N14" s="66">
        <f>COMB!N14*CORR!S13*CORR!X13*CORR!AC13*CORR!AH13*CORR!AM13*CORR!AR13*CORR!AW13*CORR!BB13*CORR!BG13</f>
        <v>2455775773.6625643</v>
      </c>
      <c r="O14" s="66">
        <f>COMB!O14*CORR!T13*CORR!Y13*CORR!AD13*CORR!AI13*CORR!AN13*CORR!AS13*CORR!AX13*CORR!BC13*CORR!BH13</f>
        <v>2656784014.4182811</v>
      </c>
      <c r="P14" s="66">
        <f>COMB!P14*CORR!U13*CORR!Z13*CORR!AE13*CORR!AJ13*CORR!AO13*CORR!AT13*CORR!AY13*CORR!BD13*CORR!BI13</f>
        <v>0</v>
      </c>
      <c r="Q14" s="66">
        <f>COMB!Q14</f>
        <v>85857600</v>
      </c>
      <c r="R14" s="66">
        <f>COMB!R14</f>
        <v>72277570</v>
      </c>
      <c r="S14" s="66">
        <f>COMB!S14</f>
        <v>70062620</v>
      </c>
      <c r="T14" s="66">
        <f>COMB!T14</f>
        <v>71336349.999999985</v>
      </c>
      <c r="U14" s="67">
        <f>COMB!U14</f>
        <v>0</v>
      </c>
    </row>
    <row r="15" spans="1:23">
      <c r="A15" s="78" t="s">
        <v>172</v>
      </c>
      <c r="B15" s="74">
        <f>COMB!B15*CORR!B14</f>
        <v>665907708.0386709</v>
      </c>
      <c r="C15" s="74">
        <f>COMB!C15*CORR!C14</f>
        <v>820165031</v>
      </c>
      <c r="D15" s="960">
        <f>COMB!D15*CORR!D14</f>
        <v>943328047</v>
      </c>
      <c r="E15" s="965">
        <f>COMB!E15*CORR!E14</f>
        <v>1120767704.0000002</v>
      </c>
      <c r="F15" s="1000">
        <f>COMB!F15*CORR!F14</f>
        <v>1216335292</v>
      </c>
      <c r="G15" s="961">
        <f>COMB!G15*CORR!G14*CORR!L14</f>
        <v>174740682.18463778</v>
      </c>
      <c r="H15" s="66">
        <f>COMB!H15*CORR!H14*CORR!M14</f>
        <v>169038119.35034844</v>
      </c>
      <c r="I15" s="66">
        <f>COMB!I15*CORR!I14*CORR!N14</f>
        <v>127517930.08095922</v>
      </c>
      <c r="J15" s="66">
        <f>COMB!J15*CORR!J14*CORR!O14</f>
        <v>107348020.90511753</v>
      </c>
      <c r="K15" s="66">
        <f>COMB!K15*CORR!K14*CORR!P14</f>
        <v>109820550.42276023</v>
      </c>
      <c r="L15" s="66">
        <f>COMB!L15*CORR!Q14*CORR!V14*CORR!AA14*CORR!AF14*CORR!AK14*CORR!AP14*CORR!AU14*CORR!AZ14*CORR!BE14</f>
        <v>676811216.30219901</v>
      </c>
      <c r="M15" s="66">
        <f>COMB!M15*CORR!R14*CORR!W14*CORR!AB14*CORR!AG14*CORR!AL14*CORR!AQ14*CORR!AV14*CORR!BA14*CORR!BF14</f>
        <v>767312816.7740382</v>
      </c>
      <c r="N15" s="66">
        <f>COMB!N15*CORR!S14*CORR!X14*CORR!AC14*CORR!AH14*CORR!AM14*CORR!AR14*CORR!AW14*CORR!BB14*CORR!BG14</f>
        <v>813163078.29733622</v>
      </c>
      <c r="O15" s="66">
        <f>COMB!O15*CORR!T14*CORR!Y14*CORR!AD14*CORR!AI14*CORR!AN14*CORR!AS14*CORR!AX14*CORR!BC14*CORR!BH14</f>
        <v>914777005.71911216</v>
      </c>
      <c r="P15" s="66">
        <f>COMB!P15*CORR!U14*CORR!Z14*CORR!AE14*CORR!AJ14*CORR!AO14*CORR!AT14*CORR!AY14*CORR!BD14*CORR!BI14</f>
        <v>0</v>
      </c>
      <c r="Q15" s="66">
        <f>COMB!Q15</f>
        <v>69084500</v>
      </c>
      <c r="R15" s="66">
        <f>COMB!R15</f>
        <v>66339740.000000007</v>
      </c>
      <c r="S15" s="66">
        <f>COMB!S15</f>
        <v>62057520</v>
      </c>
      <c r="T15" s="66">
        <f>COMB!T15</f>
        <v>57434770</v>
      </c>
      <c r="U15" s="67">
        <f>COMB!U15</f>
        <v>0</v>
      </c>
    </row>
    <row r="16" spans="1:23">
      <c r="A16" s="78" t="s">
        <v>173</v>
      </c>
      <c r="B16" s="74">
        <f>COMB!B16*CORR!B15</f>
        <v>392331048.65926397</v>
      </c>
      <c r="C16" s="74">
        <f>COMB!C16*CORR!C15</f>
        <v>522287338</v>
      </c>
      <c r="D16" s="74">
        <f>COMB!D16*CORR!D15</f>
        <v>628889231.00000012</v>
      </c>
      <c r="E16" s="963">
        <f>COMB!E16*CORR!E15</f>
        <v>750762899.99999988</v>
      </c>
      <c r="F16" s="1000">
        <f>COMB!F16*CORR!F15</f>
        <v>803208635</v>
      </c>
      <c r="G16" s="961">
        <f>COMB!G16*CORR!G15*CORR!L15</f>
        <v>142769875.94425711</v>
      </c>
      <c r="H16" s="66">
        <f>COMB!H16*CORR!H15*CORR!M15</f>
        <v>94934168.451156855</v>
      </c>
      <c r="I16" s="66">
        <f>COMB!I16*CORR!I15*CORR!N15</f>
        <v>39510249.214310914</v>
      </c>
      <c r="J16" s="66">
        <f>COMB!J16*CORR!J15*CORR!O15</f>
        <v>27392683.382523179</v>
      </c>
      <c r="K16" s="66">
        <f>COMB!K16*CORR!K15*CORR!P15</f>
        <v>29675315.583099835</v>
      </c>
      <c r="L16" s="66">
        <f>COMB!L16*CORR!Q15*CORR!V15*CORR!AA15*CORR!AF15*CORR!AK15*CORR!AP15*CORR!AU15*CORR!AZ15*CORR!BE15</f>
        <v>734927700.09513724</v>
      </c>
      <c r="M16" s="66">
        <f>COMB!M16*CORR!R15*CORR!W15*CORR!AB15*CORR!AG15*CORR!AL15*CORR!AQ15*CORR!AV15*CORR!BA15*CORR!BF15</f>
        <v>805143486.33188355</v>
      </c>
      <c r="N16" s="66">
        <f>COMB!N16*CORR!S15*CORR!X15*CORR!AC15*CORR!AH15*CORR!AM15*CORR!AR15*CORR!AW15*CORR!BB15*CORR!BG15</f>
        <v>873369435.70784914</v>
      </c>
      <c r="O16" s="66">
        <f>COMB!O16*CORR!T15*CORR!Y15*CORR!AD15*CORR!AI15*CORR!AN15*CORR!AS15*CORR!AX15*CORR!BC15*CORR!BH15</f>
        <v>973867213.05225122</v>
      </c>
      <c r="P16" s="66">
        <f>COMB!P16*CORR!U15*CORR!Z15*CORR!AE15*CORR!AJ15*CORR!AO15*CORR!AT15*CORR!AY15*CORR!BD15*CORR!BI15</f>
        <v>0</v>
      </c>
      <c r="Q16" s="66">
        <f>COMB!Q16</f>
        <v>0</v>
      </c>
      <c r="R16" s="66">
        <f>COMB!R16</f>
        <v>0</v>
      </c>
      <c r="S16" s="66">
        <f>COMB!S16</f>
        <v>0</v>
      </c>
      <c r="T16" s="66">
        <f>COMB!T16</f>
        <v>0</v>
      </c>
      <c r="U16" s="67">
        <f>COMB!U16</f>
        <v>0</v>
      </c>
    </row>
    <row r="17" spans="1:21">
      <c r="A17" s="78" t="s">
        <v>174</v>
      </c>
      <c r="B17" s="74">
        <f>COMB!B17*CORR!B16</f>
        <v>359084676.50777</v>
      </c>
      <c r="C17" s="74">
        <f>COMB!C17*CORR!C16</f>
        <v>444825636</v>
      </c>
      <c r="D17" s="74">
        <f>COMB!D17*CORR!D16</f>
        <v>511689325.99999988</v>
      </c>
      <c r="E17" s="960">
        <f>COMB!E17*CORR!E16</f>
        <v>588349213.99999988</v>
      </c>
      <c r="F17" s="1000">
        <f>COMB!F17*CORR!F16</f>
        <v>625181695</v>
      </c>
      <c r="G17" s="961">
        <f>COMB!G17*CORR!G16*CORR!L16</f>
        <v>113073000.98558407</v>
      </c>
      <c r="H17" s="66">
        <f>COMB!H17*CORR!H16*CORR!M16</f>
        <v>92897508.832218572</v>
      </c>
      <c r="I17" s="66">
        <f>COMB!I17*CORR!I16*CORR!N16</f>
        <v>65124106.811872974</v>
      </c>
      <c r="J17" s="66">
        <f>COMB!J17*CORR!J16*CORR!O16</f>
        <v>51385258.816841505</v>
      </c>
      <c r="K17" s="66">
        <f>COMB!K17*CORR!K16*CORR!P16</f>
        <v>60881675.130794004</v>
      </c>
      <c r="L17" s="66">
        <f>COMB!L17*CORR!Q16*CORR!V16*CORR!AA16*CORR!AF16*CORR!AK16*CORR!AP16*CORR!AU16*CORR!AZ16*CORR!BE16</f>
        <v>310865037.13494468</v>
      </c>
      <c r="M17" s="66">
        <f>COMB!M17*CORR!R16*CORR!W16*CORR!AB16*CORR!AG16*CORR!AL16*CORR!AQ16*CORR!AV16*CORR!BA16*CORR!BF16</f>
        <v>337545021.52843249</v>
      </c>
      <c r="N17" s="66">
        <f>COMB!N17*CORR!S16*CORR!X16*CORR!AC16*CORR!AH16*CORR!AM16*CORR!AR16*CORR!AW16*CORR!BB16*CORR!BG16</f>
        <v>356339577.13127828</v>
      </c>
      <c r="O17" s="66">
        <f>COMB!O17*CORR!T16*CORR!Y16*CORR!AD16*CORR!AI16*CORR!AN16*CORR!AS16*CORR!AX16*CORR!BC16*CORR!BH16</f>
        <v>384174958.56820464</v>
      </c>
      <c r="P17" s="66">
        <f>COMB!P17*CORR!U16*CORR!Z16*CORR!AE16*CORR!AJ16*CORR!AO16*CORR!AT16*CORR!AY16*CORR!BD16*CORR!BI16</f>
        <v>0</v>
      </c>
      <c r="Q17" s="66">
        <f>COMB!Q17</f>
        <v>37124630</v>
      </c>
      <c r="R17" s="66">
        <f>COMB!R17</f>
        <v>35061760</v>
      </c>
      <c r="S17" s="66">
        <f>COMB!S17</f>
        <v>33662520</v>
      </c>
      <c r="T17" s="66">
        <f>COMB!T17</f>
        <v>31886719.999999996</v>
      </c>
      <c r="U17" s="67">
        <f>COMB!U17</f>
        <v>0</v>
      </c>
    </row>
    <row r="18" spans="1:21">
      <c r="A18" s="78" t="s">
        <v>175</v>
      </c>
      <c r="B18" s="74">
        <f>COMB!B18*CORR!B17</f>
        <v>701324890.37649202</v>
      </c>
      <c r="C18" s="74">
        <f>COMB!C18*CORR!C17</f>
        <v>898932823</v>
      </c>
      <c r="D18" s="74">
        <f>COMB!D18*CORR!D17</f>
        <v>1106865965</v>
      </c>
      <c r="E18" s="960">
        <f>COMB!E18*CORR!E17</f>
        <v>1290226164</v>
      </c>
      <c r="F18" s="1000">
        <f>COMB!F18*CORR!F17</f>
        <v>1379495065</v>
      </c>
      <c r="G18" s="961">
        <f>COMB!G18*CORR!G17*CORR!L17</f>
        <v>365798964.56203777</v>
      </c>
      <c r="H18" s="66">
        <f>COMB!H18*CORR!H17*CORR!M17</f>
        <v>338500755.31491405</v>
      </c>
      <c r="I18" s="66">
        <f>COMB!I18*CORR!I17*CORR!N17</f>
        <v>207449285.66568655</v>
      </c>
      <c r="J18" s="66">
        <f>COMB!J18*CORR!J17*CORR!O17</f>
        <v>187698736.0385313</v>
      </c>
      <c r="K18" s="66">
        <f>COMB!K18*CORR!K17*CORR!P17</f>
        <v>172704465.19327793</v>
      </c>
      <c r="L18" s="66">
        <f>COMB!L18*CORR!Q17*CORR!V17*CORR!AA17*CORR!AF17*CORR!AK17*CORR!AP17*CORR!AU17*CORR!AZ17*CORR!BE17</f>
        <v>921534226.96344531</v>
      </c>
      <c r="M18" s="66">
        <f>COMB!M18*CORR!R17*CORR!W17*CORR!AB17*CORR!AG17*CORR!AL17*CORR!AQ17*CORR!AV17*CORR!BA17*CORR!BF17</f>
        <v>1048799569.6914824</v>
      </c>
      <c r="N18" s="66">
        <f>COMB!N18*CORR!S17*CORR!X17*CORR!AC17*CORR!AH17*CORR!AM17*CORR!AR17*CORR!AW17*CORR!BB17*CORR!BG17</f>
        <v>1119631564.2166166</v>
      </c>
      <c r="O18" s="66">
        <f>COMB!O18*CORR!T17*CORR!Y17*CORR!AD17*CORR!AI17*CORR!AN17*CORR!AS17*CORR!AX17*CORR!BC17*CORR!BH17</f>
        <v>1258724104.647471</v>
      </c>
      <c r="P18" s="66">
        <f>COMB!P18*CORR!U17*CORR!Z17*CORR!AE17*CORR!AJ17*CORR!AO17*CORR!AT17*CORR!AY17*CORR!BD17*CORR!BI17</f>
        <v>0</v>
      </c>
      <c r="Q18" s="66">
        <f>COMB!Q18</f>
        <v>65243240</v>
      </c>
      <c r="R18" s="66">
        <f>COMB!R18</f>
        <v>66057329.999999985</v>
      </c>
      <c r="S18" s="66">
        <f>COMB!S18</f>
        <v>63169420</v>
      </c>
      <c r="T18" s="66">
        <f>COMB!T18</f>
        <v>60438590.000000007</v>
      </c>
      <c r="U18" s="67">
        <f>COMB!U18</f>
        <v>0</v>
      </c>
    </row>
    <row r="19" spans="1:21">
      <c r="A19" s="78" t="s">
        <v>176</v>
      </c>
      <c r="B19" s="74">
        <f>COMB!B19*CORR!B18</f>
        <v>279290036.64965701</v>
      </c>
      <c r="C19" s="74">
        <f>COMB!C19*CORR!C18</f>
        <v>345390950</v>
      </c>
      <c r="D19" s="74">
        <f>COMB!D19*CORR!D18</f>
        <v>373985900</v>
      </c>
      <c r="E19" s="960">
        <f>COMB!E19*CORR!E18</f>
        <v>454910226</v>
      </c>
      <c r="F19" s="1000">
        <f>COMB!F19*CORR!F18</f>
        <v>500001489</v>
      </c>
      <c r="G19" s="961">
        <f>COMB!G19*CORR!G18*CORR!L18</f>
        <v>33136336.716516901</v>
      </c>
      <c r="H19" s="66">
        <f>COMB!H19*CORR!H18*CORR!M18</f>
        <v>20661387.115413859</v>
      </c>
      <c r="I19" s="66">
        <f>COMB!I19*CORR!I18*CORR!N18</f>
        <v>15557510.685933599</v>
      </c>
      <c r="J19" s="66">
        <f>COMB!J19*CORR!J18*CORR!O18</f>
        <v>18363688.829700615</v>
      </c>
      <c r="K19" s="66">
        <f>COMB!K19*CORR!K18*CORR!P18</f>
        <v>20129776.300863858</v>
      </c>
      <c r="L19" s="66">
        <f>COMB!L19*CORR!Q18*CORR!V18*CORR!AA18*CORR!AF18*CORR!AK18*CORR!AP18*CORR!AU18*CORR!AZ18*CORR!BE18</f>
        <v>321490388.41909337</v>
      </c>
      <c r="M19" s="66">
        <f>COMB!M19*CORR!R18*CORR!W18*CORR!AB18*CORR!AG18*CORR!AL18*CORR!AQ18*CORR!AV18*CORR!BA18*CORR!BF18</f>
        <v>362466123.46031338</v>
      </c>
      <c r="N19" s="66">
        <f>COMB!N19*CORR!S18*CORR!X18*CORR!AC18*CORR!AH18*CORR!AM18*CORR!AR18*CORR!AW18*CORR!BB18*CORR!BG18</f>
        <v>364240762.85066289</v>
      </c>
      <c r="O19" s="66">
        <f>COMB!O19*CORR!T18*CORR!Y18*CORR!AD18*CORR!AI18*CORR!AN18*CORR!AS18*CORR!AX18*CORR!BC18*CORR!BH18</f>
        <v>426304901.53498852</v>
      </c>
      <c r="P19" s="66">
        <f>COMB!P19*CORR!U18*CORR!Z18*CORR!AE18*CORR!AJ18*CORR!AO18*CORR!AT18*CORR!AY18*CORR!BD18*CORR!BI18</f>
        <v>0</v>
      </c>
      <c r="Q19" s="66">
        <f>COMB!Q19</f>
        <v>213879.99999999997</v>
      </c>
      <c r="R19" s="66">
        <f>COMB!R19</f>
        <v>0</v>
      </c>
      <c r="S19" s="66">
        <f>COMB!S19</f>
        <v>0</v>
      </c>
      <c r="T19" s="66">
        <f>COMB!T19</f>
        <v>0</v>
      </c>
      <c r="U19" s="67">
        <f>COMB!U19</f>
        <v>0</v>
      </c>
    </row>
    <row r="20" spans="1:21">
      <c r="A20" s="78" t="s">
        <v>177</v>
      </c>
      <c r="B20" s="74">
        <f>COMB!B20*CORR!B19</f>
        <v>334293332.65803301</v>
      </c>
      <c r="C20" s="74">
        <f>COMB!C20*CORR!C19</f>
        <v>403549728</v>
      </c>
      <c r="D20" s="74">
        <f>COMB!D20*CORR!D19</f>
        <v>484517099</v>
      </c>
      <c r="E20" s="960">
        <f>COMB!E20*CORR!E19</f>
        <v>561903619.00000012</v>
      </c>
      <c r="F20" s="1000">
        <f>COMB!F20*CORR!F19</f>
        <v>605600692</v>
      </c>
      <c r="G20" s="961">
        <f>COMB!G20*CORR!G19*CORR!L19</f>
        <v>98457626.629599452</v>
      </c>
      <c r="H20" s="66">
        <f>COMB!H20*CORR!H19*CORR!M19</f>
        <v>84951628.672499388</v>
      </c>
      <c r="I20" s="66">
        <f>COMB!I20*CORR!I19*CORR!N19</f>
        <v>62039951.719306998</v>
      </c>
      <c r="J20" s="66">
        <f>COMB!J20*CORR!J19*CORR!O19</f>
        <v>52917948.868065722</v>
      </c>
      <c r="K20" s="66">
        <f>COMB!K20*CORR!K19*CORR!P19</f>
        <v>53882943.87736924</v>
      </c>
      <c r="L20" s="66">
        <f>COMB!L20*CORR!Q19*CORR!V19*CORR!AA19*CORR!AF19*CORR!AK19*CORR!AP19*CORR!AU19*CORR!AZ19*CORR!BE19</f>
        <v>339572350.11910164</v>
      </c>
      <c r="M20" s="66">
        <f>COMB!M20*CORR!R19*CORR!W19*CORR!AB19*CORR!AG19*CORR!AL19*CORR!AQ19*CORR!AV19*CORR!BA19*CORR!BF19</f>
        <v>353178817.57147986</v>
      </c>
      <c r="N20" s="66">
        <f>COMB!N20*CORR!S19*CORR!X19*CORR!AC19*CORR!AH19*CORR!AM19*CORR!AR19*CORR!AW19*CORR!BB19*CORR!BG19</f>
        <v>374813056.38466376</v>
      </c>
      <c r="O20" s="66">
        <f>COMB!O20*CORR!T19*CORR!Y19*CORR!AD19*CORR!AI19*CORR!AN19*CORR!AS19*CORR!AX19*CORR!BC19*CORR!BH19</f>
        <v>442997466.83742917</v>
      </c>
      <c r="P20" s="66">
        <f>COMB!P20*CORR!U19*CORR!Z19*CORR!AE19*CORR!AJ19*CORR!AO19*CORR!AT19*CORR!AY19*CORR!BD19*CORR!BI19</f>
        <v>0</v>
      </c>
      <c r="Q20" s="66">
        <f>COMB!Q20</f>
        <v>67228470</v>
      </c>
      <c r="R20" s="66">
        <f>COMB!R20</f>
        <v>65665410</v>
      </c>
      <c r="S20" s="66">
        <f>COMB!S20</f>
        <v>58627470</v>
      </c>
      <c r="T20" s="66">
        <f>COMB!T20</f>
        <v>53731649.999999993</v>
      </c>
      <c r="U20" s="67">
        <f>COMB!U20</f>
        <v>0</v>
      </c>
    </row>
    <row r="21" spans="1:21">
      <c r="A21" s="79" t="s">
        <v>178</v>
      </c>
      <c r="B21" s="74">
        <f>COMB!B21*CORR!B20</f>
        <v>210071202.31175399</v>
      </c>
      <c r="C21" s="74">
        <f>COMB!C21*CORR!C20</f>
        <v>259063290</v>
      </c>
      <c r="D21" s="74">
        <f>COMB!D21*CORR!D20</f>
        <v>298401148.00000006</v>
      </c>
      <c r="E21" s="960">
        <f>COMB!E21*CORR!E20</f>
        <v>340092125</v>
      </c>
      <c r="F21" s="1001">
        <f>COMB!F21*CORR!F20</f>
        <v>366897070</v>
      </c>
      <c r="G21" s="961">
        <f>COMB!G21*CORR!G20*CORR!L20</f>
        <v>52541201.312303662</v>
      </c>
      <c r="H21" s="66">
        <f>COMB!H21*CORR!H20*CORR!M20</f>
        <v>42101607.161222458</v>
      </c>
      <c r="I21" s="66">
        <f>COMB!I21*CORR!I20*CORR!N20</f>
        <v>28337732.401306886</v>
      </c>
      <c r="J21" s="66">
        <f>COMB!J21*CORR!J20*CORR!O20</f>
        <v>24272112.086267851</v>
      </c>
      <c r="K21" s="66">
        <f>COMB!K21*CORR!K20*CORR!P20</f>
        <v>23299752.474115878</v>
      </c>
      <c r="L21" s="66">
        <f>COMB!L21*CORR!Q20*CORR!V20*CORR!AA20*CORR!AF20*CORR!AK20*CORR!AP20*CORR!AU20*CORR!AZ20*CORR!BE20</f>
        <v>256401037.2260665</v>
      </c>
      <c r="M21" s="66">
        <f>COMB!M21*CORR!R20*CORR!W20*CORR!AB20*CORR!AG20*CORR!AL20*CORR!AQ20*CORR!AV20*CORR!BA20*CORR!BF20</f>
        <v>281589838.86219031</v>
      </c>
      <c r="N21" s="66">
        <f>COMB!N21*CORR!S20*CORR!X20*CORR!AC20*CORR!AH20*CORR!AM20*CORR!AR20*CORR!AW20*CORR!BB20*CORR!BG20</f>
        <v>288068946.85927653</v>
      </c>
      <c r="O21" s="66">
        <f>COMB!O21*CORR!T20*CORR!Y20*CORR!AD20*CORR!AI20*CORR!AN20*CORR!AS20*CORR!AX20*CORR!BC20*CORR!BH20</f>
        <v>299948031.94727707</v>
      </c>
      <c r="P21" s="66">
        <f>COMB!P21*CORR!U20*CORR!Z20*CORR!AE20*CORR!AJ20*CORR!AO20*CORR!AT20*CORR!AY20*CORR!BD20*CORR!BI20</f>
        <v>0</v>
      </c>
      <c r="Q21" s="66">
        <f>COMB!Q21</f>
        <v>40909270.000000007</v>
      </c>
      <c r="R21" s="66">
        <f>COMB!R21</f>
        <v>35007750</v>
      </c>
      <c r="S21" s="66">
        <f>COMB!S21</f>
        <v>31853390</v>
      </c>
      <c r="T21" s="66">
        <f>COMB!T21</f>
        <v>31264510.000000004</v>
      </c>
      <c r="U21" s="67">
        <f>COMB!U21</f>
        <v>0</v>
      </c>
    </row>
    <row r="22" spans="1:21">
      <c r="A22" s="546" t="s">
        <v>90</v>
      </c>
      <c r="B22" s="228">
        <f>SUM(B23:B26)</f>
        <v>11852960587.851254</v>
      </c>
      <c r="C22" s="228">
        <f t="shared" ref="C22:U22" si="8">SUM(C23:C26)</f>
        <v>13619626480</v>
      </c>
      <c r="D22" s="228">
        <f t="shared" si="8"/>
        <v>16557624169</v>
      </c>
      <c r="E22" s="228">
        <f t="shared" si="8"/>
        <v>18057587033</v>
      </c>
      <c r="F22" s="998">
        <f t="shared" si="8"/>
        <v>18610788276</v>
      </c>
      <c r="G22" s="968">
        <f t="shared" si="8"/>
        <v>10869339550.348612</v>
      </c>
      <c r="H22" s="228">
        <f t="shared" si="8"/>
        <v>10780075366.18261</v>
      </c>
      <c r="I22" s="228">
        <f t="shared" si="8"/>
        <v>8583005763.7161751</v>
      </c>
      <c r="J22" s="228">
        <f t="shared" si="8"/>
        <v>7861332317.5433311</v>
      </c>
      <c r="K22" s="228">
        <f t="shared" si="8"/>
        <v>8987046564.334549</v>
      </c>
      <c r="L22" s="228">
        <f t="shared" si="8"/>
        <v>16133729729.750183</v>
      </c>
      <c r="M22" s="228">
        <f t="shared" si="8"/>
        <v>17700120051.415997</v>
      </c>
      <c r="N22" s="228">
        <f t="shared" si="8"/>
        <v>18659740163.715126</v>
      </c>
      <c r="O22" s="228">
        <f t="shared" ref="O22" si="9">SUM(O23:O26)</f>
        <v>19305250495.274574</v>
      </c>
      <c r="P22" s="228">
        <f t="shared" si="8"/>
        <v>0</v>
      </c>
      <c r="Q22" s="228">
        <f t="shared" si="8"/>
        <v>1445934590</v>
      </c>
      <c r="R22" s="228">
        <f t="shared" si="8"/>
        <v>1373251550</v>
      </c>
      <c r="S22" s="228">
        <f t="shared" si="8"/>
        <v>1350011210</v>
      </c>
      <c r="T22" s="228">
        <f t="shared" ref="T22" si="10">SUM(T23:T26)</f>
        <v>1347947710</v>
      </c>
      <c r="U22" s="173">
        <f t="shared" si="8"/>
        <v>0</v>
      </c>
    </row>
    <row r="23" spans="1:21">
      <c r="A23" s="77" t="s">
        <v>179</v>
      </c>
      <c r="B23" s="74">
        <f>COMB!B23*CORR!B22</f>
        <v>511197594.61410403</v>
      </c>
      <c r="C23" s="74">
        <f>COMB!C23*CORR!C22</f>
        <v>638223617</v>
      </c>
      <c r="D23" s="74">
        <f>COMB!D23*CORR!D22</f>
        <v>715752591</v>
      </c>
      <c r="E23" s="960">
        <f>COMB!E23*CORR!E22</f>
        <v>821777451.99999988</v>
      </c>
      <c r="F23" s="999">
        <f>COMB!F23*CORR!F22</f>
        <v>861718453</v>
      </c>
      <c r="G23" s="961">
        <f>COMB!G23*CORR!G22*CORR!L22</f>
        <v>172979374.03529057</v>
      </c>
      <c r="H23" s="66">
        <f>COMB!H23*CORR!H22*CORR!M22</f>
        <v>92038181.478530332</v>
      </c>
      <c r="I23" s="66">
        <f>COMB!I23*CORR!I22*CORR!N22</f>
        <v>62557984.238590933</v>
      </c>
      <c r="J23" s="66">
        <f>COMB!J23*CORR!J22*CORR!O22</f>
        <v>54434775.851349816</v>
      </c>
      <c r="K23" s="66">
        <f>COMB!K23*CORR!K22*CORR!P22</f>
        <v>47073338.831673644</v>
      </c>
      <c r="L23" s="66">
        <f>COMB!L23*CORR!Q22*CORR!V22*CORR!AA22*CORR!AF22*CORR!AK22*CORR!AP22*CORR!AU22*CORR!AZ22*CORR!BE22</f>
        <v>648367060.49495184</v>
      </c>
      <c r="M23" s="66">
        <f>COMB!M23*CORR!R22*CORR!W22*CORR!AB22*CORR!AG22*CORR!AL22*CORR!AQ22*CORR!AV22*CORR!BA22*CORR!BF22</f>
        <v>737475436.99810874</v>
      </c>
      <c r="N23" s="66">
        <f>COMB!N23*CORR!S22*CORR!X22*CORR!AC22*CORR!AH22*CORR!AM22*CORR!AR22*CORR!AW22*CORR!BB22*CORR!BG22</f>
        <v>824158110.15160739</v>
      </c>
      <c r="O23" s="66">
        <f>COMB!O23*CORR!T22*CORR!Y22*CORR!AD22*CORR!AI22*CORR!AN22*CORR!AS22*CORR!AX22*CORR!BC22*CORR!BH22</f>
        <v>866786100.31956124</v>
      </c>
      <c r="P23" s="66">
        <f>COMB!P23*CORR!U22*CORR!Z22*CORR!AE22*CORR!AJ22*CORR!AO22*CORR!AT22*CORR!AY22*CORR!BD22*CORR!BI22</f>
        <v>0</v>
      </c>
      <c r="Q23" s="66">
        <f>COMB!Q23</f>
        <v>38835410</v>
      </c>
      <c r="R23" s="66">
        <f>COMB!R23</f>
        <v>34023090</v>
      </c>
      <c r="S23" s="66">
        <f>COMB!S23</f>
        <v>37965360</v>
      </c>
      <c r="T23" s="66">
        <f>COMB!T23</f>
        <v>36890640</v>
      </c>
      <c r="U23" s="67">
        <f>COMB!U23</f>
        <v>0</v>
      </c>
    </row>
    <row r="24" spans="1:21">
      <c r="A24" s="78" t="s">
        <v>180</v>
      </c>
      <c r="B24" s="74">
        <f>COMB!B24*CORR!B23</f>
        <v>3008093693.97715</v>
      </c>
      <c r="C24" s="74">
        <f>COMB!C24*CORR!C23</f>
        <v>3677903756</v>
      </c>
      <c r="D24" s="74">
        <f>COMB!D24*CORR!D23</f>
        <v>4099918354.9999995</v>
      </c>
      <c r="E24" s="960">
        <f>COMB!E24*CORR!E23</f>
        <v>4459305494</v>
      </c>
      <c r="F24" s="1000">
        <f>COMB!F24*CORR!F23</f>
        <v>4655426520</v>
      </c>
      <c r="G24" s="961">
        <f>COMB!G24*CORR!G23*CORR!L23</f>
        <v>1205457061.8587205</v>
      </c>
      <c r="H24" s="66">
        <f>COMB!H24*CORR!H23*CORR!M23</f>
        <v>899528921.99384964</v>
      </c>
      <c r="I24" s="66">
        <f>COMB!I24*CORR!I23*CORR!N23</f>
        <v>638418939.70377767</v>
      </c>
      <c r="J24" s="66">
        <f>COMB!J24*CORR!J23*CORR!O23</f>
        <v>602242759.46896672</v>
      </c>
      <c r="K24" s="66">
        <f>COMB!K24*CORR!K23*CORR!P23</f>
        <v>815696883.43225586</v>
      </c>
      <c r="L24" s="66">
        <f>COMB!L24*CORR!Q23*CORR!V23*CORR!AA23*CORR!AF23*CORR!AK23*CORR!AP23*CORR!AU23*CORR!AZ23*CORR!BE23</f>
        <v>4825034886.3069782</v>
      </c>
      <c r="M24" s="66">
        <f>COMB!M24*CORR!R23*CORR!W23*CORR!AB23*CORR!AG23*CORR!AL23*CORR!AQ23*CORR!AV23*CORR!BA23*CORR!BF23</f>
        <v>5332963919.4904785</v>
      </c>
      <c r="N24" s="66">
        <f>COMB!N24*CORR!S23*CORR!X23*CORR!AC23*CORR!AH23*CORR!AM23*CORR!AR23*CORR!AW23*CORR!BB23*CORR!BG23</f>
        <v>5669449441.830596</v>
      </c>
      <c r="O24" s="66">
        <f>COMB!O24*CORR!T23*CORR!Y23*CORR!AD23*CORR!AI23*CORR!AN23*CORR!AS23*CORR!AX23*CORR!BC23*CORR!BH23</f>
        <v>5796228793.0434151</v>
      </c>
      <c r="P24" s="66">
        <f>COMB!P24*CORR!U23*CORR!Z23*CORR!AE23*CORR!AJ23*CORR!AO23*CORR!AT23*CORR!AY23*CORR!BD23*CORR!BI23</f>
        <v>0</v>
      </c>
      <c r="Q24" s="66">
        <f>COMB!Q24</f>
        <v>53446159.999999993</v>
      </c>
      <c r="R24" s="66">
        <f>COMB!R24</f>
        <v>44146939.999999985</v>
      </c>
      <c r="S24" s="66">
        <f>COMB!S24</f>
        <v>40544300</v>
      </c>
      <c r="T24" s="66">
        <f>COMB!T24</f>
        <v>41546600.000000007</v>
      </c>
      <c r="U24" s="67">
        <f>COMB!U24</f>
        <v>0</v>
      </c>
    </row>
    <row r="25" spans="1:21">
      <c r="A25" s="78" t="s">
        <v>181</v>
      </c>
      <c r="B25" s="74">
        <f>COMB!B25*CORR!B24</f>
        <v>1636890677.4967799</v>
      </c>
      <c r="C25" s="74">
        <f>COMB!C25*CORR!C24</f>
        <v>1867262452</v>
      </c>
      <c r="D25" s="74">
        <f>COMB!D25*CORR!D24</f>
        <v>2280077810.9999995</v>
      </c>
      <c r="E25" s="960">
        <f>COMB!E25*CORR!E24</f>
        <v>2470659318</v>
      </c>
      <c r="F25" s="1000">
        <f>COMB!F25*CORR!F24</f>
        <v>2616821210</v>
      </c>
      <c r="G25" s="961">
        <f>COMB!G25*CORR!G24*CORR!L24</f>
        <v>873558471.42966282</v>
      </c>
      <c r="H25" s="66">
        <f>COMB!H25*CORR!H24*CORR!M24</f>
        <v>801111138.29650521</v>
      </c>
      <c r="I25" s="66">
        <f>COMB!I25*CORR!I24*CORR!N24</f>
        <v>596882256.5861541</v>
      </c>
      <c r="J25" s="66">
        <f>COMB!J25*CORR!J24*CORR!O24</f>
        <v>500183860.39327079</v>
      </c>
      <c r="K25" s="66">
        <f>COMB!K25*CORR!K24*CORR!P24</f>
        <v>654305798.35594726</v>
      </c>
      <c r="L25" s="66">
        <f>COMB!L25*CORR!Q24*CORR!V24*CORR!AA24*CORR!AF24*CORR!AK24*CORR!AP24*CORR!AU24*CORR!AZ24*CORR!BE24</f>
        <v>2219092460.2125263</v>
      </c>
      <c r="M25" s="66">
        <f>COMB!M25*CORR!R24*CORR!W24*CORR!AB24*CORR!AG24*CORR!AL24*CORR!AQ24*CORR!AV24*CORR!BA24*CORR!BF24</f>
        <v>2372329039.8256416</v>
      </c>
      <c r="N25" s="66">
        <f>COMB!N25*CORR!S24*CORR!X24*CORR!AC24*CORR!AH24*CORR!AM24*CORR!AR24*CORR!AW24*CORR!BB24*CORR!BG24</f>
        <v>2559911614.2257757</v>
      </c>
      <c r="O25" s="66">
        <f>COMB!O25*CORR!T24*CORR!Y24*CORR!AD24*CORR!AI24*CORR!AN24*CORR!AS24*CORR!AX24*CORR!BC24*CORR!BH24</f>
        <v>2620654550.4717479</v>
      </c>
      <c r="P25" s="66">
        <f>COMB!P25*CORR!U24*CORR!Z24*CORR!AE24*CORR!AJ24*CORR!AO24*CORR!AT24*CORR!AY24*CORR!BD24*CORR!BI24</f>
        <v>0</v>
      </c>
      <c r="Q25" s="66">
        <f>COMB!Q25</f>
        <v>957914120</v>
      </c>
      <c r="R25" s="66">
        <f>COMB!R25</f>
        <v>952872249.99999988</v>
      </c>
      <c r="S25" s="66">
        <f>COMB!S25</f>
        <v>955900470</v>
      </c>
      <c r="T25" s="66">
        <f>COMB!T25</f>
        <v>969347120.00000012</v>
      </c>
      <c r="U25" s="67">
        <f>COMB!U25</f>
        <v>0</v>
      </c>
    </row>
    <row r="26" spans="1:21">
      <c r="A26" s="79" t="s">
        <v>182</v>
      </c>
      <c r="B26" s="74">
        <f>COMB!B26*CORR!B25</f>
        <v>6696778621.7632198</v>
      </c>
      <c r="C26" s="74">
        <f>COMB!C26*CORR!C25</f>
        <v>7436236655</v>
      </c>
      <c r="D26" s="74">
        <f>COMB!D26*CORR!D25</f>
        <v>9461875412</v>
      </c>
      <c r="E26" s="960">
        <f>COMB!E26*CORR!E25</f>
        <v>10305844768.999998</v>
      </c>
      <c r="F26" s="1001">
        <f>COMB!F26*CORR!F25</f>
        <v>10476822093</v>
      </c>
      <c r="G26" s="961">
        <f>COMB!G26*CORR!G25*CORR!L25</f>
        <v>8617344643.0249386</v>
      </c>
      <c r="H26" s="66">
        <f>COMB!H26*CORR!H25*CORR!M25</f>
        <v>8987397124.4137249</v>
      </c>
      <c r="I26" s="66">
        <f>COMB!I26*CORR!I25*CORR!N25</f>
        <v>7285146583.1876526</v>
      </c>
      <c r="J26" s="66">
        <f>COMB!J26*CORR!J25*CORR!O25</f>
        <v>6704470921.8297443</v>
      </c>
      <c r="K26" s="66">
        <f>COMB!K26*CORR!K25*CORR!P25</f>
        <v>7469970543.714673</v>
      </c>
      <c r="L26" s="66">
        <f>COMB!L26*CORR!Q25*CORR!V25*CORR!AA25*CORR!AF25*CORR!AK25*CORR!AP25*CORR!AU25*CORR!AZ25*CORR!BE25</f>
        <v>8441235322.7357254</v>
      </c>
      <c r="M26" s="66">
        <f>COMB!M26*CORR!R25*CORR!W25*CORR!AB25*CORR!AG25*CORR!AL25*CORR!AQ25*CORR!AV25*CORR!BA25*CORR!BF25</f>
        <v>9257351655.1017666</v>
      </c>
      <c r="N26" s="66">
        <f>COMB!N26*CORR!S25*CORR!X25*CORR!AC25*CORR!AH25*CORR!AM25*CORR!AR25*CORR!AW25*CORR!BB25*CORR!BG25</f>
        <v>9606220997.5071487</v>
      </c>
      <c r="O26" s="66">
        <f>COMB!O26*CORR!T25*CORR!Y25*CORR!AD25*CORR!AI25*CORR!AN25*CORR!AS25*CORR!AX25*CORR!BC25*CORR!BH25</f>
        <v>10021581051.43985</v>
      </c>
      <c r="P26" s="66">
        <f>COMB!P26*CORR!U25*CORR!Z25*CORR!AE25*CORR!AJ25*CORR!AO25*CORR!AT25*CORR!AY25*CORR!BD25*CORR!BI25</f>
        <v>0</v>
      </c>
      <c r="Q26" s="66">
        <f>COMB!Q26</f>
        <v>395738900</v>
      </c>
      <c r="R26" s="66">
        <f>COMB!R26</f>
        <v>342209270</v>
      </c>
      <c r="S26" s="66">
        <f>COMB!S26</f>
        <v>315601080</v>
      </c>
      <c r="T26" s="66">
        <f>COMB!T26</f>
        <v>300163350</v>
      </c>
      <c r="U26" s="67">
        <f>COMB!U26</f>
        <v>0</v>
      </c>
    </row>
    <row r="27" spans="1:21">
      <c r="A27" s="546" t="s">
        <v>91</v>
      </c>
      <c r="B27" s="227">
        <f>SUM(B28:B30)</f>
        <v>5301278691.4635601</v>
      </c>
      <c r="C27" s="227">
        <f t="shared" ref="C27:U27" si="11">SUM(C28:C30)</f>
        <v>6255753424</v>
      </c>
      <c r="D27" s="227">
        <f t="shared" si="11"/>
        <v>7225416080</v>
      </c>
      <c r="E27" s="228">
        <f t="shared" si="11"/>
        <v>8078218288</v>
      </c>
      <c r="F27" s="998">
        <f t="shared" si="11"/>
        <v>8413976882</v>
      </c>
      <c r="G27" s="969">
        <f t="shared" si="11"/>
        <v>2096495161.2074142</v>
      </c>
      <c r="H27" s="227">
        <f t="shared" si="11"/>
        <v>2016025035.1107945</v>
      </c>
      <c r="I27" s="227">
        <f t="shared" si="11"/>
        <v>1202806914.6799934</v>
      </c>
      <c r="J27" s="227">
        <f t="shared" si="11"/>
        <v>1177272530.4973824</v>
      </c>
      <c r="K27" s="227">
        <f t="shared" si="11"/>
        <v>1515873259.0936427</v>
      </c>
      <c r="L27" s="227">
        <f t="shared" si="11"/>
        <v>6124495481.5445442</v>
      </c>
      <c r="M27" s="227">
        <f t="shared" si="11"/>
        <v>6783456376.7788</v>
      </c>
      <c r="N27" s="227">
        <f t="shared" si="11"/>
        <v>7247713205.2440815</v>
      </c>
      <c r="O27" s="227">
        <f t="shared" ref="O27" si="12">SUM(O28:O30)</f>
        <v>7498824095.2318392</v>
      </c>
      <c r="P27" s="227">
        <f t="shared" si="11"/>
        <v>0</v>
      </c>
      <c r="Q27" s="227">
        <f t="shared" si="11"/>
        <v>235514820</v>
      </c>
      <c r="R27" s="227">
        <f t="shared" si="11"/>
        <v>241353430</v>
      </c>
      <c r="S27" s="227">
        <f t="shared" si="11"/>
        <v>249027090</v>
      </c>
      <c r="T27" s="227">
        <f t="shared" ref="T27" si="13">SUM(T28:T30)</f>
        <v>240386020</v>
      </c>
      <c r="U27" s="173">
        <f t="shared" si="11"/>
        <v>0</v>
      </c>
    </row>
    <row r="28" spans="1:21">
      <c r="A28" s="77" t="s">
        <v>183</v>
      </c>
      <c r="B28" s="74">
        <f>COMB!B28*CORR!B27</f>
        <v>1604062920.8762698</v>
      </c>
      <c r="C28" s="74">
        <f>COMB!C28*CORR!C27</f>
        <v>1885665168</v>
      </c>
      <c r="D28" s="74">
        <f>COMB!D28*CORR!D27</f>
        <v>2403005273.9999995</v>
      </c>
      <c r="E28" s="960">
        <f>COMB!E28*CORR!E27</f>
        <v>2771272221</v>
      </c>
      <c r="F28" s="999">
        <f>COMB!F28*CORR!F27</f>
        <v>2752702114</v>
      </c>
      <c r="G28" s="961">
        <f>COMB!G28*CORR!G27*CORR!L27</f>
        <v>1194047730.7540574</v>
      </c>
      <c r="H28" s="66">
        <f>COMB!H28*CORR!H27*CORR!M27</f>
        <v>1445624267.8008785</v>
      </c>
      <c r="I28" s="66">
        <f>COMB!I28*CORR!I27*CORR!N27</f>
        <v>910736845.10666049</v>
      </c>
      <c r="J28" s="66">
        <f>COMB!J28*CORR!J27*CORR!O27</f>
        <v>936097233.07468641</v>
      </c>
      <c r="K28" s="66">
        <f>COMB!K28*CORR!K27*CORR!P27</f>
        <v>1266814082.0025494</v>
      </c>
      <c r="L28" s="66">
        <f>COMB!L28*CORR!Q27*CORR!V27*CORR!AA27*CORR!AF27*CORR!AK27*CORR!AP27*CORR!AU27*CORR!AZ27*CORR!BE27</f>
        <v>2820142241.3838215</v>
      </c>
      <c r="M28" s="66">
        <f>COMB!M28*CORR!R27*CORR!W27*CORR!AB27*CORR!AG27*CORR!AL27*CORR!AQ27*CORR!AV27*CORR!BA27*CORR!BF27</f>
        <v>3097158541.8831949</v>
      </c>
      <c r="N28" s="66">
        <f>COMB!N28*CORR!S27*CORR!X27*CORR!AC27*CORR!AH27*CORR!AM27*CORR!AR27*CORR!AW27*CORR!BB27*CORR!BG27</f>
        <v>3313528588.1235609</v>
      </c>
      <c r="O28" s="66">
        <f>COMB!O28*CORR!T27*CORR!Y27*CORR!AD27*CORR!AI27*CORR!AN27*CORR!AS27*CORR!AX27*CORR!BC27*CORR!BH27</f>
        <v>3495780301.9563637</v>
      </c>
      <c r="P28" s="66">
        <f>COMB!P28*CORR!U27*CORR!Z27*CORR!AE27*CORR!AJ27*CORR!AO27*CORR!AT27*CORR!AY27*CORR!BD27*CORR!BI27</f>
        <v>0</v>
      </c>
      <c r="Q28" s="66">
        <f>COMB!Q28</f>
        <v>29242170</v>
      </c>
      <c r="R28" s="66">
        <f>COMB!R28</f>
        <v>29985059.999999996</v>
      </c>
      <c r="S28" s="66">
        <f>COMB!S28</f>
        <v>32400120</v>
      </c>
      <c r="T28" s="66">
        <f>COMB!T28</f>
        <v>33066570.000000007</v>
      </c>
      <c r="U28" s="67">
        <f>COMB!U28</f>
        <v>0</v>
      </c>
    </row>
    <row r="29" spans="1:21">
      <c r="A29" s="78" t="s">
        <v>184</v>
      </c>
      <c r="B29" s="74">
        <f>COMB!B29*CORR!B28</f>
        <v>2245512798.1675401</v>
      </c>
      <c r="C29" s="74">
        <f>COMB!C29*CORR!C28</f>
        <v>2582903536</v>
      </c>
      <c r="D29" s="74">
        <f>COMB!D29*CORR!D28</f>
        <v>2813757284.0000005</v>
      </c>
      <c r="E29" s="960">
        <f>COMB!E29*CORR!E28</f>
        <v>3081486602.0000005</v>
      </c>
      <c r="F29" s="1000">
        <f>COMB!F29*CORR!F28</f>
        <v>3297196148</v>
      </c>
      <c r="G29" s="961">
        <f>COMB!G29*CORR!G28*CORR!L28</f>
        <v>403372168.23930967</v>
      </c>
      <c r="H29" s="66">
        <f>COMB!H29*CORR!H28*CORR!M28</f>
        <v>258530860.09570149</v>
      </c>
      <c r="I29" s="66">
        <f>COMB!I29*CORR!I28*CORR!N28</f>
        <v>153914629.00487095</v>
      </c>
      <c r="J29" s="66">
        <f>COMB!J29*CORR!J28*CORR!O28</f>
        <v>132396402.94453399</v>
      </c>
      <c r="K29" s="66">
        <f>COMB!K29*CORR!K28*CORR!P28</f>
        <v>125064821.64966945</v>
      </c>
      <c r="L29" s="66">
        <f>COMB!L29*CORR!Q28*CORR!V28*CORR!AA28*CORR!AF28*CORR!AK28*CORR!AP28*CORR!AU28*CORR!AZ28*CORR!BE28</f>
        <v>1709837741.9128282</v>
      </c>
      <c r="M29" s="66">
        <f>COMB!M29*CORR!R28*CORR!W28*CORR!AB28*CORR!AG28*CORR!AL28*CORR!AQ28*CORR!AV28*CORR!BA28*CORR!BF28</f>
        <v>1958034484.4158385</v>
      </c>
      <c r="N29" s="66">
        <f>COMB!N29*CORR!S28*CORR!X28*CORR!AC28*CORR!AH28*CORR!AM28*CORR!AR28*CORR!AW28*CORR!BB28*CORR!BG28</f>
        <v>2115335167.9328411</v>
      </c>
      <c r="O29" s="66">
        <f>COMB!O29*CORR!T28*CORR!Y28*CORR!AD28*CORR!AI28*CORR!AN28*CORR!AS28*CORR!AX28*CORR!BC28*CORR!BH28</f>
        <v>2149034267.6588845</v>
      </c>
      <c r="P29" s="66">
        <f>COMB!P29*CORR!U28*CORR!Z28*CORR!AE28*CORR!AJ28*CORR!AO28*CORR!AT28*CORR!AY28*CORR!BD28*CORR!BI28</f>
        <v>0</v>
      </c>
      <c r="Q29" s="66">
        <f>COMB!Q29</f>
        <v>76559670.000000015</v>
      </c>
      <c r="R29" s="66">
        <f>COMB!R29</f>
        <v>79879590</v>
      </c>
      <c r="S29" s="66">
        <f>COMB!S29</f>
        <v>82084080</v>
      </c>
      <c r="T29" s="66">
        <f>COMB!T29</f>
        <v>80706700.000000015</v>
      </c>
      <c r="U29" s="67">
        <f>COMB!U29</f>
        <v>0</v>
      </c>
    </row>
    <row r="30" spans="1:21">
      <c r="A30" s="79" t="s">
        <v>185</v>
      </c>
      <c r="B30" s="74">
        <f>COMB!B30*CORR!B29</f>
        <v>1451702972.41975</v>
      </c>
      <c r="C30" s="74">
        <f>COMB!C30*CORR!C29</f>
        <v>1787184720</v>
      </c>
      <c r="D30" s="74">
        <f>COMB!D30*CORR!D29</f>
        <v>2008653522</v>
      </c>
      <c r="E30" s="960">
        <f>COMB!E30*CORR!E29</f>
        <v>2225459465</v>
      </c>
      <c r="F30" s="1001">
        <f>COMB!F30*CORR!F29</f>
        <v>2364078620</v>
      </c>
      <c r="G30" s="961">
        <f>COMB!G30*CORR!G29*CORR!L29</f>
        <v>499075262.21404701</v>
      </c>
      <c r="H30" s="66">
        <f>COMB!H30*CORR!H29*CORR!M29</f>
        <v>311869907.21421444</v>
      </c>
      <c r="I30" s="66">
        <f>COMB!I30*CORR!I29*CORR!N29</f>
        <v>138155440.56846187</v>
      </c>
      <c r="J30" s="66">
        <f>COMB!J30*CORR!J29*CORR!O29</f>
        <v>108778894.47816196</v>
      </c>
      <c r="K30" s="66">
        <f>COMB!K30*CORR!K29*CORR!P29</f>
        <v>123994355.44142379</v>
      </c>
      <c r="L30" s="66">
        <f>COMB!L30*CORR!Q29*CORR!V29*CORR!AA29*CORR!AF29*CORR!AK29*CORR!AP29*CORR!AU29*CORR!AZ29*CORR!BE29</f>
        <v>1594515498.2478948</v>
      </c>
      <c r="M30" s="66">
        <f>COMB!M30*CORR!R29*CORR!W29*CORR!AB29*CORR!AG29*CORR!AL29*CORR!AQ29*CORR!AV29*CORR!BA29*CORR!BF29</f>
        <v>1728263350.4797668</v>
      </c>
      <c r="N30" s="66">
        <f>COMB!N30*CORR!S29*CORR!X29*CORR!AC29*CORR!AH29*CORR!AM29*CORR!AR29*CORR!AW29*CORR!BB29*CORR!BG29</f>
        <v>1818849449.1876791</v>
      </c>
      <c r="O30" s="66">
        <f>COMB!O30*CORR!T29*CORR!Y29*CORR!AD29*CORR!AI29*CORR!AN29*CORR!AS29*CORR!AX29*CORR!BC29*CORR!BH29</f>
        <v>1854009525.6165917</v>
      </c>
      <c r="P30" s="66">
        <f>COMB!P30*CORR!U29*CORR!Z29*CORR!AE29*CORR!AJ29*CORR!AO29*CORR!AT29*CORR!AY29*CORR!BD29*CORR!BI29</f>
        <v>0</v>
      </c>
      <c r="Q30" s="66">
        <f>COMB!Q30</f>
        <v>129712980</v>
      </c>
      <c r="R30" s="66">
        <f>COMB!R30</f>
        <v>131488780</v>
      </c>
      <c r="S30" s="66">
        <f>COMB!S30</f>
        <v>134542890</v>
      </c>
      <c r="T30" s="66">
        <f>COMB!T30</f>
        <v>126612749.99999999</v>
      </c>
      <c r="U30" s="67">
        <f>COMB!U30</f>
        <v>0</v>
      </c>
    </row>
    <row r="31" spans="1:21">
      <c r="A31" s="546" t="s">
        <v>92</v>
      </c>
      <c r="B31" s="227">
        <f>SUM(B32:B35)</f>
        <v>2440397347.3265481</v>
      </c>
      <c r="C31" s="227">
        <f t="shared" ref="C31:U31" si="14">SUM(C32:C35)</f>
        <v>2828152088</v>
      </c>
      <c r="D31" s="227">
        <f t="shared" si="14"/>
        <v>3299047369.9999995</v>
      </c>
      <c r="E31" s="228">
        <f t="shared" si="14"/>
        <v>3761553983</v>
      </c>
      <c r="F31" s="1002">
        <f>SUM(F32:F35)</f>
        <v>3910751342</v>
      </c>
      <c r="G31" s="969">
        <f t="shared" si="14"/>
        <v>1616330284.6771536</v>
      </c>
      <c r="H31" s="227">
        <f t="shared" si="14"/>
        <v>1684730676.6920037</v>
      </c>
      <c r="I31" s="227">
        <f t="shared" si="14"/>
        <v>1384590230.4431043</v>
      </c>
      <c r="J31" s="227">
        <f t="shared" si="14"/>
        <v>1389849241.7553022</v>
      </c>
      <c r="K31" s="227">
        <f t="shared" si="14"/>
        <v>1739306882.5778239</v>
      </c>
      <c r="L31" s="227">
        <f t="shared" si="14"/>
        <v>3504563584.6265688</v>
      </c>
      <c r="M31" s="227">
        <f t="shared" si="14"/>
        <v>3851580648.9840884</v>
      </c>
      <c r="N31" s="227">
        <f t="shared" si="14"/>
        <v>4181065054.4905906</v>
      </c>
      <c r="O31" s="227">
        <f t="shared" ref="O31" si="15">SUM(O32:O35)</f>
        <v>4800301724.6079302</v>
      </c>
      <c r="P31" s="227">
        <f t="shared" si="14"/>
        <v>0</v>
      </c>
      <c r="Q31" s="227">
        <f t="shared" si="14"/>
        <v>16289350</v>
      </c>
      <c r="R31" s="227">
        <f t="shared" si="14"/>
        <v>15256630</v>
      </c>
      <c r="S31" s="227">
        <f t="shared" si="14"/>
        <v>15702410</v>
      </c>
      <c r="T31" s="227">
        <f t="shared" ref="T31" si="16">SUM(T32:T35)</f>
        <v>13852200</v>
      </c>
      <c r="U31" s="173">
        <f t="shared" si="14"/>
        <v>0</v>
      </c>
    </row>
    <row r="32" spans="1:21">
      <c r="A32" s="77" t="s">
        <v>186</v>
      </c>
      <c r="B32" s="74">
        <f>COMB!B32*CORR!B31</f>
        <v>761670982.53293598</v>
      </c>
      <c r="C32" s="74">
        <f>COMB!C32*CORR!C31</f>
        <v>899566911</v>
      </c>
      <c r="D32" s="74">
        <f>COMB!D32*CORR!D31</f>
        <v>1002018081.9999999</v>
      </c>
      <c r="E32" s="960">
        <f>COMB!E32*CORR!E31</f>
        <v>1079078001.0000002</v>
      </c>
      <c r="F32" s="999">
        <f>COMB!F32*CORR!F31</f>
        <v>1123062260</v>
      </c>
      <c r="G32" s="961">
        <f>COMB!G32*CORR!G31*CORR!L31</f>
        <v>239558090.02774388</v>
      </c>
      <c r="H32" s="66">
        <f>COMB!H32*CORR!H31*CORR!M31</f>
        <v>143955576.09771353</v>
      </c>
      <c r="I32" s="66">
        <f>COMB!I32*CORR!I31*CORR!N31</f>
        <v>94309308.75586772</v>
      </c>
      <c r="J32" s="66">
        <f>COMB!J32*CORR!J31*CORR!O31</f>
        <v>66802284.037004985</v>
      </c>
      <c r="K32" s="66">
        <f>COMB!K32*CORR!K31*CORR!P31</f>
        <v>87548199.979007304</v>
      </c>
      <c r="L32" s="66">
        <f>COMB!L32*CORR!Q31*CORR!V31*CORR!AA31*CORR!AF31*CORR!AK31*CORR!AP31*CORR!AU31*CORR!AZ31*CORR!BE31</f>
        <v>331913642.78080821</v>
      </c>
      <c r="M32" s="66">
        <f>COMB!M32*CORR!R31*CORR!W31*CORR!AB31*CORR!AG31*CORR!AL31*CORR!AQ31*CORR!AV31*CORR!BA31*CORR!BF31</f>
        <v>343986984.17475396</v>
      </c>
      <c r="N32" s="66">
        <f>COMB!N32*CORR!S31*CORR!X31*CORR!AC31*CORR!AH31*CORR!AM31*CORR!AR31*CORR!AW31*CORR!BB31*CORR!BG31</f>
        <v>347526801.93258107</v>
      </c>
      <c r="O32" s="66">
        <f>COMB!O32*CORR!T31*CORR!Y31*CORR!AD31*CORR!AI31*CORR!AN31*CORR!AS31*CORR!AX31*CORR!BC31*CORR!BH31</f>
        <v>357452607.31785005</v>
      </c>
      <c r="P32" s="66">
        <f>COMB!P32*CORR!U31*CORR!Z31*CORR!AE31*CORR!AJ31*CORR!AO31*CORR!AT31*CORR!AY31*CORR!BD31*CORR!BI31</f>
        <v>0</v>
      </c>
      <c r="Q32" s="66">
        <f>COMB!Q32</f>
        <v>3209550</v>
      </c>
      <c r="R32" s="66">
        <f>COMB!R32</f>
        <v>3810200.0000000005</v>
      </c>
      <c r="S32" s="66">
        <f>COMB!S32</f>
        <v>4327510</v>
      </c>
      <c r="T32" s="66">
        <f>COMB!T32</f>
        <v>3275619.9999999995</v>
      </c>
      <c r="U32" s="67">
        <f>COMB!U32</f>
        <v>0</v>
      </c>
    </row>
    <row r="33" spans="1:21">
      <c r="A33" s="78" t="s">
        <v>187</v>
      </c>
      <c r="B33" s="74">
        <f>COMB!B33*CORR!B32</f>
        <v>951247638.26719797</v>
      </c>
      <c r="C33" s="74">
        <f>COMB!C33*CORR!C32</f>
        <v>1083507324</v>
      </c>
      <c r="D33" s="74">
        <f>COMB!D33*CORR!D32</f>
        <v>1256556805.9999998</v>
      </c>
      <c r="E33" s="960">
        <f>COMB!E33*CORR!E32</f>
        <v>1446209174</v>
      </c>
      <c r="F33" s="1000">
        <f>COMB!F33*CORR!F32</f>
        <v>1529630010</v>
      </c>
      <c r="G33" s="961">
        <f>COMB!G33*CORR!G32*CORR!L32</f>
        <v>774341526.8083899</v>
      </c>
      <c r="H33" s="66">
        <f>COMB!H33*CORR!H32*CORR!M32</f>
        <v>913390652.47744441</v>
      </c>
      <c r="I33" s="66">
        <f>COMB!I33*CORR!I32*CORR!N32</f>
        <v>791416118.24589002</v>
      </c>
      <c r="J33" s="66">
        <f>COMB!J33*CORR!J32*CORR!O32</f>
        <v>791445263.4785018</v>
      </c>
      <c r="K33" s="66">
        <f>COMB!K33*CORR!K32*CORR!P32</f>
        <v>956697295.73666012</v>
      </c>
      <c r="L33" s="66">
        <f>COMB!L33*CORR!Q32*CORR!V32*CORR!AA32*CORR!AF32*CORR!AK32*CORR!AP32*CORR!AU32*CORR!AZ32*CORR!BE32</f>
        <v>1435189499.3894393</v>
      </c>
      <c r="M33" s="66">
        <f>COMB!M33*CORR!R32*CORR!W32*CORR!AB32*CORR!AG32*CORR!AL32*CORR!AQ32*CORR!AV32*CORR!BA32*CORR!BF32</f>
        <v>1630506181.6156757</v>
      </c>
      <c r="N33" s="66">
        <f>COMB!N33*CORR!S32*CORR!X32*CORR!AC32*CORR!AH32*CORR!AM32*CORR!AR32*CORR!AW32*CORR!BB32*CORR!BG32</f>
        <v>1753403985.3149278</v>
      </c>
      <c r="O33" s="66">
        <f>COMB!O33*CORR!T32*CORR!Y32*CORR!AD32*CORR!AI32*CORR!AN32*CORR!AS32*CORR!AX32*CORR!BC32*CORR!BH32</f>
        <v>2028244298.8479838</v>
      </c>
      <c r="P33" s="66">
        <f>COMB!P33*CORR!U32*CORR!Z32*CORR!AE32*CORR!AJ32*CORR!AO32*CORR!AT32*CORR!AY32*CORR!BD32*CORR!BI32</f>
        <v>0</v>
      </c>
      <c r="Q33" s="66">
        <f>COMB!Q33</f>
        <v>1094700</v>
      </c>
      <c r="R33" s="66">
        <f>COMB!R33</f>
        <v>1053330.0000000002</v>
      </c>
      <c r="S33" s="66">
        <f>COMB!S33</f>
        <v>1196530</v>
      </c>
      <c r="T33" s="66">
        <f>COMB!T33</f>
        <v>1297350</v>
      </c>
      <c r="U33" s="67">
        <f>COMB!U33</f>
        <v>0</v>
      </c>
    </row>
    <row r="34" spans="1:21">
      <c r="A34" s="78" t="s">
        <v>188</v>
      </c>
      <c r="B34" s="74">
        <f>COMB!B34*CORR!B33</f>
        <v>354940567.20392001</v>
      </c>
      <c r="C34" s="74">
        <f>COMB!C34*CORR!C33</f>
        <v>393806617</v>
      </c>
      <c r="D34" s="74">
        <f>COMB!D34*CORR!D33</f>
        <v>488407839.99999994</v>
      </c>
      <c r="E34" s="960">
        <f>COMB!E34*CORR!E33</f>
        <v>593011550</v>
      </c>
      <c r="F34" s="1000">
        <f>COMB!F34*CORR!F33</f>
        <v>586942405</v>
      </c>
      <c r="G34" s="961">
        <f>COMB!G34*CORR!G33*CORR!L33</f>
        <v>394276705.11057419</v>
      </c>
      <c r="H34" s="66">
        <f>COMB!H34*CORR!H33*CORR!M33</f>
        <v>446792199.84204596</v>
      </c>
      <c r="I34" s="66">
        <f>COMB!I34*CORR!I33*CORR!N33</f>
        <v>380116895.05462533</v>
      </c>
      <c r="J34" s="66">
        <f>COMB!J34*CORR!J33*CORR!O33</f>
        <v>427309254.13853896</v>
      </c>
      <c r="K34" s="66">
        <f>COMB!K34*CORR!K33*CORR!P33</f>
        <v>548205733.23342812</v>
      </c>
      <c r="L34" s="66">
        <f>COMB!L34*CORR!Q33*CORR!V33*CORR!AA33*CORR!AF33*CORR!AK33*CORR!AP33*CORR!AU33*CORR!AZ33*CORR!BE33</f>
        <v>1214598545.7921247</v>
      </c>
      <c r="M34" s="66">
        <f>COMB!M34*CORR!R33*CORR!W33*CORR!AB33*CORR!AG33*CORR!AL33*CORR!AQ33*CORR!AV33*CORR!BA33*CORR!BF33</f>
        <v>1294987250.1328378</v>
      </c>
      <c r="N34" s="66">
        <f>COMB!N34*CORR!S33*CORR!X33*CORR!AC33*CORR!AH33*CORR!AM33*CORR!AR33*CORR!AW33*CORR!BB33*CORR!BG33</f>
        <v>1419453303.9687619</v>
      </c>
      <c r="O34" s="66">
        <f>COMB!O34*CORR!T33*CORR!Y33*CORR!AD33*CORR!AI33*CORR!AN33*CORR!AS33*CORR!AX33*CORR!BC33*CORR!BH33</f>
        <v>1700610060.9424996</v>
      </c>
      <c r="P34" s="66">
        <f>COMB!P34*CORR!U33*CORR!Z33*CORR!AE33*CORR!AJ33*CORR!AO33*CORR!AT33*CORR!AY33*CORR!BD33*CORR!BI33</f>
        <v>0</v>
      </c>
      <c r="Q34" s="66">
        <f>COMB!Q34</f>
        <v>2051450.0000000002</v>
      </c>
      <c r="R34" s="66">
        <f>COMB!R34</f>
        <v>1734500</v>
      </c>
      <c r="S34" s="66">
        <f>COMB!S34</f>
        <v>2066260.0000000002</v>
      </c>
      <c r="T34" s="66">
        <f>COMB!T34</f>
        <v>2326170</v>
      </c>
      <c r="U34" s="67">
        <f>COMB!U34</f>
        <v>0</v>
      </c>
    </row>
    <row r="35" spans="1:21">
      <c r="A35" s="79" t="s">
        <v>189</v>
      </c>
      <c r="B35" s="547">
        <f>COMB!B35*CORR!B34</f>
        <v>372538159.32249403</v>
      </c>
      <c r="C35" s="547">
        <f>COMB!C35*CORR!C34</f>
        <v>451271236</v>
      </c>
      <c r="D35" s="547">
        <f>COMB!D35*CORR!D34</f>
        <v>552064642</v>
      </c>
      <c r="E35" s="966">
        <f>COMB!E35*CORR!E34</f>
        <v>643255257.99999988</v>
      </c>
      <c r="F35" s="1000">
        <f>COMB!F35*CORR!F34</f>
        <v>671116667</v>
      </c>
      <c r="G35" s="970">
        <f>COMB!G35*CORR!G34*CORR!L34</f>
        <v>208153962.73044553</v>
      </c>
      <c r="H35" s="548">
        <f>COMB!H35*CORR!H34*CORR!M34</f>
        <v>180592248.27479991</v>
      </c>
      <c r="I35" s="548">
        <f>COMB!I35*CORR!I34*CORR!N34</f>
        <v>118747908.38672119</v>
      </c>
      <c r="J35" s="548">
        <f>COMB!J35*CORR!J34*CORR!O34</f>
        <v>104292440.10125664</v>
      </c>
      <c r="K35" s="548">
        <f>COMB!K35*CORR!K34*CORR!P34</f>
        <v>146855653.62872812</v>
      </c>
      <c r="L35" s="548">
        <f>COMB!L35*CORR!Q34*CORR!V34*CORR!AA34*CORR!AF34*CORR!AK34*CORR!AP34*CORR!AU34*CORR!AZ34*CORR!BE34</f>
        <v>522861896.66419661</v>
      </c>
      <c r="M35" s="548">
        <f>COMB!M35*CORR!R34*CORR!W34*CORR!AB34*CORR!AG34*CORR!AL34*CORR!AQ34*CORR!AV34*CORR!BA34*CORR!BF34</f>
        <v>582100233.06082118</v>
      </c>
      <c r="N35" s="548">
        <f>COMB!N35*CORR!S34*CORR!X34*CORR!AC34*CORR!AH34*CORR!AM34*CORR!AR34*CORR!AW34*CORR!BB34*CORR!BG34</f>
        <v>660680963.27431953</v>
      </c>
      <c r="O35" s="548">
        <f>COMB!O35*CORR!T34*CORR!Y34*CORR!AD34*CORR!AI34*CORR!AN34*CORR!AS34*CORR!AX34*CORR!BC34*CORR!BH34</f>
        <v>713994757.49959636</v>
      </c>
      <c r="P35" s="548">
        <f>COMB!P35*CORR!U34*CORR!Z34*CORR!AE34*CORR!AJ34*CORR!AO34*CORR!AT34*CORR!AY34*CORR!BD34*CORR!BI34</f>
        <v>0</v>
      </c>
      <c r="Q35" s="548">
        <f>COMB!Q35</f>
        <v>9933650</v>
      </c>
      <c r="R35" s="548">
        <f>COMB!R35</f>
        <v>8658599.9999999981</v>
      </c>
      <c r="S35" s="548">
        <f>COMB!S35</f>
        <v>8112110</v>
      </c>
      <c r="T35" s="548">
        <f>COMB!T35</f>
        <v>6953059.9999999991</v>
      </c>
      <c r="U35" s="549">
        <f>COMB!U35</f>
        <v>0</v>
      </c>
    </row>
  </sheetData>
  <mergeCells count="4">
    <mergeCell ref="Q1:U1"/>
    <mergeCell ref="L1:P1"/>
    <mergeCell ref="G1:K1"/>
    <mergeCell ref="B1:F1"/>
  </mergeCells>
  <pageMargins left="0.511811024" right="0.511811024" top="0.78740157499999996" bottom="0.78740157499999996" header="0.31496062000000002" footer="0.31496062000000002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I131"/>
  <sheetViews>
    <sheetView workbookViewId="0">
      <selection activeCell="E15" sqref="E15"/>
    </sheetView>
  </sheetViews>
  <sheetFormatPr defaultColWidth="10.85546875" defaultRowHeight="15.75"/>
  <cols>
    <col min="1" max="1" width="32.42578125" style="893" bestFit="1" customWidth="1"/>
    <col min="2" max="2" width="11.42578125" bestFit="1" customWidth="1"/>
    <col min="12" max="12" width="18.28515625" customWidth="1"/>
    <col min="13" max="13" width="20.7109375" customWidth="1"/>
    <col min="29" max="29" width="10.85546875" style="893"/>
  </cols>
  <sheetData>
    <row r="1" spans="1:60">
      <c r="A1" s="893" t="s">
        <v>271</v>
      </c>
      <c r="B1" t="s">
        <v>163</v>
      </c>
      <c r="C1" t="s">
        <v>170</v>
      </c>
      <c r="D1" t="s">
        <v>272</v>
      </c>
      <c r="E1" t="s">
        <v>165</v>
      </c>
      <c r="F1" t="s">
        <v>171</v>
      </c>
      <c r="G1" t="s">
        <v>273</v>
      </c>
      <c r="H1" t="s">
        <v>186</v>
      </c>
      <c r="I1" t="s">
        <v>274</v>
      </c>
      <c r="J1" t="s">
        <v>275</v>
      </c>
      <c r="K1" t="s">
        <v>276</v>
      </c>
      <c r="L1" t="s">
        <v>188</v>
      </c>
      <c r="M1" t="s">
        <v>277</v>
      </c>
      <c r="N1" t="s">
        <v>180</v>
      </c>
      <c r="O1" t="s">
        <v>278</v>
      </c>
      <c r="P1" t="s">
        <v>279</v>
      </c>
      <c r="Q1" t="s">
        <v>280</v>
      </c>
      <c r="R1" t="s">
        <v>175</v>
      </c>
      <c r="S1" t="s">
        <v>281</v>
      </c>
      <c r="T1" t="s">
        <v>181</v>
      </c>
      <c r="U1" t="s">
        <v>177</v>
      </c>
      <c r="V1" t="s">
        <v>184</v>
      </c>
      <c r="W1" t="s">
        <v>282</v>
      </c>
      <c r="X1" t="s">
        <v>168</v>
      </c>
      <c r="Y1" t="s">
        <v>185</v>
      </c>
      <c r="Z1" t="s">
        <v>283</v>
      </c>
      <c r="AA1" t="s">
        <v>178</v>
      </c>
      <c r="AB1" t="s">
        <v>169</v>
      </c>
      <c r="AC1" s="893" t="s">
        <v>284</v>
      </c>
    </row>
    <row r="2" spans="1:60">
      <c r="A2" s="894" t="s">
        <v>285</v>
      </c>
      <c r="B2">
        <v>3608</v>
      </c>
      <c r="C2">
        <v>23820</v>
      </c>
      <c r="D2">
        <v>1418</v>
      </c>
      <c r="E2">
        <v>16230</v>
      </c>
      <c r="F2">
        <v>95261</v>
      </c>
      <c r="G2">
        <v>62583</v>
      </c>
      <c r="H2">
        <v>59425</v>
      </c>
      <c r="I2">
        <v>52797</v>
      </c>
      <c r="J2">
        <v>157802</v>
      </c>
      <c r="K2">
        <v>13573</v>
      </c>
      <c r="L2">
        <v>46944</v>
      </c>
      <c r="M2">
        <v>52541</v>
      </c>
      <c r="N2">
        <v>430435</v>
      </c>
      <c r="O2">
        <v>23630</v>
      </c>
      <c r="P2">
        <v>29172</v>
      </c>
      <c r="Q2">
        <v>418798</v>
      </c>
      <c r="R2">
        <v>93739</v>
      </c>
      <c r="S2">
        <v>18057</v>
      </c>
      <c r="T2">
        <v>310740</v>
      </c>
      <c r="U2">
        <v>29874</v>
      </c>
      <c r="V2">
        <v>197975</v>
      </c>
      <c r="W2">
        <v>10192</v>
      </c>
      <c r="X2">
        <v>1415</v>
      </c>
      <c r="Y2">
        <v>134051</v>
      </c>
      <c r="Z2">
        <v>1840379</v>
      </c>
      <c r="AA2">
        <v>18357</v>
      </c>
      <c r="AB2">
        <v>10649</v>
      </c>
      <c r="AC2" s="893">
        <v>4153465</v>
      </c>
    </row>
    <row r="3" spans="1:60">
      <c r="A3" s="894" t="s">
        <v>286</v>
      </c>
      <c r="C3">
        <v>1011</v>
      </c>
      <c r="D3">
        <v>1</v>
      </c>
      <c r="E3">
        <v>46</v>
      </c>
      <c r="F3">
        <v>1783</v>
      </c>
      <c r="G3">
        <v>2413</v>
      </c>
      <c r="H3">
        <v>33</v>
      </c>
      <c r="I3">
        <v>1397</v>
      </c>
      <c r="J3">
        <v>189</v>
      </c>
      <c r="K3">
        <v>6</v>
      </c>
      <c r="L3">
        <v>95</v>
      </c>
      <c r="M3">
        <v>236</v>
      </c>
      <c r="N3">
        <v>2877</v>
      </c>
      <c r="O3">
        <v>7</v>
      </c>
      <c r="P3">
        <v>1907</v>
      </c>
      <c r="Q3">
        <v>1714</v>
      </c>
      <c r="R3">
        <v>2134</v>
      </c>
      <c r="S3">
        <v>20</v>
      </c>
      <c r="T3">
        <v>50949</v>
      </c>
      <c r="U3">
        <v>4769</v>
      </c>
      <c r="V3">
        <v>2119</v>
      </c>
      <c r="W3">
        <v>6</v>
      </c>
      <c r="X3">
        <v>1</v>
      </c>
      <c r="Y3">
        <v>4026</v>
      </c>
      <c r="Z3">
        <v>14404</v>
      </c>
      <c r="AA3">
        <v>1542</v>
      </c>
      <c r="AB3">
        <v>7</v>
      </c>
      <c r="AC3" s="893">
        <v>93692</v>
      </c>
    </row>
    <row r="4" spans="1:60">
      <c r="A4" s="894" t="s">
        <v>287</v>
      </c>
      <c r="B4">
        <v>52946</v>
      </c>
      <c r="C4">
        <v>198620</v>
      </c>
      <c r="D4">
        <v>55327</v>
      </c>
      <c r="E4">
        <v>232641</v>
      </c>
      <c r="F4">
        <v>966315</v>
      </c>
      <c r="G4">
        <v>637024</v>
      </c>
      <c r="H4">
        <v>640106</v>
      </c>
      <c r="I4">
        <v>472922</v>
      </c>
      <c r="J4">
        <v>844755</v>
      </c>
      <c r="K4">
        <v>388594</v>
      </c>
      <c r="L4">
        <v>406007</v>
      </c>
      <c r="M4">
        <v>313366</v>
      </c>
      <c r="N4">
        <v>2481760</v>
      </c>
      <c r="O4">
        <v>415106</v>
      </c>
      <c r="P4">
        <v>288438</v>
      </c>
      <c r="Q4">
        <v>1635679</v>
      </c>
      <c r="R4">
        <v>745482</v>
      </c>
      <c r="S4">
        <v>218643</v>
      </c>
      <c r="T4">
        <v>1354133</v>
      </c>
      <c r="U4">
        <v>259473</v>
      </c>
      <c r="V4">
        <v>1313416</v>
      </c>
      <c r="W4">
        <v>203610</v>
      </c>
      <c r="X4">
        <v>42997</v>
      </c>
      <c r="Y4">
        <v>1157988</v>
      </c>
      <c r="Z4">
        <v>6824017</v>
      </c>
      <c r="AA4">
        <v>174421</v>
      </c>
      <c r="AB4">
        <v>134299</v>
      </c>
      <c r="AC4" s="893">
        <v>22458085</v>
      </c>
    </row>
    <row r="5" spans="1:60">
      <c r="A5" s="894" t="s">
        <v>99</v>
      </c>
      <c r="B5">
        <v>19300</v>
      </c>
      <c r="C5">
        <v>51460</v>
      </c>
      <c r="D5">
        <v>11402</v>
      </c>
      <c r="E5">
        <v>56490</v>
      </c>
      <c r="F5">
        <v>275137</v>
      </c>
      <c r="G5">
        <v>176997</v>
      </c>
      <c r="H5">
        <v>83032</v>
      </c>
      <c r="I5">
        <v>151729</v>
      </c>
      <c r="J5">
        <v>260445</v>
      </c>
      <c r="K5">
        <v>90023</v>
      </c>
      <c r="L5">
        <v>175643</v>
      </c>
      <c r="M5">
        <v>128548</v>
      </c>
      <c r="N5">
        <v>662244</v>
      </c>
      <c r="O5">
        <v>134606</v>
      </c>
      <c r="P5">
        <v>67903</v>
      </c>
      <c r="Q5">
        <v>565275</v>
      </c>
      <c r="R5">
        <v>189586</v>
      </c>
      <c r="S5">
        <v>64163</v>
      </c>
      <c r="T5">
        <v>301639</v>
      </c>
      <c r="U5">
        <v>70010</v>
      </c>
      <c r="V5">
        <v>481225</v>
      </c>
      <c r="W5">
        <v>69254</v>
      </c>
      <c r="X5">
        <v>13089</v>
      </c>
      <c r="Y5">
        <v>325359</v>
      </c>
      <c r="Z5">
        <v>1476963</v>
      </c>
      <c r="AA5">
        <v>43117</v>
      </c>
      <c r="AB5">
        <v>55950</v>
      </c>
      <c r="AC5" s="893">
        <v>6000589</v>
      </c>
    </row>
    <row r="6" spans="1:60">
      <c r="A6" s="894" t="s">
        <v>288</v>
      </c>
      <c r="E6">
        <v>1</v>
      </c>
      <c r="F6">
        <v>2</v>
      </c>
      <c r="G6">
        <v>2</v>
      </c>
      <c r="H6">
        <v>4</v>
      </c>
      <c r="I6">
        <v>2</v>
      </c>
      <c r="O6">
        <v>1</v>
      </c>
      <c r="Q6">
        <v>3</v>
      </c>
      <c r="S6">
        <v>1</v>
      </c>
      <c r="T6">
        <v>5</v>
      </c>
      <c r="U6">
        <v>3</v>
      </c>
      <c r="Z6">
        <v>16</v>
      </c>
      <c r="AA6">
        <v>1</v>
      </c>
      <c r="AC6" s="893">
        <v>41</v>
      </c>
    </row>
    <row r="7" spans="1:60">
      <c r="A7" s="894" t="s">
        <v>289</v>
      </c>
      <c r="E7">
        <v>5</v>
      </c>
      <c r="F7">
        <v>22</v>
      </c>
      <c r="H7">
        <v>2</v>
      </c>
      <c r="I7">
        <v>9</v>
      </c>
      <c r="J7">
        <v>29</v>
      </c>
      <c r="K7">
        <v>2</v>
      </c>
      <c r="L7">
        <v>3</v>
      </c>
      <c r="M7">
        <v>4</v>
      </c>
      <c r="N7">
        <v>11</v>
      </c>
      <c r="P7">
        <v>2</v>
      </c>
      <c r="Q7">
        <v>30</v>
      </c>
      <c r="S7">
        <v>1</v>
      </c>
      <c r="T7">
        <v>5</v>
      </c>
      <c r="U7">
        <v>1</v>
      </c>
      <c r="V7">
        <v>4</v>
      </c>
      <c r="Y7">
        <v>12</v>
      </c>
      <c r="Z7">
        <v>52</v>
      </c>
      <c r="AA7">
        <v>3</v>
      </c>
      <c r="AB7">
        <v>5</v>
      </c>
      <c r="AC7" s="893">
        <v>202</v>
      </c>
    </row>
    <row r="8" spans="1:60">
      <c r="A8" s="894" t="s">
        <v>97</v>
      </c>
      <c r="B8">
        <v>119739</v>
      </c>
      <c r="C8">
        <v>280990</v>
      </c>
      <c r="D8">
        <v>77883</v>
      </c>
      <c r="E8">
        <v>355343</v>
      </c>
      <c r="F8">
        <v>1598634</v>
      </c>
      <c r="G8">
        <v>1335669</v>
      </c>
      <c r="H8">
        <v>662756</v>
      </c>
      <c r="I8">
        <v>787593</v>
      </c>
      <c r="J8">
        <v>1638936</v>
      </c>
      <c r="K8">
        <v>657727</v>
      </c>
      <c r="L8">
        <v>814008</v>
      </c>
      <c r="M8">
        <v>666808</v>
      </c>
      <c r="N8">
        <v>4826294</v>
      </c>
      <c r="O8">
        <v>759898</v>
      </c>
      <c r="P8">
        <v>512211</v>
      </c>
      <c r="Q8">
        <v>3279985</v>
      </c>
      <c r="R8">
        <v>1201954</v>
      </c>
      <c r="S8">
        <v>506628</v>
      </c>
      <c r="T8">
        <v>2454257</v>
      </c>
      <c r="U8">
        <v>516237</v>
      </c>
      <c r="V8">
        <v>3439103</v>
      </c>
      <c r="W8">
        <v>432923</v>
      </c>
      <c r="X8">
        <v>100272</v>
      </c>
      <c r="Y8">
        <v>2238764</v>
      </c>
      <c r="Z8">
        <v>13050904</v>
      </c>
      <c r="AA8">
        <v>286396</v>
      </c>
      <c r="AB8">
        <v>288203</v>
      </c>
      <c r="AC8" s="893">
        <v>42890115</v>
      </c>
    </row>
    <row r="9" spans="1:60">
      <c r="A9" s="894" t="s">
        <v>290</v>
      </c>
      <c r="B9">
        <v>5</v>
      </c>
      <c r="C9">
        <v>6403</v>
      </c>
      <c r="D9">
        <v>1</v>
      </c>
      <c r="E9">
        <v>782</v>
      </c>
      <c r="F9">
        <v>16431</v>
      </c>
      <c r="G9">
        <v>9557</v>
      </c>
      <c r="H9">
        <v>942</v>
      </c>
      <c r="I9">
        <v>6381</v>
      </c>
      <c r="J9">
        <v>588</v>
      </c>
      <c r="K9">
        <v>48</v>
      </c>
      <c r="L9">
        <v>490</v>
      </c>
      <c r="M9">
        <v>685</v>
      </c>
      <c r="N9">
        <v>5178</v>
      </c>
      <c r="O9">
        <v>27</v>
      </c>
      <c r="P9">
        <v>4443</v>
      </c>
      <c r="Q9">
        <v>7311</v>
      </c>
      <c r="R9">
        <v>10694</v>
      </c>
      <c r="S9">
        <v>206</v>
      </c>
      <c r="T9">
        <v>238890</v>
      </c>
      <c r="U9">
        <v>6803</v>
      </c>
      <c r="V9">
        <v>13841</v>
      </c>
      <c r="W9">
        <v>18</v>
      </c>
      <c r="X9">
        <v>3</v>
      </c>
      <c r="Y9">
        <v>20639</v>
      </c>
      <c r="Z9">
        <v>34038</v>
      </c>
      <c r="AA9">
        <v>5127</v>
      </c>
      <c r="AB9">
        <v>61</v>
      </c>
      <c r="AC9" s="893">
        <v>389592</v>
      </c>
    </row>
    <row r="10" spans="1:60">
      <c r="A10" s="894" t="s">
        <v>291</v>
      </c>
      <c r="B10">
        <v>3</v>
      </c>
      <c r="C10">
        <v>10740</v>
      </c>
      <c r="D10">
        <v>4</v>
      </c>
      <c r="E10">
        <v>433</v>
      </c>
      <c r="F10">
        <v>28808</v>
      </c>
      <c r="G10">
        <v>23252</v>
      </c>
      <c r="H10">
        <v>937</v>
      </c>
      <c r="I10">
        <v>19998</v>
      </c>
      <c r="J10">
        <v>2650</v>
      </c>
      <c r="K10">
        <v>115</v>
      </c>
      <c r="L10">
        <v>971</v>
      </c>
      <c r="M10">
        <v>5024</v>
      </c>
      <c r="N10">
        <v>26870</v>
      </c>
      <c r="O10">
        <v>187</v>
      </c>
      <c r="P10">
        <v>14515</v>
      </c>
      <c r="Q10">
        <v>24659</v>
      </c>
      <c r="R10">
        <v>30896</v>
      </c>
      <c r="S10">
        <v>296</v>
      </c>
      <c r="T10">
        <v>642277</v>
      </c>
      <c r="U10">
        <v>32150</v>
      </c>
      <c r="V10">
        <v>43331</v>
      </c>
      <c r="W10">
        <v>75</v>
      </c>
      <c r="X10">
        <v>22</v>
      </c>
      <c r="Y10">
        <v>70370</v>
      </c>
      <c r="Z10">
        <v>245391</v>
      </c>
      <c r="AA10">
        <v>12629</v>
      </c>
      <c r="AB10">
        <v>126</v>
      </c>
      <c r="AC10" s="893">
        <v>1236729</v>
      </c>
    </row>
    <row r="11" spans="1:60">
      <c r="A11" s="894" t="s">
        <v>284</v>
      </c>
      <c r="B11">
        <v>195601</v>
      </c>
      <c r="C11">
        <v>573044</v>
      </c>
      <c r="D11">
        <v>146036</v>
      </c>
      <c r="E11">
        <v>661971</v>
      </c>
      <c r="F11">
        <v>2982393</v>
      </c>
      <c r="G11">
        <v>2247497</v>
      </c>
      <c r="H11">
        <v>1447237</v>
      </c>
      <c r="I11">
        <v>1492828</v>
      </c>
      <c r="J11">
        <v>2905394</v>
      </c>
      <c r="K11">
        <v>1150088</v>
      </c>
      <c r="L11">
        <v>1444161</v>
      </c>
      <c r="M11">
        <v>1167212</v>
      </c>
      <c r="N11">
        <v>8435669</v>
      </c>
      <c r="O11">
        <v>1333462</v>
      </c>
      <c r="P11">
        <v>918591</v>
      </c>
      <c r="Q11">
        <v>5933454</v>
      </c>
      <c r="R11">
        <v>2274485</v>
      </c>
      <c r="S11">
        <v>808015</v>
      </c>
      <c r="T11">
        <v>5352895</v>
      </c>
      <c r="U11">
        <v>919320</v>
      </c>
      <c r="V11">
        <v>5491014</v>
      </c>
      <c r="W11">
        <v>716078</v>
      </c>
      <c r="X11">
        <v>157799</v>
      </c>
      <c r="Y11">
        <v>3951209</v>
      </c>
      <c r="Z11">
        <v>23486164</v>
      </c>
      <c r="AA11">
        <v>541593</v>
      </c>
      <c r="AB11">
        <v>489300</v>
      </c>
      <c r="AC11" s="893">
        <v>77222510</v>
      </c>
    </row>
    <row r="12" spans="1:60" s="893" customFormat="1">
      <c r="A12" s="893" t="s">
        <v>271</v>
      </c>
      <c r="B12" s="893" t="s">
        <v>163</v>
      </c>
      <c r="C12" s="893" t="s">
        <v>170</v>
      </c>
      <c r="D12" s="893" t="s">
        <v>272</v>
      </c>
      <c r="E12" s="893" t="s">
        <v>165</v>
      </c>
      <c r="F12" s="893" t="s">
        <v>171</v>
      </c>
      <c r="G12" s="893" t="s">
        <v>273</v>
      </c>
      <c r="H12" s="893" t="s">
        <v>186</v>
      </c>
      <c r="I12" s="893" t="s">
        <v>274</v>
      </c>
      <c r="J12" s="893" t="s">
        <v>275</v>
      </c>
      <c r="K12" s="893" t="s">
        <v>276</v>
      </c>
      <c r="L12" s="893" t="s">
        <v>188</v>
      </c>
      <c r="M12" s="893" t="s">
        <v>277</v>
      </c>
      <c r="N12" s="893" t="s">
        <v>180</v>
      </c>
      <c r="O12" s="893" t="s">
        <v>278</v>
      </c>
      <c r="P12" s="893" t="s">
        <v>279</v>
      </c>
      <c r="Q12" s="893" t="s">
        <v>280</v>
      </c>
      <c r="R12" s="893" t="s">
        <v>175</v>
      </c>
      <c r="S12" s="893" t="s">
        <v>281</v>
      </c>
      <c r="T12" s="893" t="s">
        <v>181</v>
      </c>
      <c r="U12" s="893" t="s">
        <v>177</v>
      </c>
      <c r="V12" s="893" t="s">
        <v>184</v>
      </c>
      <c r="W12" s="893" t="s">
        <v>282</v>
      </c>
      <c r="X12" s="893" t="s">
        <v>168</v>
      </c>
      <c r="Y12" s="893" t="s">
        <v>185</v>
      </c>
      <c r="Z12" s="893" t="s">
        <v>283</v>
      </c>
      <c r="AA12" s="893" t="s">
        <v>178</v>
      </c>
      <c r="AB12" s="893" t="s">
        <v>169</v>
      </c>
      <c r="AC12" s="893" t="s">
        <v>284</v>
      </c>
      <c r="AG12" s="893" t="s">
        <v>271</v>
      </c>
      <c r="AH12" s="893" t="s">
        <v>163</v>
      </c>
      <c r="AI12" s="893" t="s">
        <v>170</v>
      </c>
      <c r="AJ12" s="893" t="s">
        <v>272</v>
      </c>
      <c r="AK12" s="893" t="s">
        <v>165</v>
      </c>
      <c r="AL12" s="893" t="s">
        <v>171</v>
      </c>
      <c r="AM12" s="893" t="s">
        <v>273</v>
      </c>
      <c r="AN12" s="893" t="s">
        <v>186</v>
      </c>
      <c r="AO12" s="893" t="s">
        <v>274</v>
      </c>
      <c r="AP12" s="893" t="s">
        <v>275</v>
      </c>
      <c r="AQ12" s="893" t="s">
        <v>276</v>
      </c>
      <c r="AR12" s="893" t="s">
        <v>188</v>
      </c>
      <c r="AS12" s="893" t="s">
        <v>277</v>
      </c>
      <c r="AT12" s="893" t="s">
        <v>180</v>
      </c>
      <c r="AU12" s="893" t="s">
        <v>278</v>
      </c>
      <c r="AV12" s="893" t="s">
        <v>279</v>
      </c>
      <c r="AW12" s="893" t="s">
        <v>280</v>
      </c>
      <c r="AX12" s="893" t="s">
        <v>175</v>
      </c>
      <c r="AY12" s="893" t="s">
        <v>281</v>
      </c>
      <c r="AZ12" s="893" t="s">
        <v>181</v>
      </c>
      <c r="BA12" s="893" t="s">
        <v>177</v>
      </c>
      <c r="BB12" s="893" t="s">
        <v>184</v>
      </c>
      <c r="BC12" s="893" t="s">
        <v>282</v>
      </c>
      <c r="BD12" s="893" t="s">
        <v>168</v>
      </c>
      <c r="BE12" s="893" t="s">
        <v>185</v>
      </c>
      <c r="BF12" s="893" t="s">
        <v>283</v>
      </c>
      <c r="BG12" s="893" t="s">
        <v>178</v>
      </c>
      <c r="BH12" s="893" t="s">
        <v>169</v>
      </c>
    </row>
    <row r="13" spans="1:60">
      <c r="A13" s="894" t="s">
        <v>285</v>
      </c>
      <c r="B13">
        <f t="shared" ref="B13:AC13" si="0">B2+B3</f>
        <v>3608</v>
      </c>
      <c r="C13">
        <f t="shared" si="0"/>
        <v>24831</v>
      </c>
      <c r="D13">
        <f t="shared" si="0"/>
        <v>1419</v>
      </c>
      <c r="E13">
        <f t="shared" si="0"/>
        <v>16276</v>
      </c>
      <c r="F13">
        <f t="shared" si="0"/>
        <v>97044</v>
      </c>
      <c r="G13">
        <f t="shared" si="0"/>
        <v>64996</v>
      </c>
      <c r="H13">
        <f t="shared" si="0"/>
        <v>59458</v>
      </c>
      <c r="I13">
        <f t="shared" si="0"/>
        <v>54194</v>
      </c>
      <c r="J13">
        <f t="shared" si="0"/>
        <v>157991</v>
      </c>
      <c r="K13">
        <f t="shared" si="0"/>
        <v>13579</v>
      </c>
      <c r="L13">
        <f t="shared" si="0"/>
        <v>47039</v>
      </c>
      <c r="M13">
        <f t="shared" si="0"/>
        <v>52777</v>
      </c>
      <c r="N13">
        <f t="shared" si="0"/>
        <v>433312</v>
      </c>
      <c r="O13">
        <f t="shared" si="0"/>
        <v>23637</v>
      </c>
      <c r="P13">
        <f t="shared" si="0"/>
        <v>31079</v>
      </c>
      <c r="Q13">
        <f t="shared" si="0"/>
        <v>420512</v>
      </c>
      <c r="R13">
        <f t="shared" si="0"/>
        <v>95873</v>
      </c>
      <c r="S13">
        <f t="shared" si="0"/>
        <v>18077</v>
      </c>
      <c r="T13">
        <f t="shared" si="0"/>
        <v>361689</v>
      </c>
      <c r="U13">
        <f t="shared" si="0"/>
        <v>34643</v>
      </c>
      <c r="V13">
        <f t="shared" si="0"/>
        <v>200094</v>
      </c>
      <c r="W13">
        <f t="shared" si="0"/>
        <v>10198</v>
      </c>
      <c r="X13">
        <f t="shared" si="0"/>
        <v>1416</v>
      </c>
      <c r="Y13">
        <f t="shared" si="0"/>
        <v>138077</v>
      </c>
      <c r="Z13">
        <f t="shared" si="0"/>
        <v>1854783</v>
      </c>
      <c r="AA13">
        <f t="shared" si="0"/>
        <v>19899</v>
      </c>
      <c r="AB13">
        <f t="shared" si="0"/>
        <v>10656</v>
      </c>
      <c r="AC13" s="893">
        <f t="shared" si="0"/>
        <v>4247157</v>
      </c>
      <c r="AG13" s="894" t="s">
        <v>285</v>
      </c>
      <c r="AH13" s="895">
        <f>B13/B$17</f>
        <v>1.8445713467722558E-2</v>
      </c>
      <c r="AI13" s="895">
        <f t="shared" ref="AI13:AX17" si="1">C13/C$17</f>
        <v>4.333175113952855E-2</v>
      </c>
      <c r="AJ13" s="895">
        <f t="shared" si="1"/>
        <v>9.7167821633022001E-3</v>
      </c>
      <c r="AK13" s="895">
        <f t="shared" si="1"/>
        <v>2.4587365514240914E-2</v>
      </c>
      <c r="AL13" s="895">
        <f t="shared" si="1"/>
        <v>3.2539211251718853E-2</v>
      </c>
      <c r="AM13" s="895">
        <f t="shared" si="1"/>
        <v>2.8919282205938427E-2</v>
      </c>
      <c r="AN13" s="895">
        <f t="shared" si="1"/>
        <v>4.1083859912177362E-2</v>
      </c>
      <c r="AO13" s="895">
        <f t="shared" si="1"/>
        <v>3.6303128510556205E-2</v>
      </c>
      <c r="AP13" s="895">
        <f t="shared" si="1"/>
        <v>5.4379053922656878E-2</v>
      </c>
      <c r="AQ13" s="895">
        <f t="shared" si="1"/>
        <v>1.1806943132948319E-2</v>
      </c>
      <c r="AR13" s="895">
        <f t="shared" si="1"/>
        <v>3.2571920800909593E-2</v>
      </c>
      <c r="AS13" s="895">
        <f t="shared" si="1"/>
        <v>4.5216448139491848E-2</v>
      </c>
      <c r="AT13" s="895">
        <f t="shared" si="1"/>
        <v>5.1366710219878521E-2</v>
      </c>
      <c r="AU13" s="895">
        <f t="shared" si="1"/>
        <v>1.7726039437194311E-2</v>
      </c>
      <c r="AV13" s="895">
        <f t="shared" si="1"/>
        <v>3.3833411895853316E-2</v>
      </c>
      <c r="AW13" s="895">
        <f t="shared" si="1"/>
        <v>7.0871726005085761E-2</v>
      </c>
      <c r="AX13" s="895">
        <f t="shared" si="1"/>
        <v>4.2151520014420844E-2</v>
      </c>
      <c r="AY13" s="895">
        <f t="shared" ref="AY13:BH17" si="2">S13/S$17</f>
        <v>2.2372137116436101E-2</v>
      </c>
      <c r="AZ13" s="895">
        <f t="shared" si="2"/>
        <v>6.7568920713857381E-2</v>
      </c>
      <c r="BA13" s="895">
        <f t="shared" si="2"/>
        <v>3.7683328637828653E-2</v>
      </c>
      <c r="BB13" s="895">
        <f t="shared" si="2"/>
        <v>3.644029058406377E-2</v>
      </c>
      <c r="BC13" s="895">
        <f t="shared" si="2"/>
        <v>1.4241465315231022E-2</v>
      </c>
      <c r="BD13" s="895">
        <f t="shared" si="2"/>
        <v>8.9734408963301412E-3</v>
      </c>
      <c r="BE13" s="895">
        <f t="shared" si="2"/>
        <v>3.4945612683953749E-2</v>
      </c>
      <c r="BF13" s="895">
        <f t="shared" si="2"/>
        <v>7.897360789218752E-2</v>
      </c>
      <c r="BG13" s="895">
        <f t="shared" si="2"/>
        <v>3.6741815764692848E-2</v>
      </c>
      <c r="BH13" s="895">
        <f t="shared" si="2"/>
        <v>2.1778272821099745E-2</v>
      </c>
    </row>
    <row r="14" spans="1:60">
      <c r="A14" s="894" t="s">
        <v>287</v>
      </c>
      <c r="B14">
        <f t="shared" ref="B14:AC14" si="3">B4+B9</f>
        <v>52951</v>
      </c>
      <c r="C14">
        <f t="shared" si="3"/>
        <v>205023</v>
      </c>
      <c r="D14">
        <f t="shared" si="3"/>
        <v>55328</v>
      </c>
      <c r="E14">
        <f t="shared" si="3"/>
        <v>233423</v>
      </c>
      <c r="F14">
        <f t="shared" si="3"/>
        <v>982746</v>
      </c>
      <c r="G14">
        <f t="shared" si="3"/>
        <v>646581</v>
      </c>
      <c r="H14">
        <f t="shared" si="3"/>
        <v>641048</v>
      </c>
      <c r="I14">
        <f t="shared" si="3"/>
        <v>479303</v>
      </c>
      <c r="J14">
        <f t="shared" si="3"/>
        <v>845343</v>
      </c>
      <c r="K14">
        <f t="shared" si="3"/>
        <v>388642</v>
      </c>
      <c r="L14">
        <f t="shared" si="3"/>
        <v>406497</v>
      </c>
      <c r="M14">
        <f t="shared" si="3"/>
        <v>314051</v>
      </c>
      <c r="N14">
        <f t="shared" si="3"/>
        <v>2486938</v>
      </c>
      <c r="O14">
        <f t="shared" si="3"/>
        <v>415133</v>
      </c>
      <c r="P14">
        <f t="shared" si="3"/>
        <v>292881</v>
      </c>
      <c r="Q14">
        <f t="shared" si="3"/>
        <v>1642990</v>
      </c>
      <c r="R14">
        <f t="shared" si="3"/>
        <v>756176</v>
      </c>
      <c r="S14">
        <f t="shared" si="3"/>
        <v>218849</v>
      </c>
      <c r="T14">
        <f t="shared" si="3"/>
        <v>1593023</v>
      </c>
      <c r="U14">
        <f t="shared" si="3"/>
        <v>266276</v>
      </c>
      <c r="V14">
        <f t="shared" si="3"/>
        <v>1327257</v>
      </c>
      <c r="W14">
        <f t="shared" si="3"/>
        <v>203628</v>
      </c>
      <c r="X14">
        <f t="shared" si="3"/>
        <v>43000</v>
      </c>
      <c r="Y14">
        <f t="shared" si="3"/>
        <v>1178627</v>
      </c>
      <c r="Z14">
        <f t="shared" si="3"/>
        <v>6858055</v>
      </c>
      <c r="AA14">
        <f t="shared" si="3"/>
        <v>179548</v>
      </c>
      <c r="AB14">
        <f t="shared" si="3"/>
        <v>134360</v>
      </c>
      <c r="AC14" s="893">
        <f t="shared" si="3"/>
        <v>22847677</v>
      </c>
      <c r="AG14" s="894" t="s">
        <v>287</v>
      </c>
      <c r="AH14" s="895">
        <f t="shared" ref="AH14:AH17" si="4">B14/B$17</f>
        <v>0.27070924995270984</v>
      </c>
      <c r="AI14" s="895">
        <f t="shared" si="1"/>
        <v>0.35777880930609168</v>
      </c>
      <c r="AJ14" s="895">
        <f t="shared" si="1"/>
        <v>0.37886548522282176</v>
      </c>
      <c r="AK14" s="895">
        <f t="shared" si="1"/>
        <v>0.35262082946858297</v>
      </c>
      <c r="AL14" s="895">
        <f t="shared" si="1"/>
        <v>0.32951835972117488</v>
      </c>
      <c r="AM14" s="895">
        <f t="shared" si="1"/>
        <v>0.28768937177669202</v>
      </c>
      <c r="AN14" s="895">
        <f t="shared" si="1"/>
        <v>0.44294672254333262</v>
      </c>
      <c r="AO14" s="895">
        <f t="shared" si="1"/>
        <v>0.32107241400330516</v>
      </c>
      <c r="AP14" s="895">
        <f t="shared" si="1"/>
        <v>0.29095931148065735</v>
      </c>
      <c r="AQ14" s="895">
        <f t="shared" si="1"/>
        <v>0.33792429435711763</v>
      </c>
      <c r="AR14" s="895">
        <f t="shared" si="1"/>
        <v>0.28147681901841765</v>
      </c>
      <c r="AS14" s="895">
        <f t="shared" si="1"/>
        <v>0.26906172678734208</v>
      </c>
      <c r="AT14" s="895">
        <f t="shared" si="1"/>
        <v>0.29481256826675523</v>
      </c>
      <c r="AU14" s="895">
        <f t="shared" si="1"/>
        <v>0.31131970764821193</v>
      </c>
      <c r="AV14" s="895">
        <f t="shared" si="1"/>
        <v>0.31883791336495432</v>
      </c>
      <c r="AW14" s="895">
        <f t="shared" si="1"/>
        <v>0.27690419562128038</v>
      </c>
      <c r="AX14" s="895">
        <f t="shared" si="1"/>
        <v>0.33246031519223035</v>
      </c>
      <c r="AY14" s="895">
        <f t="shared" si="2"/>
        <v>0.27084802986086876</v>
      </c>
      <c r="AZ14" s="895">
        <f t="shared" si="2"/>
        <v>0.29760054848876027</v>
      </c>
      <c r="BA14" s="895">
        <f t="shared" si="2"/>
        <v>0.28964483492672294</v>
      </c>
      <c r="BB14" s="895">
        <f t="shared" si="2"/>
        <v>0.24171454796112191</v>
      </c>
      <c r="BC14" s="895">
        <f t="shared" si="2"/>
        <v>0.28436566966168492</v>
      </c>
      <c r="BD14" s="895">
        <f t="shared" si="2"/>
        <v>0.27249855829251135</v>
      </c>
      <c r="BE14" s="895">
        <f t="shared" si="2"/>
        <v>0.29829618720605428</v>
      </c>
      <c r="BF14" s="895">
        <f t="shared" si="2"/>
        <v>0.2920046962221759</v>
      </c>
      <c r="BG14" s="895">
        <f t="shared" si="2"/>
        <v>0.33152015362174336</v>
      </c>
      <c r="BH14" s="895">
        <f t="shared" si="2"/>
        <v>0.27459916819096863</v>
      </c>
    </row>
    <row r="15" spans="1:60">
      <c r="A15" s="894" t="s">
        <v>99</v>
      </c>
      <c r="B15">
        <f t="shared" ref="B15:AC15" si="5">B5+B6</f>
        <v>19300</v>
      </c>
      <c r="C15">
        <f t="shared" si="5"/>
        <v>51460</v>
      </c>
      <c r="D15">
        <f t="shared" si="5"/>
        <v>11402</v>
      </c>
      <c r="E15">
        <f t="shared" si="5"/>
        <v>56491</v>
      </c>
      <c r="F15">
        <f t="shared" si="5"/>
        <v>275139</v>
      </c>
      <c r="G15">
        <f t="shared" si="5"/>
        <v>176999</v>
      </c>
      <c r="H15">
        <f t="shared" si="5"/>
        <v>83036</v>
      </c>
      <c r="I15">
        <f t="shared" si="5"/>
        <v>151731</v>
      </c>
      <c r="J15">
        <f t="shared" si="5"/>
        <v>260445</v>
      </c>
      <c r="K15">
        <f t="shared" si="5"/>
        <v>90023</v>
      </c>
      <c r="L15">
        <f t="shared" si="5"/>
        <v>175643</v>
      </c>
      <c r="M15">
        <f t="shared" si="5"/>
        <v>128548</v>
      </c>
      <c r="N15">
        <f t="shared" si="5"/>
        <v>662244</v>
      </c>
      <c r="O15">
        <f t="shared" si="5"/>
        <v>134607</v>
      </c>
      <c r="P15">
        <f t="shared" si="5"/>
        <v>67903</v>
      </c>
      <c r="Q15">
        <f t="shared" si="5"/>
        <v>565278</v>
      </c>
      <c r="R15">
        <f t="shared" si="5"/>
        <v>189586</v>
      </c>
      <c r="S15">
        <f t="shared" si="5"/>
        <v>64164</v>
      </c>
      <c r="T15">
        <f t="shared" si="5"/>
        <v>301644</v>
      </c>
      <c r="U15">
        <f t="shared" si="5"/>
        <v>70013</v>
      </c>
      <c r="V15">
        <f t="shared" si="5"/>
        <v>481225</v>
      </c>
      <c r="W15">
        <f t="shared" si="5"/>
        <v>69254</v>
      </c>
      <c r="X15">
        <f t="shared" si="5"/>
        <v>13089</v>
      </c>
      <c r="Y15">
        <f t="shared" si="5"/>
        <v>325359</v>
      </c>
      <c r="Z15">
        <f t="shared" si="5"/>
        <v>1476979</v>
      </c>
      <c r="AA15">
        <f t="shared" si="5"/>
        <v>43118</v>
      </c>
      <c r="AB15">
        <f t="shared" si="5"/>
        <v>55950</v>
      </c>
      <c r="AC15" s="893">
        <f t="shared" si="5"/>
        <v>6000630</v>
      </c>
      <c r="AG15" s="894" t="s">
        <v>99</v>
      </c>
      <c r="AH15" s="895">
        <f t="shared" si="4"/>
        <v>9.8670252197074662E-2</v>
      </c>
      <c r="AI15" s="895">
        <f t="shared" si="1"/>
        <v>8.980113219927266E-2</v>
      </c>
      <c r="AJ15" s="895">
        <f t="shared" si="1"/>
        <v>7.8076638637048404E-2</v>
      </c>
      <c r="AK15" s="895">
        <f t="shared" si="1"/>
        <v>8.5338219787723241E-2</v>
      </c>
      <c r="AL15" s="895">
        <f t="shared" si="1"/>
        <v>9.2255121847684279E-2</v>
      </c>
      <c r="AM15" s="895">
        <f t="shared" si="1"/>
        <v>7.8753831484535908E-2</v>
      </c>
      <c r="AN15" s="895">
        <f t="shared" si="1"/>
        <v>5.7375616261353547E-2</v>
      </c>
      <c r="AO15" s="895">
        <f t="shared" si="1"/>
        <v>0.1016405873719453</v>
      </c>
      <c r="AP15" s="895">
        <f t="shared" si="1"/>
        <v>8.9642781543799149E-2</v>
      </c>
      <c r="AQ15" s="895">
        <f t="shared" si="1"/>
        <v>7.8275015955328556E-2</v>
      </c>
      <c r="AR15" s="895">
        <f t="shared" si="1"/>
        <v>0.1216231188000205</v>
      </c>
      <c r="AS15" s="895">
        <f t="shared" si="1"/>
        <v>0.11013289833517248</v>
      </c>
      <c r="AT15" s="895">
        <f t="shared" si="1"/>
        <v>7.8505316360620594E-2</v>
      </c>
      <c r="AU15" s="895">
        <f t="shared" si="1"/>
        <v>0.10094550875840481</v>
      </c>
      <c r="AV15" s="895">
        <f t="shared" si="1"/>
        <v>7.3920980982789916E-2</v>
      </c>
      <c r="AW15" s="895">
        <f t="shared" si="1"/>
        <v>9.527011722068067E-2</v>
      </c>
      <c r="AX15" s="895">
        <f t="shared" si="1"/>
        <v>8.3353374500161573E-2</v>
      </c>
      <c r="AY15" s="895">
        <f t="shared" si="2"/>
        <v>7.9409515181667639E-2</v>
      </c>
      <c r="AZ15" s="895">
        <f t="shared" si="2"/>
        <v>5.6351615669292664E-2</v>
      </c>
      <c r="BA15" s="895">
        <f t="shared" si="2"/>
        <v>7.6157460032915666E-2</v>
      </c>
      <c r="BB15" s="895">
        <f t="shared" si="2"/>
        <v>8.7638703990704808E-2</v>
      </c>
      <c r="BC15" s="895">
        <f t="shared" si="2"/>
        <v>9.6712927921259975E-2</v>
      </c>
      <c r="BD15" s="895">
        <f t="shared" si="2"/>
        <v>8.2947293709085615E-2</v>
      </c>
      <c r="BE15" s="895">
        <f t="shared" si="2"/>
        <v>8.2344413604282449E-2</v>
      </c>
      <c r="BF15" s="895">
        <f t="shared" si="2"/>
        <v>6.2887335289893875E-2</v>
      </c>
      <c r="BG15" s="895">
        <f t="shared" si="2"/>
        <v>7.9613729943315059E-2</v>
      </c>
      <c r="BH15" s="895">
        <f t="shared" si="2"/>
        <v>0.11434819485177654</v>
      </c>
    </row>
    <row r="16" spans="1:60">
      <c r="A16" s="894" t="s">
        <v>97</v>
      </c>
      <c r="B16">
        <f t="shared" ref="B16:AC16" si="6">B8+B10</f>
        <v>119742</v>
      </c>
      <c r="C16">
        <f t="shared" si="6"/>
        <v>291730</v>
      </c>
      <c r="D16">
        <f t="shared" si="6"/>
        <v>77887</v>
      </c>
      <c r="E16">
        <f t="shared" si="6"/>
        <v>355776</v>
      </c>
      <c r="F16">
        <f t="shared" si="6"/>
        <v>1627442</v>
      </c>
      <c r="G16">
        <f t="shared" si="6"/>
        <v>1358921</v>
      </c>
      <c r="H16">
        <f t="shared" si="6"/>
        <v>663693</v>
      </c>
      <c r="I16">
        <f t="shared" si="6"/>
        <v>807591</v>
      </c>
      <c r="J16">
        <f t="shared" si="6"/>
        <v>1641586</v>
      </c>
      <c r="K16">
        <f t="shared" si="6"/>
        <v>657842</v>
      </c>
      <c r="L16">
        <f t="shared" si="6"/>
        <v>814979</v>
      </c>
      <c r="M16">
        <f t="shared" si="6"/>
        <v>671832</v>
      </c>
      <c r="N16">
        <f t="shared" si="6"/>
        <v>4853164</v>
      </c>
      <c r="O16">
        <f t="shared" si="6"/>
        <v>760085</v>
      </c>
      <c r="P16">
        <f t="shared" si="6"/>
        <v>526726</v>
      </c>
      <c r="Q16">
        <f t="shared" si="6"/>
        <v>3304644</v>
      </c>
      <c r="R16">
        <f t="shared" si="6"/>
        <v>1232850</v>
      </c>
      <c r="S16">
        <f t="shared" si="6"/>
        <v>506924</v>
      </c>
      <c r="T16">
        <f t="shared" si="6"/>
        <v>3096534</v>
      </c>
      <c r="U16">
        <f t="shared" si="6"/>
        <v>548387</v>
      </c>
      <c r="V16">
        <f t="shared" si="6"/>
        <v>3482434</v>
      </c>
      <c r="W16">
        <f t="shared" si="6"/>
        <v>432998</v>
      </c>
      <c r="X16">
        <f t="shared" si="6"/>
        <v>100294</v>
      </c>
      <c r="Y16">
        <f t="shared" si="6"/>
        <v>2309134</v>
      </c>
      <c r="Z16">
        <f t="shared" si="6"/>
        <v>13296295</v>
      </c>
      <c r="AA16">
        <f t="shared" si="6"/>
        <v>299025</v>
      </c>
      <c r="AB16">
        <f t="shared" si="6"/>
        <v>288329</v>
      </c>
      <c r="AC16" s="893">
        <f t="shared" si="6"/>
        <v>44126844</v>
      </c>
      <c r="AG16" s="894" t="s">
        <v>97</v>
      </c>
      <c r="AH16" s="895">
        <f t="shared" si="4"/>
        <v>0.61217478438249295</v>
      </c>
      <c r="AI16" s="895">
        <f t="shared" si="1"/>
        <v>0.50908830735510713</v>
      </c>
      <c r="AJ16" s="895">
        <f t="shared" si="1"/>
        <v>0.53334109397682761</v>
      </c>
      <c r="AK16" s="895">
        <f t="shared" si="1"/>
        <v>0.53745358522945286</v>
      </c>
      <c r="AL16" s="895">
        <f t="shared" si="1"/>
        <v>0.54568730717942204</v>
      </c>
      <c r="AM16" s="895">
        <f t="shared" si="1"/>
        <v>0.60463751453283365</v>
      </c>
      <c r="AN16" s="895">
        <f t="shared" si="1"/>
        <v>0.45859380128313648</v>
      </c>
      <c r="AO16" s="895">
        <f t="shared" si="1"/>
        <v>0.54098387011419335</v>
      </c>
      <c r="AP16" s="895">
        <f t="shared" si="1"/>
        <v>0.56501885305288668</v>
      </c>
      <c r="AQ16" s="895">
        <f t="shared" si="1"/>
        <v>0.57199374655460544</v>
      </c>
      <c r="AR16" s="895">
        <f t="shared" si="1"/>
        <v>0.56432814138065224</v>
      </c>
      <c r="AS16" s="895">
        <f t="shared" si="1"/>
        <v>0.57558892673799356</v>
      </c>
      <c r="AT16" s="895">
        <f t="shared" si="1"/>
        <v>0.5753154051527456</v>
      </c>
      <c r="AU16" s="895">
        <f t="shared" si="1"/>
        <v>0.57000874415618896</v>
      </c>
      <c r="AV16" s="895">
        <f t="shared" si="1"/>
        <v>0.57340769375640244</v>
      </c>
      <c r="AW16" s="895">
        <f t="shared" si="1"/>
        <v>0.55695396115295315</v>
      </c>
      <c r="AX16" s="895">
        <f t="shared" si="1"/>
        <v>0.54203479029318724</v>
      </c>
      <c r="AY16" s="895">
        <f t="shared" si="2"/>
        <v>0.62737031784102748</v>
      </c>
      <c r="AZ16" s="895">
        <f t="shared" si="2"/>
        <v>0.57847891512808969</v>
      </c>
      <c r="BA16" s="895">
        <f t="shared" si="2"/>
        <v>0.5965143764025328</v>
      </c>
      <c r="BB16" s="895">
        <f t="shared" si="2"/>
        <v>0.63420645746410953</v>
      </c>
      <c r="BC16" s="895">
        <f t="shared" si="2"/>
        <v>0.60467993710182411</v>
      </c>
      <c r="BD16" s="895">
        <f t="shared" si="2"/>
        <v>0.63558070710207293</v>
      </c>
      <c r="BE16" s="895">
        <f t="shared" si="2"/>
        <v>0.58441378650570952</v>
      </c>
      <c r="BF16" s="895">
        <f t="shared" si="2"/>
        <v>0.56613436059574274</v>
      </c>
      <c r="BG16" s="895">
        <f t="shared" si="2"/>
        <v>0.55212430067024876</v>
      </c>
      <c r="BH16" s="895">
        <f t="shared" si="2"/>
        <v>0.58927436413615508</v>
      </c>
    </row>
    <row r="17" spans="1:60">
      <c r="A17" s="894" t="s">
        <v>284</v>
      </c>
      <c r="B17">
        <f t="shared" ref="B17:AC17" si="7">SUM(B13:B16)</f>
        <v>195601</v>
      </c>
      <c r="C17">
        <f t="shared" si="7"/>
        <v>573044</v>
      </c>
      <c r="D17">
        <f t="shared" si="7"/>
        <v>146036</v>
      </c>
      <c r="E17">
        <f t="shared" si="7"/>
        <v>661966</v>
      </c>
      <c r="F17">
        <f t="shared" si="7"/>
        <v>2982371</v>
      </c>
      <c r="G17">
        <f t="shared" si="7"/>
        <v>2247497</v>
      </c>
      <c r="H17">
        <f t="shared" si="7"/>
        <v>1447235</v>
      </c>
      <c r="I17">
        <f t="shared" si="7"/>
        <v>1492819</v>
      </c>
      <c r="J17">
        <f t="shared" si="7"/>
        <v>2905365</v>
      </c>
      <c r="K17">
        <f t="shared" si="7"/>
        <v>1150086</v>
      </c>
      <c r="L17">
        <f t="shared" si="7"/>
        <v>1444158</v>
      </c>
      <c r="M17">
        <f t="shared" si="7"/>
        <v>1167208</v>
      </c>
      <c r="N17">
        <f t="shared" si="7"/>
        <v>8435658</v>
      </c>
      <c r="O17">
        <f t="shared" si="7"/>
        <v>1333462</v>
      </c>
      <c r="P17">
        <f t="shared" si="7"/>
        <v>918589</v>
      </c>
      <c r="Q17">
        <f t="shared" si="7"/>
        <v>5933424</v>
      </c>
      <c r="R17">
        <f t="shared" si="7"/>
        <v>2274485</v>
      </c>
      <c r="S17">
        <f t="shared" si="7"/>
        <v>808014</v>
      </c>
      <c r="T17">
        <f t="shared" si="7"/>
        <v>5352890</v>
      </c>
      <c r="U17">
        <f t="shared" si="7"/>
        <v>919319</v>
      </c>
      <c r="V17">
        <f t="shared" si="7"/>
        <v>5491010</v>
      </c>
      <c r="W17">
        <f t="shared" si="7"/>
        <v>716078</v>
      </c>
      <c r="X17">
        <f t="shared" si="7"/>
        <v>157799</v>
      </c>
      <c r="Y17">
        <f t="shared" si="7"/>
        <v>3951197</v>
      </c>
      <c r="Z17">
        <f t="shared" si="7"/>
        <v>23486112</v>
      </c>
      <c r="AA17">
        <f t="shared" si="7"/>
        <v>541590</v>
      </c>
      <c r="AB17">
        <f t="shared" si="7"/>
        <v>489295</v>
      </c>
      <c r="AC17" s="893">
        <f t="shared" si="7"/>
        <v>77222308</v>
      </c>
      <c r="AE17">
        <f>ROUND(AC17/AC32,7)</f>
        <v>1.0031326</v>
      </c>
      <c r="AG17" s="894" t="s">
        <v>284</v>
      </c>
      <c r="AH17" s="895">
        <f t="shared" si="4"/>
        <v>1</v>
      </c>
      <c r="AI17" s="895">
        <f t="shared" si="1"/>
        <v>1</v>
      </c>
      <c r="AJ17" s="895">
        <f t="shared" si="1"/>
        <v>1</v>
      </c>
      <c r="AK17" s="895">
        <f t="shared" si="1"/>
        <v>1</v>
      </c>
      <c r="AL17" s="895">
        <f t="shared" si="1"/>
        <v>1</v>
      </c>
      <c r="AM17" s="895">
        <f t="shared" si="1"/>
        <v>1</v>
      </c>
      <c r="AN17" s="895">
        <f t="shared" si="1"/>
        <v>1</v>
      </c>
      <c r="AO17" s="895">
        <f t="shared" si="1"/>
        <v>1</v>
      </c>
      <c r="AP17" s="895">
        <f t="shared" si="1"/>
        <v>1</v>
      </c>
      <c r="AQ17" s="895">
        <f t="shared" si="1"/>
        <v>1</v>
      </c>
      <c r="AR17" s="895">
        <f t="shared" si="1"/>
        <v>1</v>
      </c>
      <c r="AS17" s="895">
        <f t="shared" si="1"/>
        <v>1</v>
      </c>
      <c r="AT17" s="895">
        <f t="shared" si="1"/>
        <v>1</v>
      </c>
      <c r="AU17" s="895">
        <f t="shared" si="1"/>
        <v>1</v>
      </c>
      <c r="AV17" s="895">
        <f t="shared" si="1"/>
        <v>1</v>
      </c>
      <c r="AW17" s="895">
        <f t="shared" si="1"/>
        <v>1</v>
      </c>
      <c r="AX17" s="895">
        <f t="shared" si="1"/>
        <v>1</v>
      </c>
      <c r="AY17" s="895">
        <f t="shared" si="2"/>
        <v>1</v>
      </c>
      <c r="AZ17" s="895">
        <f t="shared" si="2"/>
        <v>1</v>
      </c>
      <c r="BA17" s="895">
        <f t="shared" si="2"/>
        <v>1</v>
      </c>
      <c r="BB17" s="895">
        <f t="shared" si="2"/>
        <v>1</v>
      </c>
      <c r="BC17" s="895">
        <f t="shared" si="2"/>
        <v>1</v>
      </c>
      <c r="BD17" s="895">
        <f t="shared" si="2"/>
        <v>1</v>
      </c>
      <c r="BE17" s="895">
        <f t="shared" si="2"/>
        <v>1</v>
      </c>
      <c r="BF17" s="895">
        <f t="shared" si="2"/>
        <v>1</v>
      </c>
      <c r="BG17" s="895">
        <f t="shared" si="2"/>
        <v>1</v>
      </c>
      <c r="BH17" s="895">
        <f t="shared" si="2"/>
        <v>1</v>
      </c>
    </row>
    <row r="18" spans="1:60">
      <c r="A18" s="894"/>
    </row>
    <row r="21" spans="1:60">
      <c r="A21" s="893" t="s">
        <v>271</v>
      </c>
      <c r="B21" t="s">
        <v>163</v>
      </c>
      <c r="C21" t="s">
        <v>170</v>
      </c>
      <c r="D21" t="s">
        <v>272</v>
      </c>
      <c r="E21" t="s">
        <v>165</v>
      </c>
      <c r="F21" t="s">
        <v>171</v>
      </c>
      <c r="G21" t="s">
        <v>273</v>
      </c>
      <c r="H21" t="s">
        <v>186</v>
      </c>
      <c r="I21" t="s">
        <v>274</v>
      </c>
      <c r="J21" t="s">
        <v>275</v>
      </c>
      <c r="K21" t="s">
        <v>276</v>
      </c>
      <c r="L21" t="s">
        <v>188</v>
      </c>
      <c r="M21" t="s">
        <v>277</v>
      </c>
      <c r="N21" t="s">
        <v>180</v>
      </c>
      <c r="O21" t="s">
        <v>278</v>
      </c>
      <c r="P21" t="s">
        <v>279</v>
      </c>
      <c r="Q21" t="s">
        <v>280</v>
      </c>
      <c r="R21" t="s">
        <v>175</v>
      </c>
      <c r="S21" t="s">
        <v>281</v>
      </c>
      <c r="T21" t="s">
        <v>181</v>
      </c>
      <c r="U21" t="s">
        <v>177</v>
      </c>
      <c r="V21" t="s">
        <v>184</v>
      </c>
      <c r="W21" t="s">
        <v>282</v>
      </c>
      <c r="X21" t="s">
        <v>168</v>
      </c>
      <c r="Y21" t="s">
        <v>185</v>
      </c>
      <c r="Z21" t="s">
        <v>283</v>
      </c>
      <c r="AA21" t="s">
        <v>178</v>
      </c>
      <c r="AB21" t="s">
        <v>169</v>
      </c>
      <c r="AC21" s="893" t="s">
        <v>284</v>
      </c>
    </row>
    <row r="22" spans="1:60">
      <c r="A22" s="894" t="s">
        <v>292</v>
      </c>
      <c r="B22">
        <v>65113</v>
      </c>
      <c r="C22">
        <v>267589</v>
      </c>
      <c r="D22">
        <v>62437</v>
      </c>
      <c r="E22">
        <v>316825</v>
      </c>
      <c r="F22">
        <v>1368641</v>
      </c>
      <c r="G22">
        <v>845266</v>
      </c>
      <c r="H22">
        <v>1069432</v>
      </c>
      <c r="I22">
        <v>766194</v>
      </c>
      <c r="J22">
        <v>1455042</v>
      </c>
      <c r="K22">
        <v>324269</v>
      </c>
      <c r="L22">
        <v>522152</v>
      </c>
      <c r="M22">
        <v>559663</v>
      </c>
      <c r="N22">
        <v>4776582</v>
      </c>
      <c r="O22">
        <v>438676</v>
      </c>
      <c r="P22">
        <v>394380</v>
      </c>
      <c r="Q22">
        <v>3628103</v>
      </c>
      <c r="R22">
        <v>1059017</v>
      </c>
      <c r="S22">
        <v>238670</v>
      </c>
      <c r="T22">
        <v>3741808</v>
      </c>
      <c r="U22">
        <v>414160</v>
      </c>
      <c r="V22">
        <v>3488178</v>
      </c>
      <c r="W22">
        <v>205004</v>
      </c>
      <c r="X22">
        <v>51716</v>
      </c>
      <c r="Y22">
        <v>2350230</v>
      </c>
      <c r="Z22">
        <v>15316422</v>
      </c>
      <c r="AA22">
        <v>253663</v>
      </c>
      <c r="AB22">
        <v>152113</v>
      </c>
      <c r="AC22" s="893">
        <f>SUM(B22:AB22)</f>
        <v>44131345</v>
      </c>
    </row>
    <row r="23" spans="1:60">
      <c r="A23" s="894" t="s">
        <v>293</v>
      </c>
      <c r="B23">
        <v>6118</v>
      </c>
      <c r="C23">
        <v>18310</v>
      </c>
      <c r="D23">
        <v>3505</v>
      </c>
      <c r="E23">
        <v>18395</v>
      </c>
      <c r="F23">
        <v>102422</v>
      </c>
      <c r="G23">
        <v>58765</v>
      </c>
      <c r="H23">
        <v>21296</v>
      </c>
      <c r="I23">
        <v>62654</v>
      </c>
      <c r="J23">
        <v>95485</v>
      </c>
      <c r="K23">
        <v>31879</v>
      </c>
      <c r="L23">
        <v>56897</v>
      </c>
      <c r="M23">
        <v>43589</v>
      </c>
      <c r="N23">
        <v>290819</v>
      </c>
      <c r="O23">
        <v>48364</v>
      </c>
      <c r="P23">
        <v>24902</v>
      </c>
      <c r="Q23">
        <v>236505</v>
      </c>
      <c r="R23">
        <v>80555</v>
      </c>
      <c r="S23">
        <v>21148</v>
      </c>
      <c r="T23">
        <v>128526</v>
      </c>
      <c r="U23">
        <v>26157</v>
      </c>
      <c r="V23">
        <v>199680</v>
      </c>
      <c r="W23">
        <v>26155</v>
      </c>
      <c r="X23">
        <v>3674</v>
      </c>
      <c r="Y23">
        <v>134673</v>
      </c>
      <c r="Z23">
        <v>621477</v>
      </c>
      <c r="AA23">
        <v>18527</v>
      </c>
      <c r="AB23">
        <v>20459</v>
      </c>
      <c r="AC23" s="893">
        <f t="shared" ref="AC23:AC31" si="8">SUM(B23:AB23)</f>
        <v>2400936</v>
      </c>
    </row>
    <row r="24" spans="1:60">
      <c r="A24" s="894" t="s">
        <v>294</v>
      </c>
      <c r="B24">
        <v>552</v>
      </c>
      <c r="C24">
        <v>2038</v>
      </c>
      <c r="D24">
        <v>256</v>
      </c>
      <c r="E24">
        <v>2870</v>
      </c>
      <c r="F24">
        <v>17357</v>
      </c>
      <c r="G24">
        <v>6697</v>
      </c>
      <c r="H24">
        <v>2935</v>
      </c>
      <c r="I24">
        <v>16621</v>
      </c>
      <c r="J24">
        <v>24463</v>
      </c>
      <c r="K24">
        <v>2715</v>
      </c>
      <c r="L24">
        <v>24792</v>
      </c>
      <c r="M24">
        <v>13000</v>
      </c>
      <c r="N24">
        <v>56751</v>
      </c>
      <c r="O24">
        <v>5917</v>
      </c>
      <c r="P24">
        <v>2277</v>
      </c>
      <c r="Q24">
        <v>80140</v>
      </c>
      <c r="R24">
        <v>10181</v>
      </c>
      <c r="S24">
        <v>1876</v>
      </c>
      <c r="T24">
        <v>15441</v>
      </c>
      <c r="U24">
        <v>2512</v>
      </c>
      <c r="V24">
        <v>51982</v>
      </c>
      <c r="W24">
        <v>5034</v>
      </c>
      <c r="X24">
        <v>482</v>
      </c>
      <c r="Y24">
        <v>45903</v>
      </c>
      <c r="Z24">
        <v>153959</v>
      </c>
      <c r="AA24">
        <v>1743</v>
      </c>
      <c r="AB24">
        <v>3716</v>
      </c>
      <c r="AC24" s="893">
        <f t="shared" si="8"/>
        <v>552210</v>
      </c>
    </row>
    <row r="25" spans="1:60">
      <c r="A25" s="894" t="s">
        <v>79</v>
      </c>
      <c r="B25">
        <v>15860</v>
      </c>
      <c r="C25">
        <v>32834</v>
      </c>
      <c r="D25">
        <v>13419</v>
      </c>
      <c r="E25">
        <v>59663</v>
      </c>
      <c r="F25">
        <v>230068</v>
      </c>
      <c r="G25">
        <v>113586</v>
      </c>
      <c r="H25">
        <v>84842</v>
      </c>
      <c r="I25">
        <v>103690</v>
      </c>
      <c r="J25">
        <v>278837</v>
      </c>
      <c r="K25">
        <v>74059</v>
      </c>
      <c r="L25">
        <v>150502</v>
      </c>
      <c r="M25">
        <v>117803</v>
      </c>
      <c r="N25">
        <v>667672</v>
      </c>
      <c r="O25">
        <v>93524</v>
      </c>
      <c r="P25">
        <v>47522</v>
      </c>
      <c r="Q25">
        <v>438324</v>
      </c>
      <c r="R25">
        <v>113586</v>
      </c>
      <c r="S25">
        <v>44458</v>
      </c>
      <c r="T25">
        <v>213729</v>
      </c>
      <c r="U25">
        <v>51909</v>
      </c>
      <c r="V25">
        <v>330195</v>
      </c>
      <c r="W25">
        <v>54048</v>
      </c>
      <c r="X25">
        <v>13144</v>
      </c>
      <c r="Y25">
        <v>197095</v>
      </c>
      <c r="Z25">
        <v>1208724</v>
      </c>
      <c r="AA25">
        <v>30515</v>
      </c>
      <c r="AB25">
        <v>36872</v>
      </c>
      <c r="AC25" s="893">
        <f t="shared" si="8"/>
        <v>4816480</v>
      </c>
    </row>
    <row r="26" spans="1:60">
      <c r="A26" s="894" t="s">
        <v>134</v>
      </c>
      <c r="B26">
        <v>6046</v>
      </c>
      <c r="C26">
        <v>20935</v>
      </c>
      <c r="D26">
        <v>5770</v>
      </c>
      <c r="E26">
        <v>32354</v>
      </c>
      <c r="F26">
        <v>91972</v>
      </c>
      <c r="G26">
        <v>71445</v>
      </c>
      <c r="H26">
        <v>71606</v>
      </c>
      <c r="I26">
        <v>70062</v>
      </c>
      <c r="J26">
        <v>61174</v>
      </c>
      <c r="K26">
        <v>22604</v>
      </c>
      <c r="L26">
        <v>28263</v>
      </c>
      <c r="M26">
        <v>22548</v>
      </c>
      <c r="N26">
        <v>207411</v>
      </c>
      <c r="O26">
        <v>31840</v>
      </c>
      <c r="P26">
        <v>30618</v>
      </c>
      <c r="Q26">
        <v>224326</v>
      </c>
      <c r="R26">
        <v>85108</v>
      </c>
      <c r="S26">
        <v>28185</v>
      </c>
      <c r="T26">
        <v>278252</v>
      </c>
      <c r="U26">
        <v>31147</v>
      </c>
      <c r="V26">
        <v>228554</v>
      </c>
      <c r="W26">
        <v>17653</v>
      </c>
      <c r="X26">
        <v>7921</v>
      </c>
      <c r="Y26">
        <v>192925</v>
      </c>
      <c r="Z26">
        <v>1169872</v>
      </c>
      <c r="AA26">
        <v>10047</v>
      </c>
      <c r="AB26">
        <v>16719</v>
      </c>
      <c r="AC26" s="893">
        <f t="shared" si="8"/>
        <v>3065357</v>
      </c>
    </row>
    <row r="27" spans="1:60">
      <c r="A27" s="894" t="s">
        <v>295</v>
      </c>
      <c r="B27">
        <v>271</v>
      </c>
      <c r="C27">
        <v>5303</v>
      </c>
      <c r="D27">
        <v>365</v>
      </c>
      <c r="E27">
        <v>3183</v>
      </c>
      <c r="F27">
        <v>23046</v>
      </c>
      <c r="G27">
        <v>9383</v>
      </c>
      <c r="H27">
        <v>4858</v>
      </c>
      <c r="I27">
        <v>6658</v>
      </c>
      <c r="J27">
        <v>7536</v>
      </c>
      <c r="K27">
        <v>4006</v>
      </c>
      <c r="L27">
        <v>2681</v>
      </c>
      <c r="M27">
        <v>2941</v>
      </c>
      <c r="N27">
        <v>37781</v>
      </c>
      <c r="O27">
        <v>5679</v>
      </c>
      <c r="P27">
        <v>3788</v>
      </c>
      <c r="Q27">
        <v>18656</v>
      </c>
      <c r="R27">
        <v>14630</v>
      </c>
      <c r="S27">
        <v>2400</v>
      </c>
      <c r="T27">
        <v>35200</v>
      </c>
      <c r="U27">
        <v>4096</v>
      </c>
      <c r="V27">
        <v>17191</v>
      </c>
      <c r="W27">
        <v>954</v>
      </c>
      <c r="X27">
        <v>554</v>
      </c>
      <c r="Y27">
        <v>10348</v>
      </c>
      <c r="Z27">
        <v>102055</v>
      </c>
      <c r="AA27">
        <v>3041</v>
      </c>
      <c r="AB27">
        <v>1332</v>
      </c>
      <c r="AC27" s="893">
        <f t="shared" si="8"/>
        <v>327936</v>
      </c>
    </row>
    <row r="28" spans="1:60">
      <c r="A28" s="894" t="s">
        <v>4</v>
      </c>
      <c r="B28">
        <v>83687</v>
      </c>
      <c r="C28">
        <v>188681</v>
      </c>
      <c r="D28">
        <v>49462</v>
      </c>
      <c r="E28">
        <v>174453</v>
      </c>
      <c r="F28">
        <v>962912</v>
      </c>
      <c r="G28">
        <v>997019</v>
      </c>
      <c r="H28">
        <v>150762</v>
      </c>
      <c r="I28">
        <v>364182</v>
      </c>
      <c r="J28">
        <v>724154</v>
      </c>
      <c r="K28">
        <v>581160</v>
      </c>
      <c r="L28">
        <v>481094</v>
      </c>
      <c r="M28">
        <v>305133</v>
      </c>
      <c r="N28">
        <v>2048873</v>
      </c>
      <c r="O28">
        <v>559281</v>
      </c>
      <c r="P28">
        <v>354058</v>
      </c>
      <c r="Q28">
        <v>983283</v>
      </c>
      <c r="R28">
        <v>801866</v>
      </c>
      <c r="S28">
        <v>391007</v>
      </c>
      <c r="T28">
        <v>723416</v>
      </c>
      <c r="U28">
        <v>329103</v>
      </c>
      <c r="V28">
        <v>930747</v>
      </c>
      <c r="W28">
        <v>312834</v>
      </c>
      <c r="X28">
        <v>63169</v>
      </c>
      <c r="Y28">
        <v>743785</v>
      </c>
      <c r="Z28">
        <v>3873018</v>
      </c>
      <c r="AA28">
        <v>183938</v>
      </c>
      <c r="AB28">
        <v>178684</v>
      </c>
      <c r="AC28" s="893">
        <f t="shared" si="8"/>
        <v>17539761</v>
      </c>
    </row>
    <row r="29" spans="1:60">
      <c r="A29" s="894" t="s">
        <v>136</v>
      </c>
      <c r="B29">
        <v>15968</v>
      </c>
      <c r="C29">
        <v>27849</v>
      </c>
      <c r="D29">
        <v>8314</v>
      </c>
      <c r="E29">
        <v>39791</v>
      </c>
      <c r="F29">
        <v>131502</v>
      </c>
      <c r="G29">
        <v>112147</v>
      </c>
      <c r="H29">
        <v>14188</v>
      </c>
      <c r="I29">
        <v>81278</v>
      </c>
      <c r="J29">
        <v>211217</v>
      </c>
      <c r="K29">
        <v>89137</v>
      </c>
      <c r="L29">
        <v>153982</v>
      </c>
      <c r="M29">
        <v>85714</v>
      </c>
      <c r="N29">
        <v>218404</v>
      </c>
      <c r="O29">
        <v>122864</v>
      </c>
      <c r="P29">
        <v>49425</v>
      </c>
      <c r="Q29">
        <v>240620</v>
      </c>
      <c r="R29">
        <v>78547</v>
      </c>
      <c r="S29">
        <v>66591</v>
      </c>
      <c r="T29">
        <v>128414</v>
      </c>
      <c r="U29">
        <v>44692</v>
      </c>
      <c r="V29">
        <v>160201</v>
      </c>
      <c r="W29">
        <v>87391</v>
      </c>
      <c r="X29">
        <v>14850</v>
      </c>
      <c r="Y29">
        <v>224654</v>
      </c>
      <c r="Z29">
        <v>674006</v>
      </c>
      <c r="AA29">
        <v>31305</v>
      </c>
      <c r="AB29">
        <v>71365</v>
      </c>
      <c r="AC29" s="893">
        <f t="shared" si="8"/>
        <v>3184416</v>
      </c>
    </row>
    <row r="30" spans="1:60">
      <c r="A30" s="894" t="s">
        <v>296</v>
      </c>
      <c r="B30">
        <v>804</v>
      </c>
      <c r="C30">
        <v>5931</v>
      </c>
      <c r="D30">
        <v>941</v>
      </c>
      <c r="E30">
        <v>8253</v>
      </c>
      <c r="F30">
        <v>32984</v>
      </c>
      <c r="G30">
        <v>13232</v>
      </c>
      <c r="H30">
        <v>9256</v>
      </c>
      <c r="I30">
        <v>13266</v>
      </c>
      <c r="J30">
        <v>18676</v>
      </c>
      <c r="K30">
        <v>6742</v>
      </c>
      <c r="L30">
        <v>9194</v>
      </c>
      <c r="M30">
        <v>8044</v>
      </c>
      <c r="N30">
        <v>64873</v>
      </c>
      <c r="O30">
        <v>14062</v>
      </c>
      <c r="P30">
        <v>6148</v>
      </c>
      <c r="Q30">
        <v>35081</v>
      </c>
      <c r="R30">
        <v>17625</v>
      </c>
      <c r="S30">
        <v>5182</v>
      </c>
      <c r="T30">
        <v>43625</v>
      </c>
      <c r="U30">
        <v>5765</v>
      </c>
      <c r="V30">
        <v>36478</v>
      </c>
      <c r="W30">
        <v>4763</v>
      </c>
      <c r="X30">
        <v>784</v>
      </c>
      <c r="Y30">
        <v>16895</v>
      </c>
      <c r="Z30">
        <v>144615</v>
      </c>
      <c r="AA30">
        <v>5420</v>
      </c>
      <c r="AB30">
        <v>4336</v>
      </c>
      <c r="AC30" s="893">
        <f t="shared" si="8"/>
        <v>532975</v>
      </c>
    </row>
    <row r="31" spans="1:60">
      <c r="A31" s="894" t="s">
        <v>297</v>
      </c>
      <c r="B31">
        <v>785</v>
      </c>
      <c r="C31">
        <v>3261</v>
      </c>
      <c r="D31">
        <v>666</v>
      </c>
      <c r="E31">
        <v>4000</v>
      </c>
      <c r="F31">
        <v>16028</v>
      </c>
      <c r="G31">
        <v>17858</v>
      </c>
      <c r="H31">
        <v>14684</v>
      </c>
      <c r="I31">
        <v>9860</v>
      </c>
      <c r="J31">
        <v>12859</v>
      </c>
      <c r="K31">
        <v>5633</v>
      </c>
      <c r="L31">
        <v>7614</v>
      </c>
      <c r="M31">
        <v>6279</v>
      </c>
      <c r="N31">
        <v>33201</v>
      </c>
      <c r="O31">
        <v>8472</v>
      </c>
      <c r="P31">
        <v>5045</v>
      </c>
      <c r="Q31">
        <v>30570</v>
      </c>
      <c r="R31">
        <v>10800</v>
      </c>
      <c r="S31">
        <v>3030</v>
      </c>
      <c r="T31">
        <v>32959</v>
      </c>
      <c r="U31">
        <v>8576</v>
      </c>
      <c r="V31">
        <v>28229</v>
      </c>
      <c r="W31">
        <v>1942</v>
      </c>
      <c r="X31">
        <v>733</v>
      </c>
      <c r="Y31">
        <v>25054</v>
      </c>
      <c r="Z31">
        <v>136916</v>
      </c>
      <c r="AA31">
        <v>2707</v>
      </c>
      <c r="AB31">
        <v>1980</v>
      </c>
      <c r="AC31" s="893">
        <f t="shared" si="8"/>
        <v>429741</v>
      </c>
    </row>
    <row r="32" spans="1:60">
      <c r="A32" s="894" t="s">
        <v>284</v>
      </c>
      <c r="B32" s="893">
        <f t="shared" ref="B32:AA32" si="9">SUM(B22:B31)</f>
        <v>195204</v>
      </c>
      <c r="C32" s="893">
        <f t="shared" si="9"/>
        <v>572731</v>
      </c>
      <c r="D32" s="893">
        <f t="shared" si="9"/>
        <v>145135</v>
      </c>
      <c r="E32" s="893">
        <f t="shared" si="9"/>
        <v>659787</v>
      </c>
      <c r="F32" s="893">
        <f t="shared" si="9"/>
        <v>2976932</v>
      </c>
      <c r="G32" s="893">
        <f t="shared" si="9"/>
        <v>2245398</v>
      </c>
      <c r="H32" s="893">
        <f t="shared" si="9"/>
        <v>1443859</v>
      </c>
      <c r="I32" s="893">
        <f t="shared" si="9"/>
        <v>1494465</v>
      </c>
      <c r="J32" s="893">
        <f t="shared" si="9"/>
        <v>2889443</v>
      </c>
      <c r="K32" s="893">
        <f t="shared" si="9"/>
        <v>1142204</v>
      </c>
      <c r="L32" s="893">
        <f t="shared" si="9"/>
        <v>1437171</v>
      </c>
      <c r="M32" s="893">
        <f t="shared" si="9"/>
        <v>1164714</v>
      </c>
      <c r="N32" s="893">
        <f t="shared" si="9"/>
        <v>8402367</v>
      </c>
      <c r="O32" s="893">
        <f t="shared" si="9"/>
        <v>1328679</v>
      </c>
      <c r="P32" s="893">
        <f t="shared" si="9"/>
        <v>918163</v>
      </c>
      <c r="Q32" s="893">
        <f t="shared" si="9"/>
        <v>5915608</v>
      </c>
      <c r="R32" s="893">
        <f t="shared" si="9"/>
        <v>2271915</v>
      </c>
      <c r="S32" s="893">
        <f t="shared" si="9"/>
        <v>802547</v>
      </c>
      <c r="T32" s="893">
        <f t="shared" si="9"/>
        <v>5341370</v>
      </c>
      <c r="U32" s="893">
        <f t="shared" si="9"/>
        <v>918117</v>
      </c>
      <c r="V32" s="893">
        <f t="shared" si="9"/>
        <v>5471435</v>
      </c>
      <c r="W32" s="893">
        <f t="shared" si="9"/>
        <v>715778</v>
      </c>
      <c r="X32" s="893">
        <f t="shared" si="9"/>
        <v>157027</v>
      </c>
      <c r="Y32" s="893">
        <f t="shared" si="9"/>
        <v>3941562</v>
      </c>
      <c r="Z32" s="893">
        <f t="shared" si="9"/>
        <v>23401064</v>
      </c>
      <c r="AA32" s="893">
        <f t="shared" si="9"/>
        <v>540906</v>
      </c>
      <c r="AB32" s="893">
        <f>SUM(AB22:AB31)</f>
        <v>487576</v>
      </c>
      <c r="AC32" s="893">
        <f>SUM(AC22:AC31)</f>
        <v>76981157</v>
      </c>
    </row>
    <row r="34" spans="1:61" s="893" customFormat="1">
      <c r="A34" s="893" t="s">
        <v>271</v>
      </c>
      <c r="B34" s="893" t="s">
        <v>163</v>
      </c>
      <c r="C34" s="893" t="s">
        <v>170</v>
      </c>
      <c r="D34" s="893" t="s">
        <v>272</v>
      </c>
      <c r="E34" s="893" t="s">
        <v>165</v>
      </c>
      <c r="F34" s="893" t="s">
        <v>171</v>
      </c>
      <c r="G34" s="893" t="s">
        <v>273</v>
      </c>
      <c r="H34" s="893" t="s">
        <v>186</v>
      </c>
      <c r="I34" s="893" t="s">
        <v>274</v>
      </c>
      <c r="J34" s="893" t="s">
        <v>275</v>
      </c>
      <c r="K34" s="893" t="s">
        <v>276</v>
      </c>
      <c r="L34" s="893" t="s">
        <v>188</v>
      </c>
      <c r="M34" s="893" t="s">
        <v>277</v>
      </c>
      <c r="N34" s="893" t="s">
        <v>180</v>
      </c>
      <c r="O34" s="893" t="s">
        <v>278</v>
      </c>
      <c r="P34" s="893" t="s">
        <v>279</v>
      </c>
      <c r="Q34" s="893" t="s">
        <v>280</v>
      </c>
      <c r="R34" s="893" t="s">
        <v>175</v>
      </c>
      <c r="S34" s="893" t="s">
        <v>281</v>
      </c>
      <c r="T34" s="893" t="s">
        <v>181</v>
      </c>
      <c r="U34" s="893" t="s">
        <v>177</v>
      </c>
      <c r="V34" s="893" t="s">
        <v>184</v>
      </c>
      <c r="W34" s="893" t="s">
        <v>282</v>
      </c>
      <c r="X34" s="893" t="s">
        <v>168</v>
      </c>
      <c r="Y34" s="893" t="s">
        <v>185</v>
      </c>
      <c r="Z34" s="893" t="s">
        <v>283</v>
      </c>
      <c r="AA34" s="893" t="s">
        <v>178</v>
      </c>
      <c r="AB34" s="893" t="s">
        <v>169</v>
      </c>
      <c r="AC34" s="893" t="s">
        <v>284</v>
      </c>
      <c r="AG34" s="893" t="s">
        <v>271</v>
      </c>
      <c r="AH34" s="893" t="s">
        <v>163</v>
      </c>
      <c r="AI34" s="893" t="s">
        <v>170</v>
      </c>
      <c r="AJ34" s="893" t="s">
        <v>272</v>
      </c>
      <c r="AK34" s="893" t="s">
        <v>165</v>
      </c>
      <c r="AL34" s="893" t="s">
        <v>171</v>
      </c>
      <c r="AM34" s="893" t="s">
        <v>273</v>
      </c>
      <c r="AN34" s="893" t="s">
        <v>186</v>
      </c>
      <c r="AO34" s="893" t="s">
        <v>274</v>
      </c>
      <c r="AP34" s="893" t="s">
        <v>275</v>
      </c>
      <c r="AQ34" s="893" t="s">
        <v>276</v>
      </c>
      <c r="AR34" s="893" t="s">
        <v>188</v>
      </c>
      <c r="AS34" s="893" t="s">
        <v>277</v>
      </c>
      <c r="AT34" s="893" t="s">
        <v>180</v>
      </c>
      <c r="AU34" s="893" t="s">
        <v>278</v>
      </c>
      <c r="AV34" s="893" t="s">
        <v>279</v>
      </c>
      <c r="AW34" s="893" t="s">
        <v>280</v>
      </c>
      <c r="AX34" s="893" t="s">
        <v>175</v>
      </c>
      <c r="AY34" s="893" t="s">
        <v>281</v>
      </c>
      <c r="AZ34" s="893" t="s">
        <v>181</v>
      </c>
      <c r="BA34" s="893" t="s">
        <v>177</v>
      </c>
      <c r="BB34" s="893" t="s">
        <v>184</v>
      </c>
      <c r="BC34" s="893" t="s">
        <v>282</v>
      </c>
      <c r="BD34" s="893" t="s">
        <v>168</v>
      </c>
      <c r="BE34" s="893" t="s">
        <v>185</v>
      </c>
      <c r="BF34" s="893" t="s">
        <v>283</v>
      </c>
      <c r="BG34" s="893" t="s">
        <v>178</v>
      </c>
      <c r="BH34" s="893" t="s">
        <v>169</v>
      </c>
      <c r="BI34" s="893" t="s">
        <v>284</v>
      </c>
    </row>
    <row r="35" spans="1:61">
      <c r="A35" s="894" t="s">
        <v>292</v>
      </c>
      <c r="B35">
        <f>ROUND(B22*$AE$17,0)</f>
        <v>65317</v>
      </c>
      <c r="C35">
        <f t="shared" ref="C35:AB44" si="10">ROUND(C22*$AE$17,0)</f>
        <v>268427</v>
      </c>
      <c r="D35">
        <f t="shared" si="10"/>
        <v>62633</v>
      </c>
      <c r="E35">
        <f t="shared" si="10"/>
        <v>317817</v>
      </c>
      <c r="F35">
        <f t="shared" si="10"/>
        <v>1372928</v>
      </c>
      <c r="G35">
        <f t="shared" si="10"/>
        <v>847914</v>
      </c>
      <c r="H35">
        <f t="shared" si="10"/>
        <v>1072782</v>
      </c>
      <c r="I35">
        <f t="shared" si="10"/>
        <v>768594</v>
      </c>
      <c r="J35">
        <f t="shared" si="10"/>
        <v>1459600</v>
      </c>
      <c r="K35">
        <f t="shared" si="10"/>
        <v>325285</v>
      </c>
      <c r="L35">
        <f t="shared" si="10"/>
        <v>523788</v>
      </c>
      <c r="M35">
        <f t="shared" si="10"/>
        <v>561416</v>
      </c>
      <c r="N35">
        <f t="shared" si="10"/>
        <v>4791545</v>
      </c>
      <c r="O35">
        <f t="shared" si="10"/>
        <v>440050</v>
      </c>
      <c r="P35">
        <f t="shared" si="10"/>
        <v>395615</v>
      </c>
      <c r="Q35">
        <f t="shared" si="10"/>
        <v>3639468</v>
      </c>
      <c r="R35">
        <f t="shared" si="10"/>
        <v>1062334</v>
      </c>
      <c r="S35">
        <f t="shared" si="10"/>
        <v>239418</v>
      </c>
      <c r="T35">
        <f t="shared" si="10"/>
        <v>3753530</v>
      </c>
      <c r="U35">
        <f t="shared" si="10"/>
        <v>415457</v>
      </c>
      <c r="V35">
        <f t="shared" si="10"/>
        <v>3499105</v>
      </c>
      <c r="W35">
        <f t="shared" si="10"/>
        <v>205646</v>
      </c>
      <c r="X35">
        <f t="shared" si="10"/>
        <v>51878</v>
      </c>
      <c r="Y35">
        <f t="shared" si="10"/>
        <v>2357592</v>
      </c>
      <c r="Z35">
        <f t="shared" si="10"/>
        <v>15364402</v>
      </c>
      <c r="AA35">
        <f t="shared" si="10"/>
        <v>254458</v>
      </c>
      <c r="AB35">
        <f t="shared" si="10"/>
        <v>152590</v>
      </c>
      <c r="AC35" s="893">
        <f>SUM(B35:AB35)</f>
        <v>44269589</v>
      </c>
      <c r="AG35" s="894" t="s">
        <v>292</v>
      </c>
      <c r="AH35" s="896">
        <f t="shared" ref="AH35:BI44" si="11">B35/B$45</f>
        <v>0.33356314090779099</v>
      </c>
      <c r="AI35" s="896">
        <f t="shared" si="11"/>
        <v>0.46721552586919629</v>
      </c>
      <c r="AJ35" s="896">
        <f t="shared" si="11"/>
        <v>0.43020125008585752</v>
      </c>
      <c r="AK35" s="896">
        <f t="shared" si="11"/>
        <v>0.48019200609197799</v>
      </c>
      <c r="AL35" s="896">
        <f t="shared" si="11"/>
        <v>0.4597489297635568</v>
      </c>
      <c r="AM35" s="896">
        <f t="shared" si="11"/>
        <v>0.3764439399031535</v>
      </c>
      <c r="AN35" s="896">
        <f t="shared" si="11"/>
        <v>0.74067665897301882</v>
      </c>
      <c r="AO35" s="896">
        <f t="shared" si="11"/>
        <v>0.5126875483191442</v>
      </c>
      <c r="AP35" s="896">
        <f t="shared" si="11"/>
        <v>0.50357168116557038</v>
      </c>
      <c r="AQ35" s="896">
        <f t="shared" si="11"/>
        <v>0.28389731397890006</v>
      </c>
      <c r="AR35" s="896">
        <f t="shared" si="11"/>
        <v>0.3633195599834359</v>
      </c>
      <c r="AS35" s="896">
        <f t="shared" si="11"/>
        <v>0.48051463413799123</v>
      </c>
      <c r="AT35" s="896">
        <f t="shared" si="11"/>
        <v>0.56848052745575584</v>
      </c>
      <c r="AU35" s="896">
        <f t="shared" si="11"/>
        <v>0.33015891594133745</v>
      </c>
      <c r="AV35" s="896">
        <f t="shared" si="11"/>
        <v>0.42953121420482737</v>
      </c>
      <c r="AW35" s="896">
        <f t="shared" si="11"/>
        <v>0.61331020388973023</v>
      </c>
      <c r="AX35" s="896">
        <f t="shared" si="11"/>
        <v>0.46613386736123058</v>
      </c>
      <c r="AY35" s="896">
        <f t="shared" si="11"/>
        <v>0.29739112936783674</v>
      </c>
      <c r="AZ35" s="896">
        <f t="shared" si="11"/>
        <v>0.70053337907091373</v>
      </c>
      <c r="BA35" s="896">
        <f t="shared" si="11"/>
        <v>0.45109631550259827</v>
      </c>
      <c r="BB35" s="896">
        <f t="shared" si="11"/>
        <v>0.63752522284928237</v>
      </c>
      <c r="BC35" s="896">
        <f t="shared" si="11"/>
        <v>0.28640706387008719</v>
      </c>
      <c r="BD35" s="896">
        <f t="shared" si="11"/>
        <v>0.32934230573895379</v>
      </c>
      <c r="BE35" s="896">
        <f t="shared" si="11"/>
        <v>0.59626880544514438</v>
      </c>
      <c r="BF35" s="896">
        <f t="shared" si="11"/>
        <v>0.65451818302259013</v>
      </c>
      <c r="BG35" s="896">
        <f t="shared" si="11"/>
        <v>0.46896056026538885</v>
      </c>
      <c r="BH35" s="896">
        <f t="shared" si="11"/>
        <v>0.31197800063381076</v>
      </c>
      <c r="BI35" s="896">
        <f t="shared" si="11"/>
        <v>0.57327457933045856</v>
      </c>
    </row>
    <row r="36" spans="1:61" s="898" customFormat="1">
      <c r="A36" s="897" t="s">
        <v>293</v>
      </c>
      <c r="B36" s="898">
        <f t="shared" ref="B36:Q44" si="12">ROUND(B23*$AE$17,0)</f>
        <v>6137</v>
      </c>
      <c r="C36" s="898">
        <f t="shared" si="12"/>
        <v>18367</v>
      </c>
      <c r="D36" s="898">
        <f t="shared" si="12"/>
        <v>3516</v>
      </c>
      <c r="E36" s="898">
        <f t="shared" si="12"/>
        <v>18453</v>
      </c>
      <c r="F36" s="898">
        <f t="shared" si="12"/>
        <v>102743</v>
      </c>
      <c r="G36" s="898">
        <f t="shared" si="12"/>
        <v>58949</v>
      </c>
      <c r="H36" s="898">
        <f t="shared" si="12"/>
        <v>21363</v>
      </c>
      <c r="I36" s="898">
        <f t="shared" si="12"/>
        <v>62850</v>
      </c>
      <c r="J36" s="898">
        <f t="shared" si="12"/>
        <v>95784</v>
      </c>
      <c r="K36" s="898">
        <f t="shared" si="12"/>
        <v>31979</v>
      </c>
      <c r="L36" s="898">
        <f t="shared" si="12"/>
        <v>57075</v>
      </c>
      <c r="M36" s="898">
        <f t="shared" si="12"/>
        <v>43726</v>
      </c>
      <c r="N36" s="898">
        <f t="shared" si="12"/>
        <v>291730</v>
      </c>
      <c r="O36" s="898">
        <f t="shared" si="12"/>
        <v>48516</v>
      </c>
      <c r="P36" s="898">
        <f t="shared" si="12"/>
        <v>24980</v>
      </c>
      <c r="Q36" s="898">
        <f t="shared" si="12"/>
        <v>237246</v>
      </c>
      <c r="R36" s="898">
        <f t="shared" si="10"/>
        <v>80807</v>
      </c>
      <c r="S36" s="898">
        <f t="shared" si="10"/>
        <v>21214</v>
      </c>
      <c r="T36" s="898">
        <f t="shared" si="10"/>
        <v>128929</v>
      </c>
      <c r="U36" s="898">
        <f t="shared" si="10"/>
        <v>26239</v>
      </c>
      <c r="V36" s="898">
        <f t="shared" si="10"/>
        <v>200306</v>
      </c>
      <c r="W36" s="898">
        <f t="shared" si="10"/>
        <v>26237</v>
      </c>
      <c r="X36" s="898">
        <f t="shared" si="10"/>
        <v>3686</v>
      </c>
      <c r="Y36" s="898">
        <f t="shared" si="10"/>
        <v>135095</v>
      </c>
      <c r="Z36" s="898">
        <f t="shared" si="10"/>
        <v>623424</v>
      </c>
      <c r="AA36" s="898">
        <f t="shared" si="10"/>
        <v>18585</v>
      </c>
      <c r="AB36" s="898">
        <f t="shared" si="10"/>
        <v>20523</v>
      </c>
      <c r="AC36" s="899">
        <f t="shared" ref="AC36:AC44" si="13">SUM(B36:AB36)</f>
        <v>2408459</v>
      </c>
      <c r="AG36" s="897" t="s">
        <v>293</v>
      </c>
      <c r="AH36" s="896">
        <f t="shared" si="11"/>
        <v>3.1340646321036073E-2</v>
      </c>
      <c r="AI36" s="896">
        <f t="shared" si="11"/>
        <v>3.1969017884339236E-2</v>
      </c>
      <c r="AJ36" s="896">
        <f t="shared" si="11"/>
        <v>2.4150010302905419E-2</v>
      </c>
      <c r="AK36" s="896">
        <f t="shared" si="11"/>
        <v>2.7880771287927548E-2</v>
      </c>
      <c r="AL36" s="896">
        <f t="shared" si="11"/>
        <v>3.4405288762919185E-2</v>
      </c>
      <c r="AM36" s="896">
        <f t="shared" si="11"/>
        <v>2.6171278942617997E-2</v>
      </c>
      <c r="AN36" s="896">
        <f t="shared" si="11"/>
        <v>1.4749572108443841E-2</v>
      </c>
      <c r="AO36" s="896">
        <f t="shared" si="11"/>
        <v>4.192384069073947E-2</v>
      </c>
      <c r="AP36" s="896">
        <f t="shared" si="11"/>
        <v>3.3046115311566863E-2</v>
      </c>
      <c r="AQ36" s="896">
        <f t="shared" si="11"/>
        <v>2.7910147113242984E-2</v>
      </c>
      <c r="AR36" s="896">
        <f t="shared" si="11"/>
        <v>3.9589421456876835E-2</v>
      </c>
      <c r="AS36" s="896">
        <f t="shared" si="11"/>
        <v>3.7424980571123381E-2</v>
      </c>
      <c r="AT36" s="896">
        <f t="shared" si="11"/>
        <v>3.4611555202897534E-2</v>
      </c>
      <c r="AU36" s="896">
        <f t="shared" si="11"/>
        <v>3.6400386242040512E-2</v>
      </c>
      <c r="AV36" s="896">
        <f t="shared" si="11"/>
        <v>2.7121544255997845E-2</v>
      </c>
      <c r="AW36" s="896">
        <f t="shared" si="11"/>
        <v>3.9979852174005362E-2</v>
      </c>
      <c r="AX36" s="896">
        <f t="shared" si="11"/>
        <v>3.5456720221567754E-2</v>
      </c>
      <c r="AY36" s="896">
        <f t="shared" si="11"/>
        <v>2.6350798262491912E-2</v>
      </c>
      <c r="AZ36" s="896">
        <f t="shared" si="11"/>
        <v>2.4062434036822362E-2</v>
      </c>
      <c r="BA36" s="896">
        <f t="shared" si="11"/>
        <v>2.848987072662797E-2</v>
      </c>
      <c r="BB36" s="896">
        <f t="shared" si="11"/>
        <v>3.6495082967801296E-2</v>
      </c>
      <c r="BC36" s="896">
        <f t="shared" si="11"/>
        <v>3.6540764881201081E-2</v>
      </c>
      <c r="BD36" s="896">
        <f t="shared" si="11"/>
        <v>2.34002031488065E-2</v>
      </c>
      <c r="BE36" s="896">
        <f t="shared" si="11"/>
        <v>3.4167461660716436E-2</v>
      </c>
      <c r="BF36" s="896">
        <f t="shared" si="11"/>
        <v>2.6557645636496315E-2</v>
      </c>
      <c r="BG36" s="896">
        <f t="shared" si="11"/>
        <v>3.4251750829340212E-2</v>
      </c>
      <c r="BH36" s="896">
        <f t="shared" si="11"/>
        <v>4.1960315269727357E-2</v>
      </c>
      <c r="BI36" s="896">
        <f t="shared" si="11"/>
        <v>3.1188641034360108E-2</v>
      </c>
    </row>
    <row r="37" spans="1:61" s="898" customFormat="1">
      <c r="A37" s="897" t="s">
        <v>294</v>
      </c>
      <c r="B37" s="898">
        <f t="shared" si="12"/>
        <v>554</v>
      </c>
      <c r="C37" s="898">
        <f t="shared" si="10"/>
        <v>2044</v>
      </c>
      <c r="D37" s="898">
        <f t="shared" si="10"/>
        <v>257</v>
      </c>
      <c r="E37" s="898">
        <f t="shared" si="10"/>
        <v>2879</v>
      </c>
      <c r="F37" s="898">
        <f t="shared" si="10"/>
        <v>17411</v>
      </c>
      <c r="G37" s="898">
        <f t="shared" si="10"/>
        <v>6718</v>
      </c>
      <c r="H37" s="898">
        <f t="shared" si="10"/>
        <v>2944</v>
      </c>
      <c r="I37" s="898">
        <f t="shared" si="10"/>
        <v>16673</v>
      </c>
      <c r="J37" s="898">
        <f t="shared" si="10"/>
        <v>24540</v>
      </c>
      <c r="K37" s="898">
        <f t="shared" si="10"/>
        <v>2724</v>
      </c>
      <c r="L37" s="898">
        <f t="shared" si="10"/>
        <v>24870</v>
      </c>
      <c r="M37" s="898">
        <f t="shared" si="10"/>
        <v>13041</v>
      </c>
      <c r="N37" s="898">
        <f t="shared" si="10"/>
        <v>56929</v>
      </c>
      <c r="O37" s="898">
        <f t="shared" si="10"/>
        <v>5936</v>
      </c>
      <c r="P37" s="898">
        <f t="shared" si="10"/>
        <v>2284</v>
      </c>
      <c r="Q37" s="898">
        <f t="shared" si="10"/>
        <v>80391</v>
      </c>
      <c r="R37" s="898">
        <f t="shared" si="10"/>
        <v>10213</v>
      </c>
      <c r="S37" s="898">
        <f t="shared" si="10"/>
        <v>1882</v>
      </c>
      <c r="T37" s="898">
        <f t="shared" si="10"/>
        <v>15489</v>
      </c>
      <c r="U37" s="898">
        <f t="shared" si="10"/>
        <v>2520</v>
      </c>
      <c r="V37" s="898">
        <f t="shared" si="10"/>
        <v>52145</v>
      </c>
      <c r="W37" s="898">
        <f t="shared" si="10"/>
        <v>5050</v>
      </c>
      <c r="X37" s="898">
        <f t="shared" si="10"/>
        <v>484</v>
      </c>
      <c r="Y37" s="898">
        <f t="shared" si="10"/>
        <v>46047</v>
      </c>
      <c r="Z37" s="898">
        <f t="shared" si="10"/>
        <v>154441</v>
      </c>
      <c r="AA37" s="898">
        <f t="shared" si="10"/>
        <v>1748</v>
      </c>
      <c r="AB37" s="898">
        <f t="shared" si="10"/>
        <v>3728</v>
      </c>
      <c r="AC37" s="899">
        <f t="shared" si="13"/>
        <v>553942</v>
      </c>
      <c r="AG37" s="897" t="s">
        <v>294</v>
      </c>
      <c r="AH37" s="896">
        <f t="shared" si="11"/>
        <v>2.8291865833231199E-3</v>
      </c>
      <c r="AI37" s="896">
        <f t="shared" si="11"/>
        <v>3.557721596101127E-3</v>
      </c>
      <c r="AJ37" s="896">
        <f t="shared" si="11"/>
        <v>1.7652311285115737E-3</v>
      </c>
      <c r="AK37" s="896">
        <f t="shared" si="11"/>
        <v>4.3499019421201655E-3</v>
      </c>
      <c r="AL37" s="896">
        <f t="shared" si="11"/>
        <v>5.8303775697729869E-3</v>
      </c>
      <c r="AM37" s="896">
        <f t="shared" si="11"/>
        <v>2.9825552924817676E-3</v>
      </c>
      <c r="AN37" s="896">
        <f t="shared" si="11"/>
        <v>2.0326143466394548E-3</v>
      </c>
      <c r="AO37" s="896">
        <f t="shared" si="11"/>
        <v>1.1121657849430377E-2</v>
      </c>
      <c r="AP37" s="896">
        <f t="shared" si="11"/>
        <v>8.4664627677467092E-3</v>
      </c>
      <c r="AQ37" s="896">
        <f t="shared" si="11"/>
        <v>2.3774114492783982E-3</v>
      </c>
      <c r="AR37" s="896">
        <f t="shared" si="11"/>
        <v>1.725079126820021E-2</v>
      </c>
      <c r="AS37" s="896">
        <f t="shared" si="11"/>
        <v>1.1161761231944839E-2</v>
      </c>
      <c r="AT37" s="896">
        <f t="shared" si="11"/>
        <v>6.7541947216458835E-3</v>
      </c>
      <c r="AU37" s="896">
        <f t="shared" si="11"/>
        <v>4.4536378253102575E-3</v>
      </c>
      <c r="AV37" s="896">
        <f t="shared" si="11"/>
        <v>2.4798081297317488E-3</v>
      </c>
      <c r="AW37" s="896">
        <f t="shared" si="11"/>
        <v>1.3547205415983683E-2</v>
      </c>
      <c r="AX37" s="896">
        <f t="shared" si="11"/>
        <v>4.4812885470673514E-3</v>
      </c>
      <c r="AY37" s="896">
        <f t="shared" si="11"/>
        <v>2.3377110554355508E-3</v>
      </c>
      <c r="AZ37" s="896">
        <f t="shared" si="11"/>
        <v>2.8907618983808263E-3</v>
      </c>
      <c r="BA37" s="896">
        <f t="shared" si="11"/>
        <v>2.7361741770304693E-3</v>
      </c>
      <c r="BB37" s="896">
        <f t="shared" si="11"/>
        <v>9.5006445206633778E-3</v>
      </c>
      <c r="BC37" s="896">
        <f t="shared" si="11"/>
        <v>7.0332302721372664E-3</v>
      </c>
      <c r="BD37" s="896">
        <f t="shared" si="11"/>
        <v>3.0726256983240221E-3</v>
      </c>
      <c r="BE37" s="896">
        <f t="shared" si="11"/>
        <v>1.1645946238506307E-2</v>
      </c>
      <c r="BF37" s="896">
        <f t="shared" si="11"/>
        <v>6.5791329011172612E-3</v>
      </c>
      <c r="BG37" s="896">
        <f t="shared" si="11"/>
        <v>3.2215259859933653E-3</v>
      </c>
      <c r="BH37" s="896">
        <f t="shared" si="11"/>
        <v>7.6220852373212293E-3</v>
      </c>
      <c r="BI37" s="896">
        <f t="shared" si="11"/>
        <v>7.173341207741343E-3</v>
      </c>
    </row>
    <row r="38" spans="1:61">
      <c r="A38" s="894" t="s">
        <v>79</v>
      </c>
      <c r="B38">
        <f t="shared" si="12"/>
        <v>15910</v>
      </c>
      <c r="C38">
        <f t="shared" si="10"/>
        <v>32937</v>
      </c>
      <c r="D38">
        <f t="shared" si="10"/>
        <v>13461</v>
      </c>
      <c r="E38">
        <f t="shared" si="10"/>
        <v>59850</v>
      </c>
      <c r="F38">
        <f t="shared" si="10"/>
        <v>230789</v>
      </c>
      <c r="G38">
        <f t="shared" si="10"/>
        <v>113942</v>
      </c>
      <c r="H38">
        <f t="shared" si="10"/>
        <v>85108</v>
      </c>
      <c r="I38">
        <f t="shared" si="10"/>
        <v>104015</v>
      </c>
      <c r="J38">
        <f t="shared" si="10"/>
        <v>279710</v>
      </c>
      <c r="K38">
        <f t="shared" si="10"/>
        <v>74291</v>
      </c>
      <c r="L38">
        <f t="shared" si="10"/>
        <v>150973</v>
      </c>
      <c r="M38">
        <f t="shared" si="10"/>
        <v>118172</v>
      </c>
      <c r="N38">
        <f t="shared" si="10"/>
        <v>669764</v>
      </c>
      <c r="O38">
        <f t="shared" si="10"/>
        <v>93817</v>
      </c>
      <c r="P38">
        <f t="shared" si="10"/>
        <v>47671</v>
      </c>
      <c r="Q38">
        <f t="shared" si="10"/>
        <v>439697</v>
      </c>
      <c r="R38">
        <f t="shared" si="10"/>
        <v>113942</v>
      </c>
      <c r="S38">
        <f t="shared" si="10"/>
        <v>44597</v>
      </c>
      <c r="T38">
        <f t="shared" si="10"/>
        <v>214399</v>
      </c>
      <c r="U38">
        <f t="shared" si="10"/>
        <v>52072</v>
      </c>
      <c r="V38">
        <f t="shared" si="10"/>
        <v>331229</v>
      </c>
      <c r="W38">
        <f t="shared" si="10"/>
        <v>54217</v>
      </c>
      <c r="X38">
        <f t="shared" si="10"/>
        <v>13185</v>
      </c>
      <c r="Y38">
        <f t="shared" si="10"/>
        <v>197712</v>
      </c>
      <c r="Z38">
        <f t="shared" si="10"/>
        <v>1212510</v>
      </c>
      <c r="AA38">
        <f t="shared" si="10"/>
        <v>30611</v>
      </c>
      <c r="AB38">
        <f t="shared" si="10"/>
        <v>36988</v>
      </c>
      <c r="AC38" s="893">
        <f t="shared" si="13"/>
        <v>4831569</v>
      </c>
      <c r="AG38" s="894" t="s">
        <v>79</v>
      </c>
      <c r="AH38" s="896">
        <f t="shared" si="11"/>
        <v>8.1249744658250606E-2</v>
      </c>
      <c r="AI38" s="896">
        <f t="shared" si="11"/>
        <v>5.7329097950480835E-2</v>
      </c>
      <c r="AJ38" s="896">
        <f t="shared" si="11"/>
        <v>9.2458273233051724E-2</v>
      </c>
      <c r="AK38" s="896">
        <f t="shared" si="11"/>
        <v>9.042779827575266E-2</v>
      </c>
      <c r="AL38" s="896">
        <f t="shared" si="11"/>
        <v>7.7283729191335235E-2</v>
      </c>
      <c r="AM38" s="896">
        <f t="shared" si="11"/>
        <v>5.0586233274182428E-2</v>
      </c>
      <c r="AN38" s="896">
        <f t="shared" si="11"/>
        <v>5.8760781866097386E-2</v>
      </c>
      <c r="AO38" s="896">
        <f t="shared" si="11"/>
        <v>6.9382789012685214E-2</v>
      </c>
      <c r="AP38" s="896">
        <f t="shared" si="11"/>
        <v>9.6501805247205877E-2</v>
      </c>
      <c r="AQ38" s="896">
        <f t="shared" si="11"/>
        <v>6.483857341348806E-2</v>
      </c>
      <c r="AR38" s="896">
        <f t="shared" si="11"/>
        <v>0.10472069602468799</v>
      </c>
      <c r="AS38" s="896">
        <f t="shared" si="11"/>
        <v>0.10114313689911705</v>
      </c>
      <c r="AT38" s="896">
        <f t="shared" si="11"/>
        <v>7.946242641796683E-2</v>
      </c>
      <c r="AU38" s="896">
        <f t="shared" si="11"/>
        <v>7.0388635420675957E-2</v>
      </c>
      <c r="AV38" s="896">
        <f t="shared" si="11"/>
        <v>5.1757851730491328E-2</v>
      </c>
      <c r="AW38" s="896">
        <f t="shared" si="11"/>
        <v>7.4096174693582331E-2</v>
      </c>
      <c r="AX38" s="896">
        <f t="shared" si="11"/>
        <v>4.9995787685297971E-2</v>
      </c>
      <c r="AY38" s="896">
        <f t="shared" si="11"/>
        <v>5.5395802305663794E-2</v>
      </c>
      <c r="AZ38" s="896">
        <f t="shared" si="11"/>
        <v>4.0013975095290255E-2</v>
      </c>
      <c r="BA38" s="896">
        <f t="shared" si="11"/>
        <v>5.6538913391401033E-2</v>
      </c>
      <c r="BB38" s="896">
        <f t="shared" si="11"/>
        <v>6.0348815494003449E-2</v>
      </c>
      <c r="BC38" s="896">
        <f t="shared" si="11"/>
        <v>7.550903874543885E-2</v>
      </c>
      <c r="BD38" s="896">
        <f t="shared" si="11"/>
        <v>8.3703656678517008E-2</v>
      </c>
      <c r="BE38" s="896">
        <f t="shared" si="11"/>
        <v>5.0004198377908642E-2</v>
      </c>
      <c r="BF38" s="896">
        <f t="shared" si="11"/>
        <v>5.1652504412258986E-2</v>
      </c>
      <c r="BG38" s="896">
        <f t="shared" si="11"/>
        <v>5.641540729819388E-2</v>
      </c>
      <c r="BH38" s="896">
        <f t="shared" si="11"/>
        <v>7.5623843550975761E-2</v>
      </c>
      <c r="BI38" s="896">
        <f t="shared" si="11"/>
        <v>6.2567007025547142E-2</v>
      </c>
    </row>
    <row r="39" spans="1:61">
      <c r="A39" s="894" t="s">
        <v>134</v>
      </c>
      <c r="B39">
        <f t="shared" si="12"/>
        <v>6065</v>
      </c>
      <c r="C39">
        <f t="shared" si="10"/>
        <v>21001</v>
      </c>
      <c r="D39">
        <f t="shared" si="10"/>
        <v>5788</v>
      </c>
      <c r="E39">
        <f t="shared" si="10"/>
        <v>32455</v>
      </c>
      <c r="F39">
        <f t="shared" si="10"/>
        <v>92260</v>
      </c>
      <c r="G39">
        <f t="shared" si="10"/>
        <v>71669</v>
      </c>
      <c r="H39">
        <f t="shared" si="10"/>
        <v>71830</v>
      </c>
      <c r="I39">
        <f t="shared" si="10"/>
        <v>70281</v>
      </c>
      <c r="J39">
        <f t="shared" si="10"/>
        <v>61366</v>
      </c>
      <c r="K39">
        <f t="shared" si="10"/>
        <v>22675</v>
      </c>
      <c r="L39">
        <f t="shared" si="10"/>
        <v>28352</v>
      </c>
      <c r="M39">
        <f t="shared" si="10"/>
        <v>22619</v>
      </c>
      <c r="N39">
        <f t="shared" si="10"/>
        <v>208061</v>
      </c>
      <c r="O39">
        <f t="shared" si="10"/>
        <v>31940</v>
      </c>
      <c r="P39">
        <f t="shared" si="10"/>
        <v>30714</v>
      </c>
      <c r="Q39">
        <f t="shared" si="10"/>
        <v>225029</v>
      </c>
      <c r="R39">
        <f t="shared" si="10"/>
        <v>85375</v>
      </c>
      <c r="S39">
        <f t="shared" si="10"/>
        <v>28273</v>
      </c>
      <c r="T39">
        <f t="shared" si="10"/>
        <v>279124</v>
      </c>
      <c r="U39">
        <f t="shared" si="10"/>
        <v>31245</v>
      </c>
      <c r="V39">
        <f t="shared" si="10"/>
        <v>229270</v>
      </c>
      <c r="W39">
        <f t="shared" si="10"/>
        <v>17708</v>
      </c>
      <c r="X39">
        <f t="shared" si="10"/>
        <v>7946</v>
      </c>
      <c r="Y39">
        <f t="shared" si="10"/>
        <v>193529</v>
      </c>
      <c r="Z39">
        <f t="shared" si="10"/>
        <v>1173537</v>
      </c>
      <c r="AA39">
        <f t="shared" si="10"/>
        <v>10078</v>
      </c>
      <c r="AB39">
        <f t="shared" si="10"/>
        <v>16771</v>
      </c>
      <c r="AC39" s="893">
        <f t="shared" si="13"/>
        <v>3074961</v>
      </c>
      <c r="AG39" s="894" t="s">
        <v>134</v>
      </c>
      <c r="AH39" s="896">
        <f t="shared" si="11"/>
        <v>3.0972954201903827E-2</v>
      </c>
      <c r="AI39" s="896">
        <f t="shared" si="11"/>
        <v>3.6553674774813978E-2</v>
      </c>
      <c r="AJ39" s="896">
        <f t="shared" si="11"/>
        <v>3.9755477711381278E-2</v>
      </c>
      <c r="AK39" s="896">
        <f t="shared" si="11"/>
        <v>4.9036494453459527E-2</v>
      </c>
      <c r="AL39" s="896">
        <f t="shared" si="11"/>
        <v>3.0894873045043694E-2</v>
      </c>
      <c r="AM39" s="896">
        <f t="shared" si="11"/>
        <v>3.1818510755712383E-2</v>
      </c>
      <c r="AN39" s="896">
        <f t="shared" si="11"/>
        <v>4.9593304524154898E-2</v>
      </c>
      <c r="AO39" s="896">
        <f t="shared" si="11"/>
        <v>4.6880659468351002E-2</v>
      </c>
      <c r="AP39" s="896">
        <f t="shared" si="11"/>
        <v>2.1171677025490814E-2</v>
      </c>
      <c r="AQ39" s="896">
        <f t="shared" si="11"/>
        <v>1.9789942956089455E-2</v>
      </c>
      <c r="AR39" s="896">
        <f t="shared" si="11"/>
        <v>1.9666040773462498E-2</v>
      </c>
      <c r="AS39" s="896">
        <f t="shared" si="11"/>
        <v>1.935954890770342E-2</v>
      </c>
      <c r="AT39" s="896">
        <f t="shared" si="11"/>
        <v>2.4684861985637623E-2</v>
      </c>
      <c r="AU39" s="896">
        <f t="shared" si="11"/>
        <v>2.3963812692117527E-2</v>
      </c>
      <c r="AV39" s="896">
        <f t="shared" si="11"/>
        <v>3.3347122108835781E-2</v>
      </c>
      <c r="AW39" s="896">
        <f t="shared" si="11"/>
        <v>3.7921086782766629E-2</v>
      </c>
      <c r="AX39" s="896">
        <f t="shared" si="11"/>
        <v>3.7461079967284358E-2</v>
      </c>
      <c r="AY39" s="896">
        <f t="shared" si="11"/>
        <v>3.5119077933224933E-2</v>
      </c>
      <c r="AZ39" s="896">
        <f t="shared" si="11"/>
        <v>5.2093810066734442E-2</v>
      </c>
      <c r="BA39" s="896">
        <f t="shared" si="11"/>
        <v>3.3925302444967068E-2</v>
      </c>
      <c r="BB39" s="896">
        <f t="shared" si="11"/>
        <v>4.1772226853053845E-2</v>
      </c>
      <c r="BC39" s="896">
        <f t="shared" si="11"/>
        <v>2.4662265675050834E-2</v>
      </c>
      <c r="BD39" s="896">
        <f t="shared" si="11"/>
        <v>5.0444388014220416E-2</v>
      </c>
      <c r="BE39" s="896">
        <f t="shared" si="11"/>
        <v>4.8946257727797413E-2</v>
      </c>
      <c r="BF39" s="896">
        <f t="shared" si="11"/>
        <v>4.9992268163107249E-2</v>
      </c>
      <c r="BG39" s="896">
        <f t="shared" si="11"/>
        <v>1.857353483228898E-2</v>
      </c>
      <c r="BH39" s="896">
        <f t="shared" si="11"/>
        <v>3.4289160814140116E-2</v>
      </c>
      <c r="BI39" s="896">
        <f t="shared" si="11"/>
        <v>3.9819592039414826E-2</v>
      </c>
    </row>
    <row r="40" spans="1:61" s="898" customFormat="1">
      <c r="A40" s="897" t="s">
        <v>295</v>
      </c>
      <c r="B40" s="898">
        <f t="shared" si="12"/>
        <v>272</v>
      </c>
      <c r="C40" s="898">
        <f t="shared" si="10"/>
        <v>5320</v>
      </c>
      <c r="D40" s="898">
        <f t="shared" si="10"/>
        <v>366</v>
      </c>
      <c r="E40" s="898">
        <f t="shared" si="10"/>
        <v>3193</v>
      </c>
      <c r="F40" s="898">
        <f t="shared" si="10"/>
        <v>23118</v>
      </c>
      <c r="G40" s="898">
        <f t="shared" si="10"/>
        <v>9412</v>
      </c>
      <c r="H40" s="898">
        <f t="shared" si="10"/>
        <v>4873</v>
      </c>
      <c r="I40" s="898">
        <f t="shared" si="10"/>
        <v>6679</v>
      </c>
      <c r="J40" s="898">
        <f t="shared" si="10"/>
        <v>7560</v>
      </c>
      <c r="K40" s="898">
        <f t="shared" si="10"/>
        <v>4019</v>
      </c>
      <c r="L40" s="898">
        <f t="shared" si="10"/>
        <v>2689</v>
      </c>
      <c r="M40" s="898">
        <f t="shared" si="10"/>
        <v>2950</v>
      </c>
      <c r="N40" s="898">
        <f t="shared" si="10"/>
        <v>37899</v>
      </c>
      <c r="O40" s="898">
        <f t="shared" si="10"/>
        <v>5697</v>
      </c>
      <c r="P40" s="898">
        <f t="shared" si="10"/>
        <v>3800</v>
      </c>
      <c r="Q40" s="898">
        <f t="shared" si="10"/>
        <v>18714</v>
      </c>
      <c r="R40" s="898">
        <f t="shared" si="10"/>
        <v>14676</v>
      </c>
      <c r="S40" s="898">
        <f t="shared" si="10"/>
        <v>2408</v>
      </c>
      <c r="T40" s="898">
        <f t="shared" si="10"/>
        <v>35310</v>
      </c>
      <c r="U40" s="898">
        <f t="shared" si="10"/>
        <v>4109</v>
      </c>
      <c r="V40" s="898">
        <f t="shared" si="10"/>
        <v>17245</v>
      </c>
      <c r="W40" s="898">
        <f t="shared" si="10"/>
        <v>957</v>
      </c>
      <c r="X40" s="898">
        <f t="shared" si="10"/>
        <v>556</v>
      </c>
      <c r="Y40" s="898">
        <f t="shared" si="10"/>
        <v>10380</v>
      </c>
      <c r="Z40" s="898">
        <f t="shared" si="10"/>
        <v>102375</v>
      </c>
      <c r="AA40" s="898">
        <f t="shared" si="10"/>
        <v>3051</v>
      </c>
      <c r="AB40" s="898">
        <f t="shared" si="10"/>
        <v>1336</v>
      </c>
      <c r="AC40" s="899">
        <f t="shared" si="13"/>
        <v>328964</v>
      </c>
      <c r="AG40" s="897" t="s">
        <v>295</v>
      </c>
      <c r="AH40" s="896">
        <f t="shared" si="11"/>
        <v>1.3890591167218206E-3</v>
      </c>
      <c r="AI40" s="896">
        <f t="shared" si="11"/>
        <v>9.2598233323180016E-3</v>
      </c>
      <c r="AJ40" s="896">
        <f t="shared" si="11"/>
        <v>2.5139089223160933E-3</v>
      </c>
      <c r="AK40" s="896">
        <f t="shared" si="11"/>
        <v>4.8243268152795031E-3</v>
      </c>
      <c r="AL40" s="896">
        <f t="shared" si="11"/>
        <v>7.7414662373219171E-3</v>
      </c>
      <c r="AM40" s="896">
        <f t="shared" si="11"/>
        <v>4.1785963698777011E-3</v>
      </c>
      <c r="AN40" s="896">
        <f t="shared" si="11"/>
        <v>3.3644462334151029E-3</v>
      </c>
      <c r="AO40" s="896">
        <f t="shared" si="11"/>
        <v>4.455200190508336E-3</v>
      </c>
      <c r="AP40" s="896">
        <f t="shared" si="11"/>
        <v>2.6082501436090109E-3</v>
      </c>
      <c r="AQ40" s="896">
        <f t="shared" si="11"/>
        <v>3.5076419290197805E-3</v>
      </c>
      <c r="AR40" s="896">
        <f t="shared" si="11"/>
        <v>1.8651941182223708E-3</v>
      </c>
      <c r="AS40" s="896">
        <f t="shared" si="11"/>
        <v>2.5248980625900831E-3</v>
      </c>
      <c r="AT40" s="896">
        <f t="shared" si="11"/>
        <v>4.4964293375196708E-3</v>
      </c>
      <c r="AU40" s="896">
        <f t="shared" si="11"/>
        <v>4.2743218818720582E-3</v>
      </c>
      <c r="AV40" s="896">
        <f t="shared" si="11"/>
        <v>4.1257753471894238E-3</v>
      </c>
      <c r="AW40" s="896">
        <f t="shared" si="11"/>
        <v>3.153616725189619E-3</v>
      </c>
      <c r="AX40" s="896">
        <f t="shared" si="11"/>
        <v>6.4395761007304854E-3</v>
      </c>
      <c r="AY40" s="896">
        <f t="shared" si="11"/>
        <v>2.9910776947336911E-3</v>
      </c>
      <c r="AZ40" s="896">
        <f t="shared" si="11"/>
        <v>6.590018892880559E-3</v>
      </c>
      <c r="BA40" s="896">
        <f t="shared" si="11"/>
        <v>4.4614840053246816E-3</v>
      </c>
      <c r="BB40" s="896">
        <f t="shared" si="11"/>
        <v>3.1419812975134712E-3</v>
      </c>
      <c r="BC40" s="896">
        <f t="shared" si="11"/>
        <v>1.3328319545416563E-3</v>
      </c>
      <c r="BD40" s="896">
        <f t="shared" si="11"/>
        <v>3.5297105129507363E-3</v>
      </c>
      <c r="BE40" s="896">
        <f t="shared" si="11"/>
        <v>2.6252507645600251E-3</v>
      </c>
      <c r="BF40" s="896">
        <f t="shared" si="11"/>
        <v>4.3611394043801812E-3</v>
      </c>
      <c r="BG40" s="896">
        <f t="shared" si="11"/>
        <v>5.6229266494655364E-3</v>
      </c>
      <c r="BH40" s="896">
        <f t="shared" si="11"/>
        <v>2.7315198168082516E-3</v>
      </c>
      <c r="BI40" s="896">
        <f t="shared" si="11"/>
        <v>4.2599604598738188E-3</v>
      </c>
    </row>
    <row r="41" spans="1:61" s="898" customFormat="1">
      <c r="A41" s="897" t="s">
        <v>4</v>
      </c>
      <c r="B41" s="898">
        <f t="shared" si="12"/>
        <v>83949</v>
      </c>
      <c r="C41" s="898">
        <f t="shared" si="10"/>
        <v>189272</v>
      </c>
      <c r="D41" s="898">
        <f t="shared" si="10"/>
        <v>49617</v>
      </c>
      <c r="E41" s="898">
        <f t="shared" si="10"/>
        <v>174999</v>
      </c>
      <c r="F41" s="898">
        <f t="shared" si="10"/>
        <v>965928</v>
      </c>
      <c r="G41" s="898">
        <f t="shared" si="10"/>
        <v>1000142</v>
      </c>
      <c r="H41" s="898">
        <f t="shared" si="10"/>
        <v>151234</v>
      </c>
      <c r="I41" s="898">
        <f t="shared" si="10"/>
        <v>365323</v>
      </c>
      <c r="J41" s="898">
        <f t="shared" si="10"/>
        <v>726422</v>
      </c>
      <c r="K41" s="898">
        <f t="shared" si="10"/>
        <v>582981</v>
      </c>
      <c r="L41" s="898">
        <f t="shared" si="10"/>
        <v>482601</v>
      </c>
      <c r="M41" s="898">
        <f t="shared" si="10"/>
        <v>306089</v>
      </c>
      <c r="N41" s="898">
        <f t="shared" si="10"/>
        <v>2055291</v>
      </c>
      <c r="O41" s="898">
        <f t="shared" si="10"/>
        <v>561033</v>
      </c>
      <c r="P41" s="898">
        <f t="shared" si="10"/>
        <v>355167</v>
      </c>
      <c r="Q41" s="898">
        <f t="shared" si="10"/>
        <v>986363</v>
      </c>
      <c r="R41" s="898">
        <f t="shared" si="10"/>
        <v>804378</v>
      </c>
      <c r="S41" s="898">
        <f t="shared" si="10"/>
        <v>392232</v>
      </c>
      <c r="T41" s="898">
        <f t="shared" si="10"/>
        <v>725682</v>
      </c>
      <c r="U41" s="898">
        <f t="shared" si="10"/>
        <v>330134</v>
      </c>
      <c r="V41" s="898">
        <f t="shared" si="10"/>
        <v>933663</v>
      </c>
      <c r="W41" s="898">
        <f t="shared" si="10"/>
        <v>313814</v>
      </c>
      <c r="X41" s="898">
        <f t="shared" si="10"/>
        <v>63367</v>
      </c>
      <c r="Y41" s="898">
        <f t="shared" si="10"/>
        <v>746115</v>
      </c>
      <c r="Z41" s="898">
        <f t="shared" si="10"/>
        <v>3885151</v>
      </c>
      <c r="AA41" s="898">
        <f t="shared" si="10"/>
        <v>184514</v>
      </c>
      <c r="AB41" s="898">
        <f t="shared" si="10"/>
        <v>179244</v>
      </c>
      <c r="AC41" s="899">
        <f t="shared" si="13"/>
        <v>17594705</v>
      </c>
      <c r="AG41" s="897" t="s">
        <v>4</v>
      </c>
      <c r="AH41" s="896">
        <f t="shared" si="11"/>
        <v>0.4287136904032357</v>
      </c>
      <c r="AI41" s="896">
        <f t="shared" si="11"/>
        <v>0.32944084243505506</v>
      </c>
      <c r="AJ41" s="896">
        <f t="shared" si="11"/>
        <v>0.34079950546053989</v>
      </c>
      <c r="AK41" s="896">
        <f t="shared" si="11"/>
        <v>0.26440725598092629</v>
      </c>
      <c r="AL41" s="896">
        <f t="shared" si="11"/>
        <v>0.32345786831403606</v>
      </c>
      <c r="AM41" s="896">
        <f t="shared" si="11"/>
        <v>0.44402780817703186</v>
      </c>
      <c r="AN41" s="896">
        <f t="shared" si="11"/>
        <v>0.10441589609363834</v>
      </c>
      <c r="AO41" s="896">
        <f t="shared" si="11"/>
        <v>0.24368724347912513</v>
      </c>
      <c r="AP41" s="896">
        <f t="shared" si="11"/>
        <v>0.25062040817734721</v>
      </c>
      <c r="AQ41" s="896">
        <f t="shared" si="11"/>
        <v>0.50880532456379213</v>
      </c>
      <c r="AR41" s="896">
        <f t="shared" si="11"/>
        <v>0.33475066814735382</v>
      </c>
      <c r="AS41" s="896">
        <f t="shared" si="11"/>
        <v>0.26198085528140203</v>
      </c>
      <c r="AT41" s="896">
        <f t="shared" si="11"/>
        <v>0.24384471224940346</v>
      </c>
      <c r="AU41" s="896">
        <f t="shared" si="11"/>
        <v>0.42092954684085071</v>
      </c>
      <c r="AV41" s="896">
        <f t="shared" si="11"/>
        <v>0.38561559282505953</v>
      </c>
      <c r="AW41" s="896">
        <f t="shared" si="11"/>
        <v>0.16621838484066517</v>
      </c>
      <c r="AX41" s="896">
        <f t="shared" si="11"/>
        <v>0.35294721618652131</v>
      </c>
      <c r="AY41" s="896">
        <f t="shared" si="11"/>
        <v>0.48720780164484428</v>
      </c>
      <c r="AZ41" s="896">
        <f t="shared" si="11"/>
        <v>0.13543636619154203</v>
      </c>
      <c r="BA41" s="896">
        <f t="shared" si="11"/>
        <v>0.35845401815864164</v>
      </c>
      <c r="BB41" s="896">
        <f t="shared" si="11"/>
        <v>0.17011027452480834</v>
      </c>
      <c r="BC41" s="896">
        <f t="shared" si="11"/>
        <v>0.43705467814267013</v>
      </c>
      <c r="BD41" s="896">
        <f t="shared" si="11"/>
        <v>0.40227907567293042</v>
      </c>
      <c r="BE41" s="896">
        <f t="shared" si="11"/>
        <v>0.18870317670517373</v>
      </c>
      <c r="BF41" s="896">
        <f t="shared" si="11"/>
        <v>0.16550608173936085</v>
      </c>
      <c r="BG41" s="896">
        <f t="shared" si="11"/>
        <v>0.34005528934758572</v>
      </c>
      <c r="BH41" s="896">
        <f t="shared" si="11"/>
        <v>0.36647345661974423</v>
      </c>
      <c r="BI41" s="896">
        <f t="shared" si="11"/>
        <v>0.22784483287880797</v>
      </c>
    </row>
    <row r="42" spans="1:61" s="898" customFormat="1">
      <c r="A42" s="897" t="s">
        <v>136</v>
      </c>
      <c r="B42" s="898">
        <f t="shared" si="12"/>
        <v>16018</v>
      </c>
      <c r="C42" s="898">
        <f t="shared" si="10"/>
        <v>27936</v>
      </c>
      <c r="D42" s="898">
        <f t="shared" si="10"/>
        <v>8340</v>
      </c>
      <c r="E42" s="898">
        <f t="shared" si="10"/>
        <v>39916</v>
      </c>
      <c r="F42" s="898">
        <f t="shared" si="10"/>
        <v>131914</v>
      </c>
      <c r="G42" s="898">
        <f t="shared" si="10"/>
        <v>112498</v>
      </c>
      <c r="H42" s="898">
        <f t="shared" si="10"/>
        <v>14232</v>
      </c>
      <c r="I42" s="898">
        <f t="shared" si="10"/>
        <v>81533</v>
      </c>
      <c r="J42" s="898">
        <f t="shared" si="10"/>
        <v>211879</v>
      </c>
      <c r="K42" s="898">
        <f t="shared" si="10"/>
        <v>89416</v>
      </c>
      <c r="L42" s="898">
        <f t="shared" si="10"/>
        <v>154464</v>
      </c>
      <c r="M42" s="898">
        <f t="shared" si="10"/>
        <v>85983</v>
      </c>
      <c r="N42" s="898">
        <f t="shared" si="10"/>
        <v>219088</v>
      </c>
      <c r="O42" s="898">
        <f t="shared" si="10"/>
        <v>123249</v>
      </c>
      <c r="P42" s="898">
        <f t="shared" si="10"/>
        <v>49580</v>
      </c>
      <c r="Q42" s="898">
        <f t="shared" si="10"/>
        <v>241374</v>
      </c>
      <c r="R42" s="898">
        <f t="shared" si="10"/>
        <v>78793</v>
      </c>
      <c r="S42" s="898">
        <f t="shared" si="10"/>
        <v>66800</v>
      </c>
      <c r="T42" s="898">
        <f t="shared" si="10"/>
        <v>128816</v>
      </c>
      <c r="U42" s="898">
        <f t="shared" si="10"/>
        <v>44832</v>
      </c>
      <c r="V42" s="898">
        <f t="shared" si="10"/>
        <v>160703</v>
      </c>
      <c r="W42" s="898">
        <f t="shared" si="10"/>
        <v>87665</v>
      </c>
      <c r="X42" s="898">
        <f t="shared" si="10"/>
        <v>14897</v>
      </c>
      <c r="Y42" s="898">
        <f t="shared" si="10"/>
        <v>225358</v>
      </c>
      <c r="Z42" s="898">
        <f t="shared" si="10"/>
        <v>676117</v>
      </c>
      <c r="AA42" s="898">
        <f t="shared" si="10"/>
        <v>31403</v>
      </c>
      <c r="AB42" s="898">
        <f t="shared" si="10"/>
        <v>71589</v>
      </c>
      <c r="AC42" s="899">
        <f t="shared" si="13"/>
        <v>3194393</v>
      </c>
      <c r="AG42" s="897" t="s">
        <v>136</v>
      </c>
      <c r="AH42" s="896">
        <f t="shared" si="11"/>
        <v>8.1801282836948971E-2</v>
      </c>
      <c r="AI42" s="896">
        <f t="shared" si="11"/>
        <v>4.8624515904442799E-2</v>
      </c>
      <c r="AJ42" s="896">
        <f t="shared" si="11"/>
        <v>5.7284154131465072E-2</v>
      </c>
      <c r="AK42" s="896">
        <f t="shared" si="11"/>
        <v>6.0309373366331548E-2</v>
      </c>
      <c r="AL42" s="896">
        <f t="shared" si="11"/>
        <v>4.4173707813395774E-2</v>
      </c>
      <c r="AM42" s="896">
        <f t="shared" si="11"/>
        <v>4.9945148153261967E-2</v>
      </c>
      <c r="AN42" s="896">
        <f t="shared" si="11"/>
        <v>9.8261438116075805E-3</v>
      </c>
      <c r="AO42" s="896">
        <f t="shared" si="11"/>
        <v>5.4386260987081318E-2</v>
      </c>
      <c r="AP42" s="896">
        <f t="shared" si="11"/>
        <v>7.3099660340970055E-2</v>
      </c>
      <c r="AQ42" s="896">
        <f t="shared" si="11"/>
        <v>7.8039141757957869E-2</v>
      </c>
      <c r="AR42" s="896">
        <f t="shared" si="11"/>
        <v>0.10714218827709196</v>
      </c>
      <c r="AS42" s="896">
        <f t="shared" si="11"/>
        <v>7.3592647496841732E-2</v>
      </c>
      <c r="AT42" s="896">
        <f t="shared" si="11"/>
        <v>2.5993132027190946E-2</v>
      </c>
      <c r="AU42" s="896">
        <f t="shared" si="11"/>
        <v>9.2470756120563338E-2</v>
      </c>
      <c r="AV42" s="896">
        <f t="shared" si="11"/>
        <v>5.3830510977276751E-2</v>
      </c>
      <c r="AW42" s="896">
        <f t="shared" si="11"/>
        <v>4.0675488053110991E-2</v>
      </c>
      <c r="AX42" s="896">
        <f t="shared" si="11"/>
        <v>3.4573011699704087E-2</v>
      </c>
      <c r="AY42" s="896">
        <f t="shared" si="11"/>
        <v>8.2975078907064181E-2</v>
      </c>
      <c r="AZ42" s="896">
        <f t="shared" si="11"/>
        <v>2.4041344483299407E-2</v>
      </c>
      <c r="BA42" s="896">
        <f t="shared" si="11"/>
        <v>4.8677841549456348E-2</v>
      </c>
      <c r="BB42" s="896">
        <f t="shared" si="11"/>
        <v>2.9279548881084798E-2</v>
      </c>
      <c r="BC42" s="896">
        <f t="shared" si="11"/>
        <v>0.12209269936770563</v>
      </c>
      <c r="BD42" s="896">
        <f t="shared" si="11"/>
        <v>9.4572117826307769E-2</v>
      </c>
      <c r="BE42" s="896">
        <f t="shared" si="11"/>
        <v>5.6996267996119281E-2</v>
      </c>
      <c r="BF42" s="896">
        <f t="shared" si="11"/>
        <v>2.8802349115226521E-2</v>
      </c>
      <c r="BG42" s="896">
        <f t="shared" si="11"/>
        <v>5.7875046074456322E-2</v>
      </c>
      <c r="BH42" s="896">
        <f t="shared" si="11"/>
        <v>0.14636734443524396</v>
      </c>
      <c r="BI42" s="896">
        <f t="shared" si="11"/>
        <v>4.1366191660174696E-2</v>
      </c>
    </row>
    <row r="43" spans="1:61" s="898" customFormat="1">
      <c r="A43" s="897" t="s">
        <v>296</v>
      </c>
      <c r="B43" s="898">
        <f t="shared" si="12"/>
        <v>807</v>
      </c>
      <c r="C43" s="898">
        <f t="shared" si="10"/>
        <v>5950</v>
      </c>
      <c r="D43" s="898">
        <f t="shared" si="10"/>
        <v>944</v>
      </c>
      <c r="E43" s="898">
        <f t="shared" si="10"/>
        <v>8279</v>
      </c>
      <c r="F43" s="898">
        <f t="shared" si="10"/>
        <v>33087</v>
      </c>
      <c r="G43" s="898">
        <f t="shared" si="10"/>
        <v>13273</v>
      </c>
      <c r="H43" s="898">
        <f t="shared" si="10"/>
        <v>9285</v>
      </c>
      <c r="I43" s="898">
        <f t="shared" si="10"/>
        <v>13308</v>
      </c>
      <c r="J43" s="898">
        <f t="shared" si="10"/>
        <v>18735</v>
      </c>
      <c r="K43" s="898">
        <f t="shared" si="10"/>
        <v>6763</v>
      </c>
      <c r="L43" s="898">
        <f t="shared" si="10"/>
        <v>9223</v>
      </c>
      <c r="M43" s="898">
        <f t="shared" si="10"/>
        <v>8069</v>
      </c>
      <c r="N43" s="898">
        <f t="shared" si="10"/>
        <v>65076</v>
      </c>
      <c r="O43" s="898">
        <f t="shared" si="10"/>
        <v>14106</v>
      </c>
      <c r="P43" s="898">
        <f t="shared" si="10"/>
        <v>6167</v>
      </c>
      <c r="Q43" s="898">
        <f t="shared" si="10"/>
        <v>35191</v>
      </c>
      <c r="R43" s="898">
        <f t="shared" si="10"/>
        <v>17680</v>
      </c>
      <c r="S43" s="898">
        <f t="shared" si="10"/>
        <v>5198</v>
      </c>
      <c r="T43" s="898">
        <f t="shared" si="10"/>
        <v>43762</v>
      </c>
      <c r="U43" s="898">
        <f t="shared" si="10"/>
        <v>5783</v>
      </c>
      <c r="V43" s="898">
        <f t="shared" si="10"/>
        <v>36592</v>
      </c>
      <c r="W43" s="898">
        <f t="shared" si="10"/>
        <v>4778</v>
      </c>
      <c r="X43" s="898">
        <f t="shared" si="10"/>
        <v>786</v>
      </c>
      <c r="Y43" s="898">
        <f t="shared" si="10"/>
        <v>16948</v>
      </c>
      <c r="Z43" s="898">
        <f t="shared" si="10"/>
        <v>145068</v>
      </c>
      <c r="AA43" s="898">
        <f t="shared" si="10"/>
        <v>5437</v>
      </c>
      <c r="AB43" s="898">
        <f t="shared" si="10"/>
        <v>4350</v>
      </c>
      <c r="AC43" s="899">
        <f t="shared" si="13"/>
        <v>534645</v>
      </c>
      <c r="AG43" s="897" t="s">
        <v>296</v>
      </c>
      <c r="AH43" s="896">
        <f t="shared" si="11"/>
        <v>4.1212158352739309E-3</v>
      </c>
      <c r="AI43" s="896">
        <f t="shared" si="11"/>
        <v>1.0356381358513555E-2</v>
      </c>
      <c r="AJ43" s="896">
        <f t="shared" si="11"/>
        <v>6.4839618105639128E-3</v>
      </c>
      <c r="AK43" s="896">
        <f t="shared" si="11"/>
        <v>1.2508801034669278E-2</v>
      </c>
      <c r="AL43" s="896">
        <f t="shared" si="11"/>
        <v>1.1079760074153053E-2</v>
      </c>
      <c r="AM43" s="896">
        <f t="shared" si="11"/>
        <v>5.8927443282391339E-3</v>
      </c>
      <c r="AN43" s="896">
        <f t="shared" si="11"/>
        <v>6.4106060490989594E-3</v>
      </c>
      <c r="AO43" s="896">
        <f t="shared" si="11"/>
        <v>8.8770480813422561E-3</v>
      </c>
      <c r="AP43" s="896">
        <f t="shared" si="11"/>
        <v>6.4636992646183626E-3</v>
      </c>
      <c r="AQ43" s="896">
        <f t="shared" si="11"/>
        <v>5.9025086752826014E-3</v>
      </c>
      <c r="AR43" s="896">
        <f t="shared" si="11"/>
        <v>6.3974285430884814E-3</v>
      </c>
      <c r="AS43" s="896">
        <f t="shared" si="11"/>
        <v>6.906238124420129E-3</v>
      </c>
      <c r="AT43" s="896">
        <f t="shared" si="11"/>
        <v>7.7207745736940312E-3</v>
      </c>
      <c r="AU43" s="896">
        <f t="shared" si="11"/>
        <v>1.0583392042423602E-2</v>
      </c>
      <c r="AV43" s="896">
        <f t="shared" si="11"/>
        <v>6.6956990963466263E-3</v>
      </c>
      <c r="AW43" s="896">
        <f t="shared" si="11"/>
        <v>5.9302621660867732E-3</v>
      </c>
      <c r="AX43" s="896">
        <f t="shared" si="11"/>
        <v>7.7576795762411407E-3</v>
      </c>
      <c r="AY43" s="896">
        <f t="shared" si="11"/>
        <v>6.4566535951934073E-3</v>
      </c>
      <c r="AZ43" s="896">
        <f t="shared" si="11"/>
        <v>8.167442843110705E-3</v>
      </c>
      <c r="BA43" s="896">
        <f t="shared" si="11"/>
        <v>6.2790854229234933E-3</v>
      </c>
      <c r="BB43" s="896">
        <f t="shared" si="11"/>
        <v>6.6669399616476046E-3</v>
      </c>
      <c r="BC43" s="896">
        <f t="shared" si="11"/>
        <v>6.6544107406478932E-3</v>
      </c>
      <c r="BD43" s="896">
        <f t="shared" si="11"/>
        <v>4.9898425596749622E-3</v>
      </c>
      <c r="BE43" s="896">
        <f t="shared" si="11"/>
        <v>4.2863920961236325E-3</v>
      </c>
      <c r="BF43" s="896">
        <f t="shared" si="11"/>
        <v>6.1798463600940086E-3</v>
      </c>
      <c r="BG43" s="896">
        <f t="shared" si="11"/>
        <v>1.0020272760781422E-2</v>
      </c>
      <c r="BH43" s="896">
        <f t="shared" si="11"/>
        <v>8.8937958107154907E-3</v>
      </c>
      <c r="BI43" s="896">
        <f t="shared" si="11"/>
        <v>6.9234522928625563E-3</v>
      </c>
    </row>
    <row r="44" spans="1:61">
      <c r="A44" s="894" t="s">
        <v>297</v>
      </c>
      <c r="B44">
        <f t="shared" si="12"/>
        <v>787</v>
      </c>
      <c r="C44">
        <f t="shared" si="10"/>
        <v>3271</v>
      </c>
      <c r="D44">
        <f t="shared" si="10"/>
        <v>668</v>
      </c>
      <c r="E44">
        <f t="shared" si="10"/>
        <v>4013</v>
      </c>
      <c r="F44">
        <f t="shared" si="10"/>
        <v>16078</v>
      </c>
      <c r="G44">
        <f t="shared" si="10"/>
        <v>17914</v>
      </c>
      <c r="H44">
        <f t="shared" si="10"/>
        <v>14730</v>
      </c>
      <c r="I44">
        <f t="shared" si="10"/>
        <v>9891</v>
      </c>
      <c r="J44">
        <f t="shared" si="10"/>
        <v>12899</v>
      </c>
      <c r="K44">
        <f t="shared" si="10"/>
        <v>5651</v>
      </c>
      <c r="L44">
        <f t="shared" si="10"/>
        <v>7638</v>
      </c>
      <c r="M44">
        <f t="shared" si="10"/>
        <v>6299</v>
      </c>
      <c r="N44">
        <f t="shared" si="10"/>
        <v>33305</v>
      </c>
      <c r="O44">
        <f t="shared" si="10"/>
        <v>8499</v>
      </c>
      <c r="P44">
        <f t="shared" si="10"/>
        <v>5061</v>
      </c>
      <c r="Q44">
        <f t="shared" si="10"/>
        <v>30666</v>
      </c>
      <c r="R44">
        <f t="shared" si="10"/>
        <v>10834</v>
      </c>
      <c r="S44">
        <f t="shared" si="10"/>
        <v>3039</v>
      </c>
      <c r="T44">
        <f t="shared" si="10"/>
        <v>33062</v>
      </c>
      <c r="U44">
        <f t="shared" si="10"/>
        <v>8603</v>
      </c>
      <c r="V44">
        <f t="shared" si="10"/>
        <v>28317</v>
      </c>
      <c r="W44">
        <f t="shared" si="10"/>
        <v>1948</v>
      </c>
      <c r="X44">
        <f t="shared" si="10"/>
        <v>735</v>
      </c>
      <c r="Y44">
        <f t="shared" si="10"/>
        <v>25132</v>
      </c>
      <c r="Z44">
        <f t="shared" si="10"/>
        <v>137345</v>
      </c>
      <c r="AA44">
        <f t="shared" si="10"/>
        <v>2715</v>
      </c>
      <c r="AB44">
        <f t="shared" si="10"/>
        <v>1986</v>
      </c>
      <c r="AC44" s="893">
        <f t="shared" si="13"/>
        <v>431086</v>
      </c>
      <c r="AG44" s="894" t="s">
        <v>297</v>
      </c>
      <c r="AH44" s="896">
        <f t="shared" si="11"/>
        <v>4.0190791355149734E-3</v>
      </c>
      <c r="AI44" s="896">
        <f t="shared" si="11"/>
        <v>5.6933988947391323E-3</v>
      </c>
      <c r="AJ44" s="896">
        <f t="shared" si="11"/>
        <v>4.5882272134075142E-3</v>
      </c>
      <c r="AK44" s="896">
        <f t="shared" ref="AK44:AZ44" si="14">E44/E$45</f>
        <v>6.0632707515554793E-3</v>
      </c>
      <c r="AL44" s="896">
        <f t="shared" si="14"/>
        <v>5.3839992284653426E-3</v>
      </c>
      <c r="AM44" s="896">
        <f t="shared" si="14"/>
        <v>7.95318480344126E-3</v>
      </c>
      <c r="AN44" s="896">
        <f t="shared" si="14"/>
        <v>1.0169975993885586E-2</v>
      </c>
      <c r="AO44" s="896">
        <f t="shared" si="14"/>
        <v>6.5977519215927455E-3</v>
      </c>
      <c r="AP44" s="896">
        <f t="shared" si="14"/>
        <v>4.4502405558746868E-3</v>
      </c>
      <c r="AQ44" s="896">
        <f t="shared" si="14"/>
        <v>4.9319941629486887E-3</v>
      </c>
      <c r="AR44" s="896">
        <f t="shared" si="14"/>
        <v>5.2980114075799438E-3</v>
      </c>
      <c r="AS44" s="896">
        <f t="shared" si="14"/>
        <v>5.3912992868660791E-3</v>
      </c>
      <c r="AT44" s="896">
        <f t="shared" si="14"/>
        <v>3.9513860282881508E-3</v>
      </c>
      <c r="AU44" s="896">
        <f t="shared" si="14"/>
        <v>6.3765949928086055E-3</v>
      </c>
      <c r="AV44" s="896">
        <f t="shared" si="14"/>
        <v>5.4948813242435991E-3</v>
      </c>
      <c r="AW44" s="896">
        <f t="shared" si="14"/>
        <v>5.1677252588791739E-3</v>
      </c>
      <c r="AX44" s="896">
        <f t="shared" si="14"/>
        <v>4.7537726543550067E-3</v>
      </c>
      <c r="AY44" s="896">
        <f t="shared" si="14"/>
        <v>3.774869233511498E-3</v>
      </c>
      <c r="AZ44" s="896">
        <f t="shared" si="14"/>
        <v>6.1704674210256881E-3</v>
      </c>
      <c r="BA44" s="896">
        <f t="shared" ref="BA44:BI44" si="15">U44/U$45</f>
        <v>9.3409946210290182E-3</v>
      </c>
      <c r="BB44" s="896">
        <f t="shared" si="15"/>
        <v>5.1592626501414298E-3</v>
      </c>
      <c r="BC44" s="896">
        <f t="shared" si="15"/>
        <v>2.713016350519484E-3</v>
      </c>
      <c r="BD44" s="896">
        <f t="shared" si="15"/>
        <v>4.6660741493143726E-3</v>
      </c>
      <c r="BE44" s="896">
        <f t="shared" si="15"/>
        <v>6.3562429879501494E-3</v>
      </c>
      <c r="BF44" s="896">
        <f t="shared" si="15"/>
        <v>5.850849245368459E-3</v>
      </c>
      <c r="BG44" s="896">
        <f t="shared" si="15"/>
        <v>5.0036859565057131E-3</v>
      </c>
      <c r="BH44" s="896">
        <f t="shared" si="15"/>
        <v>4.0604778115128654E-3</v>
      </c>
      <c r="BI44" s="896">
        <f t="shared" si="15"/>
        <v>5.5824020707590048E-3</v>
      </c>
    </row>
    <row r="45" spans="1:61" s="893" customFormat="1">
      <c r="A45" s="894" t="s">
        <v>284</v>
      </c>
      <c r="B45" s="893">
        <f t="shared" ref="B45:AC45" si="16">SUM(B35:B44)</f>
        <v>195816</v>
      </c>
      <c r="C45" s="893">
        <f t="shared" si="16"/>
        <v>574525</v>
      </c>
      <c r="D45" s="893">
        <f t="shared" si="16"/>
        <v>145590</v>
      </c>
      <c r="E45" s="893">
        <f t="shared" si="16"/>
        <v>661854</v>
      </c>
      <c r="F45" s="893">
        <f t="shared" si="16"/>
        <v>2986256</v>
      </c>
      <c r="G45" s="893">
        <f t="shared" si="16"/>
        <v>2252431</v>
      </c>
      <c r="H45" s="893">
        <f t="shared" si="16"/>
        <v>1448381</v>
      </c>
      <c r="I45" s="893">
        <f t="shared" si="16"/>
        <v>1499147</v>
      </c>
      <c r="J45" s="893">
        <f t="shared" si="16"/>
        <v>2898495</v>
      </c>
      <c r="K45" s="893">
        <f t="shared" si="16"/>
        <v>1145784</v>
      </c>
      <c r="L45" s="893">
        <f t="shared" si="16"/>
        <v>1441673</v>
      </c>
      <c r="M45" s="893">
        <f t="shared" si="16"/>
        <v>1168364</v>
      </c>
      <c r="N45" s="893">
        <f t="shared" si="16"/>
        <v>8428688</v>
      </c>
      <c r="O45" s="893">
        <f t="shared" si="16"/>
        <v>1332843</v>
      </c>
      <c r="P45" s="893">
        <f t="shared" si="16"/>
        <v>921039</v>
      </c>
      <c r="Q45" s="893">
        <f t="shared" si="16"/>
        <v>5934139</v>
      </c>
      <c r="R45" s="893">
        <f t="shared" si="16"/>
        <v>2279032</v>
      </c>
      <c r="S45" s="893">
        <f t="shared" si="16"/>
        <v>805061</v>
      </c>
      <c r="T45" s="893">
        <f t="shared" si="16"/>
        <v>5358103</v>
      </c>
      <c r="U45" s="893">
        <f t="shared" si="16"/>
        <v>920994</v>
      </c>
      <c r="V45" s="893">
        <f t="shared" si="16"/>
        <v>5488575</v>
      </c>
      <c r="W45" s="893">
        <f t="shared" si="16"/>
        <v>718020</v>
      </c>
      <c r="X45" s="893">
        <f t="shared" si="16"/>
        <v>157520</v>
      </c>
      <c r="Y45" s="893">
        <f t="shared" si="16"/>
        <v>3953908</v>
      </c>
      <c r="Z45" s="893">
        <f t="shared" si="16"/>
        <v>23474370</v>
      </c>
      <c r="AA45" s="893">
        <f t="shared" si="16"/>
        <v>542600</v>
      </c>
      <c r="AB45" s="893">
        <f t="shared" si="16"/>
        <v>489105</v>
      </c>
      <c r="AC45" s="893">
        <f t="shared" si="16"/>
        <v>77222313</v>
      </c>
      <c r="AG45" s="894" t="s">
        <v>284</v>
      </c>
      <c r="AH45" s="896">
        <f t="shared" ref="AH45:BI45" si="17">B45/B$45</f>
        <v>1</v>
      </c>
      <c r="AI45" s="896">
        <f t="shared" si="17"/>
        <v>1</v>
      </c>
      <c r="AJ45" s="896">
        <f t="shared" si="17"/>
        <v>1</v>
      </c>
      <c r="AK45" s="896">
        <f t="shared" si="17"/>
        <v>1</v>
      </c>
      <c r="AL45" s="896">
        <f t="shared" si="17"/>
        <v>1</v>
      </c>
      <c r="AM45" s="896">
        <f t="shared" si="17"/>
        <v>1</v>
      </c>
      <c r="AN45" s="896">
        <f t="shared" si="17"/>
        <v>1</v>
      </c>
      <c r="AO45" s="896">
        <f t="shared" si="17"/>
        <v>1</v>
      </c>
      <c r="AP45" s="896">
        <f t="shared" si="17"/>
        <v>1</v>
      </c>
      <c r="AQ45" s="896">
        <f t="shared" si="17"/>
        <v>1</v>
      </c>
      <c r="AR45" s="896">
        <f t="shared" si="17"/>
        <v>1</v>
      </c>
      <c r="AS45" s="896">
        <f t="shared" si="17"/>
        <v>1</v>
      </c>
      <c r="AT45" s="896">
        <f t="shared" si="17"/>
        <v>1</v>
      </c>
      <c r="AU45" s="896">
        <f t="shared" si="17"/>
        <v>1</v>
      </c>
      <c r="AV45" s="896">
        <f t="shared" si="17"/>
        <v>1</v>
      </c>
      <c r="AW45" s="896">
        <f t="shared" si="17"/>
        <v>1</v>
      </c>
      <c r="AX45" s="896">
        <f t="shared" si="17"/>
        <v>1</v>
      </c>
      <c r="AY45" s="896">
        <f t="shared" si="17"/>
        <v>1</v>
      </c>
      <c r="AZ45" s="896">
        <f t="shared" si="17"/>
        <v>1</v>
      </c>
      <c r="BA45" s="896">
        <f t="shared" si="17"/>
        <v>1</v>
      </c>
      <c r="BB45" s="896">
        <f t="shared" si="17"/>
        <v>1</v>
      </c>
      <c r="BC45" s="896">
        <f t="shared" si="17"/>
        <v>1</v>
      </c>
      <c r="BD45" s="896">
        <f t="shared" si="17"/>
        <v>1</v>
      </c>
      <c r="BE45" s="896">
        <f t="shared" si="17"/>
        <v>1</v>
      </c>
      <c r="BF45" s="896">
        <f t="shared" si="17"/>
        <v>1</v>
      </c>
      <c r="BG45" s="896">
        <f t="shared" si="17"/>
        <v>1</v>
      </c>
      <c r="BH45" s="896">
        <f t="shared" si="17"/>
        <v>1</v>
      </c>
      <c r="BI45" s="896">
        <f t="shared" si="17"/>
        <v>1</v>
      </c>
    </row>
    <row r="47" spans="1:61">
      <c r="A47" s="894" t="s">
        <v>298</v>
      </c>
      <c r="B47">
        <f>ROUND((B60*(AVERAGE(LEV!$G$148,LEV!$E$148,LEV!$C$148))),0)</f>
        <v>17438</v>
      </c>
      <c r="C47">
        <f>ROUND((C60*(AVERAGE(LEV!$G$148,LEV!$E$148,LEV!$C$148))),0)</f>
        <v>65715</v>
      </c>
      <c r="D47">
        <f>ROUND((D60*(AVERAGE(LEV!$G$148,LEV!$E$148,LEV!$C$148))),0)</f>
        <v>17575</v>
      </c>
      <c r="E47">
        <f>ROUND((E60*(AVERAGE(LEV!$G$148,LEV!$E$148,LEV!$C$148))),0)</f>
        <v>124213</v>
      </c>
      <c r="F47">
        <f>ROUND((F60*(AVERAGE(LEV!$G$148,LEV!$E$148,LEV!$C$148))),0)</f>
        <v>467010</v>
      </c>
      <c r="G47">
        <f>ROUND((G60*(AVERAGE(LEV!$G$148,LEV!$E$148,LEV!$C$148))),0)</f>
        <v>217174</v>
      </c>
      <c r="H47">
        <f>ROUND((H60*(AVERAGE(LEV!$G$148,LEV!$E$148,LEV!$C$148))),0)</f>
        <v>439344</v>
      </c>
      <c r="I47">
        <f>ROUND((I60*(AVERAGE(LEV!$G$148,LEV!$E$148,LEV!$C$148))),0)</f>
        <v>318102</v>
      </c>
      <c r="J47">
        <f>ROUND((J60*(AVERAGE(LEV!$G$148,LEV!$E$148,LEV!$C$148))),0)</f>
        <v>620168</v>
      </c>
      <c r="K47" s="900">
        <f>ROUND((K60*(AVERAGE(LEV!$G$148,LEV!$E$148,LEV!$C$148))),0)</f>
        <v>216641</v>
      </c>
      <c r="L47">
        <f>ROUND((L60*(AVERAGE(LEV!$G$148,LEV!$E$148,LEV!$C$148))),0)</f>
        <v>156887</v>
      </c>
      <c r="M47">
        <f>ROUND((M60*(AVERAGE(LEV!$G$148,LEV!$E$148,LEV!$C$148))),0)</f>
        <v>246697</v>
      </c>
      <c r="N47">
        <f>ROUND((N60*(AVERAGE(LEV!$G$148,LEV!$E$148,LEV!$C$148))),0)</f>
        <v>2274014</v>
      </c>
      <c r="O47">
        <f>ROUND((O60*(AVERAGE(LEV!$G$148,LEV!$E$148,LEV!$C$148))),0)</f>
        <v>66844</v>
      </c>
      <c r="P47">
        <f>ROUND((P60*(AVERAGE(LEV!$G$148,LEV!$E$148,LEV!$C$148))),0)</f>
        <v>107563</v>
      </c>
      <c r="Q47">
        <f>ROUND((Q60*(AVERAGE(LEV!$G$148,LEV!$E$148,LEV!$C$148))),0)</f>
        <v>1831450</v>
      </c>
      <c r="R47">
        <f>ROUND((R60*(AVERAGE(LEV!$G$148,LEV!$E$148,LEV!$C$148))),0)</f>
        <v>308352</v>
      </c>
      <c r="S47">
        <f>ROUND((S60*(AVERAGE(LEV!$G$148,LEV!$E$148,LEV!$C$148))),0)</f>
        <v>42232</v>
      </c>
      <c r="T47">
        <f>ROUND((T60*(AVERAGE(LEV!$G$148,LEV!$E$148,LEV!$C$148))),0)</f>
        <v>1977063</v>
      </c>
      <c r="U47">
        <f>ROUND((U60*(AVERAGE(LEV!$G$148,LEV!$E$148,LEV!$C$148))),0)</f>
        <v>152925</v>
      </c>
      <c r="V47">
        <f>ROUND((V60*(AVERAGE(LEV!$G$148,LEV!$E$148,LEV!$C$148))),0)</f>
        <v>2105836</v>
      </c>
      <c r="W47">
        <f>ROUND((W60*(AVERAGE(LEV!$G$148,LEV!$E$148,LEV!$C$148))),0)</f>
        <v>27794</v>
      </c>
      <c r="X47">
        <f>ROUND((X60*(AVERAGE(LEV!$G$148,LEV!$E$148,LEV!$C$148))),0)</f>
        <v>19426</v>
      </c>
      <c r="Y47">
        <f>ROUND((Y60*(AVERAGE(LEV!$G$148,LEV!$E$148,LEV!$C$148))),0)</f>
        <v>1179571</v>
      </c>
      <c r="Z47">
        <f>ROUND((Z60*(AVERAGE(LEV!$G$148,LEV!$E$148,LEV!$C$148))),0)</f>
        <v>7702685</v>
      </c>
      <c r="AA47">
        <f>ROUND((AA60*(AVERAGE(LEV!$G$148,LEV!$E$148,LEV!$C$148))),0)</f>
        <v>73286</v>
      </c>
      <c r="AB47">
        <f>ROUND((AB60*(AVERAGE(LEV!$G$148,LEV!$E$148,LEV!$C$148))),0)</f>
        <v>33065</v>
      </c>
      <c r="AC47">
        <f>ROUND((AC60*(AVERAGE(LEV!$G$148,LEV!$E$148,LEV!$C$148))),0)</f>
        <v>20579595</v>
      </c>
    </row>
    <row r="48" spans="1:61">
      <c r="A48" s="894" t="s">
        <v>299</v>
      </c>
      <c r="B48">
        <f>ROUND((B61*(AVERAGE(LEV!$G$155,LEV!$E$155,LEV!$C$155))),0)</f>
        <v>46961</v>
      </c>
      <c r="C48">
        <f>ROUND((C61*(AVERAGE(LEV!$G$155,LEV!$E$155,LEV!$C$155))),0)</f>
        <v>181830</v>
      </c>
      <c r="D48">
        <f>ROUND((D61*(AVERAGE(LEV!$G$155,LEV!$E$155,LEV!$C$155))),0)</f>
        <v>49069</v>
      </c>
      <c r="E48">
        <f>ROUND((E61*(AVERAGE(LEV!$G$155,LEV!$E$155,LEV!$C$155))),0)</f>
        <v>207018</v>
      </c>
      <c r="F48">
        <f>ROUND((F61*(AVERAGE(LEV!$G$155,LEV!$E$155,LEV!$C$155))),0)</f>
        <v>871576</v>
      </c>
      <c r="G48">
        <f>ROUND((G61*(AVERAGE(LEV!$G$155,LEV!$E$155,LEV!$C$155))),0)</f>
        <v>573439</v>
      </c>
      <c r="H48">
        <f>ROUND((H61*(AVERAGE(LEV!$G$155,LEV!$E$155,LEV!$C$155))),0)</f>
        <v>568532</v>
      </c>
      <c r="I48">
        <f>ROUND((I61*(AVERAGE(LEV!$G$155,LEV!$E$155,LEV!$C$155))),0)</f>
        <v>425083</v>
      </c>
      <c r="J48">
        <f>ROUND((J61*(AVERAGE(LEV!$G$155,LEV!$E$155,LEV!$C$155))),0)</f>
        <v>749716</v>
      </c>
      <c r="K48">
        <f>ROUND((K61*(AVERAGE(LEV!$G$155,LEV!$E$155,LEV!$C$155))),0)</f>
        <v>344678</v>
      </c>
      <c r="L48">
        <f>ROUND((L61*(AVERAGE(LEV!$G$155,LEV!$E$155,LEV!$C$155))),0)</f>
        <v>360513</v>
      </c>
      <c r="M48">
        <f>ROUND((M61*(AVERAGE(LEV!$G$155,LEV!$E$155,LEV!$C$155))),0)</f>
        <v>278525</v>
      </c>
      <c r="N48">
        <f>ROUND((N61*(AVERAGE(LEV!$G$155,LEV!$E$155,LEV!$C$155))),0)</f>
        <v>2205612</v>
      </c>
      <c r="O48">
        <f>ROUND((O61*(AVERAGE(LEV!$G$155,LEV!$E$155,LEV!$C$155))),0)</f>
        <v>368172</v>
      </c>
      <c r="P48">
        <f>ROUND((P61*(AVERAGE(LEV!$G$155,LEV!$E$155,LEV!$C$155))),0)</f>
        <v>259750</v>
      </c>
      <c r="Q48">
        <f>ROUND((Q61*(AVERAGE(LEV!$G$155,LEV!$E$155,LEV!$C$155))),0)</f>
        <v>1457132</v>
      </c>
      <c r="R48">
        <f>ROUND((R61*(AVERAGE(LEV!$G$155,LEV!$E$155,LEV!$C$155))),0)</f>
        <v>670636</v>
      </c>
      <c r="S48">
        <f>ROUND((S61*(AVERAGE(LEV!$G$155,LEV!$E$155,LEV!$C$155))),0)</f>
        <v>194092</v>
      </c>
      <c r="T48">
        <f>ROUND((T61*(AVERAGE(LEV!$G$155,LEV!$E$155,LEV!$C$155))),0)</f>
        <v>1412818</v>
      </c>
      <c r="U48">
        <f>ROUND((U61*(AVERAGE(LEV!$G$155,LEV!$E$155,LEV!$C$155))),0)</f>
        <v>236154</v>
      </c>
      <c r="V48">
        <f>ROUND((V61*(AVERAGE(LEV!$G$155,LEV!$E$155,LEV!$C$155))),0)</f>
        <v>1177116</v>
      </c>
      <c r="W48">
        <f>ROUND((W61*(AVERAGE(LEV!$G$155,LEV!$E$155,LEV!$C$155))),0)</f>
        <v>180593</v>
      </c>
      <c r="X48">
        <f>ROUND((X61*(AVERAGE(LEV!$G$155,LEV!$E$155,LEV!$C$155))),0)</f>
        <v>38136</v>
      </c>
      <c r="Y48">
        <f>ROUND((Y61*(AVERAGE(LEV!$G$155,LEV!$E$155,LEV!$C$155))),0)</f>
        <v>1045299</v>
      </c>
      <c r="Z48">
        <f>ROUND((Z61*(AVERAGE(LEV!$G$155,LEV!$E$155,LEV!$C$155))),0)</f>
        <v>6082261</v>
      </c>
      <c r="AA48">
        <f>ROUND((AA61*(AVERAGE(LEV!$G$155,LEV!$E$155,LEV!$C$155))),0)</f>
        <v>159237</v>
      </c>
      <c r="AB48">
        <f>ROUND((AB61*(AVERAGE(LEV!$G$155,LEV!$E$155,LEV!$C$155))),0)</f>
        <v>119161</v>
      </c>
      <c r="AC48">
        <f>ROUND((AC61*(AVERAGE(LEV!$G$155,LEV!$E$155,LEV!$C$155))),0)</f>
        <v>20263111</v>
      </c>
    </row>
    <row r="49" spans="1:29">
      <c r="A49" s="894" t="s">
        <v>300</v>
      </c>
      <c r="B49">
        <f>ROUND((B62*(AVERAGE(LEV!$G$162,LEV!$E$162,LEV!$C$162))),0)</f>
        <v>3261</v>
      </c>
      <c r="C49">
        <f>ROUND((C62*(AVERAGE(LEV!$G$162,LEV!$E$162,LEV!$C$162))),0)</f>
        <v>22446</v>
      </c>
      <c r="D49">
        <f>ROUND((D62*(AVERAGE(LEV!$G$162,LEV!$E$162,LEV!$C$162))),0)</f>
        <v>1283</v>
      </c>
      <c r="E49">
        <f>ROUND((E62*(AVERAGE(LEV!$G$162,LEV!$E$162,LEV!$C$162))),0)</f>
        <v>14713</v>
      </c>
      <c r="F49">
        <f>ROUND((F62*(AVERAGE(LEV!$G$162,LEV!$E$162,LEV!$C$162))),0)</f>
        <v>87724</v>
      </c>
      <c r="G49">
        <f>ROUND((G62*(AVERAGE(LEV!$G$162,LEV!$E$162,LEV!$C$162))),0)</f>
        <v>58754</v>
      </c>
      <c r="H49">
        <f>ROUND((H62*(AVERAGE(LEV!$G$162,LEV!$E$162,LEV!$C$162))),0)</f>
        <v>53748</v>
      </c>
      <c r="I49">
        <f>ROUND((I62*(AVERAGE(LEV!$G$162,LEV!$E$162,LEV!$C$162))),0)</f>
        <v>48989</v>
      </c>
      <c r="J49">
        <f>ROUND((J62*(AVERAGE(LEV!$G$162,LEV!$E$162,LEV!$C$162))),0)</f>
        <v>142817</v>
      </c>
      <c r="K49">
        <f>ROUND((K62*(AVERAGE(LEV!$G$162,LEV!$E$162,LEV!$C$162))),0)</f>
        <v>12275</v>
      </c>
      <c r="L49">
        <f>ROUND((L62*(AVERAGE(LEV!$G$162,LEV!$E$162,LEV!$C$162))),0)</f>
        <v>42521</v>
      </c>
      <c r="M49">
        <f>ROUND((M62*(AVERAGE(LEV!$G$162,LEV!$E$162,LEV!$C$162))),0)</f>
        <v>47708</v>
      </c>
      <c r="N49">
        <f>ROUND((N62*(AVERAGE(LEV!$G$162,LEV!$E$162,LEV!$C$162))),0)</f>
        <v>391697</v>
      </c>
      <c r="O49">
        <f>ROUND((O62*(AVERAGE(LEV!$G$162,LEV!$E$162,LEV!$C$162))),0)</f>
        <v>21367</v>
      </c>
      <c r="P49">
        <f>ROUND((P62*(AVERAGE(LEV!$G$162,LEV!$E$162,LEV!$C$162))),0)</f>
        <v>28094</v>
      </c>
      <c r="Q49">
        <f>ROUND((Q62*(AVERAGE(LEV!$G$162,LEV!$E$162,LEV!$C$162))),0)</f>
        <v>380126</v>
      </c>
      <c r="R49">
        <f>ROUND((R62*(AVERAGE(LEV!$G$162,LEV!$E$162,LEV!$C$162))),0)</f>
        <v>86665</v>
      </c>
      <c r="S49">
        <f>ROUND((S62*(AVERAGE(LEV!$G$162,LEV!$E$162,LEV!$C$162))),0)</f>
        <v>16341</v>
      </c>
      <c r="T49">
        <f>ROUND((T62*(AVERAGE(LEV!$G$162,LEV!$E$162,LEV!$C$162))),0)</f>
        <v>326952</v>
      </c>
      <c r="U49">
        <f>ROUND((U62*(AVERAGE(LEV!$G$162,LEV!$E$162,LEV!$C$162))),0)</f>
        <v>31316</v>
      </c>
      <c r="V49">
        <f>ROUND((V62*(AVERAGE(LEV!$G$162,LEV!$E$162,LEV!$C$162))),0)</f>
        <v>180877</v>
      </c>
      <c r="W49">
        <f>ROUND((W62*(AVERAGE(LEV!$G$162,LEV!$E$162,LEV!$C$162))),0)</f>
        <v>9219</v>
      </c>
      <c r="X49">
        <f>ROUND((X62*(AVERAGE(LEV!$G$162,LEV!$E$162,LEV!$C$162))),0)</f>
        <v>1280</v>
      </c>
      <c r="Y49">
        <f>ROUND((Y62*(AVERAGE(LEV!$G$162,LEV!$E$162,LEV!$C$162))),0)</f>
        <v>124816</v>
      </c>
      <c r="Z49">
        <f>ROUND((Z62*(AVERAGE(LEV!$G$162,LEV!$E$162,LEV!$C$162))),0)</f>
        <v>1676649</v>
      </c>
      <c r="AA49">
        <f>ROUND((AA62*(AVERAGE(LEV!$G$162,LEV!$E$162,LEV!$C$162))),0)</f>
        <v>17988</v>
      </c>
      <c r="AB49">
        <f>ROUND((AB62*(AVERAGE(LEV!$G$162,LEV!$E$162,LEV!$C$162))),0)</f>
        <v>9633</v>
      </c>
      <c r="AC49">
        <f>ROUND((AC62*(AVERAGE(LEV!$G$162,LEV!$E$162,LEV!$C$162))),0)</f>
        <v>3839258</v>
      </c>
    </row>
    <row r="50" spans="1:29">
      <c r="A50" s="894" t="s">
        <v>301</v>
      </c>
      <c r="B50">
        <f>ROUND((B63*(AVERAGE(LEV!$G$169,LEV!$E$169,LEV!$C$169))),0)</f>
        <v>299</v>
      </c>
      <c r="C50">
        <f>ROUND((C63*(AVERAGE(LEV!$G$169,LEV!$E$169,LEV!$C$169))),0)</f>
        <v>513</v>
      </c>
      <c r="D50">
        <f>ROUND((D63*(AVERAGE(LEV!$G$169,LEV!$E$169,LEV!$C$169))),0)</f>
        <v>164</v>
      </c>
      <c r="E50">
        <f>ROUND((E63*(AVERAGE(LEV!$G$169,LEV!$E$169,LEV!$C$169))),0)</f>
        <v>615</v>
      </c>
      <c r="F50">
        <f>ROUND((F63*(AVERAGE(LEV!$G$169,LEV!$E$169,LEV!$C$169))),0)</f>
        <v>2564</v>
      </c>
      <c r="G50">
        <f>ROUND((G63*(AVERAGE(LEV!$G$169,LEV!$E$169,LEV!$C$169))),0)</f>
        <v>2301</v>
      </c>
      <c r="H50">
        <f>ROUND((H63*(AVERAGE(LEV!$G$169,LEV!$E$169,LEV!$C$169))),0)</f>
        <v>1157</v>
      </c>
      <c r="I50">
        <f>ROUND((I63*(AVERAGE(LEV!$G$169,LEV!$E$169,LEV!$C$169))),0)</f>
        <v>1356</v>
      </c>
      <c r="J50">
        <f>ROUND((J63*(AVERAGE(LEV!$G$169,LEV!$E$169,LEV!$C$169))),0)</f>
        <v>2955</v>
      </c>
      <c r="K50">
        <f>ROUND((K63*(AVERAGE(LEV!$G$169,LEV!$E$169,LEV!$C$169))),0)</f>
        <v>1156</v>
      </c>
      <c r="L50">
        <f>ROUND((L63*(AVERAGE(LEV!$G$169,LEV!$E$169,LEV!$C$169))),0)</f>
        <v>2123</v>
      </c>
      <c r="M50">
        <f>ROUND((M63*(AVERAGE(LEV!$G$169,LEV!$E$169,LEV!$C$169))),0)</f>
        <v>1577</v>
      </c>
      <c r="N50">
        <f>ROUND((N63*(AVERAGE(LEV!$G$169,LEV!$E$169,LEV!$C$169))),0)</f>
        <v>5467</v>
      </c>
      <c r="O50">
        <f>ROUND((O63*(AVERAGE(LEV!$G$169,LEV!$E$169,LEV!$C$169))),0)</f>
        <v>1567</v>
      </c>
      <c r="P50">
        <f>ROUND((P63*(AVERAGE(LEV!$G$169,LEV!$E$169,LEV!$C$169))),0)</f>
        <v>796</v>
      </c>
      <c r="Q50">
        <f>ROUND((Q63*(AVERAGE(LEV!$G$169,LEV!$E$169,LEV!$C$169))),0)</f>
        <v>5029</v>
      </c>
      <c r="R50">
        <f>ROUND((R63*(AVERAGE(LEV!$G$169,LEV!$E$169,LEV!$C$169))),0)</f>
        <v>1719</v>
      </c>
      <c r="S50">
        <f>ROUND((S63*(AVERAGE(LEV!$G$169,LEV!$E$169,LEV!$C$169))),0)</f>
        <v>869</v>
      </c>
      <c r="T50">
        <f>ROUND((T63*(AVERAGE(LEV!$G$169,LEV!$E$169,LEV!$C$169))),0)</f>
        <v>2029</v>
      </c>
      <c r="U50">
        <f>ROUND((U63*(AVERAGE(LEV!$G$169,LEV!$E$169,LEV!$C$169))),0)</f>
        <v>814</v>
      </c>
      <c r="V50">
        <f>ROUND((V63*(AVERAGE(LEV!$G$169,LEV!$E$169,LEV!$C$169))),0)</f>
        <v>4541</v>
      </c>
      <c r="W50">
        <f>ROUND((W63*(AVERAGE(LEV!$G$169,LEV!$E$169,LEV!$C$169))),0)</f>
        <v>837</v>
      </c>
      <c r="X50">
        <f>ROUND((X63*(AVERAGE(LEV!$G$169,LEV!$E$169,LEV!$C$169))),0)</f>
        <v>197</v>
      </c>
      <c r="Y50">
        <f>ROUND((Y63*(AVERAGE(LEV!$G$169,LEV!$E$169,LEV!$C$169))),0)</f>
        <v>3034</v>
      </c>
      <c r="Z50">
        <f>ROUND((Z63*(AVERAGE(LEV!$G$169,LEV!$E$169,LEV!$C$169))),0)</f>
        <v>11724</v>
      </c>
      <c r="AA50">
        <f>ROUND((AA63*(AVERAGE(LEV!$G$169,LEV!$E$169,LEV!$C$169))),0)</f>
        <v>371</v>
      </c>
      <c r="AB50">
        <f>ROUND((AB63*(AVERAGE(LEV!$G$169,LEV!$E$169,LEV!$C$169))),0)</f>
        <v>675</v>
      </c>
      <c r="AC50">
        <f>ROUND((AC63*(AVERAGE(LEV!$G$169,LEV!$E$169,LEV!$C$169))),0)</f>
        <v>56448</v>
      </c>
    </row>
    <row r="51" spans="1:29">
      <c r="AC51"/>
    </row>
    <row r="52" spans="1:29">
      <c r="A52" s="894" t="s">
        <v>302</v>
      </c>
      <c r="B52">
        <f>ROUND((B60*(AVERAGE(LEV!$G$149,LEV!$E$149,LEV!$C$149))),0)</f>
        <v>2337</v>
      </c>
      <c r="C52">
        <f>ROUND((C60*(AVERAGE(LEV!$G$149,LEV!$E$149,LEV!$C$149))),0)</f>
        <v>8807</v>
      </c>
      <c r="D52">
        <f>ROUND((D60*(AVERAGE(LEV!$G$149,LEV!$E$149,LEV!$C$149))),0)</f>
        <v>2355</v>
      </c>
      <c r="E52">
        <f>ROUND((E60*(AVERAGE(LEV!$G$149,LEV!$E$149,LEV!$C$149))),0)</f>
        <v>16648</v>
      </c>
      <c r="F52">
        <f>ROUND((F60*(AVERAGE(LEV!$G$149,LEV!$E$149,LEV!$C$149))),0)</f>
        <v>62590</v>
      </c>
      <c r="G52">
        <f>ROUND((G60*(AVERAGE(LEV!$G$149,LEV!$E$149,LEV!$C$149))),0)</f>
        <v>29107</v>
      </c>
      <c r="H52">
        <f>ROUND((H60*(AVERAGE(LEV!$G$149,LEV!$E$149,LEV!$C$149))),0)</f>
        <v>58883</v>
      </c>
      <c r="I52">
        <f>ROUND((I60*(AVERAGE(LEV!$G$149,LEV!$E$149,LEV!$C$149))),0)</f>
        <v>42633</v>
      </c>
      <c r="J52">
        <f>ROUND((J60*(AVERAGE(LEV!$G$149,LEV!$E$149,LEV!$C$149))),0)</f>
        <v>83117</v>
      </c>
      <c r="K52" s="900">
        <f>ROUND((K60*(AVERAGE(LEV!$G$149,LEV!$E$149,LEV!$C$149))),0)</f>
        <v>29035</v>
      </c>
      <c r="L52">
        <f>ROUND((L60*(AVERAGE(LEV!$G$149,LEV!$E$149,LEV!$C$149))),0)</f>
        <v>21027</v>
      </c>
      <c r="M52">
        <f>ROUND((M60*(AVERAGE(LEV!$G$149,LEV!$E$149,LEV!$C$149))),0)</f>
        <v>33063</v>
      </c>
      <c r="N52">
        <f>ROUND((N60*(AVERAGE(LEV!$G$149,LEV!$E$149,LEV!$C$149))),0)</f>
        <v>304771</v>
      </c>
      <c r="O52">
        <f>ROUND((O60*(AVERAGE(LEV!$G$149,LEV!$E$149,LEV!$C$149))),0)</f>
        <v>8959</v>
      </c>
      <c r="P52">
        <f>ROUND((P60*(AVERAGE(LEV!$G$149,LEV!$E$149,LEV!$C$149))),0)</f>
        <v>14416</v>
      </c>
      <c r="Q52">
        <f>ROUND((Q60*(AVERAGE(LEV!$G$149,LEV!$E$149,LEV!$C$149))),0)</f>
        <v>245457</v>
      </c>
      <c r="R52">
        <f>ROUND((R60*(AVERAGE(LEV!$G$149,LEV!$E$149,LEV!$C$149))),0)</f>
        <v>41327</v>
      </c>
      <c r="S52">
        <f>ROUND((S60*(AVERAGE(LEV!$G$149,LEV!$E$149,LEV!$C$149))),0)</f>
        <v>5660</v>
      </c>
      <c r="T52">
        <f>ROUND((T60*(AVERAGE(LEV!$G$149,LEV!$E$149,LEV!$C$149))),0)</f>
        <v>264973</v>
      </c>
      <c r="U52">
        <f>ROUND((U60*(AVERAGE(LEV!$G$149,LEV!$E$149,LEV!$C$149))),0)</f>
        <v>20496</v>
      </c>
      <c r="V52">
        <f>ROUND((V60*(AVERAGE(LEV!$G$149,LEV!$E$149,LEV!$C$149))),0)</f>
        <v>282232</v>
      </c>
      <c r="W52">
        <f>ROUND((W60*(AVERAGE(LEV!$G$149,LEV!$E$149,LEV!$C$149))),0)</f>
        <v>3725</v>
      </c>
      <c r="X52">
        <f>ROUND((X60*(AVERAGE(LEV!$G$149,LEV!$E$149,LEV!$C$149))),0)</f>
        <v>2604</v>
      </c>
      <c r="Y52">
        <f>ROUND((Y60*(AVERAGE(LEV!$G$149,LEV!$E$149,LEV!$C$149))),0)</f>
        <v>158090</v>
      </c>
      <c r="Z52">
        <f>ROUND((Z60*(AVERAGE(LEV!$G$149,LEV!$E$149,LEV!$C$149))),0)</f>
        <v>1032342</v>
      </c>
      <c r="AA52">
        <f>ROUND((AA60*(AVERAGE(LEV!$G$149,LEV!$E$149,LEV!$C$149))),0)</f>
        <v>9822</v>
      </c>
      <c r="AB52">
        <f>ROUND((AB60*(AVERAGE(LEV!$G$149,LEV!$E$149,LEV!$C$149))),0)</f>
        <v>4431</v>
      </c>
      <c r="AC52">
        <f>ROUND((AC60*(AVERAGE(LEV!$G$149,LEV!$E$149,LEV!$C$149))),0)</f>
        <v>2758151</v>
      </c>
    </row>
    <row r="53" spans="1:29">
      <c r="A53" s="894" t="s">
        <v>303</v>
      </c>
      <c r="B53">
        <f>ROUND((B61*(AVERAGE(LEV!$G$156,LEV!$E$156,LEV!$C$156))),0)</f>
        <v>5990</v>
      </c>
      <c r="C53">
        <f>ROUND((C61*(AVERAGE(LEV!$G$156,LEV!$E$156,LEV!$C$156))),0)</f>
        <v>23193</v>
      </c>
      <c r="D53">
        <f>ROUND((D61*(AVERAGE(LEV!$G$156,LEV!$E$156,LEV!$C$156))),0)</f>
        <v>6259</v>
      </c>
      <c r="E53">
        <f>ROUND((E61*(AVERAGE(LEV!$G$156,LEV!$E$156,LEV!$C$156))),0)</f>
        <v>26405</v>
      </c>
      <c r="F53">
        <f>ROUND((F61*(AVERAGE(LEV!$G$156,LEV!$E$156,LEV!$C$156))),0)</f>
        <v>111170</v>
      </c>
      <c r="G53">
        <f>ROUND((G61*(AVERAGE(LEV!$G$156,LEV!$E$156,LEV!$C$156))),0)</f>
        <v>73142</v>
      </c>
      <c r="H53">
        <f>ROUND((H61*(AVERAGE(LEV!$G$156,LEV!$E$156,LEV!$C$156))),0)</f>
        <v>72516</v>
      </c>
      <c r="I53">
        <f>ROUND((I61*(AVERAGE(LEV!$G$156,LEV!$E$156,LEV!$C$156))),0)</f>
        <v>54220</v>
      </c>
      <c r="J53">
        <f>ROUND((J61*(AVERAGE(LEV!$G$156,LEV!$E$156,LEV!$C$156))),0)</f>
        <v>95627</v>
      </c>
      <c r="K53">
        <f>ROUND((K61*(AVERAGE(LEV!$G$156,LEV!$E$156,LEV!$C$156))),0)</f>
        <v>43964</v>
      </c>
      <c r="L53">
        <f>ROUND((L61*(AVERAGE(LEV!$G$156,LEV!$E$156,LEV!$C$156))),0)</f>
        <v>45984</v>
      </c>
      <c r="M53">
        <f>ROUND((M61*(AVERAGE(LEV!$G$156,LEV!$E$156,LEV!$C$156))),0)</f>
        <v>35526</v>
      </c>
      <c r="N53">
        <f>ROUND((N61*(AVERAGE(LEV!$G$156,LEV!$E$156,LEV!$C$156))),0)</f>
        <v>281326</v>
      </c>
      <c r="O53">
        <f>ROUND((O61*(AVERAGE(LEV!$G$156,LEV!$E$156,LEV!$C$156))),0)</f>
        <v>46961</v>
      </c>
      <c r="P53">
        <f>ROUND((P61*(AVERAGE(LEV!$G$156,LEV!$E$156,LEV!$C$156))),0)</f>
        <v>33131</v>
      </c>
      <c r="Q53">
        <f>ROUND((Q61*(AVERAGE(LEV!$G$156,LEV!$E$156,LEV!$C$156))),0)</f>
        <v>185858</v>
      </c>
      <c r="R53">
        <f>ROUND((R61*(AVERAGE(LEV!$G$156,LEV!$E$156,LEV!$C$156))),0)</f>
        <v>85540</v>
      </c>
      <c r="S53">
        <f>ROUND((S61*(AVERAGE(LEV!$G$156,LEV!$E$156,LEV!$C$156))),0)</f>
        <v>24757</v>
      </c>
      <c r="T53">
        <f>ROUND((T61*(AVERAGE(LEV!$G$156,LEV!$E$156,LEV!$C$156))),0)</f>
        <v>180205</v>
      </c>
      <c r="U53">
        <f>ROUND((U61*(AVERAGE(LEV!$G$156,LEV!$E$156,LEV!$C$156))),0)</f>
        <v>30122</v>
      </c>
      <c r="V53">
        <f>ROUND((V61*(AVERAGE(LEV!$G$156,LEV!$E$156,LEV!$C$156))),0)</f>
        <v>150141</v>
      </c>
      <c r="W53">
        <f>ROUND((W61*(AVERAGE(LEV!$G$156,LEV!$E$156,LEV!$C$156))),0)</f>
        <v>23035</v>
      </c>
      <c r="X53">
        <f>ROUND((X61*(AVERAGE(LEV!$G$156,LEV!$E$156,LEV!$C$156))),0)</f>
        <v>4864</v>
      </c>
      <c r="Y53">
        <f>ROUND((Y61*(AVERAGE(LEV!$G$156,LEV!$E$156,LEV!$C$156))),0)</f>
        <v>133328</v>
      </c>
      <c r="Z53">
        <f>ROUND((Z61*(AVERAGE(LEV!$G$156,LEV!$E$156,LEV!$C$156))),0)</f>
        <v>775794</v>
      </c>
      <c r="AA53">
        <f>ROUND((AA61*(AVERAGE(LEV!$G$156,LEV!$E$156,LEV!$C$156))),0)</f>
        <v>20311</v>
      </c>
      <c r="AB53">
        <f>ROUND((AB61*(AVERAGE(LEV!$G$156,LEV!$E$156,LEV!$C$156))),0)</f>
        <v>15199</v>
      </c>
      <c r="AC53">
        <f>ROUND((AC61*(AVERAGE(LEV!$G$156,LEV!$E$156,LEV!$C$156))),0)</f>
        <v>2584566</v>
      </c>
    </row>
    <row r="54" spans="1:29">
      <c r="A54" s="894" t="s">
        <v>304</v>
      </c>
      <c r="B54">
        <f>ROUND((B62*(AVERAGE(LEV!$G$163,LEV!$E$163,LEV!$C$163))),0)</f>
        <v>347</v>
      </c>
      <c r="C54">
        <f>ROUND((C62*(AVERAGE(LEV!$G$163,LEV!$E$163,LEV!$C$163))),0)</f>
        <v>2385</v>
      </c>
      <c r="D54">
        <f>ROUND((D62*(AVERAGE(LEV!$G$163,LEV!$E$163,LEV!$C$163))),0)</f>
        <v>136</v>
      </c>
      <c r="E54">
        <f>ROUND((E62*(AVERAGE(LEV!$G$163,LEV!$E$163,LEV!$C$163))),0)</f>
        <v>1563</v>
      </c>
      <c r="F54">
        <f>ROUND((F62*(AVERAGE(LEV!$G$163,LEV!$E$163,LEV!$C$163))),0)</f>
        <v>9320</v>
      </c>
      <c r="G54">
        <f>ROUND((G62*(AVERAGE(LEV!$G$163,LEV!$E$163,LEV!$C$163))),0)</f>
        <v>6242</v>
      </c>
      <c r="H54">
        <f>ROUND((H62*(AVERAGE(LEV!$G$163,LEV!$E$163,LEV!$C$163))),0)</f>
        <v>5710</v>
      </c>
      <c r="I54">
        <f>ROUND((I62*(AVERAGE(LEV!$G$163,LEV!$E$163,LEV!$C$163))),0)</f>
        <v>5205</v>
      </c>
      <c r="J54">
        <f>ROUND((J62*(AVERAGE(LEV!$G$163,LEV!$E$163,LEV!$C$163))),0)</f>
        <v>15174</v>
      </c>
      <c r="K54">
        <f>ROUND((K62*(AVERAGE(LEV!$G$163,LEV!$E$163,LEV!$C$163))),0)</f>
        <v>1304</v>
      </c>
      <c r="L54">
        <f>ROUND((L62*(AVERAGE(LEV!$G$163,LEV!$E$163,LEV!$C$163))),0)</f>
        <v>4518</v>
      </c>
      <c r="M54">
        <f>ROUND((M62*(AVERAGE(LEV!$G$163,LEV!$E$163,LEV!$C$163))),0)</f>
        <v>5069</v>
      </c>
      <c r="N54">
        <f>ROUND((N62*(AVERAGE(LEV!$G$163,LEV!$E$163,LEV!$C$163))),0)</f>
        <v>41615</v>
      </c>
      <c r="O54">
        <f>ROUND((O62*(AVERAGE(LEV!$G$163,LEV!$E$163,LEV!$C$163))),0)</f>
        <v>2270</v>
      </c>
      <c r="P54">
        <f>ROUND((P62*(AVERAGE(LEV!$G$163,LEV!$E$163,LEV!$C$163))),0)</f>
        <v>2985</v>
      </c>
      <c r="Q54">
        <f>ROUND((Q62*(AVERAGE(LEV!$G$163,LEV!$E$163,LEV!$C$163))),0)</f>
        <v>40386</v>
      </c>
      <c r="R54">
        <f>ROUND((R62*(AVERAGE(LEV!$G$163,LEV!$E$163,LEV!$C$163))),0)</f>
        <v>9208</v>
      </c>
      <c r="S54">
        <f>ROUND((S62*(AVERAGE(LEV!$G$163,LEV!$E$163,LEV!$C$163))),0)</f>
        <v>1736</v>
      </c>
      <c r="T54">
        <f>ROUND((T62*(AVERAGE(LEV!$G$163,LEV!$E$163,LEV!$C$163))),0)</f>
        <v>34737</v>
      </c>
      <c r="U54">
        <f>ROUND((U62*(AVERAGE(LEV!$G$163,LEV!$E$163,LEV!$C$163))),0)</f>
        <v>3327</v>
      </c>
      <c r="V54">
        <f>ROUND((V62*(AVERAGE(LEV!$G$163,LEV!$E$163,LEV!$C$163))),0)</f>
        <v>19217</v>
      </c>
      <c r="W54">
        <f>ROUND((W62*(AVERAGE(LEV!$G$163,LEV!$E$163,LEV!$C$163))),0)</f>
        <v>979</v>
      </c>
      <c r="X54">
        <f>ROUND((X62*(AVERAGE(LEV!$G$163,LEV!$E$163,LEV!$C$163))),0)</f>
        <v>136</v>
      </c>
      <c r="Y54">
        <f>ROUND((Y62*(AVERAGE(LEV!$G$163,LEV!$E$163,LEV!$C$163))),0)</f>
        <v>13261</v>
      </c>
      <c r="Z54">
        <f>ROUND((Z62*(AVERAGE(LEV!$G$163,LEV!$E$163,LEV!$C$163))),0)</f>
        <v>178134</v>
      </c>
      <c r="AA54">
        <f>ROUND((AA62*(AVERAGE(LEV!$G$163,LEV!$E$163,LEV!$C$163))),0)</f>
        <v>1911</v>
      </c>
      <c r="AB54">
        <f>ROUND((AB62*(AVERAGE(LEV!$G$163,LEV!$E$163,LEV!$C$163))),0)</f>
        <v>1023</v>
      </c>
      <c r="AC54">
        <f>ROUND((AC62*(AVERAGE(LEV!$G$163,LEV!$E$163,LEV!$C$163))),0)</f>
        <v>407899</v>
      </c>
    </row>
    <row r="55" spans="1:29">
      <c r="A55" s="894" t="s">
        <v>305</v>
      </c>
      <c r="B55">
        <f>ROUND((B63*(AVERAGE(LEV!$G$170,LEV!$E$170,LEV!$C$170))),0)</f>
        <v>11231</v>
      </c>
      <c r="C55">
        <f>ROUND((C63*(AVERAGE(LEV!$G$170,LEV!$E$170,LEV!$C$170))),0)</f>
        <v>19266</v>
      </c>
      <c r="D55">
        <f>ROUND((D63*(AVERAGE(LEV!$G$170,LEV!$E$170,LEV!$C$170))),0)</f>
        <v>6155</v>
      </c>
      <c r="E55">
        <f>ROUND((E63*(AVERAGE(LEV!$G$170,LEV!$E$170,LEV!$C$170))),0)</f>
        <v>23072</v>
      </c>
      <c r="F55">
        <f>ROUND((F63*(AVERAGE(LEV!$G$170,LEV!$E$170,LEV!$C$170))),0)</f>
        <v>96216</v>
      </c>
      <c r="G55">
        <f>ROUND((G63*(AVERAGE(LEV!$G$170,LEV!$E$170,LEV!$C$170))),0)</f>
        <v>86346</v>
      </c>
      <c r="H55">
        <f>ROUND((H63*(AVERAGE(LEV!$G$170,LEV!$E$170,LEV!$C$170))),0)</f>
        <v>43414</v>
      </c>
      <c r="I55">
        <f>ROUND((I63*(AVERAGE(LEV!$G$170,LEV!$E$170,LEV!$C$170))),0)</f>
        <v>50865</v>
      </c>
      <c r="J55">
        <f>ROUND((J63*(AVERAGE(LEV!$G$170,LEV!$E$170,LEV!$C$170))),0)</f>
        <v>110871</v>
      </c>
      <c r="K55">
        <f>ROUND((K63*(AVERAGE(LEV!$G$170,LEV!$E$170,LEV!$C$170))),0)</f>
        <v>43382</v>
      </c>
      <c r="L55">
        <f>ROUND((L63*(AVERAGE(LEV!$G$170,LEV!$E$170,LEV!$C$170))),0)</f>
        <v>79663</v>
      </c>
      <c r="M55">
        <f>ROUND((M63*(AVERAGE(LEV!$G$170,LEV!$E$170,LEV!$C$170))),0)</f>
        <v>59185</v>
      </c>
      <c r="N55">
        <f>ROUND((N63*(AVERAGE(LEV!$G$170,LEV!$E$170,LEV!$C$170))),0)</f>
        <v>205143</v>
      </c>
      <c r="O55">
        <f>ROUND((O63*(AVERAGE(LEV!$G$170,LEV!$E$170,LEV!$C$170))),0)</f>
        <v>58785</v>
      </c>
      <c r="P55">
        <f>ROUND((P63*(AVERAGE(LEV!$G$170,LEV!$E$170,LEV!$C$170))),0)</f>
        <v>29876</v>
      </c>
      <c r="Q55">
        <f>ROUND((Q63*(AVERAGE(LEV!$G$170,LEV!$E$170,LEV!$C$170))),0)</f>
        <v>188707</v>
      </c>
      <c r="R55">
        <f>ROUND((R63*(AVERAGE(LEV!$G$170,LEV!$E$170,LEV!$C$170))),0)</f>
        <v>64491</v>
      </c>
      <c r="S55">
        <f>ROUND((S63*(AVERAGE(LEV!$G$170,LEV!$E$170,LEV!$C$170))),0)</f>
        <v>32593</v>
      </c>
      <c r="T55">
        <f>ROUND((T63*(AVERAGE(LEV!$G$170,LEV!$E$170,LEV!$C$170))),0)</f>
        <v>76125</v>
      </c>
      <c r="U55">
        <f>ROUND((U63*(AVERAGE(LEV!$G$170,LEV!$E$170,LEV!$C$170))),0)</f>
        <v>30548</v>
      </c>
      <c r="V55">
        <f>ROUND((V63*(AVERAGE(LEV!$G$170,LEV!$E$170,LEV!$C$170))),0)</f>
        <v>170396</v>
      </c>
      <c r="W55">
        <f>ROUND((W63*(AVERAGE(LEV!$G$170,LEV!$E$170,LEV!$C$170))),0)</f>
        <v>31395</v>
      </c>
      <c r="X55">
        <f>ROUND((X63*(AVERAGE(LEV!$G$170,LEV!$E$170,LEV!$C$170))),0)</f>
        <v>7380</v>
      </c>
      <c r="Y55">
        <f>ROUND((Y63*(AVERAGE(LEV!$G$170,LEV!$E$170,LEV!$C$170))),0)</f>
        <v>113855</v>
      </c>
      <c r="Z55">
        <f>ROUND((Z63*(AVERAGE(LEV!$G$170,LEV!$E$170,LEV!$C$170))),0)</f>
        <v>439947</v>
      </c>
      <c r="AA55">
        <f>ROUND((AA63*(AVERAGE(LEV!$G$170,LEV!$E$170,LEV!$C$170))),0)</f>
        <v>13926</v>
      </c>
      <c r="AB55">
        <f>ROUND((AB63*(AVERAGE(LEV!$G$170,LEV!$E$170,LEV!$C$170))),0)</f>
        <v>25338</v>
      </c>
      <c r="AC55">
        <f>ROUND((AC63*(AVERAGE(LEV!$G$170,LEV!$E$170,LEV!$C$170))),0)</f>
        <v>2118172</v>
      </c>
    </row>
    <row r="56" spans="1:29">
      <c r="A56" s="894"/>
    </row>
    <row r="57" spans="1:29">
      <c r="A57" s="894" t="s">
        <v>306</v>
      </c>
      <c r="B57">
        <f>B35</f>
        <v>65317</v>
      </c>
      <c r="C57">
        <f t="shared" ref="C57:AC57" si="18">C35</f>
        <v>268427</v>
      </c>
      <c r="D57">
        <f t="shared" si="18"/>
        <v>62633</v>
      </c>
      <c r="E57">
        <f t="shared" si="18"/>
        <v>317817</v>
      </c>
      <c r="F57">
        <f t="shared" si="18"/>
        <v>1372928</v>
      </c>
      <c r="G57">
        <f t="shared" si="18"/>
        <v>847914</v>
      </c>
      <c r="H57">
        <f t="shared" si="18"/>
        <v>1072782</v>
      </c>
      <c r="I57">
        <f t="shared" si="18"/>
        <v>768594</v>
      </c>
      <c r="J57">
        <f t="shared" si="18"/>
        <v>1459600</v>
      </c>
      <c r="K57">
        <f t="shared" si="18"/>
        <v>325285</v>
      </c>
      <c r="L57">
        <f t="shared" si="18"/>
        <v>523788</v>
      </c>
      <c r="M57">
        <f t="shared" si="18"/>
        <v>561416</v>
      </c>
      <c r="N57">
        <f t="shared" si="18"/>
        <v>4791545</v>
      </c>
      <c r="O57">
        <f t="shared" si="18"/>
        <v>440050</v>
      </c>
      <c r="P57">
        <f t="shared" si="18"/>
        <v>395615</v>
      </c>
      <c r="Q57">
        <f t="shared" si="18"/>
        <v>3639468</v>
      </c>
      <c r="R57">
        <f t="shared" si="18"/>
        <v>1062334</v>
      </c>
      <c r="S57">
        <f t="shared" si="18"/>
        <v>239418</v>
      </c>
      <c r="T57">
        <f t="shared" si="18"/>
        <v>3753530</v>
      </c>
      <c r="U57">
        <f t="shared" si="18"/>
        <v>415457</v>
      </c>
      <c r="V57">
        <f t="shared" si="18"/>
        <v>3499105</v>
      </c>
      <c r="W57">
        <f t="shared" si="18"/>
        <v>205646</v>
      </c>
      <c r="X57">
        <f t="shared" si="18"/>
        <v>51878</v>
      </c>
      <c r="Y57">
        <f t="shared" si="18"/>
        <v>2357592</v>
      </c>
      <c r="Z57">
        <f t="shared" si="18"/>
        <v>15364402</v>
      </c>
      <c r="AA57">
        <f t="shared" si="18"/>
        <v>254458</v>
      </c>
      <c r="AB57">
        <f t="shared" si="18"/>
        <v>152590</v>
      </c>
      <c r="AC57">
        <f t="shared" si="18"/>
        <v>44269589</v>
      </c>
    </row>
    <row r="58" spans="1:29">
      <c r="A58" s="894" t="s">
        <v>307</v>
      </c>
      <c r="B58">
        <f>B38+B39+B44</f>
        <v>22762</v>
      </c>
      <c r="C58">
        <f t="shared" ref="C58:AC58" si="19">C38+C39+C44</f>
        <v>57209</v>
      </c>
      <c r="D58">
        <f t="shared" si="19"/>
        <v>19917</v>
      </c>
      <c r="E58">
        <f t="shared" si="19"/>
        <v>96318</v>
      </c>
      <c r="F58">
        <f t="shared" si="19"/>
        <v>339127</v>
      </c>
      <c r="G58">
        <f t="shared" si="19"/>
        <v>203525</v>
      </c>
      <c r="H58">
        <f t="shared" si="19"/>
        <v>171668</v>
      </c>
      <c r="I58">
        <f t="shared" si="19"/>
        <v>184187</v>
      </c>
      <c r="J58">
        <f t="shared" si="19"/>
        <v>353975</v>
      </c>
      <c r="K58">
        <f t="shared" si="19"/>
        <v>102617</v>
      </c>
      <c r="L58">
        <f t="shared" si="19"/>
        <v>186963</v>
      </c>
      <c r="M58">
        <f t="shared" si="19"/>
        <v>147090</v>
      </c>
      <c r="N58">
        <f t="shared" si="19"/>
        <v>911130</v>
      </c>
      <c r="O58">
        <f t="shared" si="19"/>
        <v>134256</v>
      </c>
      <c r="P58">
        <f t="shared" si="19"/>
        <v>83446</v>
      </c>
      <c r="Q58">
        <f t="shared" si="19"/>
        <v>695392</v>
      </c>
      <c r="R58">
        <f t="shared" si="19"/>
        <v>210151</v>
      </c>
      <c r="S58">
        <f t="shared" si="19"/>
        <v>75909</v>
      </c>
      <c r="T58">
        <f t="shared" si="19"/>
        <v>526585</v>
      </c>
      <c r="U58">
        <f t="shared" si="19"/>
        <v>91920</v>
      </c>
      <c r="V58">
        <f t="shared" si="19"/>
        <v>588816</v>
      </c>
      <c r="W58">
        <f t="shared" si="19"/>
        <v>73873</v>
      </c>
      <c r="X58">
        <f t="shared" si="19"/>
        <v>21866</v>
      </c>
      <c r="Y58">
        <f t="shared" si="19"/>
        <v>416373</v>
      </c>
      <c r="Z58">
        <f t="shared" si="19"/>
        <v>2523392</v>
      </c>
      <c r="AA58">
        <f t="shared" si="19"/>
        <v>43404</v>
      </c>
      <c r="AB58">
        <f t="shared" si="19"/>
        <v>55745</v>
      </c>
      <c r="AC58">
        <f t="shared" si="19"/>
        <v>8337616</v>
      </c>
    </row>
    <row r="59" spans="1:29">
      <c r="A59" s="894"/>
    </row>
    <row r="60" spans="1:29">
      <c r="A60" s="894" t="s">
        <v>308</v>
      </c>
      <c r="B60">
        <f t="shared" ref="B60:J60" si="20">B16-B67-B68</f>
        <v>19775</v>
      </c>
      <c r="C60">
        <f t="shared" si="20"/>
        <v>74522</v>
      </c>
      <c r="D60">
        <f t="shared" si="20"/>
        <v>19930</v>
      </c>
      <c r="E60">
        <f t="shared" si="20"/>
        <v>140861</v>
      </c>
      <c r="F60">
        <f t="shared" si="20"/>
        <v>529600</v>
      </c>
      <c r="G60">
        <f t="shared" si="20"/>
        <v>246281</v>
      </c>
      <c r="H60">
        <f t="shared" si="20"/>
        <v>498227</v>
      </c>
      <c r="I60">
        <f t="shared" si="20"/>
        <v>360735</v>
      </c>
      <c r="J60">
        <f t="shared" si="20"/>
        <v>703285</v>
      </c>
      <c r="K60" s="900">
        <f>ROUND((K16*(AQ35+AQ38+AQ39+AQ44)),0)</f>
        <v>245676</v>
      </c>
      <c r="L60">
        <f t="shared" ref="L60:AC60" si="21">L16-L67-L68</f>
        <v>177914</v>
      </c>
      <c r="M60">
        <f t="shared" si="21"/>
        <v>279760</v>
      </c>
      <c r="N60">
        <f t="shared" si="21"/>
        <v>2578785</v>
      </c>
      <c r="O60">
        <f t="shared" si="21"/>
        <v>75803</v>
      </c>
      <c r="P60">
        <f t="shared" si="21"/>
        <v>121979</v>
      </c>
      <c r="Q60">
        <f t="shared" si="21"/>
        <v>2076907</v>
      </c>
      <c r="R60">
        <f t="shared" si="21"/>
        <v>349679</v>
      </c>
      <c r="S60">
        <f t="shared" si="21"/>
        <v>47892</v>
      </c>
      <c r="T60">
        <f t="shared" si="21"/>
        <v>2242036</v>
      </c>
      <c r="U60">
        <f t="shared" si="21"/>
        <v>173421</v>
      </c>
      <c r="V60">
        <f t="shared" si="21"/>
        <v>2388068</v>
      </c>
      <c r="W60">
        <f t="shared" si="21"/>
        <v>31519</v>
      </c>
      <c r="X60">
        <f t="shared" si="21"/>
        <v>22030</v>
      </c>
      <c r="Y60">
        <f t="shared" si="21"/>
        <v>1337661</v>
      </c>
      <c r="Z60">
        <f t="shared" si="21"/>
        <v>8735027</v>
      </c>
      <c r="AA60">
        <f t="shared" si="21"/>
        <v>83108</v>
      </c>
      <c r="AB60">
        <f t="shared" si="21"/>
        <v>37496</v>
      </c>
      <c r="AC60">
        <f t="shared" si="21"/>
        <v>23337746</v>
      </c>
    </row>
    <row r="61" spans="1:29">
      <c r="A61" s="894" t="s">
        <v>309</v>
      </c>
      <c r="B61">
        <f>B14</f>
        <v>52951</v>
      </c>
      <c r="C61">
        <f t="shared" ref="C61:AC61" si="22">C14</f>
        <v>205023</v>
      </c>
      <c r="D61">
        <f t="shared" si="22"/>
        <v>55328</v>
      </c>
      <c r="E61">
        <f t="shared" si="22"/>
        <v>233423</v>
      </c>
      <c r="F61">
        <f t="shared" si="22"/>
        <v>982746</v>
      </c>
      <c r="G61">
        <f t="shared" si="22"/>
        <v>646581</v>
      </c>
      <c r="H61">
        <f t="shared" si="22"/>
        <v>641048</v>
      </c>
      <c r="I61">
        <f t="shared" si="22"/>
        <v>479303</v>
      </c>
      <c r="J61">
        <f t="shared" si="22"/>
        <v>845343</v>
      </c>
      <c r="K61">
        <f t="shared" si="22"/>
        <v>388642</v>
      </c>
      <c r="L61">
        <f t="shared" si="22"/>
        <v>406497</v>
      </c>
      <c r="M61">
        <f t="shared" si="22"/>
        <v>314051</v>
      </c>
      <c r="N61">
        <f t="shared" si="22"/>
        <v>2486938</v>
      </c>
      <c r="O61">
        <f t="shared" si="22"/>
        <v>415133</v>
      </c>
      <c r="P61">
        <f t="shared" si="22"/>
        <v>292881</v>
      </c>
      <c r="Q61">
        <f t="shared" si="22"/>
        <v>1642990</v>
      </c>
      <c r="R61">
        <f t="shared" si="22"/>
        <v>756176</v>
      </c>
      <c r="S61">
        <f t="shared" si="22"/>
        <v>218849</v>
      </c>
      <c r="T61">
        <f t="shared" si="22"/>
        <v>1593023</v>
      </c>
      <c r="U61">
        <f t="shared" si="22"/>
        <v>266276</v>
      </c>
      <c r="V61">
        <f t="shared" si="22"/>
        <v>1327257</v>
      </c>
      <c r="W61">
        <f t="shared" si="22"/>
        <v>203628</v>
      </c>
      <c r="X61">
        <f t="shared" si="22"/>
        <v>43000</v>
      </c>
      <c r="Y61">
        <f t="shared" si="22"/>
        <v>1178627</v>
      </c>
      <c r="Z61">
        <f t="shared" si="22"/>
        <v>6858055</v>
      </c>
      <c r="AA61">
        <f t="shared" si="22"/>
        <v>179548</v>
      </c>
      <c r="AB61">
        <f t="shared" si="22"/>
        <v>134360</v>
      </c>
      <c r="AC61">
        <f t="shared" si="22"/>
        <v>22847677</v>
      </c>
    </row>
    <row r="62" spans="1:29">
      <c r="A62" s="894" t="s">
        <v>310</v>
      </c>
      <c r="B62">
        <f>B13</f>
        <v>3608</v>
      </c>
      <c r="C62">
        <f t="shared" ref="C62:AC62" si="23">C13</f>
        <v>24831</v>
      </c>
      <c r="D62">
        <f t="shared" si="23"/>
        <v>1419</v>
      </c>
      <c r="E62">
        <f t="shared" si="23"/>
        <v>16276</v>
      </c>
      <c r="F62">
        <f t="shared" si="23"/>
        <v>97044</v>
      </c>
      <c r="G62">
        <f t="shared" si="23"/>
        <v>64996</v>
      </c>
      <c r="H62">
        <f t="shared" si="23"/>
        <v>59458</v>
      </c>
      <c r="I62">
        <f t="shared" si="23"/>
        <v>54194</v>
      </c>
      <c r="J62">
        <f t="shared" si="23"/>
        <v>157991</v>
      </c>
      <c r="K62">
        <f t="shared" si="23"/>
        <v>13579</v>
      </c>
      <c r="L62">
        <f t="shared" si="23"/>
        <v>47039</v>
      </c>
      <c r="M62">
        <f t="shared" si="23"/>
        <v>52777</v>
      </c>
      <c r="N62">
        <f t="shared" si="23"/>
        <v>433312</v>
      </c>
      <c r="O62">
        <f t="shared" si="23"/>
        <v>23637</v>
      </c>
      <c r="P62">
        <f t="shared" si="23"/>
        <v>31079</v>
      </c>
      <c r="Q62">
        <f t="shared" si="23"/>
        <v>420512</v>
      </c>
      <c r="R62">
        <f t="shared" si="23"/>
        <v>95873</v>
      </c>
      <c r="S62">
        <f t="shared" si="23"/>
        <v>18077</v>
      </c>
      <c r="T62">
        <f t="shared" si="23"/>
        <v>361689</v>
      </c>
      <c r="U62">
        <f t="shared" si="23"/>
        <v>34643</v>
      </c>
      <c r="V62">
        <f t="shared" si="23"/>
        <v>200094</v>
      </c>
      <c r="W62">
        <f t="shared" si="23"/>
        <v>10198</v>
      </c>
      <c r="X62">
        <f t="shared" si="23"/>
        <v>1416</v>
      </c>
      <c r="Y62">
        <f t="shared" si="23"/>
        <v>138077</v>
      </c>
      <c r="Z62">
        <f t="shared" si="23"/>
        <v>1854783</v>
      </c>
      <c r="AA62">
        <f t="shared" si="23"/>
        <v>19899</v>
      </c>
      <c r="AB62">
        <f t="shared" si="23"/>
        <v>10656</v>
      </c>
      <c r="AC62">
        <f t="shared" si="23"/>
        <v>4247157</v>
      </c>
    </row>
    <row r="63" spans="1:29">
      <c r="A63" s="894" t="s">
        <v>311</v>
      </c>
      <c r="B63">
        <f t="shared" ref="B63:AC63" si="24">B15-B77-B79-B86</f>
        <v>11530</v>
      </c>
      <c r="C63">
        <f t="shared" si="24"/>
        <v>19779</v>
      </c>
      <c r="D63">
        <f t="shared" si="24"/>
        <v>6319</v>
      </c>
      <c r="E63">
        <f t="shared" si="24"/>
        <v>23687</v>
      </c>
      <c r="F63">
        <f t="shared" si="24"/>
        <v>98780</v>
      </c>
      <c r="G63">
        <f t="shared" si="24"/>
        <v>88647</v>
      </c>
      <c r="H63">
        <f t="shared" si="24"/>
        <v>44571</v>
      </c>
      <c r="I63">
        <f t="shared" si="24"/>
        <v>52221</v>
      </c>
      <c r="J63">
        <f t="shared" si="24"/>
        <v>113826</v>
      </c>
      <c r="K63">
        <f t="shared" si="24"/>
        <v>44538</v>
      </c>
      <c r="L63">
        <f t="shared" si="24"/>
        <v>81786</v>
      </c>
      <c r="M63">
        <f t="shared" si="24"/>
        <v>60762</v>
      </c>
      <c r="N63">
        <f t="shared" si="24"/>
        <v>210610</v>
      </c>
      <c r="O63">
        <f t="shared" si="24"/>
        <v>60352</v>
      </c>
      <c r="P63">
        <f t="shared" si="24"/>
        <v>30672</v>
      </c>
      <c r="Q63">
        <f t="shared" si="24"/>
        <v>193736</v>
      </c>
      <c r="R63">
        <f t="shared" si="24"/>
        <v>66210</v>
      </c>
      <c r="S63">
        <f t="shared" si="24"/>
        <v>33462</v>
      </c>
      <c r="T63">
        <f t="shared" si="24"/>
        <v>78154</v>
      </c>
      <c r="U63">
        <f t="shared" si="24"/>
        <v>31362</v>
      </c>
      <c r="V63">
        <f t="shared" si="24"/>
        <v>174937</v>
      </c>
      <c r="W63">
        <f t="shared" si="24"/>
        <v>32232</v>
      </c>
      <c r="X63">
        <f t="shared" si="24"/>
        <v>7577</v>
      </c>
      <c r="Y63">
        <f t="shared" si="24"/>
        <v>116889</v>
      </c>
      <c r="Z63">
        <f t="shared" si="24"/>
        <v>451671</v>
      </c>
      <c r="AA63">
        <f t="shared" si="24"/>
        <v>14297</v>
      </c>
      <c r="AB63">
        <f t="shared" si="24"/>
        <v>26013</v>
      </c>
      <c r="AC63">
        <f t="shared" si="24"/>
        <v>2174620</v>
      </c>
    </row>
    <row r="65" spans="1:29" s="902" customFormat="1">
      <c r="A65" s="901"/>
      <c r="AC65" s="901"/>
    </row>
    <row r="67" spans="1:29">
      <c r="A67" s="893" t="s">
        <v>312</v>
      </c>
      <c r="B67">
        <f>B42</f>
        <v>16018</v>
      </c>
      <c r="C67">
        <f t="shared" ref="C67:AC67" si="25">C42</f>
        <v>27936</v>
      </c>
      <c r="D67">
        <f t="shared" si="25"/>
        <v>8340</v>
      </c>
      <c r="E67">
        <f t="shared" si="25"/>
        <v>39916</v>
      </c>
      <c r="F67">
        <f t="shared" si="25"/>
        <v>131914</v>
      </c>
      <c r="G67">
        <f t="shared" si="25"/>
        <v>112498</v>
      </c>
      <c r="H67">
        <f t="shared" si="25"/>
        <v>14232</v>
      </c>
      <c r="I67">
        <f t="shared" si="25"/>
        <v>81533</v>
      </c>
      <c r="J67">
        <f t="shared" si="25"/>
        <v>211879</v>
      </c>
      <c r="K67" s="900">
        <f>ROUND((K16*(AQ42)),0)</f>
        <v>51337</v>
      </c>
      <c r="L67">
        <f t="shared" si="25"/>
        <v>154464</v>
      </c>
      <c r="M67">
        <f t="shared" si="25"/>
        <v>85983</v>
      </c>
      <c r="N67">
        <f t="shared" si="25"/>
        <v>219088</v>
      </c>
      <c r="O67">
        <f t="shared" si="25"/>
        <v>123249</v>
      </c>
      <c r="P67">
        <f t="shared" si="25"/>
        <v>49580</v>
      </c>
      <c r="Q67">
        <f t="shared" si="25"/>
        <v>241374</v>
      </c>
      <c r="R67">
        <f t="shared" si="25"/>
        <v>78793</v>
      </c>
      <c r="S67">
        <f t="shared" si="25"/>
        <v>66800</v>
      </c>
      <c r="T67">
        <f t="shared" si="25"/>
        <v>128816</v>
      </c>
      <c r="U67">
        <f t="shared" si="25"/>
        <v>44832</v>
      </c>
      <c r="V67">
        <f t="shared" si="25"/>
        <v>160703</v>
      </c>
      <c r="W67">
        <f t="shared" si="25"/>
        <v>87665</v>
      </c>
      <c r="X67">
        <f t="shared" si="25"/>
        <v>14897</v>
      </c>
      <c r="Y67">
        <f t="shared" si="25"/>
        <v>225358</v>
      </c>
      <c r="Z67">
        <f t="shared" si="25"/>
        <v>676117</v>
      </c>
      <c r="AA67">
        <f t="shared" si="25"/>
        <v>31403</v>
      </c>
      <c r="AB67">
        <f t="shared" si="25"/>
        <v>71589</v>
      </c>
      <c r="AC67">
        <f t="shared" si="25"/>
        <v>3194393</v>
      </c>
    </row>
    <row r="68" spans="1:29">
      <c r="A68" s="893" t="s">
        <v>313</v>
      </c>
      <c r="B68">
        <f>B41</f>
        <v>83949</v>
      </c>
      <c r="C68">
        <f t="shared" ref="C68:AC68" si="26">C41</f>
        <v>189272</v>
      </c>
      <c r="D68">
        <f t="shared" si="26"/>
        <v>49617</v>
      </c>
      <c r="E68">
        <f t="shared" si="26"/>
        <v>174999</v>
      </c>
      <c r="F68">
        <f t="shared" si="26"/>
        <v>965928</v>
      </c>
      <c r="G68">
        <f t="shared" si="26"/>
        <v>1000142</v>
      </c>
      <c r="H68">
        <f t="shared" si="26"/>
        <v>151234</v>
      </c>
      <c r="I68">
        <f t="shared" si="26"/>
        <v>365323</v>
      </c>
      <c r="J68">
        <f t="shared" si="26"/>
        <v>726422</v>
      </c>
      <c r="K68" s="900">
        <f>ROUND((K16*(AQ41)),0)</f>
        <v>334714</v>
      </c>
      <c r="L68">
        <f t="shared" si="26"/>
        <v>482601</v>
      </c>
      <c r="M68">
        <f t="shared" si="26"/>
        <v>306089</v>
      </c>
      <c r="N68">
        <f t="shared" si="26"/>
        <v>2055291</v>
      </c>
      <c r="O68">
        <f t="shared" si="26"/>
        <v>561033</v>
      </c>
      <c r="P68">
        <f t="shared" si="26"/>
        <v>355167</v>
      </c>
      <c r="Q68">
        <f t="shared" si="26"/>
        <v>986363</v>
      </c>
      <c r="R68">
        <f t="shared" si="26"/>
        <v>804378</v>
      </c>
      <c r="S68">
        <f t="shared" si="26"/>
        <v>392232</v>
      </c>
      <c r="T68">
        <f t="shared" si="26"/>
        <v>725682</v>
      </c>
      <c r="U68">
        <f t="shared" si="26"/>
        <v>330134</v>
      </c>
      <c r="V68">
        <f t="shared" si="26"/>
        <v>933663</v>
      </c>
      <c r="W68">
        <f t="shared" si="26"/>
        <v>313814</v>
      </c>
      <c r="X68">
        <f t="shared" si="26"/>
        <v>63367</v>
      </c>
      <c r="Y68">
        <f t="shared" si="26"/>
        <v>746115</v>
      </c>
      <c r="Z68">
        <f t="shared" si="26"/>
        <v>3885151</v>
      </c>
      <c r="AA68">
        <f t="shared" si="26"/>
        <v>184514</v>
      </c>
      <c r="AB68">
        <f t="shared" si="26"/>
        <v>179244</v>
      </c>
      <c r="AC68">
        <f t="shared" si="26"/>
        <v>17594705</v>
      </c>
    </row>
    <row r="69" spans="1:29">
      <c r="AC69"/>
    </row>
    <row r="70" spans="1:29">
      <c r="A70" s="893" t="s">
        <v>312</v>
      </c>
      <c r="B70">
        <f>B67</f>
        <v>16018</v>
      </c>
      <c r="C70">
        <f t="shared" ref="C70:AC70" si="27">C67</f>
        <v>27936</v>
      </c>
      <c r="D70">
        <f t="shared" si="27"/>
        <v>8340</v>
      </c>
      <c r="E70">
        <f t="shared" si="27"/>
        <v>39916</v>
      </c>
      <c r="F70">
        <f t="shared" si="27"/>
        <v>131914</v>
      </c>
      <c r="G70">
        <f t="shared" si="27"/>
        <v>112498</v>
      </c>
      <c r="H70">
        <f t="shared" si="27"/>
        <v>14232</v>
      </c>
      <c r="I70">
        <f t="shared" si="27"/>
        <v>81533</v>
      </c>
      <c r="J70">
        <f t="shared" si="27"/>
        <v>211879</v>
      </c>
      <c r="K70">
        <f t="shared" si="27"/>
        <v>51337</v>
      </c>
      <c r="L70">
        <f t="shared" si="27"/>
        <v>154464</v>
      </c>
      <c r="M70">
        <f t="shared" si="27"/>
        <v>85983</v>
      </c>
      <c r="N70">
        <f t="shared" si="27"/>
        <v>219088</v>
      </c>
      <c r="O70">
        <f t="shared" si="27"/>
        <v>123249</v>
      </c>
      <c r="P70">
        <f t="shared" si="27"/>
        <v>49580</v>
      </c>
      <c r="Q70">
        <f t="shared" si="27"/>
        <v>241374</v>
      </c>
      <c r="R70">
        <f t="shared" si="27"/>
        <v>78793</v>
      </c>
      <c r="S70">
        <f t="shared" si="27"/>
        <v>66800</v>
      </c>
      <c r="T70">
        <f t="shared" si="27"/>
        <v>128816</v>
      </c>
      <c r="U70">
        <f t="shared" si="27"/>
        <v>44832</v>
      </c>
      <c r="V70">
        <f t="shared" si="27"/>
        <v>160703</v>
      </c>
      <c r="W70">
        <f t="shared" si="27"/>
        <v>87665</v>
      </c>
      <c r="X70">
        <f t="shared" si="27"/>
        <v>14897</v>
      </c>
      <c r="Y70">
        <f t="shared" si="27"/>
        <v>225358</v>
      </c>
      <c r="Z70">
        <f t="shared" si="27"/>
        <v>676117</v>
      </c>
      <c r="AA70">
        <f t="shared" si="27"/>
        <v>31403</v>
      </c>
      <c r="AB70">
        <f t="shared" si="27"/>
        <v>71589</v>
      </c>
      <c r="AC70">
        <f t="shared" si="27"/>
        <v>3194393</v>
      </c>
    </row>
    <row r="71" spans="1:29">
      <c r="A71" s="893" t="s">
        <v>314</v>
      </c>
      <c r="B71">
        <f>ROUND((B$68*(AVERAGE(MOT!$D12,MOT!$F12,MOT!$H12))),0)</f>
        <v>80217</v>
      </c>
      <c r="C71">
        <f>ROUND((C$68*(AVERAGE(MOT!$D12,MOT!$F12,MOT!$H12))),0)</f>
        <v>180857</v>
      </c>
      <c r="D71">
        <f>ROUND((D$68*(AVERAGE(MOT!$D12,MOT!$F12,MOT!$H12))),0)</f>
        <v>47411</v>
      </c>
      <c r="E71">
        <f>ROUND((E$68*(AVERAGE(MOT!$D12,MOT!$F12,MOT!$H12))),0)</f>
        <v>167218</v>
      </c>
      <c r="F71">
        <f>ROUND((F$68*(AVERAGE(MOT!$D12,MOT!$F12,MOT!$H12))),0)</f>
        <v>922982</v>
      </c>
      <c r="G71">
        <f>ROUND((G$68*(AVERAGE(MOT!$D12,MOT!$F12,MOT!$H12))),0)</f>
        <v>955675</v>
      </c>
      <c r="H71">
        <f>ROUND((H$68*(AVERAGE(MOT!$D12,MOT!$F12,MOT!$H12))),0)</f>
        <v>144510</v>
      </c>
      <c r="I71">
        <f>ROUND((I$68*(AVERAGE(MOT!$D12,MOT!$F12,MOT!$H12))),0)</f>
        <v>349080</v>
      </c>
      <c r="J71">
        <f>ROUND((J$68*(AVERAGE(MOT!$D12,MOT!$F12,MOT!$H12))),0)</f>
        <v>694125</v>
      </c>
      <c r="K71">
        <f>ROUND((K$68*(AVERAGE(MOT!$D12,MOT!$F12,MOT!$H12))),0)</f>
        <v>319832</v>
      </c>
      <c r="L71">
        <f>ROUND((L$68*(AVERAGE(MOT!$D12,MOT!$F12,MOT!$H12))),0)</f>
        <v>461144</v>
      </c>
      <c r="M71">
        <f>ROUND((M$68*(AVERAGE(MOT!$D12,MOT!$F12,MOT!$H12))),0)</f>
        <v>292480</v>
      </c>
      <c r="N71">
        <f>ROUND((N$68*(AVERAGE(MOT!$D12,MOT!$F12,MOT!$H12))),0)</f>
        <v>1963911</v>
      </c>
      <c r="O71">
        <f>ROUND((O$68*(AVERAGE(MOT!$D12,MOT!$F12,MOT!$H12))),0)</f>
        <v>536089</v>
      </c>
      <c r="P71">
        <f>ROUND((P$68*(AVERAGE(MOT!$D12,MOT!$F12,MOT!$H12))),0)</f>
        <v>339376</v>
      </c>
      <c r="Q71">
        <f>ROUND((Q$68*(AVERAGE(MOT!$D12,MOT!$F12,MOT!$H12))),0)</f>
        <v>942509</v>
      </c>
      <c r="R71">
        <f>ROUND((R$68*(AVERAGE(MOT!$D12,MOT!$F12,MOT!$H12))),0)</f>
        <v>768615</v>
      </c>
      <c r="S71">
        <f>ROUND((S$68*(AVERAGE(MOT!$D12,MOT!$F12,MOT!$H12))),0)</f>
        <v>374793</v>
      </c>
      <c r="T71">
        <f>ROUND((T$68*(AVERAGE(MOT!$D12,MOT!$F12,MOT!$H12))),0)</f>
        <v>693418</v>
      </c>
      <c r="U71">
        <f>ROUND((U$68*(AVERAGE(MOT!$D12,MOT!$F12,MOT!$H12))),0)</f>
        <v>315456</v>
      </c>
      <c r="V71">
        <f>ROUND((V$68*(AVERAGE(MOT!$D12,MOT!$F12,MOT!$H12))),0)</f>
        <v>892152</v>
      </c>
      <c r="W71">
        <f>ROUND((W$68*(AVERAGE(MOT!$D12,MOT!$F12,MOT!$H12))),0)</f>
        <v>299862</v>
      </c>
      <c r="X71">
        <f>ROUND((X$68*(AVERAGE(MOT!$D12,MOT!$F12,MOT!$H12))),0)</f>
        <v>60550</v>
      </c>
      <c r="Y71">
        <f>ROUND((Y$68*(AVERAGE(MOT!$D12,MOT!$F12,MOT!$H12))),0)</f>
        <v>712942</v>
      </c>
      <c r="Z71">
        <f>ROUND((Z$68*(AVERAGE(MOT!$D12,MOT!$F12,MOT!$H12))),0)</f>
        <v>3712415</v>
      </c>
      <c r="AA71">
        <f>ROUND((AA$68*(AVERAGE(MOT!$D12,MOT!$F12,MOT!$H12))),0)</f>
        <v>176310</v>
      </c>
      <c r="AB71">
        <f>ROUND((AB$68*(AVERAGE(MOT!$D12,MOT!$F12,MOT!$H12))),0)</f>
        <v>171275</v>
      </c>
      <c r="AC71">
        <f>ROUND((AC$68*(AVERAGE(MOT!$D12,MOT!$F12,MOT!$H12))),0)</f>
        <v>16812432</v>
      </c>
    </row>
    <row r="72" spans="1:29">
      <c r="A72" s="893" t="s">
        <v>315</v>
      </c>
      <c r="B72">
        <f>ROUND((B$68*(AVERAGE(MOT!$D13,MOT!$F13,MOT!$H13))),0)</f>
        <v>2585</v>
      </c>
      <c r="C72">
        <f>ROUND((C$68*(AVERAGE(MOT!$D13,MOT!$F13,MOT!$H13))),0)</f>
        <v>5827</v>
      </c>
      <c r="D72">
        <f>ROUND((D$68*(AVERAGE(MOT!$D13,MOT!$F13,MOT!$H13))),0)</f>
        <v>1528</v>
      </c>
      <c r="E72">
        <f>ROUND((E$68*(AVERAGE(MOT!$D13,MOT!$F13,MOT!$H13))),0)</f>
        <v>5388</v>
      </c>
      <c r="F72">
        <f>ROUND((F$68*(AVERAGE(MOT!$D13,MOT!$F13,MOT!$H13))),0)</f>
        <v>29739</v>
      </c>
      <c r="G72">
        <f>ROUND((G$68*(AVERAGE(MOT!$D13,MOT!$F13,MOT!$H13))),0)</f>
        <v>30792</v>
      </c>
      <c r="H72">
        <f>ROUND((H$68*(AVERAGE(MOT!$D13,MOT!$F13,MOT!$H13))),0)</f>
        <v>4656</v>
      </c>
      <c r="I72">
        <f>ROUND((I$68*(AVERAGE(MOT!$D13,MOT!$F13,MOT!$H13))),0)</f>
        <v>11247</v>
      </c>
      <c r="J72">
        <f>ROUND((J$68*(AVERAGE(MOT!$D13,MOT!$F13,MOT!$H13))),0)</f>
        <v>22365</v>
      </c>
      <c r="K72">
        <f>ROUND((K$68*(AVERAGE(MOT!$D13,MOT!$F13,MOT!$H13))),0)</f>
        <v>10305</v>
      </c>
      <c r="L72">
        <f>ROUND((L$68*(AVERAGE(MOT!$D13,MOT!$F13,MOT!$H13))),0)</f>
        <v>14858</v>
      </c>
      <c r="M72">
        <f>ROUND((M$68*(AVERAGE(MOT!$D13,MOT!$F13,MOT!$H13))),0)</f>
        <v>9424</v>
      </c>
      <c r="N72">
        <f>ROUND((N$68*(AVERAGE(MOT!$D13,MOT!$F13,MOT!$H13))),0)</f>
        <v>63277</v>
      </c>
      <c r="O72">
        <f>ROUND((O$68*(AVERAGE(MOT!$D13,MOT!$F13,MOT!$H13))),0)</f>
        <v>17273</v>
      </c>
      <c r="P72">
        <f>ROUND((P$68*(AVERAGE(MOT!$D13,MOT!$F13,MOT!$H13))),0)</f>
        <v>10935</v>
      </c>
      <c r="Q72">
        <f>ROUND((Q$68*(AVERAGE(MOT!$D13,MOT!$F13,MOT!$H13))),0)</f>
        <v>30368</v>
      </c>
      <c r="R72">
        <f>ROUND((R$68*(AVERAGE(MOT!$D13,MOT!$F13,MOT!$H13))),0)</f>
        <v>24765</v>
      </c>
      <c r="S72">
        <f>ROUND((S$68*(AVERAGE(MOT!$D13,MOT!$F13,MOT!$H13))),0)</f>
        <v>12076</v>
      </c>
      <c r="T72">
        <f>ROUND((T$68*(AVERAGE(MOT!$D13,MOT!$F13,MOT!$H13))),0)</f>
        <v>22342</v>
      </c>
      <c r="U72">
        <f>ROUND((U$68*(AVERAGE(MOT!$D13,MOT!$F13,MOT!$H13))),0)</f>
        <v>10164</v>
      </c>
      <c r="V72">
        <f>ROUND((V$68*(AVERAGE(MOT!$D13,MOT!$F13,MOT!$H13))),0)</f>
        <v>28745</v>
      </c>
      <c r="W72">
        <f>ROUND((W$68*(AVERAGE(MOT!$D13,MOT!$F13,MOT!$H13))),0)</f>
        <v>9662</v>
      </c>
      <c r="X72">
        <f>ROUND((X$68*(AVERAGE(MOT!$D13,MOT!$F13,MOT!$H13))),0)</f>
        <v>1951</v>
      </c>
      <c r="Y72">
        <f>ROUND((Y$68*(AVERAGE(MOT!$D13,MOT!$F13,MOT!$H13))),0)</f>
        <v>22971</v>
      </c>
      <c r="Z72">
        <f>ROUND((Z$68*(AVERAGE(MOT!$D13,MOT!$F13,MOT!$H13))),0)</f>
        <v>119615</v>
      </c>
      <c r="AA72">
        <f>ROUND((AA$68*(AVERAGE(MOT!$D13,MOT!$F13,MOT!$H13))),0)</f>
        <v>5681</v>
      </c>
      <c r="AB72">
        <f>ROUND((AB$68*(AVERAGE(MOT!$D13,MOT!$F13,MOT!$H13))),0)</f>
        <v>5518</v>
      </c>
      <c r="AC72">
        <f>ROUND((AC$68*(AVERAGE(MOT!$D13,MOT!$F13,MOT!$H13))),0)</f>
        <v>541699</v>
      </c>
    </row>
    <row r="73" spans="1:29">
      <c r="A73" s="893" t="s">
        <v>316</v>
      </c>
      <c r="B73">
        <f>ROUND((B$68*(AVERAGE(MOT!$D14,MOT!$F14,MOT!$H14))),0)</f>
        <v>1148</v>
      </c>
      <c r="C73">
        <f>ROUND((C$68*(AVERAGE(MOT!$D14,MOT!$F14,MOT!$H14))),0)</f>
        <v>2588</v>
      </c>
      <c r="D73">
        <f>ROUND((D$68*(AVERAGE(MOT!$D14,MOT!$F14,MOT!$H14))),0)</f>
        <v>678</v>
      </c>
      <c r="E73">
        <f>ROUND((E$68*(AVERAGE(MOT!$D14,MOT!$F14,MOT!$H14))),0)</f>
        <v>2393</v>
      </c>
      <c r="F73">
        <f>ROUND((F$68*(AVERAGE(MOT!$D14,MOT!$F14,MOT!$H14))),0)</f>
        <v>13207</v>
      </c>
      <c r="G73">
        <f>ROUND((G$68*(AVERAGE(MOT!$D14,MOT!$F14,MOT!$H14))),0)</f>
        <v>13675</v>
      </c>
      <c r="H73">
        <f>ROUND((H$68*(AVERAGE(MOT!$D14,MOT!$F14,MOT!$H14))),0)</f>
        <v>2068</v>
      </c>
      <c r="I73">
        <f>ROUND((I$68*(AVERAGE(MOT!$D14,MOT!$F14,MOT!$H14))),0)</f>
        <v>4995</v>
      </c>
      <c r="J73">
        <f>ROUND((J$68*(AVERAGE(MOT!$D14,MOT!$F14,MOT!$H14))),0)</f>
        <v>9932</v>
      </c>
      <c r="K73">
        <f>ROUND((K$68*(AVERAGE(MOT!$D14,MOT!$F14,MOT!$H14))),0)</f>
        <v>4577</v>
      </c>
      <c r="L73">
        <f>ROUND((L$68*(AVERAGE(MOT!$D14,MOT!$F14,MOT!$H14))),0)</f>
        <v>6599</v>
      </c>
      <c r="M73">
        <f>ROUND((M$68*(AVERAGE(MOT!$D14,MOT!$F14,MOT!$H14))),0)</f>
        <v>4185</v>
      </c>
      <c r="N73">
        <f>ROUND((N$68*(AVERAGE(MOT!$D14,MOT!$F14,MOT!$H14))),0)</f>
        <v>28102</v>
      </c>
      <c r="O73">
        <f>ROUND((O$68*(AVERAGE(MOT!$D14,MOT!$F14,MOT!$H14))),0)</f>
        <v>7671</v>
      </c>
      <c r="P73">
        <f>ROUND((P$68*(AVERAGE(MOT!$D14,MOT!$F14,MOT!$H14))),0)</f>
        <v>4856</v>
      </c>
      <c r="Q73">
        <f>ROUND((Q$68*(AVERAGE(MOT!$D14,MOT!$F14,MOT!$H14))),0)</f>
        <v>13487</v>
      </c>
      <c r="R73">
        <f>ROUND((R$68*(AVERAGE(MOT!$D14,MOT!$F14,MOT!$H14))),0)</f>
        <v>10998</v>
      </c>
      <c r="S73">
        <f>ROUND((S$68*(AVERAGE(MOT!$D14,MOT!$F14,MOT!$H14))),0)</f>
        <v>5363</v>
      </c>
      <c r="T73">
        <f>ROUND((T$68*(AVERAGE(MOT!$D14,MOT!$F14,MOT!$H14))),0)</f>
        <v>9922</v>
      </c>
      <c r="U73">
        <f>ROUND((U$68*(AVERAGE(MOT!$D14,MOT!$F14,MOT!$H14))),0)</f>
        <v>4514</v>
      </c>
      <c r="V73">
        <f>ROUND((V$68*(AVERAGE(MOT!$D14,MOT!$F14,MOT!$H14))),0)</f>
        <v>12766</v>
      </c>
      <c r="W73">
        <f>ROUND((W$68*(AVERAGE(MOT!$D14,MOT!$F14,MOT!$H14))),0)</f>
        <v>4291</v>
      </c>
      <c r="X73">
        <f>ROUND((X$68*(AVERAGE(MOT!$D14,MOT!$F14,MOT!$H14))),0)</f>
        <v>866</v>
      </c>
      <c r="Y73">
        <f>ROUND((Y$68*(AVERAGE(MOT!$D14,MOT!$F14,MOT!$H14))),0)</f>
        <v>10202</v>
      </c>
      <c r="Z73">
        <f>ROUND((Z$68*(AVERAGE(MOT!$D14,MOT!$F14,MOT!$H14))),0)</f>
        <v>53122</v>
      </c>
      <c r="AA73">
        <f>ROUND((AA$68*(AVERAGE(MOT!$D14,MOT!$F14,MOT!$H14))),0)</f>
        <v>2523</v>
      </c>
      <c r="AB73">
        <f>ROUND((AB$68*(AVERAGE(MOT!$D14,MOT!$F14,MOT!$H14))),0)</f>
        <v>2451</v>
      </c>
      <c r="AC73">
        <f>ROUND((AC$68*(AVERAGE(MOT!$D14,MOT!$F14,MOT!$H14))),0)</f>
        <v>240574</v>
      </c>
    </row>
    <row r="74" spans="1:29">
      <c r="AC74"/>
    </row>
    <row r="75" spans="1:29" s="902" customFormat="1">
      <c r="A75" s="901"/>
    </row>
    <row r="77" spans="1:29">
      <c r="A77" s="893" t="s">
        <v>317</v>
      </c>
      <c r="B77">
        <f>B43</f>
        <v>807</v>
      </c>
      <c r="C77">
        <f t="shared" ref="C77:AC77" si="28">C43</f>
        <v>5950</v>
      </c>
      <c r="D77">
        <f t="shared" si="28"/>
        <v>944</v>
      </c>
      <c r="E77">
        <f t="shared" si="28"/>
        <v>8279</v>
      </c>
      <c r="F77">
        <f t="shared" si="28"/>
        <v>33087</v>
      </c>
      <c r="G77">
        <f t="shared" si="28"/>
        <v>13273</v>
      </c>
      <c r="H77">
        <f t="shared" si="28"/>
        <v>9285</v>
      </c>
      <c r="I77">
        <f t="shared" si="28"/>
        <v>13308</v>
      </c>
      <c r="J77">
        <f t="shared" si="28"/>
        <v>18735</v>
      </c>
      <c r="K77">
        <f t="shared" si="28"/>
        <v>6763</v>
      </c>
      <c r="L77">
        <f t="shared" si="28"/>
        <v>9223</v>
      </c>
      <c r="M77">
        <f t="shared" si="28"/>
        <v>8069</v>
      </c>
      <c r="N77">
        <f t="shared" si="28"/>
        <v>65076</v>
      </c>
      <c r="O77">
        <f t="shared" si="28"/>
        <v>14106</v>
      </c>
      <c r="P77">
        <f t="shared" si="28"/>
        <v>6167</v>
      </c>
      <c r="Q77">
        <f t="shared" si="28"/>
        <v>35191</v>
      </c>
      <c r="R77">
        <f t="shared" si="28"/>
        <v>17680</v>
      </c>
      <c r="S77">
        <f t="shared" si="28"/>
        <v>5198</v>
      </c>
      <c r="T77">
        <f t="shared" si="28"/>
        <v>43762</v>
      </c>
      <c r="U77">
        <f t="shared" si="28"/>
        <v>5783</v>
      </c>
      <c r="V77">
        <f t="shared" si="28"/>
        <v>36592</v>
      </c>
      <c r="W77">
        <f t="shared" si="28"/>
        <v>4778</v>
      </c>
      <c r="X77">
        <f t="shared" si="28"/>
        <v>786</v>
      </c>
      <c r="Y77">
        <f t="shared" si="28"/>
        <v>16948</v>
      </c>
      <c r="Z77">
        <f t="shared" si="28"/>
        <v>145068</v>
      </c>
      <c r="AA77">
        <f t="shared" si="28"/>
        <v>5437</v>
      </c>
      <c r="AB77">
        <f t="shared" si="28"/>
        <v>4350</v>
      </c>
      <c r="AC77">
        <f t="shared" si="28"/>
        <v>534645</v>
      </c>
    </row>
    <row r="78" spans="1:29">
      <c r="AC78"/>
    </row>
    <row r="79" spans="1:29">
      <c r="A79" s="893" t="s">
        <v>318</v>
      </c>
      <c r="B79">
        <f>B40</f>
        <v>272</v>
      </c>
      <c r="C79">
        <f t="shared" ref="C79:AC79" si="29">C40</f>
        <v>5320</v>
      </c>
      <c r="D79">
        <f t="shared" si="29"/>
        <v>366</v>
      </c>
      <c r="E79">
        <f t="shared" si="29"/>
        <v>3193</v>
      </c>
      <c r="F79">
        <f t="shared" si="29"/>
        <v>23118</v>
      </c>
      <c r="G79">
        <f t="shared" si="29"/>
        <v>9412</v>
      </c>
      <c r="H79">
        <f t="shared" si="29"/>
        <v>4873</v>
      </c>
      <c r="I79">
        <f t="shared" si="29"/>
        <v>6679</v>
      </c>
      <c r="J79">
        <f t="shared" si="29"/>
        <v>7560</v>
      </c>
      <c r="K79">
        <f t="shared" si="29"/>
        <v>4019</v>
      </c>
      <c r="L79">
        <f t="shared" si="29"/>
        <v>2689</v>
      </c>
      <c r="M79">
        <f t="shared" si="29"/>
        <v>2950</v>
      </c>
      <c r="N79">
        <f t="shared" si="29"/>
        <v>37899</v>
      </c>
      <c r="O79">
        <f t="shared" si="29"/>
        <v>5697</v>
      </c>
      <c r="P79">
        <f t="shared" si="29"/>
        <v>3800</v>
      </c>
      <c r="Q79">
        <f t="shared" si="29"/>
        <v>18714</v>
      </c>
      <c r="R79">
        <f t="shared" si="29"/>
        <v>14676</v>
      </c>
      <c r="S79">
        <f t="shared" si="29"/>
        <v>2408</v>
      </c>
      <c r="T79">
        <f t="shared" si="29"/>
        <v>35310</v>
      </c>
      <c r="U79">
        <f t="shared" si="29"/>
        <v>4109</v>
      </c>
      <c r="V79">
        <f t="shared" si="29"/>
        <v>17245</v>
      </c>
      <c r="W79">
        <f t="shared" si="29"/>
        <v>957</v>
      </c>
      <c r="X79">
        <f t="shared" si="29"/>
        <v>556</v>
      </c>
      <c r="Y79">
        <f t="shared" si="29"/>
        <v>10380</v>
      </c>
      <c r="Z79">
        <f t="shared" si="29"/>
        <v>102375</v>
      </c>
      <c r="AA79">
        <f t="shared" si="29"/>
        <v>3051</v>
      </c>
      <c r="AB79">
        <f t="shared" si="29"/>
        <v>1336</v>
      </c>
      <c r="AC79">
        <f t="shared" si="29"/>
        <v>328964</v>
      </c>
    </row>
    <row r="80" spans="1:29">
      <c r="AC80"/>
    </row>
    <row r="81" spans="1:29">
      <c r="A81" s="893" t="s">
        <v>319</v>
      </c>
      <c r="B81">
        <f>ROUND((B$77*(AVERAGE(ONI!$D25,ONI!$F25,ONI!$H25))),0)</f>
        <v>150</v>
      </c>
      <c r="C81">
        <f>ROUND((C$77*(AVERAGE(ONI!$D25,ONI!$F25,ONI!$H25))),0)</f>
        <v>1106</v>
      </c>
      <c r="D81">
        <f>ROUND((D$77*(AVERAGE(ONI!$D25,ONI!$F25,ONI!$H25))),0)</f>
        <v>175</v>
      </c>
      <c r="E81">
        <f>ROUND((E$77*(AVERAGE(ONI!$D25,ONI!$F25,ONI!$H25))),0)</f>
        <v>1538</v>
      </c>
      <c r="F81">
        <f>ROUND((F$77*(AVERAGE(ONI!$D25,ONI!$F25,ONI!$H25))),0)</f>
        <v>6148</v>
      </c>
      <c r="G81">
        <f>ROUND((G$77*(AVERAGE(ONI!$D25,ONI!$F25,ONI!$H25))),0)</f>
        <v>2466</v>
      </c>
      <c r="H81">
        <f>ROUND((H$77*(AVERAGE(ONI!$D25,ONI!$F25,ONI!$H25))),0)</f>
        <v>1725</v>
      </c>
      <c r="I81">
        <f>ROUND((I$77*(AVERAGE(ONI!$D25,ONI!$F25,ONI!$H25))),0)</f>
        <v>2473</v>
      </c>
      <c r="J81">
        <f>ROUND((J$77*(AVERAGE(ONI!$D25,ONI!$F25,ONI!$H25))),0)</f>
        <v>3481</v>
      </c>
      <c r="K81">
        <f>ROUND((K$77*(AVERAGE(ONI!$D25,ONI!$F25,ONI!$H25))),0)</f>
        <v>1257</v>
      </c>
      <c r="L81">
        <f>ROUND((L$77*(AVERAGE(ONI!$D25,ONI!$F25,ONI!$H25))),0)</f>
        <v>1714</v>
      </c>
      <c r="M81">
        <f>ROUND((M$77*(AVERAGE(ONI!$D25,ONI!$F25,ONI!$H25))),0)</f>
        <v>1499</v>
      </c>
      <c r="N81">
        <f>ROUND((N$77*(AVERAGE(ONI!$D25,ONI!$F25,ONI!$H25))),0)</f>
        <v>12092</v>
      </c>
      <c r="O81">
        <f>ROUND((O$77*(AVERAGE(ONI!$D25,ONI!$F25,ONI!$H25))),0)</f>
        <v>2621</v>
      </c>
      <c r="P81">
        <f>ROUND((P$77*(AVERAGE(ONI!$D25,ONI!$F25,ONI!$H25))),0)</f>
        <v>1146</v>
      </c>
      <c r="Q81">
        <f>ROUND((Q$77*(AVERAGE(ONI!$D25,ONI!$F25,ONI!$H25))),0)</f>
        <v>6539</v>
      </c>
      <c r="R81">
        <f>ROUND((R$77*(AVERAGE(ONI!$D25,ONI!$F25,ONI!$H25))),0)</f>
        <v>3285</v>
      </c>
      <c r="S81">
        <f>ROUND((S$77*(AVERAGE(ONI!$D25,ONI!$F25,ONI!$H25))),0)</f>
        <v>966</v>
      </c>
      <c r="T81">
        <f>ROUND((T$77*(AVERAGE(ONI!$D25,ONI!$F25,ONI!$H25))),0)</f>
        <v>8132</v>
      </c>
      <c r="U81">
        <f>ROUND((U$77*(AVERAGE(ONI!$D25,ONI!$F25,ONI!$H25))),0)</f>
        <v>1075</v>
      </c>
      <c r="V81">
        <f>ROUND((V$77*(AVERAGE(ONI!$D25,ONI!$F25,ONI!$H25))),0)</f>
        <v>6800</v>
      </c>
      <c r="W81">
        <f>ROUND((W$77*(AVERAGE(ONI!$D25,ONI!$F25,ONI!$H25))),0)</f>
        <v>888</v>
      </c>
      <c r="X81">
        <f>ROUND((X$77*(AVERAGE(ONI!$D25,ONI!$F25,ONI!$H25))),0)</f>
        <v>146</v>
      </c>
      <c r="Y81">
        <f>ROUND((Y$77*(AVERAGE(ONI!$D25,ONI!$F25,ONI!$H25))),0)</f>
        <v>3149</v>
      </c>
      <c r="Z81">
        <f>ROUND((Z$77*(AVERAGE(ONI!$D25,ONI!$F25,ONI!$H25))),0)</f>
        <v>26957</v>
      </c>
      <c r="AA81">
        <f>ROUND((AA$77*(AVERAGE(ONI!$D25,ONI!$F25,ONI!$H25))),0)</f>
        <v>1010</v>
      </c>
      <c r="AB81">
        <f>ROUND((AB$77*(AVERAGE(ONI!$D25,ONI!$F25,ONI!$H25))),0)</f>
        <v>808</v>
      </c>
      <c r="AC81">
        <f>ROUND((AC$77*(AVERAGE(ONI!$D25,ONI!$F25,ONI!$H25))),0)</f>
        <v>99348</v>
      </c>
    </row>
    <row r="82" spans="1:29">
      <c r="A82" s="893" t="s">
        <v>320</v>
      </c>
      <c r="B82">
        <f>ROUND((B$77*(AVERAGE(ONI!$D26,ONI!$F26,ONI!$H26))),0)</f>
        <v>657</v>
      </c>
      <c r="C82">
        <f>ROUND((C$77*(AVERAGE(ONI!$D26,ONI!$F26,ONI!$H26))),0)</f>
        <v>4844</v>
      </c>
      <c r="D82">
        <f>ROUND((D$77*(AVERAGE(ONI!$D26,ONI!$F26,ONI!$H26))),0)</f>
        <v>769</v>
      </c>
      <c r="E82">
        <f>ROUND((E$77*(AVERAGE(ONI!$D26,ONI!$F26,ONI!$H26))),0)</f>
        <v>6741</v>
      </c>
      <c r="F82">
        <f>ROUND((F$77*(AVERAGE(ONI!$D26,ONI!$F26,ONI!$H26))),0)</f>
        <v>26939</v>
      </c>
      <c r="G82">
        <f>ROUND((G$77*(AVERAGE(ONI!$D26,ONI!$F26,ONI!$H26))),0)</f>
        <v>10807</v>
      </c>
      <c r="H82">
        <f>ROUND((H$77*(AVERAGE(ONI!$D26,ONI!$F26,ONI!$H26))),0)</f>
        <v>7560</v>
      </c>
      <c r="I82">
        <f>ROUND((I$77*(AVERAGE(ONI!$D26,ONI!$F26,ONI!$H26))),0)</f>
        <v>10835</v>
      </c>
      <c r="J82">
        <f>ROUND((J$77*(AVERAGE(ONI!$D26,ONI!$F26,ONI!$H26))),0)</f>
        <v>15254</v>
      </c>
      <c r="K82">
        <f>ROUND((K$77*(AVERAGE(ONI!$D26,ONI!$F26,ONI!$H26))),0)</f>
        <v>5506</v>
      </c>
      <c r="L82">
        <f>ROUND((L$77*(AVERAGE(ONI!$D26,ONI!$F26,ONI!$H26))),0)</f>
        <v>7509</v>
      </c>
      <c r="M82">
        <f>ROUND((M$77*(AVERAGE(ONI!$D26,ONI!$F26,ONI!$H26))),0)</f>
        <v>6570</v>
      </c>
      <c r="N82">
        <f>ROUND((N$77*(AVERAGE(ONI!$D26,ONI!$F26,ONI!$H26))),0)</f>
        <v>52984</v>
      </c>
      <c r="O82">
        <f>ROUND((O$77*(AVERAGE(ONI!$D26,ONI!$F26,ONI!$H26))),0)</f>
        <v>11485</v>
      </c>
      <c r="P82">
        <f>ROUND((P$77*(AVERAGE(ONI!$D26,ONI!$F26,ONI!$H26))),0)</f>
        <v>5021</v>
      </c>
      <c r="Q82">
        <f>ROUND((Q$77*(AVERAGE(ONI!$D26,ONI!$F26,ONI!$H26))),0)</f>
        <v>28652</v>
      </c>
      <c r="R82">
        <f>ROUND((R$77*(AVERAGE(ONI!$D26,ONI!$F26,ONI!$H26))),0)</f>
        <v>14395</v>
      </c>
      <c r="S82">
        <f>ROUND((S$77*(AVERAGE(ONI!$D26,ONI!$F26,ONI!$H26))),0)</f>
        <v>4232</v>
      </c>
      <c r="T82">
        <f>ROUND((T$77*(AVERAGE(ONI!$D26,ONI!$F26,ONI!$H26))),0)</f>
        <v>35630</v>
      </c>
      <c r="U82">
        <f>ROUND((U$77*(AVERAGE(ONI!$D26,ONI!$F26,ONI!$H26))),0)</f>
        <v>4708</v>
      </c>
      <c r="V82">
        <f>ROUND((V$77*(AVERAGE(ONI!$D26,ONI!$F26,ONI!$H26))),0)</f>
        <v>29792</v>
      </c>
      <c r="W82">
        <f>ROUND((W$77*(AVERAGE(ONI!$D26,ONI!$F26,ONI!$H26))),0)</f>
        <v>3890</v>
      </c>
      <c r="X82">
        <f>ROUND((X$77*(AVERAGE(ONI!$D26,ONI!$F26,ONI!$H26))),0)</f>
        <v>640</v>
      </c>
      <c r="Y82">
        <f>ROUND((Y$77*(AVERAGE(ONI!$D26,ONI!$F26,ONI!$H26))),0)</f>
        <v>13799</v>
      </c>
      <c r="Z82">
        <f>ROUND((Z$77*(AVERAGE(ONI!$D26,ONI!$F26,ONI!$H26))),0)</f>
        <v>118111</v>
      </c>
      <c r="AA82">
        <f>ROUND((AA$77*(AVERAGE(ONI!$D26,ONI!$F26,ONI!$H26))),0)</f>
        <v>4427</v>
      </c>
      <c r="AB82">
        <f>ROUND((AB$77*(AVERAGE(ONI!$D26,ONI!$F26,ONI!$H26))),0)</f>
        <v>3542</v>
      </c>
      <c r="AC82">
        <f>ROUND((AC$77*(AVERAGE(ONI!$D26,ONI!$F26,ONI!$H26))),0)</f>
        <v>435297</v>
      </c>
    </row>
    <row r="83" spans="1:29">
      <c r="AC83"/>
    </row>
    <row r="84" spans="1:29" s="902" customFormat="1">
      <c r="A84" s="901"/>
    </row>
    <row r="85" spans="1:29">
      <c r="AC85"/>
    </row>
    <row r="86" spans="1:29">
      <c r="A86" s="893" t="s">
        <v>321</v>
      </c>
      <c r="B86">
        <f t="shared" ref="B86:AC86" si="30">B36+B37</f>
        <v>6691</v>
      </c>
      <c r="C86">
        <f t="shared" si="30"/>
        <v>20411</v>
      </c>
      <c r="D86">
        <f t="shared" si="30"/>
        <v>3773</v>
      </c>
      <c r="E86">
        <f t="shared" si="30"/>
        <v>21332</v>
      </c>
      <c r="F86">
        <f t="shared" si="30"/>
        <v>120154</v>
      </c>
      <c r="G86">
        <f t="shared" si="30"/>
        <v>65667</v>
      </c>
      <c r="H86">
        <f t="shared" si="30"/>
        <v>24307</v>
      </c>
      <c r="I86">
        <f t="shared" si="30"/>
        <v>79523</v>
      </c>
      <c r="J86">
        <f t="shared" si="30"/>
        <v>120324</v>
      </c>
      <c r="K86">
        <f t="shared" si="30"/>
        <v>34703</v>
      </c>
      <c r="L86">
        <f t="shared" si="30"/>
        <v>81945</v>
      </c>
      <c r="M86">
        <f t="shared" si="30"/>
        <v>56767</v>
      </c>
      <c r="N86">
        <f t="shared" si="30"/>
        <v>348659</v>
      </c>
      <c r="O86">
        <f t="shared" si="30"/>
        <v>54452</v>
      </c>
      <c r="P86">
        <f t="shared" si="30"/>
        <v>27264</v>
      </c>
      <c r="Q86">
        <f t="shared" si="30"/>
        <v>317637</v>
      </c>
      <c r="R86">
        <f t="shared" si="30"/>
        <v>91020</v>
      </c>
      <c r="S86">
        <f t="shared" si="30"/>
        <v>23096</v>
      </c>
      <c r="T86">
        <f t="shared" si="30"/>
        <v>144418</v>
      </c>
      <c r="U86">
        <f t="shared" si="30"/>
        <v>28759</v>
      </c>
      <c r="V86">
        <f t="shared" si="30"/>
        <v>252451</v>
      </c>
      <c r="W86">
        <f t="shared" si="30"/>
        <v>31287</v>
      </c>
      <c r="X86">
        <f t="shared" si="30"/>
        <v>4170</v>
      </c>
      <c r="Y86">
        <f t="shared" si="30"/>
        <v>181142</v>
      </c>
      <c r="Z86">
        <f t="shared" si="30"/>
        <v>777865</v>
      </c>
      <c r="AA86">
        <f t="shared" si="30"/>
        <v>20333</v>
      </c>
      <c r="AB86">
        <f t="shared" si="30"/>
        <v>24251</v>
      </c>
      <c r="AC86">
        <f t="shared" si="30"/>
        <v>2962401</v>
      </c>
    </row>
    <row r="87" spans="1:29">
      <c r="AC87"/>
    </row>
    <row r="88" spans="1:29">
      <c r="A88" s="893" t="s">
        <v>322</v>
      </c>
      <c r="B88">
        <f>ROUND((B$36*(AVERAGE(CAM!$D23,CAM!$F23,CAM!$H23))),0)</f>
        <v>3749</v>
      </c>
      <c r="C88">
        <f>ROUND((C$36*(AVERAGE(CAM!$D23,CAM!$F23,CAM!$H23))),0)</f>
        <v>11220</v>
      </c>
      <c r="D88">
        <f>ROUND((D$36*(AVERAGE(CAM!$D23,CAM!$F23,CAM!$H23))),0)</f>
        <v>2148</v>
      </c>
      <c r="E88">
        <f>ROUND((E$36*(AVERAGE(CAM!$D23,CAM!$F23,CAM!$H23))),0)</f>
        <v>11272</v>
      </c>
      <c r="F88">
        <f>ROUND((F$36*(AVERAGE(CAM!$D23,CAM!$F23,CAM!$H23))),0)</f>
        <v>62762</v>
      </c>
      <c r="G88">
        <f>ROUND((G$36*(AVERAGE(CAM!$D23,CAM!$F23,CAM!$H23))),0)</f>
        <v>36010</v>
      </c>
      <c r="H88">
        <f>ROUND((H$36*(AVERAGE(CAM!$D23,CAM!$F23,CAM!$H23))),0)</f>
        <v>13050</v>
      </c>
      <c r="I88">
        <f>ROUND((I$36*(AVERAGE(CAM!$D23,CAM!$F23,CAM!$H23))),0)</f>
        <v>38393</v>
      </c>
      <c r="J88">
        <f>ROUND((J$36*(AVERAGE(CAM!$D23,CAM!$F23,CAM!$H23))),0)</f>
        <v>58511</v>
      </c>
      <c r="K88">
        <f>ROUND((K$36*(AVERAGE(CAM!$D23,CAM!$F23,CAM!$H23))),0)</f>
        <v>19535</v>
      </c>
      <c r="L88">
        <f>ROUND((L$36*(AVERAGE(CAM!$D23,CAM!$F23,CAM!$H23))),0)</f>
        <v>34865</v>
      </c>
      <c r="M88">
        <f>ROUND((M$36*(AVERAGE(CAM!$D23,CAM!$F23,CAM!$H23))),0)</f>
        <v>26711</v>
      </c>
      <c r="N88">
        <f>ROUND((N$36*(AVERAGE(CAM!$D23,CAM!$F23,CAM!$H23))),0)</f>
        <v>178208</v>
      </c>
      <c r="O88">
        <f>ROUND((O$36*(AVERAGE(CAM!$D23,CAM!$F23,CAM!$H23))),0)</f>
        <v>29637</v>
      </c>
      <c r="P88">
        <f>ROUND((P$36*(AVERAGE(CAM!$D23,CAM!$F23,CAM!$H23))),0)</f>
        <v>15259</v>
      </c>
      <c r="Q88">
        <f>ROUND((Q$36*(AVERAGE(CAM!$D23,CAM!$F23,CAM!$H23))),0)</f>
        <v>144925</v>
      </c>
      <c r="R88">
        <f>ROUND((R$36*(AVERAGE(CAM!$D23,CAM!$F23,CAM!$H23))),0)</f>
        <v>49362</v>
      </c>
      <c r="S88">
        <f>ROUND((S$36*(AVERAGE(CAM!$D23,CAM!$F23,CAM!$H23))),0)</f>
        <v>12959</v>
      </c>
      <c r="T88">
        <f>ROUND((T$36*(AVERAGE(CAM!$D23,CAM!$F23,CAM!$H23))),0)</f>
        <v>78758</v>
      </c>
      <c r="U88">
        <f>ROUND((U$36*(AVERAGE(CAM!$D23,CAM!$F23,CAM!$H23))),0)</f>
        <v>16028</v>
      </c>
      <c r="V88">
        <f>ROUND((V$36*(AVERAGE(CAM!$D23,CAM!$F23,CAM!$H23))),0)</f>
        <v>122360</v>
      </c>
      <c r="W88">
        <f>ROUND((W$36*(AVERAGE(CAM!$D23,CAM!$F23,CAM!$H23))),0)</f>
        <v>16027</v>
      </c>
      <c r="X88">
        <f>ROUND((X$36*(AVERAGE(CAM!$D23,CAM!$F23,CAM!$H23))),0)</f>
        <v>2252</v>
      </c>
      <c r="Y88">
        <f>ROUND((Y$36*(AVERAGE(CAM!$D23,CAM!$F23,CAM!$H23))),0)</f>
        <v>82525</v>
      </c>
      <c r="Z88">
        <f>ROUND((Z$36*(AVERAGE(CAM!$D23,CAM!$F23,CAM!$H23))),0)</f>
        <v>380828</v>
      </c>
      <c r="AA88">
        <f>ROUND((AA$36*(AVERAGE(CAM!$D23,CAM!$F23,CAM!$H23))),0)</f>
        <v>11353</v>
      </c>
      <c r="AB88">
        <f>ROUND((AB$36*(AVERAGE(CAM!$D23,CAM!$F23,CAM!$H23))),0)</f>
        <v>12537</v>
      </c>
      <c r="AC88">
        <f>ROUND((AC$36*(AVERAGE(CAM!$D23,CAM!$F23,CAM!$H23))),0)</f>
        <v>1471243</v>
      </c>
    </row>
    <row r="89" spans="1:29">
      <c r="A89" s="893" t="s">
        <v>323</v>
      </c>
      <c r="B89">
        <f>ROUND((B$36*(AVERAGE(CAM!$D24,CAM!$F24,CAM!$H24))),0)</f>
        <v>2388</v>
      </c>
      <c r="C89">
        <f>ROUND((C$36*(AVERAGE(CAM!$D24,CAM!$F24,CAM!$H24))),0)</f>
        <v>7147</v>
      </c>
      <c r="D89">
        <f>ROUND((D$36*(AVERAGE(CAM!$D24,CAM!$F24,CAM!$H24))),0)</f>
        <v>1368</v>
      </c>
      <c r="E89">
        <f>ROUND((E$36*(AVERAGE(CAM!$D24,CAM!$F24,CAM!$H24))),0)</f>
        <v>7181</v>
      </c>
      <c r="F89">
        <f>ROUND((F$36*(AVERAGE(CAM!$D24,CAM!$F24,CAM!$H24))),0)</f>
        <v>39981</v>
      </c>
      <c r="G89">
        <f>ROUND((G$36*(AVERAGE(CAM!$D24,CAM!$F24,CAM!$H24))),0)</f>
        <v>22939</v>
      </c>
      <c r="H89">
        <f>ROUND((H$36*(AVERAGE(CAM!$D24,CAM!$F24,CAM!$H24))),0)</f>
        <v>8313</v>
      </c>
      <c r="I89">
        <f>ROUND((I$36*(AVERAGE(CAM!$D24,CAM!$F24,CAM!$H24))),0)</f>
        <v>24457</v>
      </c>
      <c r="J89">
        <f>ROUND((J$36*(AVERAGE(CAM!$D24,CAM!$F24,CAM!$H24))),0)</f>
        <v>37273</v>
      </c>
      <c r="K89">
        <f>ROUND((K$36*(AVERAGE(CAM!$D24,CAM!$F24,CAM!$H24))),0)</f>
        <v>12444</v>
      </c>
      <c r="L89">
        <f>ROUND((L$36*(AVERAGE(CAM!$D24,CAM!$F24,CAM!$H24))),0)</f>
        <v>22210</v>
      </c>
      <c r="M89">
        <f>ROUND((M$36*(AVERAGE(CAM!$D24,CAM!$F24,CAM!$H24))),0)</f>
        <v>17015</v>
      </c>
      <c r="N89">
        <f>ROUND((N$36*(AVERAGE(CAM!$D24,CAM!$F24,CAM!$H24))),0)</f>
        <v>113522</v>
      </c>
      <c r="O89">
        <f>ROUND((O$36*(AVERAGE(CAM!$D24,CAM!$F24,CAM!$H24))),0)</f>
        <v>18879</v>
      </c>
      <c r="P89">
        <f>ROUND((P$36*(AVERAGE(CAM!$D24,CAM!$F24,CAM!$H24))),0)</f>
        <v>9721</v>
      </c>
      <c r="Q89">
        <f>ROUND((Q$36*(AVERAGE(CAM!$D24,CAM!$F24,CAM!$H24))),0)</f>
        <v>92321</v>
      </c>
      <c r="R89">
        <f>ROUND((R$36*(AVERAGE(CAM!$D24,CAM!$F24,CAM!$H24))),0)</f>
        <v>31445</v>
      </c>
      <c r="S89">
        <f>ROUND((S$36*(AVERAGE(CAM!$D24,CAM!$F24,CAM!$H24))),0)</f>
        <v>8255</v>
      </c>
      <c r="T89">
        <f>ROUND((T$36*(AVERAGE(CAM!$D24,CAM!$F24,CAM!$H24))),0)</f>
        <v>50171</v>
      </c>
      <c r="U89">
        <f>ROUND((U$36*(AVERAGE(CAM!$D24,CAM!$F24,CAM!$H24))),0)</f>
        <v>10211</v>
      </c>
      <c r="V89">
        <f>ROUND((V$36*(AVERAGE(CAM!$D24,CAM!$F24,CAM!$H24))),0)</f>
        <v>77946</v>
      </c>
      <c r="W89">
        <f>ROUND((W$36*(AVERAGE(CAM!$D24,CAM!$F24,CAM!$H24))),0)</f>
        <v>10210</v>
      </c>
      <c r="X89">
        <f>ROUND((X$36*(AVERAGE(CAM!$D24,CAM!$F24,CAM!$H24))),0)</f>
        <v>1434</v>
      </c>
      <c r="Y89">
        <f>ROUND((Y$36*(AVERAGE(CAM!$D24,CAM!$F24,CAM!$H24))),0)</f>
        <v>52570</v>
      </c>
      <c r="Z89">
        <f>ROUND((Z$36*(AVERAGE(CAM!$D24,CAM!$F24,CAM!$H24))),0)</f>
        <v>242596</v>
      </c>
      <c r="AA89">
        <f>ROUND((AA$36*(AVERAGE(CAM!$D24,CAM!$F24,CAM!$H24))),0)</f>
        <v>7232</v>
      </c>
      <c r="AB89">
        <f>ROUND((AB$36*(AVERAGE(CAM!$D24,CAM!$F24,CAM!$H24))),0)</f>
        <v>7986</v>
      </c>
      <c r="AC89">
        <f>ROUND((AC$36*(AVERAGE(CAM!$D24,CAM!$F24,CAM!$H24))),0)</f>
        <v>937216</v>
      </c>
    </row>
    <row r="90" spans="1:29">
      <c r="AC90"/>
    </row>
    <row r="91" spans="1:29">
      <c r="A91" s="893" t="s">
        <v>324</v>
      </c>
      <c r="B91">
        <f>B37</f>
        <v>554</v>
      </c>
      <c r="C91">
        <f t="shared" ref="C91:AC91" si="31">C37</f>
        <v>2044</v>
      </c>
      <c r="D91">
        <f t="shared" si="31"/>
        <v>257</v>
      </c>
      <c r="E91">
        <f t="shared" si="31"/>
        <v>2879</v>
      </c>
      <c r="F91">
        <f t="shared" si="31"/>
        <v>17411</v>
      </c>
      <c r="G91">
        <f t="shared" si="31"/>
        <v>6718</v>
      </c>
      <c r="H91">
        <f t="shared" si="31"/>
        <v>2944</v>
      </c>
      <c r="I91">
        <f t="shared" si="31"/>
        <v>16673</v>
      </c>
      <c r="J91">
        <f t="shared" si="31"/>
        <v>24540</v>
      </c>
      <c r="K91">
        <f t="shared" si="31"/>
        <v>2724</v>
      </c>
      <c r="L91">
        <f t="shared" si="31"/>
        <v>24870</v>
      </c>
      <c r="M91">
        <f t="shared" si="31"/>
        <v>13041</v>
      </c>
      <c r="N91">
        <f t="shared" si="31"/>
        <v>56929</v>
      </c>
      <c r="O91">
        <f t="shared" si="31"/>
        <v>5936</v>
      </c>
      <c r="P91">
        <f t="shared" si="31"/>
        <v>2284</v>
      </c>
      <c r="Q91">
        <f t="shared" si="31"/>
        <v>80391</v>
      </c>
      <c r="R91">
        <f t="shared" si="31"/>
        <v>10213</v>
      </c>
      <c r="S91">
        <f t="shared" si="31"/>
        <v>1882</v>
      </c>
      <c r="T91">
        <f t="shared" si="31"/>
        <v>15489</v>
      </c>
      <c r="U91">
        <f t="shared" si="31"/>
        <v>2520</v>
      </c>
      <c r="V91">
        <f t="shared" si="31"/>
        <v>52145</v>
      </c>
      <c r="W91">
        <f t="shared" si="31"/>
        <v>5050</v>
      </c>
      <c r="X91">
        <f t="shared" si="31"/>
        <v>484</v>
      </c>
      <c r="Y91">
        <f t="shared" si="31"/>
        <v>46047</v>
      </c>
      <c r="Z91">
        <f t="shared" si="31"/>
        <v>154441</v>
      </c>
      <c r="AA91">
        <f t="shared" si="31"/>
        <v>1748</v>
      </c>
      <c r="AB91">
        <f t="shared" si="31"/>
        <v>3728</v>
      </c>
      <c r="AC91">
        <f t="shared" si="31"/>
        <v>553942</v>
      </c>
    </row>
    <row r="92" spans="1:29">
      <c r="AC92"/>
    </row>
    <row r="93" spans="1:29" s="904" customFormat="1">
      <c r="A93" s="903"/>
    </row>
    <row r="95" spans="1:29">
      <c r="A95" s="894" t="s">
        <v>298</v>
      </c>
      <c r="B95" s="896">
        <f t="shared" ref="B95:AC98" si="32">B47/SUM(B$47:B$50)</f>
        <v>0.25659588869759709</v>
      </c>
      <c r="C95" s="896">
        <f t="shared" si="32"/>
        <v>0.24293540945790082</v>
      </c>
      <c r="D95" s="896">
        <f t="shared" si="32"/>
        <v>0.25811046981245683</v>
      </c>
      <c r="E95" s="896">
        <f t="shared" si="32"/>
        <v>0.35841804714348785</v>
      </c>
      <c r="F95" s="896">
        <f t="shared" si="32"/>
        <v>0.32683777575909423</v>
      </c>
      <c r="G95" s="896">
        <f t="shared" si="32"/>
        <v>0.25499842661694461</v>
      </c>
      <c r="H95" s="896">
        <f t="shared" si="32"/>
        <v>0.41339090555815355</v>
      </c>
      <c r="I95" s="896">
        <f t="shared" si="32"/>
        <v>0.40086953234282258</v>
      </c>
      <c r="J95" s="896">
        <f t="shared" si="32"/>
        <v>0.40917464121146224</v>
      </c>
      <c r="K95" s="896">
        <f t="shared" si="32"/>
        <v>0.37693083949543282</v>
      </c>
      <c r="L95" s="896">
        <f t="shared" si="32"/>
        <v>0.27913650888542535</v>
      </c>
      <c r="M95" s="896">
        <f t="shared" si="32"/>
        <v>0.42940643020885733</v>
      </c>
      <c r="N95" s="896">
        <f t="shared" si="32"/>
        <v>0.46629319695947541</v>
      </c>
      <c r="O95" s="896">
        <f t="shared" si="32"/>
        <v>0.14596353313680532</v>
      </c>
      <c r="P95" s="896">
        <f t="shared" si="32"/>
        <v>0.27148456725466491</v>
      </c>
      <c r="Q95" s="896">
        <f t="shared" si="32"/>
        <v>0.49852507133744195</v>
      </c>
      <c r="R95" s="896">
        <f t="shared" si="32"/>
        <v>0.28888897216715448</v>
      </c>
      <c r="S95" s="896">
        <f t="shared" si="32"/>
        <v>0.16657331955477372</v>
      </c>
      <c r="T95" s="896">
        <f t="shared" si="32"/>
        <v>0.53163118179701208</v>
      </c>
      <c r="U95" s="896">
        <f t="shared" si="32"/>
        <v>0.36306204283384258</v>
      </c>
      <c r="V95" s="896">
        <f t="shared" si="32"/>
        <v>0.60715436934352451</v>
      </c>
      <c r="W95" s="896">
        <f t="shared" si="32"/>
        <v>0.12723685354989631</v>
      </c>
      <c r="X95" s="896">
        <f t="shared" si="32"/>
        <v>0.32903673842714137</v>
      </c>
      <c r="Y95" s="896">
        <f t="shared" si="32"/>
        <v>0.50136480329150945</v>
      </c>
      <c r="Z95" s="896">
        <f t="shared" si="32"/>
        <v>0.49780431722502455</v>
      </c>
      <c r="AA95" s="896">
        <f t="shared" si="32"/>
        <v>0.29211342384069006</v>
      </c>
      <c r="AB95" s="896">
        <f t="shared" si="32"/>
        <v>0.20343435834963761</v>
      </c>
      <c r="AC95" s="896">
        <f t="shared" si="32"/>
        <v>0.45999833431727527</v>
      </c>
    </row>
    <row r="96" spans="1:29">
      <c r="A96" s="894" t="s">
        <v>299</v>
      </c>
      <c r="B96" s="896">
        <f t="shared" si="32"/>
        <v>0.69101958533821861</v>
      </c>
      <c r="C96" s="896">
        <f t="shared" si="32"/>
        <v>0.67218969035578036</v>
      </c>
      <c r="D96" s="896">
        <f t="shared" si="32"/>
        <v>0.72063855722489023</v>
      </c>
      <c r="E96" s="896">
        <f t="shared" si="32"/>
        <v>0.59735283169676734</v>
      </c>
      <c r="F96" s="896">
        <f t="shared" si="32"/>
        <v>0.60997400750521036</v>
      </c>
      <c r="G96" s="896">
        <f t="shared" si="32"/>
        <v>0.67331284021473159</v>
      </c>
      <c r="H96" s="896">
        <f t="shared" si="32"/>
        <v>0.53494746330617504</v>
      </c>
      <c r="I96" s="896">
        <f t="shared" si="32"/>
        <v>0.53568611142615907</v>
      </c>
      <c r="J96" s="896">
        <f t="shared" si="32"/>
        <v>0.49464786204785255</v>
      </c>
      <c r="K96" s="896">
        <f t="shared" si="32"/>
        <v>0.59970073945193558</v>
      </c>
      <c r="L96" s="896">
        <f t="shared" si="32"/>
        <v>0.64143198753122532</v>
      </c>
      <c r="M96" s="896">
        <f t="shared" si="32"/>
        <v>0.48480697363130476</v>
      </c>
      <c r="N96" s="896">
        <f t="shared" si="32"/>
        <v>0.45226716754258434</v>
      </c>
      <c r="O96" s="896">
        <f t="shared" si="32"/>
        <v>0.80395676383884707</v>
      </c>
      <c r="P96" s="896">
        <f t="shared" si="32"/>
        <v>0.65559826654518016</v>
      </c>
      <c r="Q96" s="896">
        <f t="shared" si="32"/>
        <v>0.39663481626474623</v>
      </c>
      <c r="R96" s="896">
        <f t="shared" si="32"/>
        <v>0.6283057828011227</v>
      </c>
      <c r="S96" s="896">
        <f t="shared" si="32"/>
        <v>0.76554623837434033</v>
      </c>
      <c r="T96" s="896">
        <f t="shared" si="32"/>
        <v>0.37990600350322223</v>
      </c>
      <c r="U96" s="896">
        <f t="shared" si="32"/>
        <v>0.56065753580763944</v>
      </c>
      <c r="V96" s="896">
        <f t="shared" si="32"/>
        <v>0.33938593633320552</v>
      </c>
      <c r="W96" s="896">
        <f t="shared" si="32"/>
        <v>0.82672825405254458</v>
      </c>
      <c r="X96" s="896">
        <f t="shared" si="32"/>
        <v>0.64594590016768572</v>
      </c>
      <c r="Y96" s="896">
        <f t="shared" si="32"/>
        <v>0.44429383862083038</v>
      </c>
      <c r="Z96" s="896">
        <f t="shared" si="32"/>
        <v>0.39308056661922369</v>
      </c>
      <c r="AA96" s="896">
        <f t="shared" si="32"/>
        <v>0.63470874753868356</v>
      </c>
      <c r="AB96" s="896">
        <f t="shared" si="32"/>
        <v>0.73314506503254706</v>
      </c>
      <c r="AC96" s="896">
        <f t="shared" si="32"/>
        <v>0.45292423432463358</v>
      </c>
    </row>
    <row r="97" spans="1:29">
      <c r="A97" s="894" t="s">
        <v>300</v>
      </c>
      <c r="B97" s="896">
        <f t="shared" si="32"/>
        <v>4.7984814373372181E-2</v>
      </c>
      <c r="C97" s="896">
        <f t="shared" si="32"/>
        <v>8.2978440244876231E-2</v>
      </c>
      <c r="D97" s="896">
        <f t="shared" si="32"/>
        <v>1.8842431452027433E-2</v>
      </c>
      <c r="E97" s="896">
        <f t="shared" si="32"/>
        <v>4.245453155162613E-2</v>
      </c>
      <c r="F97" s="896">
        <f t="shared" si="32"/>
        <v>6.1393796793839064E-2</v>
      </c>
      <c r="G97" s="896">
        <f t="shared" si="32"/>
        <v>6.8986976145634218E-2</v>
      </c>
      <c r="H97" s="896">
        <f t="shared" si="32"/>
        <v>5.0572977875968803E-2</v>
      </c>
      <c r="I97" s="896">
        <f t="shared" si="32"/>
        <v>6.1735536148601819E-2</v>
      </c>
      <c r="J97" s="896">
        <f t="shared" si="32"/>
        <v>9.4227845896430323E-2</v>
      </c>
      <c r="K97" s="896">
        <f t="shared" si="32"/>
        <v>2.1357111787733796E-2</v>
      </c>
      <c r="L97" s="896">
        <f t="shared" si="32"/>
        <v>7.565421924262157E-2</v>
      </c>
      <c r="M97" s="896">
        <f t="shared" si="32"/>
        <v>8.3041633957462654E-2</v>
      </c>
      <c r="N97" s="896">
        <f t="shared" si="32"/>
        <v>8.0318611217624708E-2</v>
      </c>
      <c r="O97" s="896">
        <f t="shared" si="32"/>
        <v>4.6657932088655964E-2</v>
      </c>
      <c r="P97" s="896">
        <f t="shared" si="32"/>
        <v>7.0908095092667142E-2</v>
      </c>
      <c r="Q97" s="896">
        <f t="shared" si="32"/>
        <v>0.10347120656704603</v>
      </c>
      <c r="R97" s="896">
        <f t="shared" si="32"/>
        <v>8.1194747473233325E-2</v>
      </c>
      <c r="S97" s="896">
        <f t="shared" si="32"/>
        <v>6.4452893891943489E-2</v>
      </c>
      <c r="T97" s="896">
        <f t="shared" si="32"/>
        <v>8.7917217686485818E-2</v>
      </c>
      <c r="U97" s="896">
        <f t="shared" si="32"/>
        <v>7.4347889052703051E-2</v>
      </c>
      <c r="V97" s="896">
        <f t="shared" si="32"/>
        <v>5.215043377724983E-2</v>
      </c>
      <c r="W97" s="896">
        <f t="shared" si="32"/>
        <v>4.2203229217690659E-2</v>
      </c>
      <c r="X97" s="896">
        <f t="shared" si="32"/>
        <v>2.1680584020732058E-2</v>
      </c>
      <c r="Y97" s="896">
        <f t="shared" si="32"/>
        <v>5.3051786867965592E-2</v>
      </c>
      <c r="Z97" s="896">
        <f t="shared" si="32"/>
        <v>0.10835742480330174</v>
      </c>
      <c r="AA97" s="896">
        <f t="shared" si="32"/>
        <v>7.1699045766535657E-2</v>
      </c>
      <c r="AB97" s="896">
        <f t="shared" si="32"/>
        <v>5.9267599394588207E-2</v>
      </c>
      <c r="AC97" s="896">
        <f t="shared" si="32"/>
        <v>8.5815696811053555E-2</v>
      </c>
    </row>
    <row r="98" spans="1:29">
      <c r="A98" s="894" t="s">
        <v>301</v>
      </c>
      <c r="B98" s="896">
        <f t="shared" si="32"/>
        <v>4.3997115908121073E-3</v>
      </c>
      <c r="C98" s="896">
        <f t="shared" si="32"/>
        <v>1.8964599414426405E-3</v>
      </c>
      <c r="D98" s="896">
        <f t="shared" si="32"/>
        <v>2.4085415106254865E-3</v>
      </c>
      <c r="E98" s="896">
        <f t="shared" si="32"/>
        <v>1.7745896081186752E-3</v>
      </c>
      <c r="F98" s="896">
        <f t="shared" si="32"/>
        <v>1.7944199418563147E-3</v>
      </c>
      <c r="G98" s="896">
        <f t="shared" si="32"/>
        <v>2.7017570226895928E-3</v>
      </c>
      <c r="H98" s="896">
        <f t="shared" si="32"/>
        <v>1.0886532597026105E-3</v>
      </c>
      <c r="I98" s="896">
        <f t="shared" si="32"/>
        <v>1.7088200824165439E-3</v>
      </c>
      <c r="J98" s="896">
        <f t="shared" si="32"/>
        <v>1.9496508442548969E-3</v>
      </c>
      <c r="K98" s="896">
        <f t="shared" si="32"/>
        <v>2.0113092648977818E-3</v>
      </c>
      <c r="L98" s="896">
        <f t="shared" si="32"/>
        <v>3.7772843407277721E-3</v>
      </c>
      <c r="M98" s="896">
        <f t="shared" si="32"/>
        <v>2.7449622023752538E-3</v>
      </c>
      <c r="N98" s="896">
        <f t="shared" si="32"/>
        <v>1.1210242803155355E-3</v>
      </c>
      <c r="O98" s="896">
        <f t="shared" si="32"/>
        <v>3.4217709356916693E-3</v>
      </c>
      <c r="P98" s="896">
        <f t="shared" si="32"/>
        <v>2.0090711074878284E-3</v>
      </c>
      <c r="Q98" s="896">
        <f t="shared" si="32"/>
        <v>1.3689058307657842E-3</v>
      </c>
      <c r="R98" s="896">
        <f t="shared" si="32"/>
        <v>1.6104975584894489E-3</v>
      </c>
      <c r="S98" s="896">
        <f t="shared" si="32"/>
        <v>3.4275481789424692E-3</v>
      </c>
      <c r="T98" s="896">
        <f t="shared" si="32"/>
        <v>5.4559701327986895E-4</v>
      </c>
      <c r="U98" s="896">
        <f t="shared" si="32"/>
        <v>1.9325323058149279E-3</v>
      </c>
      <c r="V98" s="896">
        <f t="shared" si="32"/>
        <v>1.3092605460201766E-3</v>
      </c>
      <c r="W98" s="896">
        <f t="shared" si="32"/>
        <v>3.8316631798684326E-3</v>
      </c>
      <c r="X98" s="896">
        <f t="shared" si="32"/>
        <v>3.3367773844407934E-3</v>
      </c>
      <c r="Y98" s="896">
        <f t="shared" si="32"/>
        <v>1.2895712196946513E-3</v>
      </c>
      <c r="Z98" s="896">
        <f t="shared" si="32"/>
        <v>7.5769135244998175E-4</v>
      </c>
      <c r="AA98" s="896">
        <f t="shared" si="32"/>
        <v>1.4787828540907678E-3</v>
      </c>
      <c r="AB98" s="896">
        <f t="shared" si="32"/>
        <v>4.1529772232271403E-3</v>
      </c>
      <c r="AC98" s="896">
        <f t="shared" si="32"/>
        <v>1.2617345470375659E-3</v>
      </c>
    </row>
    <row r="99" spans="1:29" s="408" customFormat="1">
      <c r="A99" s="894"/>
      <c r="B99" s="905">
        <f>SUM(B95:B98)</f>
        <v>1</v>
      </c>
      <c r="C99" s="905">
        <f t="shared" ref="C99:AC99" si="33">SUM(C95:C98)</f>
        <v>1</v>
      </c>
      <c r="D99" s="905">
        <f t="shared" si="33"/>
        <v>1</v>
      </c>
      <c r="E99" s="905">
        <f t="shared" si="33"/>
        <v>1</v>
      </c>
      <c r="F99" s="905">
        <f t="shared" si="33"/>
        <v>1</v>
      </c>
      <c r="G99" s="905">
        <f t="shared" si="33"/>
        <v>1</v>
      </c>
      <c r="H99" s="905">
        <f t="shared" si="33"/>
        <v>1</v>
      </c>
      <c r="I99" s="905">
        <f t="shared" si="33"/>
        <v>1</v>
      </c>
      <c r="J99" s="905">
        <f t="shared" si="33"/>
        <v>1</v>
      </c>
      <c r="K99" s="905">
        <f t="shared" si="33"/>
        <v>1</v>
      </c>
      <c r="L99" s="905">
        <f t="shared" si="33"/>
        <v>1.0000000000000002</v>
      </c>
      <c r="M99" s="905">
        <f t="shared" si="33"/>
        <v>1</v>
      </c>
      <c r="N99" s="905">
        <f t="shared" si="33"/>
        <v>1</v>
      </c>
      <c r="O99" s="905">
        <f t="shared" si="33"/>
        <v>1</v>
      </c>
      <c r="P99" s="905">
        <f t="shared" si="33"/>
        <v>1.0000000000000002</v>
      </c>
      <c r="Q99" s="905">
        <f t="shared" si="33"/>
        <v>1</v>
      </c>
      <c r="R99" s="905">
        <f t="shared" si="33"/>
        <v>0.99999999999999989</v>
      </c>
      <c r="S99" s="905">
        <f t="shared" si="33"/>
        <v>1</v>
      </c>
      <c r="T99" s="905">
        <f t="shared" si="33"/>
        <v>1</v>
      </c>
      <c r="U99" s="905">
        <f t="shared" si="33"/>
        <v>1</v>
      </c>
      <c r="V99" s="905">
        <f t="shared" si="33"/>
        <v>1</v>
      </c>
      <c r="W99" s="905">
        <f t="shared" si="33"/>
        <v>1</v>
      </c>
      <c r="X99" s="905">
        <f t="shared" si="33"/>
        <v>0.99999999999999989</v>
      </c>
      <c r="Y99" s="905">
        <f t="shared" si="33"/>
        <v>1.0000000000000002</v>
      </c>
      <c r="Z99" s="905">
        <f t="shared" si="33"/>
        <v>0.99999999999999989</v>
      </c>
      <c r="AA99" s="905">
        <f t="shared" si="33"/>
        <v>1</v>
      </c>
      <c r="AB99" s="905">
        <f t="shared" si="33"/>
        <v>1</v>
      </c>
      <c r="AC99" s="905">
        <f t="shared" si="33"/>
        <v>1</v>
      </c>
    </row>
    <row r="101" spans="1:29">
      <c r="A101" s="894" t="s">
        <v>302</v>
      </c>
      <c r="B101" s="896">
        <f t="shared" ref="B101:AC104" si="34">B52/SUM(B$52:B$55)</f>
        <v>0.11740768651092691</v>
      </c>
      <c r="C101" s="896">
        <f t="shared" si="34"/>
        <v>0.16415351065217795</v>
      </c>
      <c r="D101" s="896">
        <f t="shared" si="34"/>
        <v>0.15800067091580006</v>
      </c>
      <c r="E101" s="896">
        <f t="shared" si="34"/>
        <v>0.24595201512823545</v>
      </c>
      <c r="F101" s="896">
        <f t="shared" si="34"/>
        <v>0.22409916361136573</v>
      </c>
      <c r="G101" s="896">
        <f t="shared" si="34"/>
        <v>0.14939154267413274</v>
      </c>
      <c r="H101" s="896">
        <f t="shared" si="34"/>
        <v>0.32618004354015834</v>
      </c>
      <c r="I101" s="896">
        <f t="shared" si="34"/>
        <v>0.27878736357513256</v>
      </c>
      <c r="J101" s="896">
        <f t="shared" si="34"/>
        <v>0.27270341121234692</v>
      </c>
      <c r="K101" s="896">
        <f t="shared" si="34"/>
        <v>0.24671793346645707</v>
      </c>
      <c r="L101" s="896">
        <f t="shared" si="34"/>
        <v>0.13907481877348007</v>
      </c>
      <c r="M101" s="896">
        <f t="shared" si="34"/>
        <v>0.24888778482870758</v>
      </c>
      <c r="N101" s="896">
        <f t="shared" si="34"/>
        <v>0.36593524683168138</v>
      </c>
      <c r="O101" s="896">
        <f t="shared" si="34"/>
        <v>7.6589014746740763E-2</v>
      </c>
      <c r="P101" s="896">
        <f t="shared" si="34"/>
        <v>0.17928564321958015</v>
      </c>
      <c r="Q101" s="896">
        <f t="shared" si="34"/>
        <v>0.37167478286150379</v>
      </c>
      <c r="R101" s="896">
        <f t="shared" si="34"/>
        <v>0.20605187319884727</v>
      </c>
      <c r="S101" s="896">
        <f t="shared" si="34"/>
        <v>8.7418527785500258E-2</v>
      </c>
      <c r="T101" s="896">
        <f t="shared" si="34"/>
        <v>0.47653586072944393</v>
      </c>
      <c r="U101" s="896">
        <f t="shared" si="34"/>
        <v>0.24257630809652872</v>
      </c>
      <c r="V101" s="896">
        <f t="shared" si="34"/>
        <v>0.45375940937577375</v>
      </c>
      <c r="W101" s="896">
        <f t="shared" si="34"/>
        <v>6.2992525450671355E-2</v>
      </c>
      <c r="X101" s="896">
        <f t="shared" si="34"/>
        <v>0.17378537106246664</v>
      </c>
      <c r="Y101" s="896">
        <f t="shared" si="34"/>
        <v>0.37772319572603419</v>
      </c>
      <c r="Z101" s="896">
        <f t="shared" si="34"/>
        <v>0.42549450440747882</v>
      </c>
      <c r="AA101" s="896">
        <f t="shared" si="34"/>
        <v>0.21366108331520556</v>
      </c>
      <c r="AB101" s="896">
        <f t="shared" si="34"/>
        <v>9.6344937052901661E-2</v>
      </c>
      <c r="AC101" s="896">
        <f t="shared" si="34"/>
        <v>0.35051789424241703</v>
      </c>
    </row>
    <row r="102" spans="1:29">
      <c r="A102" s="894" t="s">
        <v>303</v>
      </c>
      <c r="B102" s="896">
        <f t="shared" si="34"/>
        <v>0.30092941471991963</v>
      </c>
      <c r="C102" s="896">
        <f t="shared" si="34"/>
        <v>0.43229389946133345</v>
      </c>
      <c r="D102" s="896">
        <f t="shared" si="34"/>
        <v>0.41992619926199259</v>
      </c>
      <c r="E102" s="896">
        <f t="shared" si="34"/>
        <v>0.39009868809833353</v>
      </c>
      <c r="F102" s="896">
        <f t="shared" si="34"/>
        <v>0.39803649175068745</v>
      </c>
      <c r="G102" s="896">
        <f t="shared" si="34"/>
        <v>0.37540097620061896</v>
      </c>
      <c r="H102" s="896">
        <f t="shared" si="34"/>
        <v>0.4016995064340832</v>
      </c>
      <c r="I102" s="896">
        <f t="shared" si="34"/>
        <v>0.35455752241324068</v>
      </c>
      <c r="J102" s="896">
        <f t="shared" si="34"/>
        <v>0.31374819957413164</v>
      </c>
      <c r="K102" s="896">
        <f t="shared" si="34"/>
        <v>0.37357352253898118</v>
      </c>
      <c r="L102" s="896">
        <f t="shared" si="34"/>
        <v>0.30414307635324622</v>
      </c>
      <c r="M102" s="896">
        <f t="shared" si="34"/>
        <v>0.26742846819177524</v>
      </c>
      <c r="N102" s="896">
        <f t="shared" si="34"/>
        <v>0.33778508864087986</v>
      </c>
      <c r="O102" s="896">
        <f t="shared" si="34"/>
        <v>0.40146185082282537</v>
      </c>
      <c r="P102" s="896">
        <f t="shared" si="34"/>
        <v>0.41203611580937222</v>
      </c>
      <c r="Q102" s="896">
        <f t="shared" si="34"/>
        <v>0.28142905597751694</v>
      </c>
      <c r="R102" s="896">
        <f t="shared" si="34"/>
        <v>0.42649302473998585</v>
      </c>
      <c r="S102" s="896">
        <f t="shared" si="34"/>
        <v>0.38237111172890992</v>
      </c>
      <c r="T102" s="896">
        <f t="shared" si="34"/>
        <v>0.32408639666211064</v>
      </c>
      <c r="U102" s="896">
        <f t="shared" si="34"/>
        <v>0.35650290556614156</v>
      </c>
      <c r="V102" s="896">
        <f t="shared" si="34"/>
        <v>0.24138967758116742</v>
      </c>
      <c r="W102" s="896">
        <f t="shared" si="34"/>
        <v>0.3895390130889167</v>
      </c>
      <c r="X102" s="896">
        <f t="shared" si="34"/>
        <v>0.32461292044847839</v>
      </c>
      <c r="Y102" s="896">
        <f t="shared" si="34"/>
        <v>0.31855954354962801</v>
      </c>
      <c r="Z102" s="896">
        <f t="shared" si="34"/>
        <v>0.31975458089692721</v>
      </c>
      <c r="AA102" s="896">
        <f t="shared" si="34"/>
        <v>0.44183162932347181</v>
      </c>
      <c r="AB102" s="896">
        <f t="shared" si="34"/>
        <v>0.33047770215911809</v>
      </c>
      <c r="AC102" s="896">
        <f t="shared" si="34"/>
        <v>0.32845795311806597</v>
      </c>
    </row>
    <row r="103" spans="1:29">
      <c r="A103" s="894" t="s">
        <v>304</v>
      </c>
      <c r="B103" s="896">
        <f t="shared" si="34"/>
        <v>1.7432805827681488E-2</v>
      </c>
      <c r="C103" s="896">
        <f t="shared" si="34"/>
        <v>4.4453971035022646E-2</v>
      </c>
      <c r="D103" s="896">
        <f t="shared" si="34"/>
        <v>9.124454880912446E-3</v>
      </c>
      <c r="E103" s="896">
        <f t="shared" si="34"/>
        <v>2.3091242169956269E-2</v>
      </c>
      <c r="F103" s="896">
        <f t="shared" si="34"/>
        <v>3.3369615032080663E-2</v>
      </c>
      <c r="G103" s="896">
        <f t="shared" si="34"/>
        <v>3.2037036086574933E-2</v>
      </c>
      <c r="H103" s="896">
        <f t="shared" si="34"/>
        <v>3.1630318574364484E-2</v>
      </c>
      <c r="I103" s="896">
        <f t="shared" si="34"/>
        <v>3.4036737443026883E-2</v>
      </c>
      <c r="J103" s="896">
        <f t="shared" si="34"/>
        <v>4.9785261279114403E-2</v>
      </c>
      <c r="K103" s="896">
        <f t="shared" si="34"/>
        <v>1.1080426562433614E-2</v>
      </c>
      <c r="L103" s="896">
        <f t="shared" si="34"/>
        <v>2.9882533467379225E-2</v>
      </c>
      <c r="M103" s="896">
        <f t="shared" si="34"/>
        <v>3.8157825402919232E-2</v>
      </c>
      <c r="N103" s="896">
        <f t="shared" si="34"/>
        <v>4.9966680874822145E-2</v>
      </c>
      <c r="O103" s="896">
        <f t="shared" si="34"/>
        <v>1.9405855952126523E-2</v>
      </c>
      <c r="P103" s="896">
        <f t="shared" si="34"/>
        <v>3.7123171823699133E-2</v>
      </c>
      <c r="Q103" s="896">
        <f t="shared" si="34"/>
        <v>6.1153105353054474E-2</v>
      </c>
      <c r="R103" s="896">
        <f t="shared" si="34"/>
        <v>4.5910074489195575E-2</v>
      </c>
      <c r="S103" s="896">
        <f t="shared" si="34"/>
        <v>2.6812467179439657E-2</v>
      </c>
      <c r="T103" s="896">
        <f t="shared" si="34"/>
        <v>6.2472124307603773E-2</v>
      </c>
      <c r="U103" s="896">
        <f t="shared" si="34"/>
        <v>3.9376042985809476E-2</v>
      </c>
      <c r="V103" s="896">
        <f t="shared" si="34"/>
        <v>3.0896193805005256E-2</v>
      </c>
      <c r="W103" s="896">
        <f t="shared" si="34"/>
        <v>1.6555619440592553E-2</v>
      </c>
      <c r="X103" s="896">
        <f t="shared" si="34"/>
        <v>9.0763481046449539E-3</v>
      </c>
      <c r="Y103" s="896">
        <f t="shared" si="34"/>
        <v>3.1684403178714272E-2</v>
      </c>
      <c r="Z103" s="896">
        <f t="shared" si="34"/>
        <v>7.3420473106898518E-2</v>
      </c>
      <c r="AA103" s="896">
        <f t="shared" si="34"/>
        <v>4.1570589514901023E-2</v>
      </c>
      <c r="AB103" s="896">
        <f t="shared" si="34"/>
        <v>2.2243482420473571E-2</v>
      </c>
      <c r="AC103" s="896">
        <f t="shared" si="34"/>
        <v>5.1837589219585027E-2</v>
      </c>
    </row>
    <row r="104" spans="1:29">
      <c r="A104" s="894" t="s">
        <v>305</v>
      </c>
      <c r="B104" s="896">
        <f t="shared" si="34"/>
        <v>0.56423009294147197</v>
      </c>
      <c r="C104" s="896">
        <f t="shared" si="34"/>
        <v>0.35909861885146593</v>
      </c>
      <c r="D104" s="896">
        <f t="shared" si="34"/>
        <v>0.41294867494129489</v>
      </c>
      <c r="E104" s="896">
        <f t="shared" si="34"/>
        <v>0.34085805460347479</v>
      </c>
      <c r="F104" s="896">
        <f t="shared" si="34"/>
        <v>0.34449472960586619</v>
      </c>
      <c r="G104" s="896">
        <f t="shared" si="34"/>
        <v>0.44317044503867337</v>
      </c>
      <c r="H104" s="896">
        <f t="shared" si="34"/>
        <v>0.240490131451394</v>
      </c>
      <c r="I104" s="896">
        <f t="shared" si="34"/>
        <v>0.33261837656859988</v>
      </c>
      <c r="J104" s="896">
        <f t="shared" si="34"/>
        <v>0.36376312793440707</v>
      </c>
      <c r="K104" s="896">
        <f t="shared" si="34"/>
        <v>0.36862811743212814</v>
      </c>
      <c r="L104" s="896">
        <f t="shared" si="34"/>
        <v>0.5268995714058945</v>
      </c>
      <c r="M104" s="896">
        <f t="shared" si="34"/>
        <v>0.44552592157659793</v>
      </c>
      <c r="N104" s="896">
        <f t="shared" si="34"/>
        <v>0.24631298365261661</v>
      </c>
      <c r="O104" s="896">
        <f t="shared" si="34"/>
        <v>0.50254327847830738</v>
      </c>
      <c r="P104" s="896">
        <f t="shared" si="34"/>
        <v>0.37155506914734854</v>
      </c>
      <c r="Q104" s="896">
        <f t="shared" si="34"/>
        <v>0.28574305580792481</v>
      </c>
      <c r="R104" s="896">
        <f t="shared" si="34"/>
        <v>0.32154502757197134</v>
      </c>
      <c r="S104" s="896">
        <f t="shared" si="34"/>
        <v>0.50339789330615015</v>
      </c>
      <c r="T104" s="896">
        <f t="shared" si="34"/>
        <v>0.13690561830084166</v>
      </c>
      <c r="U104" s="896">
        <f t="shared" si="34"/>
        <v>0.36154474335152026</v>
      </c>
      <c r="V104" s="896">
        <f t="shared" si="34"/>
        <v>0.27395471923805359</v>
      </c>
      <c r="W104" s="896">
        <f t="shared" si="34"/>
        <v>0.53091284201981936</v>
      </c>
      <c r="X104" s="896">
        <f t="shared" si="34"/>
        <v>0.49252536038441003</v>
      </c>
      <c r="Y104" s="896">
        <f t="shared" si="34"/>
        <v>0.27203285754562351</v>
      </c>
      <c r="Z104" s="896">
        <f t="shared" si="34"/>
        <v>0.18133044158869549</v>
      </c>
      <c r="AA104" s="896">
        <f t="shared" si="34"/>
        <v>0.30293669784642158</v>
      </c>
      <c r="AB104" s="896">
        <f t="shared" si="34"/>
        <v>0.55093387836750674</v>
      </c>
      <c r="AC104" s="896">
        <f t="shared" si="34"/>
        <v>0.26918656341993202</v>
      </c>
    </row>
    <row r="105" spans="1:29">
      <c r="A105" s="894"/>
      <c r="B105" s="905">
        <f>SUM(B101:B104)</f>
        <v>1</v>
      </c>
      <c r="C105" s="905">
        <f t="shared" ref="C105:AC105" si="35">SUM(C101:C104)</f>
        <v>1</v>
      </c>
      <c r="D105" s="905">
        <f t="shared" si="35"/>
        <v>1</v>
      </c>
      <c r="E105" s="905">
        <f t="shared" si="35"/>
        <v>1</v>
      </c>
      <c r="F105" s="905">
        <f t="shared" si="35"/>
        <v>1</v>
      </c>
      <c r="G105" s="905">
        <f t="shared" si="35"/>
        <v>1</v>
      </c>
      <c r="H105" s="905">
        <f t="shared" si="35"/>
        <v>1</v>
      </c>
      <c r="I105" s="905">
        <f t="shared" si="35"/>
        <v>1</v>
      </c>
      <c r="J105" s="905">
        <f t="shared" si="35"/>
        <v>1</v>
      </c>
      <c r="K105" s="905">
        <f t="shared" si="35"/>
        <v>1</v>
      </c>
      <c r="L105" s="905">
        <f t="shared" si="35"/>
        <v>1</v>
      </c>
      <c r="M105" s="905">
        <f t="shared" si="35"/>
        <v>1</v>
      </c>
      <c r="N105" s="905">
        <f t="shared" si="35"/>
        <v>1</v>
      </c>
      <c r="O105" s="905">
        <f t="shared" si="35"/>
        <v>1</v>
      </c>
      <c r="P105" s="905">
        <f t="shared" si="35"/>
        <v>1</v>
      </c>
      <c r="Q105" s="905">
        <f t="shared" si="35"/>
        <v>1</v>
      </c>
      <c r="R105" s="905">
        <f t="shared" si="35"/>
        <v>1</v>
      </c>
      <c r="S105" s="905">
        <f t="shared" si="35"/>
        <v>1</v>
      </c>
      <c r="T105" s="905">
        <f t="shared" si="35"/>
        <v>1</v>
      </c>
      <c r="U105" s="905">
        <f t="shared" si="35"/>
        <v>1</v>
      </c>
      <c r="V105" s="905">
        <f t="shared" si="35"/>
        <v>1</v>
      </c>
      <c r="W105" s="905">
        <f t="shared" si="35"/>
        <v>1</v>
      </c>
      <c r="X105" s="905">
        <f t="shared" si="35"/>
        <v>1</v>
      </c>
      <c r="Y105" s="905">
        <f t="shared" si="35"/>
        <v>1</v>
      </c>
      <c r="Z105" s="905">
        <f t="shared" si="35"/>
        <v>1</v>
      </c>
      <c r="AA105" s="905">
        <f t="shared" si="35"/>
        <v>1</v>
      </c>
      <c r="AB105" s="905">
        <f t="shared" si="35"/>
        <v>1</v>
      </c>
      <c r="AC105" s="905">
        <f t="shared" si="35"/>
        <v>1</v>
      </c>
    </row>
    <row r="106" spans="1:29">
      <c r="A106" s="894"/>
      <c r="B106" s="905"/>
      <c r="C106" s="905"/>
      <c r="D106" s="905"/>
      <c r="E106" s="905"/>
      <c r="F106" s="905"/>
      <c r="G106" s="905"/>
      <c r="H106" s="905"/>
      <c r="I106" s="905"/>
      <c r="J106" s="905"/>
      <c r="K106" s="905"/>
      <c r="L106" s="905"/>
      <c r="M106" s="905"/>
      <c r="N106" s="905"/>
      <c r="O106" s="905"/>
      <c r="P106" s="905"/>
      <c r="Q106" s="905"/>
      <c r="R106" s="905"/>
      <c r="S106" s="905"/>
      <c r="T106" s="905"/>
      <c r="U106" s="905"/>
      <c r="V106" s="905"/>
      <c r="W106" s="905"/>
      <c r="X106" s="905"/>
      <c r="Y106" s="905"/>
      <c r="Z106" s="905"/>
      <c r="AA106" s="905"/>
      <c r="AB106" s="905"/>
      <c r="AC106" s="905"/>
    </row>
    <row r="107" spans="1:29" s="902" customFormat="1">
      <c r="A107" s="906"/>
      <c r="B107" s="907"/>
      <c r="C107" s="907"/>
      <c r="D107" s="907"/>
      <c r="E107" s="907"/>
      <c r="F107" s="907"/>
      <c r="G107" s="907"/>
      <c r="H107" s="907"/>
      <c r="I107" s="907"/>
      <c r="J107" s="907"/>
      <c r="K107" s="907"/>
      <c r="L107" s="907"/>
      <c r="M107" s="907"/>
      <c r="N107" s="907"/>
      <c r="O107" s="907"/>
      <c r="P107" s="907"/>
      <c r="Q107" s="907"/>
      <c r="R107" s="907"/>
      <c r="S107" s="907"/>
      <c r="T107" s="907"/>
      <c r="U107" s="907"/>
      <c r="V107" s="907"/>
      <c r="W107" s="907"/>
      <c r="X107" s="907"/>
      <c r="Y107" s="907"/>
      <c r="Z107" s="907"/>
      <c r="AA107" s="907"/>
      <c r="AB107" s="907"/>
      <c r="AC107" s="907"/>
    </row>
    <row r="109" spans="1:29">
      <c r="A109" s="893" t="s">
        <v>312</v>
      </c>
      <c r="B109" s="908">
        <f>B70/B67</f>
        <v>1</v>
      </c>
      <c r="C109" s="908">
        <f t="shared" ref="C109:AC109" si="36">C70/C67</f>
        <v>1</v>
      </c>
      <c r="D109" s="908">
        <f t="shared" si="36"/>
        <v>1</v>
      </c>
      <c r="E109" s="908">
        <f t="shared" si="36"/>
        <v>1</v>
      </c>
      <c r="F109" s="908">
        <f t="shared" si="36"/>
        <v>1</v>
      </c>
      <c r="G109" s="908">
        <f t="shared" si="36"/>
        <v>1</v>
      </c>
      <c r="H109" s="908">
        <f t="shared" si="36"/>
        <v>1</v>
      </c>
      <c r="I109" s="908">
        <f t="shared" si="36"/>
        <v>1</v>
      </c>
      <c r="J109" s="908">
        <f t="shared" si="36"/>
        <v>1</v>
      </c>
      <c r="K109" s="908">
        <f t="shared" si="36"/>
        <v>1</v>
      </c>
      <c r="L109" s="908">
        <f t="shared" si="36"/>
        <v>1</v>
      </c>
      <c r="M109" s="908">
        <f t="shared" si="36"/>
        <v>1</v>
      </c>
      <c r="N109" s="908">
        <f t="shared" si="36"/>
        <v>1</v>
      </c>
      <c r="O109" s="908">
        <f t="shared" si="36"/>
        <v>1</v>
      </c>
      <c r="P109" s="908">
        <f t="shared" si="36"/>
        <v>1</v>
      </c>
      <c r="Q109" s="908">
        <f t="shared" si="36"/>
        <v>1</v>
      </c>
      <c r="R109" s="908">
        <f t="shared" si="36"/>
        <v>1</v>
      </c>
      <c r="S109" s="908">
        <f t="shared" si="36"/>
        <v>1</v>
      </c>
      <c r="T109" s="908">
        <f t="shared" si="36"/>
        <v>1</v>
      </c>
      <c r="U109" s="908">
        <f t="shared" si="36"/>
        <v>1</v>
      </c>
      <c r="V109" s="908">
        <f t="shared" si="36"/>
        <v>1</v>
      </c>
      <c r="W109" s="908">
        <f t="shared" si="36"/>
        <v>1</v>
      </c>
      <c r="X109" s="908">
        <f t="shared" si="36"/>
        <v>1</v>
      </c>
      <c r="Y109" s="908">
        <f t="shared" si="36"/>
        <v>1</v>
      </c>
      <c r="Z109" s="908">
        <f t="shared" si="36"/>
        <v>1</v>
      </c>
      <c r="AA109" s="908">
        <f t="shared" si="36"/>
        <v>1</v>
      </c>
      <c r="AB109" s="908">
        <f t="shared" si="36"/>
        <v>1</v>
      </c>
      <c r="AC109" s="908">
        <f t="shared" si="36"/>
        <v>1</v>
      </c>
    </row>
    <row r="110" spans="1:29">
      <c r="B110" s="896"/>
      <c r="AC110"/>
    </row>
    <row r="111" spans="1:29">
      <c r="A111" s="893" t="s">
        <v>314</v>
      </c>
      <c r="B111" s="896">
        <f t="shared" ref="B111:AC113" si="37">B71/SUM(B$71:B$73)</f>
        <v>0.95553305539011313</v>
      </c>
      <c r="C111" s="896">
        <f t="shared" si="37"/>
        <v>0.9555401749862632</v>
      </c>
      <c r="D111" s="896">
        <f t="shared" si="37"/>
        <v>0.9555394320494992</v>
      </c>
      <c r="E111" s="896">
        <f t="shared" si="37"/>
        <v>0.95553688878222165</v>
      </c>
      <c r="F111" s="896">
        <f t="shared" si="37"/>
        <v>0.9555391292104588</v>
      </c>
      <c r="G111" s="896">
        <f t="shared" si="37"/>
        <v>0.95553931341749476</v>
      </c>
      <c r="H111" s="896">
        <f t="shared" si="37"/>
        <v>0.9555390983508999</v>
      </c>
      <c r="I111" s="896">
        <f t="shared" si="37"/>
        <v>0.95554059158769522</v>
      </c>
      <c r="J111" s="896">
        <f t="shared" si="37"/>
        <v>0.95553961746753269</v>
      </c>
      <c r="K111" s="896">
        <f t="shared" si="37"/>
        <v>0.9555381609373973</v>
      </c>
      <c r="L111" s="896">
        <f t="shared" si="37"/>
        <v>0.9555388405743046</v>
      </c>
      <c r="M111" s="896">
        <f t="shared" si="37"/>
        <v>0.95553907523628745</v>
      </c>
      <c r="N111" s="896">
        <f t="shared" si="37"/>
        <v>0.95553960754929956</v>
      </c>
      <c r="O111" s="896">
        <f t="shared" si="37"/>
        <v>0.95553915723317528</v>
      </c>
      <c r="P111" s="896">
        <f t="shared" si="37"/>
        <v>0.95553922520954926</v>
      </c>
      <c r="Q111" s="896">
        <f t="shared" si="37"/>
        <v>0.95553872606867241</v>
      </c>
      <c r="R111" s="896">
        <f t="shared" si="37"/>
        <v>0.95553955975921767</v>
      </c>
      <c r="S111" s="896">
        <f t="shared" si="37"/>
        <v>0.95553906871443428</v>
      </c>
      <c r="T111" s="896">
        <f t="shared" si="37"/>
        <v>0.95553975432765315</v>
      </c>
      <c r="U111" s="896">
        <f t="shared" si="37"/>
        <v>0.95553926587385729</v>
      </c>
      <c r="V111" s="896">
        <f t="shared" si="37"/>
        <v>0.95553963260833941</v>
      </c>
      <c r="W111" s="896">
        <f t="shared" si="37"/>
        <v>0.95553749820754263</v>
      </c>
      <c r="X111" s="896">
        <f t="shared" si="37"/>
        <v>0.95554468414158789</v>
      </c>
      <c r="Y111" s="896">
        <f t="shared" si="37"/>
        <v>0.95553902548534742</v>
      </c>
      <c r="Z111" s="896">
        <f t="shared" si="37"/>
        <v>0.95553919125944109</v>
      </c>
      <c r="AA111" s="896">
        <f t="shared" si="37"/>
        <v>0.95553724920602234</v>
      </c>
      <c r="AB111" s="896">
        <f t="shared" si="37"/>
        <v>0.95554105018856972</v>
      </c>
      <c r="AC111" s="896">
        <f t="shared" si="37"/>
        <v>0.95553929435020368</v>
      </c>
    </row>
    <row r="112" spans="1:29">
      <c r="A112" s="893" t="s">
        <v>315</v>
      </c>
      <c r="B112" s="896">
        <f t="shared" si="37"/>
        <v>3.0792138177486598E-2</v>
      </c>
      <c r="C112" s="896">
        <f t="shared" si="37"/>
        <v>3.0786381503867449E-2</v>
      </c>
      <c r="D112" s="896">
        <f t="shared" si="37"/>
        <v>3.0795896567708647E-2</v>
      </c>
      <c r="E112" s="896">
        <f t="shared" si="37"/>
        <v>3.0788747364270654E-2</v>
      </c>
      <c r="F112" s="896">
        <f t="shared" si="37"/>
        <v>3.078800904415236E-2</v>
      </c>
      <c r="G112" s="896">
        <f t="shared" si="37"/>
        <v>3.0787628156801736E-2</v>
      </c>
      <c r="H112" s="896">
        <f t="shared" si="37"/>
        <v>3.0786727852202548E-2</v>
      </c>
      <c r="I112" s="896">
        <f t="shared" si="37"/>
        <v>3.0786538998472581E-2</v>
      </c>
      <c r="J112" s="896">
        <f t="shared" si="37"/>
        <v>3.0787889133313692E-2</v>
      </c>
      <c r="K112" s="896">
        <f t="shared" si="37"/>
        <v>3.0787478265026261E-2</v>
      </c>
      <c r="L112" s="896">
        <f t="shared" si="37"/>
        <v>3.0787337780070909E-2</v>
      </c>
      <c r="M112" s="896">
        <f t="shared" si="37"/>
        <v>3.0788430815873815E-2</v>
      </c>
      <c r="N112" s="896">
        <f t="shared" si="37"/>
        <v>3.0787382802426908E-2</v>
      </c>
      <c r="O112" s="896">
        <f t="shared" si="37"/>
        <v>3.0787850269057258E-2</v>
      </c>
      <c r="P112" s="896">
        <f t="shared" si="37"/>
        <v>3.0788333375566988E-2</v>
      </c>
      <c r="Q112" s="896">
        <f t="shared" si="37"/>
        <v>3.0787822751033086E-2</v>
      </c>
      <c r="R112" s="896">
        <f t="shared" si="37"/>
        <v>3.0787763961719491E-2</v>
      </c>
      <c r="S112" s="896">
        <f t="shared" si="37"/>
        <v>3.0787901038161088E-2</v>
      </c>
      <c r="T112" s="896">
        <f t="shared" si="37"/>
        <v>3.0787590156569958E-2</v>
      </c>
      <c r="U112" s="896">
        <f t="shared" si="37"/>
        <v>3.0787498409736651E-2</v>
      </c>
      <c r="V112" s="896">
        <f t="shared" si="37"/>
        <v>3.0787339757492801E-2</v>
      </c>
      <c r="W112" s="896">
        <f t="shared" si="37"/>
        <v>3.078884055892803E-2</v>
      </c>
      <c r="X112" s="896">
        <f t="shared" si="37"/>
        <v>3.0788896428740511E-2</v>
      </c>
      <c r="Y112" s="896">
        <f t="shared" si="37"/>
        <v>3.0787479141955329E-2</v>
      </c>
      <c r="Z112" s="896">
        <f t="shared" si="37"/>
        <v>3.0787727224057128E-2</v>
      </c>
      <c r="AA112" s="896">
        <f t="shared" si="37"/>
        <v>3.0788991621231995E-2</v>
      </c>
      <c r="AB112" s="896">
        <f t="shared" si="37"/>
        <v>3.0784851933676999E-2</v>
      </c>
      <c r="AC112" s="896">
        <f t="shared" si="37"/>
        <v>3.0787614796610685E-2</v>
      </c>
    </row>
    <row r="113" spans="1:29">
      <c r="A113" s="893" t="s">
        <v>316</v>
      </c>
      <c r="B113" s="896">
        <f t="shared" si="37"/>
        <v>1.3674806432400238E-2</v>
      </c>
      <c r="C113" s="896">
        <f t="shared" si="37"/>
        <v>1.3673443509869394E-2</v>
      </c>
      <c r="D113" s="896">
        <f t="shared" si="37"/>
        <v>1.3664671382792188E-2</v>
      </c>
      <c r="E113" s="896">
        <f t="shared" si="37"/>
        <v>1.3674363853507735E-2</v>
      </c>
      <c r="F113" s="896">
        <f t="shared" si="37"/>
        <v>1.3672861745388891E-2</v>
      </c>
      <c r="G113" s="896">
        <f t="shared" si="37"/>
        <v>1.3673058425703551E-2</v>
      </c>
      <c r="H113" s="896">
        <f t="shared" si="37"/>
        <v>1.3674173796897523E-2</v>
      </c>
      <c r="I113" s="896">
        <f t="shared" si="37"/>
        <v>1.3672869413832181E-2</v>
      </c>
      <c r="J113" s="896">
        <f t="shared" si="37"/>
        <v>1.3672493399153661E-2</v>
      </c>
      <c r="K113" s="896">
        <f t="shared" si="37"/>
        <v>1.3674360797576439E-2</v>
      </c>
      <c r="L113" s="896">
        <f t="shared" si="37"/>
        <v>1.3673821645624439E-2</v>
      </c>
      <c r="M113" s="896">
        <f t="shared" si="37"/>
        <v>1.3672493947838701E-2</v>
      </c>
      <c r="N113" s="896">
        <f t="shared" si="37"/>
        <v>1.367300964827348E-2</v>
      </c>
      <c r="O113" s="896">
        <f t="shared" si="37"/>
        <v>1.3672992497767511E-2</v>
      </c>
      <c r="P113" s="896">
        <f t="shared" si="37"/>
        <v>1.3672441414883703E-2</v>
      </c>
      <c r="Q113" s="896">
        <f t="shared" si="37"/>
        <v>1.3673451180294496E-2</v>
      </c>
      <c r="R113" s="896">
        <f t="shared" si="37"/>
        <v>1.3672676279062828E-2</v>
      </c>
      <c r="S113" s="896">
        <f t="shared" si="37"/>
        <v>1.3673030247404598E-2</v>
      </c>
      <c r="T113" s="896">
        <f t="shared" si="37"/>
        <v>1.3672655515776884E-2</v>
      </c>
      <c r="U113" s="896">
        <f t="shared" si="37"/>
        <v>1.3673235716406065E-2</v>
      </c>
      <c r="V113" s="896">
        <f t="shared" si="37"/>
        <v>1.3673027634167789E-2</v>
      </c>
      <c r="W113" s="896">
        <f t="shared" si="37"/>
        <v>1.3673661233529309E-2</v>
      </c>
      <c r="X113" s="896">
        <f t="shared" si="37"/>
        <v>1.3666419429671596E-2</v>
      </c>
      <c r="Y113" s="896">
        <f t="shared" si="37"/>
        <v>1.3673495372697238E-2</v>
      </c>
      <c r="Z113" s="896">
        <f t="shared" si="37"/>
        <v>1.36730815165018E-2</v>
      </c>
      <c r="AA113" s="896">
        <f t="shared" si="37"/>
        <v>1.36737591727457E-2</v>
      </c>
      <c r="AB113" s="896">
        <f t="shared" si="37"/>
        <v>1.3674097877753231E-2</v>
      </c>
      <c r="AC113" s="896">
        <f t="shared" si="37"/>
        <v>1.367309085318566E-2</v>
      </c>
    </row>
    <row r="114" spans="1:29">
      <c r="B114" s="905">
        <f>SUM(B111:B113)</f>
        <v>1</v>
      </c>
      <c r="C114" s="905">
        <f t="shared" ref="C114:AC114" si="38">SUM(C111:C113)</f>
        <v>1</v>
      </c>
      <c r="D114" s="905">
        <f t="shared" si="38"/>
        <v>1</v>
      </c>
      <c r="E114" s="905">
        <f t="shared" si="38"/>
        <v>1</v>
      </c>
      <c r="F114" s="905">
        <f t="shared" si="38"/>
        <v>1</v>
      </c>
      <c r="G114" s="905">
        <f t="shared" si="38"/>
        <v>1</v>
      </c>
      <c r="H114" s="905">
        <f t="shared" si="38"/>
        <v>1</v>
      </c>
      <c r="I114" s="905">
        <f t="shared" si="38"/>
        <v>1</v>
      </c>
      <c r="J114" s="905">
        <f t="shared" si="38"/>
        <v>1</v>
      </c>
      <c r="K114" s="905">
        <f t="shared" si="38"/>
        <v>1</v>
      </c>
      <c r="L114" s="905">
        <f t="shared" si="38"/>
        <v>1</v>
      </c>
      <c r="M114" s="905">
        <f t="shared" si="38"/>
        <v>0.99999999999999989</v>
      </c>
      <c r="N114" s="905">
        <f t="shared" si="38"/>
        <v>0.99999999999999989</v>
      </c>
      <c r="O114" s="905">
        <f t="shared" si="38"/>
        <v>1</v>
      </c>
      <c r="P114" s="905">
        <f t="shared" si="38"/>
        <v>0.99999999999999989</v>
      </c>
      <c r="Q114" s="905">
        <f t="shared" si="38"/>
        <v>1</v>
      </c>
      <c r="R114" s="905">
        <f t="shared" si="38"/>
        <v>1</v>
      </c>
      <c r="S114" s="905">
        <f t="shared" si="38"/>
        <v>1</v>
      </c>
      <c r="T114" s="905">
        <f t="shared" si="38"/>
        <v>1</v>
      </c>
      <c r="U114" s="905">
        <f t="shared" si="38"/>
        <v>1</v>
      </c>
      <c r="V114" s="905">
        <f t="shared" si="38"/>
        <v>1</v>
      </c>
      <c r="W114" s="905">
        <f t="shared" si="38"/>
        <v>1</v>
      </c>
      <c r="X114" s="905">
        <f t="shared" si="38"/>
        <v>1</v>
      </c>
      <c r="Y114" s="905">
        <f t="shared" si="38"/>
        <v>1</v>
      </c>
      <c r="Z114" s="905">
        <f t="shared" si="38"/>
        <v>1</v>
      </c>
      <c r="AA114" s="905">
        <f t="shared" si="38"/>
        <v>1</v>
      </c>
      <c r="AB114" s="905">
        <f t="shared" si="38"/>
        <v>0.99999999999999989</v>
      </c>
      <c r="AC114" s="905">
        <f t="shared" si="38"/>
        <v>1</v>
      </c>
    </row>
    <row r="115" spans="1:29">
      <c r="B115" s="905"/>
      <c r="C115" s="905"/>
      <c r="D115" s="905"/>
      <c r="E115" s="905"/>
      <c r="F115" s="905"/>
      <c r="G115" s="905"/>
      <c r="H115" s="905"/>
      <c r="I115" s="905"/>
      <c r="J115" s="905"/>
      <c r="K115" s="905"/>
      <c r="L115" s="905"/>
      <c r="M115" s="905"/>
      <c r="N115" s="905"/>
      <c r="O115" s="905"/>
      <c r="P115" s="905"/>
      <c r="Q115" s="905"/>
      <c r="R115" s="905"/>
      <c r="S115" s="905"/>
      <c r="T115" s="905"/>
      <c r="U115" s="905"/>
      <c r="V115" s="905"/>
      <c r="W115" s="905"/>
      <c r="X115" s="905"/>
      <c r="Y115" s="905"/>
      <c r="Z115" s="905"/>
      <c r="AA115" s="905"/>
      <c r="AB115" s="905"/>
      <c r="AC115" s="905"/>
    </row>
    <row r="116" spans="1:29" s="902" customFormat="1">
      <c r="A116" s="901"/>
      <c r="B116" s="907"/>
      <c r="C116" s="907"/>
      <c r="D116" s="907"/>
      <c r="E116" s="907"/>
      <c r="F116" s="907"/>
      <c r="G116" s="907"/>
      <c r="H116" s="907"/>
      <c r="I116" s="907"/>
      <c r="J116" s="907"/>
      <c r="K116" s="907"/>
      <c r="L116" s="907"/>
      <c r="M116" s="907"/>
      <c r="N116" s="907"/>
      <c r="O116" s="907"/>
      <c r="P116" s="907"/>
      <c r="Q116" s="907"/>
      <c r="R116" s="907"/>
      <c r="S116" s="907"/>
      <c r="T116" s="907"/>
      <c r="U116" s="907"/>
      <c r="V116" s="907"/>
      <c r="W116" s="907"/>
      <c r="X116" s="907"/>
      <c r="Y116" s="907"/>
      <c r="Z116" s="907"/>
      <c r="AA116" s="907"/>
      <c r="AB116" s="907"/>
      <c r="AC116" s="907"/>
    </row>
    <row r="118" spans="1:29">
      <c r="A118" s="893" t="s">
        <v>319</v>
      </c>
      <c r="B118" s="896">
        <f t="shared" ref="B118:AC119" si="39">B81/SUM(B$81:B$82)</f>
        <v>0.18587360594795538</v>
      </c>
      <c r="C118" s="896">
        <f t="shared" si="39"/>
        <v>0.18588235294117647</v>
      </c>
      <c r="D118" s="896">
        <f t="shared" si="39"/>
        <v>0.1853813559322034</v>
      </c>
      <c r="E118" s="896">
        <f t="shared" si="39"/>
        <v>0.18577122840922816</v>
      </c>
      <c r="F118" s="896">
        <f t="shared" si="39"/>
        <v>0.18581315924683411</v>
      </c>
      <c r="G118" s="896">
        <f t="shared" si="39"/>
        <v>0.18579070293076169</v>
      </c>
      <c r="H118" s="896">
        <f t="shared" si="39"/>
        <v>0.18578352180936994</v>
      </c>
      <c r="I118" s="896">
        <f t="shared" si="39"/>
        <v>0.18582807333934476</v>
      </c>
      <c r="J118" s="896">
        <f t="shared" si="39"/>
        <v>0.18580197491326395</v>
      </c>
      <c r="K118" s="896">
        <f t="shared" si="39"/>
        <v>0.18586426142244566</v>
      </c>
      <c r="L118" s="896">
        <f t="shared" si="39"/>
        <v>0.18583974845494958</v>
      </c>
      <c r="M118" s="896">
        <f t="shared" si="39"/>
        <v>0.18577271037303258</v>
      </c>
      <c r="N118" s="896">
        <f t="shared" si="39"/>
        <v>0.1858135103571209</v>
      </c>
      <c r="O118" s="896">
        <f t="shared" si="39"/>
        <v>0.18580745781936764</v>
      </c>
      <c r="P118" s="896">
        <f t="shared" si="39"/>
        <v>0.18582779309226527</v>
      </c>
      <c r="Q118" s="896">
        <f t="shared" si="39"/>
        <v>0.18581455485777615</v>
      </c>
      <c r="R118" s="896">
        <f t="shared" si="39"/>
        <v>0.18580316742081449</v>
      </c>
      <c r="S118" s="896">
        <f t="shared" si="39"/>
        <v>0.18584070796460178</v>
      </c>
      <c r="T118" s="896">
        <f t="shared" si="39"/>
        <v>0.18582331703304236</v>
      </c>
      <c r="U118" s="896">
        <f t="shared" si="39"/>
        <v>0.18588967663842296</v>
      </c>
      <c r="V118" s="896">
        <f t="shared" si="39"/>
        <v>0.18583296895496285</v>
      </c>
      <c r="W118" s="896">
        <f t="shared" si="39"/>
        <v>0.18585182084554205</v>
      </c>
      <c r="X118" s="896">
        <f t="shared" si="39"/>
        <v>0.18575063613231552</v>
      </c>
      <c r="Y118" s="896">
        <f t="shared" si="39"/>
        <v>0.18580363464715602</v>
      </c>
      <c r="Z118" s="896">
        <f t="shared" si="39"/>
        <v>0.18582320015441034</v>
      </c>
      <c r="AA118" s="896">
        <f t="shared" si="39"/>
        <v>0.18576420820305314</v>
      </c>
      <c r="AB118" s="896">
        <f t="shared" si="39"/>
        <v>0.1857471264367816</v>
      </c>
      <c r="AC118" s="896">
        <f t="shared" si="39"/>
        <v>0.18582049771343601</v>
      </c>
    </row>
    <row r="119" spans="1:29">
      <c r="A119" s="893" t="s">
        <v>320</v>
      </c>
      <c r="B119" s="896">
        <f t="shared" si="39"/>
        <v>0.81412639405204457</v>
      </c>
      <c r="C119" s="896">
        <f t="shared" si="39"/>
        <v>0.8141176470588235</v>
      </c>
      <c r="D119" s="896">
        <f t="shared" si="39"/>
        <v>0.8146186440677966</v>
      </c>
      <c r="E119" s="896">
        <f t="shared" si="39"/>
        <v>0.81422877159077178</v>
      </c>
      <c r="F119" s="896">
        <f t="shared" si="39"/>
        <v>0.81418684075316594</v>
      </c>
      <c r="G119" s="896">
        <f t="shared" si="39"/>
        <v>0.81420929706923828</v>
      </c>
      <c r="H119" s="896">
        <f t="shared" si="39"/>
        <v>0.81421647819063003</v>
      </c>
      <c r="I119" s="896">
        <f t="shared" si="39"/>
        <v>0.8141719266606553</v>
      </c>
      <c r="J119" s="896">
        <f t="shared" si="39"/>
        <v>0.81419802508673611</v>
      </c>
      <c r="K119" s="896">
        <f t="shared" si="39"/>
        <v>0.81413573857755439</v>
      </c>
      <c r="L119" s="896">
        <f t="shared" si="39"/>
        <v>0.81416025154505045</v>
      </c>
      <c r="M119" s="896">
        <f t="shared" si="39"/>
        <v>0.81422728962696744</v>
      </c>
      <c r="N119" s="896">
        <f t="shared" si="39"/>
        <v>0.8141864896428791</v>
      </c>
      <c r="O119" s="896">
        <f t="shared" si="39"/>
        <v>0.81419254218063231</v>
      </c>
      <c r="P119" s="896">
        <f t="shared" si="39"/>
        <v>0.81417220690773473</v>
      </c>
      <c r="Q119" s="896">
        <f t="shared" si="39"/>
        <v>0.81418544514222391</v>
      </c>
      <c r="R119" s="896">
        <f t="shared" si="39"/>
        <v>0.81419683257918551</v>
      </c>
      <c r="S119" s="896">
        <f t="shared" si="39"/>
        <v>0.81415929203539827</v>
      </c>
      <c r="T119" s="896">
        <f t="shared" si="39"/>
        <v>0.81417668296695767</v>
      </c>
      <c r="U119" s="896">
        <f t="shared" si="39"/>
        <v>0.81411032336157707</v>
      </c>
      <c r="V119" s="896">
        <f t="shared" si="39"/>
        <v>0.81416703104503718</v>
      </c>
      <c r="W119" s="896">
        <f t="shared" si="39"/>
        <v>0.81414817915445792</v>
      </c>
      <c r="X119" s="896">
        <f t="shared" si="39"/>
        <v>0.81424936386768443</v>
      </c>
      <c r="Y119" s="896">
        <f t="shared" si="39"/>
        <v>0.81419636535284401</v>
      </c>
      <c r="Z119" s="896">
        <f t="shared" si="39"/>
        <v>0.81417679984558966</v>
      </c>
      <c r="AA119" s="896">
        <f t="shared" si="39"/>
        <v>0.81423579179694683</v>
      </c>
      <c r="AB119" s="896">
        <f t="shared" si="39"/>
        <v>0.8142528735632184</v>
      </c>
      <c r="AC119" s="896">
        <f t="shared" si="39"/>
        <v>0.81417950228656399</v>
      </c>
    </row>
    <row r="120" spans="1:29">
      <c r="B120" s="905">
        <f>SUM(B118:B119)</f>
        <v>1</v>
      </c>
      <c r="C120" s="905">
        <f t="shared" ref="C120:AC120" si="40">SUM(C118:C119)</f>
        <v>1</v>
      </c>
      <c r="D120" s="905">
        <f t="shared" si="40"/>
        <v>1</v>
      </c>
      <c r="E120" s="905">
        <f t="shared" si="40"/>
        <v>1</v>
      </c>
      <c r="F120" s="905">
        <f t="shared" si="40"/>
        <v>1</v>
      </c>
      <c r="G120" s="905">
        <f t="shared" si="40"/>
        <v>1</v>
      </c>
      <c r="H120" s="905">
        <f t="shared" si="40"/>
        <v>1</v>
      </c>
      <c r="I120" s="905">
        <f t="shared" si="40"/>
        <v>1</v>
      </c>
      <c r="J120" s="905">
        <f t="shared" si="40"/>
        <v>1</v>
      </c>
      <c r="K120" s="905">
        <f t="shared" si="40"/>
        <v>1</v>
      </c>
      <c r="L120" s="905">
        <f t="shared" si="40"/>
        <v>1</v>
      </c>
      <c r="M120" s="905">
        <f t="shared" si="40"/>
        <v>1</v>
      </c>
      <c r="N120" s="905">
        <f t="shared" si="40"/>
        <v>1</v>
      </c>
      <c r="O120" s="905">
        <f t="shared" si="40"/>
        <v>1</v>
      </c>
      <c r="P120" s="905">
        <f t="shared" si="40"/>
        <v>1</v>
      </c>
      <c r="Q120" s="905">
        <f t="shared" si="40"/>
        <v>1</v>
      </c>
      <c r="R120" s="905">
        <f t="shared" si="40"/>
        <v>1</v>
      </c>
      <c r="S120" s="905">
        <f t="shared" si="40"/>
        <v>1</v>
      </c>
      <c r="T120" s="905">
        <f t="shared" si="40"/>
        <v>1</v>
      </c>
      <c r="U120" s="905">
        <f t="shared" si="40"/>
        <v>1</v>
      </c>
      <c r="V120" s="905">
        <f t="shared" si="40"/>
        <v>1</v>
      </c>
      <c r="W120" s="905">
        <f t="shared" si="40"/>
        <v>1</v>
      </c>
      <c r="X120" s="905">
        <f t="shared" si="40"/>
        <v>1</v>
      </c>
      <c r="Y120" s="905">
        <f t="shared" si="40"/>
        <v>1</v>
      </c>
      <c r="Z120" s="905">
        <f t="shared" si="40"/>
        <v>1</v>
      </c>
      <c r="AA120" s="905">
        <f t="shared" si="40"/>
        <v>1</v>
      </c>
      <c r="AB120" s="905">
        <f t="shared" si="40"/>
        <v>1</v>
      </c>
      <c r="AC120" s="905">
        <f t="shared" si="40"/>
        <v>1</v>
      </c>
    </row>
    <row r="121" spans="1:29">
      <c r="AC121"/>
    </row>
    <row r="122" spans="1:29">
      <c r="A122" s="893" t="s">
        <v>318</v>
      </c>
      <c r="B122" s="908">
        <f>B40/B79</f>
        <v>1</v>
      </c>
      <c r="C122" s="908">
        <f t="shared" ref="C122:AC122" si="41">C40/C79</f>
        <v>1</v>
      </c>
      <c r="D122" s="908">
        <f t="shared" si="41"/>
        <v>1</v>
      </c>
      <c r="E122" s="908">
        <f t="shared" si="41"/>
        <v>1</v>
      </c>
      <c r="F122" s="908">
        <f t="shared" si="41"/>
        <v>1</v>
      </c>
      <c r="G122" s="908">
        <f t="shared" si="41"/>
        <v>1</v>
      </c>
      <c r="H122" s="908">
        <f t="shared" si="41"/>
        <v>1</v>
      </c>
      <c r="I122" s="908">
        <f t="shared" si="41"/>
        <v>1</v>
      </c>
      <c r="J122" s="908">
        <f t="shared" si="41"/>
        <v>1</v>
      </c>
      <c r="K122" s="908">
        <f t="shared" si="41"/>
        <v>1</v>
      </c>
      <c r="L122" s="908">
        <f t="shared" si="41"/>
        <v>1</v>
      </c>
      <c r="M122" s="908">
        <f t="shared" si="41"/>
        <v>1</v>
      </c>
      <c r="N122" s="908">
        <f t="shared" si="41"/>
        <v>1</v>
      </c>
      <c r="O122" s="908">
        <f t="shared" si="41"/>
        <v>1</v>
      </c>
      <c r="P122" s="908">
        <f t="shared" si="41"/>
        <v>1</v>
      </c>
      <c r="Q122" s="908">
        <f t="shared" si="41"/>
        <v>1</v>
      </c>
      <c r="R122" s="908">
        <f t="shared" si="41"/>
        <v>1</v>
      </c>
      <c r="S122" s="908">
        <f t="shared" si="41"/>
        <v>1</v>
      </c>
      <c r="T122" s="908">
        <f t="shared" si="41"/>
        <v>1</v>
      </c>
      <c r="U122" s="908">
        <f t="shared" si="41"/>
        <v>1</v>
      </c>
      <c r="V122" s="908">
        <f t="shared" si="41"/>
        <v>1</v>
      </c>
      <c r="W122" s="908">
        <f t="shared" si="41"/>
        <v>1</v>
      </c>
      <c r="X122" s="908">
        <f t="shared" si="41"/>
        <v>1</v>
      </c>
      <c r="Y122" s="908">
        <f t="shared" si="41"/>
        <v>1</v>
      </c>
      <c r="Z122" s="908">
        <f t="shared" si="41"/>
        <v>1</v>
      </c>
      <c r="AA122" s="908">
        <f t="shared" si="41"/>
        <v>1</v>
      </c>
      <c r="AB122" s="908">
        <f t="shared" si="41"/>
        <v>1</v>
      </c>
      <c r="AC122" s="908">
        <f t="shared" si="41"/>
        <v>1</v>
      </c>
    </row>
    <row r="124" spans="1:29" s="902" customFormat="1">
      <c r="A124" s="901"/>
      <c r="AC124" s="901"/>
    </row>
    <row r="126" spans="1:29">
      <c r="A126" s="893" t="s">
        <v>322</v>
      </c>
      <c r="B126" s="896">
        <f>B88/SUM(B$88:B$89)</f>
        <v>0.61088479713214927</v>
      </c>
      <c r="C126" s="896">
        <f t="shared" ref="C126:AC127" si="42">C88/SUM(C$88:C$89)</f>
        <v>0.61087820547721461</v>
      </c>
      <c r="D126" s="896">
        <f t="shared" si="42"/>
        <v>0.61092150170648463</v>
      </c>
      <c r="E126" s="896">
        <f t="shared" si="42"/>
        <v>0.61084918441445835</v>
      </c>
      <c r="F126" s="896">
        <f t="shared" si="42"/>
        <v>0.61086400046718514</v>
      </c>
      <c r="G126" s="896">
        <f t="shared" si="42"/>
        <v>0.61086702064496434</v>
      </c>
      <c r="H126" s="896">
        <f t="shared" si="42"/>
        <v>0.61086925993540231</v>
      </c>
      <c r="I126" s="896">
        <f t="shared" si="42"/>
        <v>0.61086714399363562</v>
      </c>
      <c r="J126" s="896">
        <f t="shared" si="42"/>
        <v>0.61086402739497203</v>
      </c>
      <c r="K126" s="896">
        <f t="shared" si="42"/>
        <v>0.61086963319678544</v>
      </c>
      <c r="L126" s="896">
        <f t="shared" si="42"/>
        <v>0.61086289969338592</v>
      </c>
      <c r="M126" s="896">
        <f t="shared" si="42"/>
        <v>0.61087224991995615</v>
      </c>
      <c r="N126" s="896">
        <f t="shared" si="42"/>
        <v>0.61086621190827139</v>
      </c>
      <c r="O126" s="896">
        <f t="shared" si="42"/>
        <v>0.6108706406134059</v>
      </c>
      <c r="P126" s="896">
        <f t="shared" si="42"/>
        <v>0.61084867894315453</v>
      </c>
      <c r="Q126" s="896">
        <f t="shared" si="42"/>
        <v>0.61086382910565407</v>
      </c>
      <c r="R126" s="896">
        <f t="shared" si="42"/>
        <v>0.61086292029155886</v>
      </c>
      <c r="S126" s="896">
        <f t="shared" si="42"/>
        <v>0.61087018006976523</v>
      </c>
      <c r="T126" s="896">
        <f t="shared" si="42"/>
        <v>0.61086334339054826</v>
      </c>
      <c r="U126" s="896">
        <f t="shared" si="42"/>
        <v>0.61084644994092763</v>
      </c>
      <c r="V126" s="896">
        <f t="shared" si="42"/>
        <v>0.61086537597475865</v>
      </c>
      <c r="W126" s="896">
        <f t="shared" si="42"/>
        <v>0.61085489956931049</v>
      </c>
      <c r="X126" s="896">
        <f t="shared" si="42"/>
        <v>0.61096039066739016</v>
      </c>
      <c r="Y126" s="896">
        <f t="shared" si="42"/>
        <v>0.61086642732891672</v>
      </c>
      <c r="Z126" s="896">
        <f t="shared" si="42"/>
        <v>0.61086515758135718</v>
      </c>
      <c r="AA126" s="896">
        <f t="shared" si="42"/>
        <v>0.61086898036050574</v>
      </c>
      <c r="AB126" s="896">
        <f t="shared" si="42"/>
        <v>0.61087560298202015</v>
      </c>
      <c r="AC126" s="896">
        <f t="shared" si="42"/>
        <v>0.61086487251807065</v>
      </c>
    </row>
    <row r="127" spans="1:29">
      <c r="A127" s="893" t="s">
        <v>323</v>
      </c>
      <c r="B127" s="896">
        <f>B89/SUM(B$88:B$89)</f>
        <v>0.38911520286785073</v>
      </c>
      <c r="C127" s="896">
        <f t="shared" si="42"/>
        <v>0.38912179452278545</v>
      </c>
      <c r="D127" s="896">
        <f t="shared" si="42"/>
        <v>0.38907849829351537</v>
      </c>
      <c r="E127" s="896">
        <f t="shared" si="42"/>
        <v>0.38915081558554165</v>
      </c>
      <c r="F127" s="896">
        <f t="shared" si="42"/>
        <v>0.38913599953281491</v>
      </c>
      <c r="G127" s="896">
        <f t="shared" si="42"/>
        <v>0.38913297935503571</v>
      </c>
      <c r="H127" s="896">
        <f t="shared" si="42"/>
        <v>0.38913074006459769</v>
      </c>
      <c r="I127" s="896">
        <f t="shared" si="42"/>
        <v>0.38913285600636438</v>
      </c>
      <c r="J127" s="896">
        <f t="shared" si="42"/>
        <v>0.38913597260502797</v>
      </c>
      <c r="K127" s="896">
        <f t="shared" si="42"/>
        <v>0.38913036680321461</v>
      </c>
      <c r="L127" s="896">
        <f t="shared" si="42"/>
        <v>0.38913710030661408</v>
      </c>
      <c r="M127" s="896">
        <f t="shared" si="42"/>
        <v>0.38912775008004391</v>
      </c>
      <c r="N127" s="896">
        <f t="shared" si="42"/>
        <v>0.38913378809172866</v>
      </c>
      <c r="O127" s="896">
        <f t="shared" si="42"/>
        <v>0.3891293593865941</v>
      </c>
      <c r="P127" s="896">
        <f t="shared" si="42"/>
        <v>0.38915132105684547</v>
      </c>
      <c r="Q127" s="896">
        <f t="shared" si="42"/>
        <v>0.38913617089434593</v>
      </c>
      <c r="R127" s="896">
        <f t="shared" si="42"/>
        <v>0.38913707970844108</v>
      </c>
      <c r="S127" s="896">
        <f t="shared" si="42"/>
        <v>0.38912981993023477</v>
      </c>
      <c r="T127" s="896">
        <f t="shared" si="42"/>
        <v>0.38913665660945174</v>
      </c>
      <c r="U127" s="896">
        <f t="shared" si="42"/>
        <v>0.38915355005907237</v>
      </c>
      <c r="V127" s="896">
        <f t="shared" si="42"/>
        <v>0.3891346240252414</v>
      </c>
      <c r="W127" s="896">
        <f t="shared" si="42"/>
        <v>0.38914510043068951</v>
      </c>
      <c r="X127" s="896">
        <f t="shared" si="42"/>
        <v>0.38903960933260989</v>
      </c>
      <c r="Y127" s="896">
        <f t="shared" si="42"/>
        <v>0.38913357267108334</v>
      </c>
      <c r="Z127" s="896">
        <f t="shared" si="42"/>
        <v>0.38913484241864282</v>
      </c>
      <c r="AA127" s="896">
        <f t="shared" si="42"/>
        <v>0.3891310196394942</v>
      </c>
      <c r="AB127" s="896">
        <f t="shared" si="42"/>
        <v>0.38912439701797985</v>
      </c>
      <c r="AC127" s="896">
        <f t="shared" si="42"/>
        <v>0.3891351274819293</v>
      </c>
    </row>
    <row r="128" spans="1:29">
      <c r="B128" s="896"/>
      <c r="C128" s="896"/>
      <c r="D128" s="896"/>
      <c r="E128" s="896"/>
      <c r="F128" s="896"/>
      <c r="G128" s="896"/>
      <c r="H128" s="896"/>
      <c r="I128" s="896"/>
      <c r="J128" s="896"/>
      <c r="K128" s="896"/>
      <c r="L128" s="896"/>
      <c r="M128" s="896"/>
      <c r="N128" s="896"/>
      <c r="O128" s="896"/>
      <c r="P128" s="896"/>
      <c r="Q128" s="896"/>
      <c r="R128" s="896"/>
      <c r="S128" s="896"/>
      <c r="T128" s="896"/>
      <c r="U128" s="896"/>
      <c r="V128" s="896"/>
      <c r="W128" s="896"/>
      <c r="X128" s="896"/>
      <c r="Y128" s="896"/>
      <c r="Z128" s="896"/>
      <c r="AA128" s="896"/>
      <c r="AB128" s="896"/>
      <c r="AC128" s="896"/>
    </row>
    <row r="129" spans="1:29">
      <c r="B129" s="896"/>
      <c r="C129" s="896"/>
      <c r="D129" s="896"/>
      <c r="E129" s="896"/>
      <c r="F129" s="896"/>
      <c r="G129" s="896"/>
      <c r="H129" s="896"/>
      <c r="I129" s="896"/>
      <c r="J129" s="896"/>
      <c r="K129" s="896"/>
      <c r="L129" s="896"/>
      <c r="M129" s="896"/>
      <c r="N129" s="896"/>
      <c r="O129" s="896"/>
      <c r="P129" s="896"/>
      <c r="Q129" s="896"/>
      <c r="R129" s="896"/>
      <c r="S129" s="896"/>
      <c r="T129" s="896"/>
      <c r="U129" s="896"/>
      <c r="V129" s="896"/>
      <c r="W129" s="896"/>
      <c r="X129" s="896"/>
      <c r="Y129" s="896"/>
      <c r="Z129" s="896"/>
      <c r="AA129" s="896"/>
      <c r="AB129" s="896"/>
      <c r="AC129" s="896"/>
    </row>
    <row r="130" spans="1:29">
      <c r="A130" s="893" t="s">
        <v>324</v>
      </c>
      <c r="B130" s="896">
        <f>B91/SUM(B$91)</f>
        <v>1</v>
      </c>
      <c r="C130" s="896">
        <f t="shared" ref="C130:AC130" si="43">C91/SUM(C$91)</f>
        <v>1</v>
      </c>
      <c r="D130" s="896">
        <f t="shared" si="43"/>
        <v>1</v>
      </c>
      <c r="E130" s="896">
        <f t="shared" si="43"/>
        <v>1</v>
      </c>
      <c r="F130" s="896">
        <f t="shared" si="43"/>
        <v>1</v>
      </c>
      <c r="G130" s="896">
        <f t="shared" si="43"/>
        <v>1</v>
      </c>
      <c r="H130" s="896">
        <f t="shared" si="43"/>
        <v>1</v>
      </c>
      <c r="I130" s="896">
        <f t="shared" si="43"/>
        <v>1</v>
      </c>
      <c r="J130" s="896">
        <f t="shared" si="43"/>
        <v>1</v>
      </c>
      <c r="K130" s="896">
        <f t="shared" si="43"/>
        <v>1</v>
      </c>
      <c r="L130" s="896">
        <f t="shared" si="43"/>
        <v>1</v>
      </c>
      <c r="M130" s="896">
        <f t="shared" si="43"/>
        <v>1</v>
      </c>
      <c r="N130" s="896">
        <f t="shared" si="43"/>
        <v>1</v>
      </c>
      <c r="O130" s="896">
        <f t="shared" si="43"/>
        <v>1</v>
      </c>
      <c r="P130" s="896">
        <f t="shared" si="43"/>
        <v>1</v>
      </c>
      <c r="Q130" s="896">
        <f t="shared" si="43"/>
        <v>1</v>
      </c>
      <c r="R130" s="896">
        <f t="shared" si="43"/>
        <v>1</v>
      </c>
      <c r="S130" s="896">
        <f t="shared" si="43"/>
        <v>1</v>
      </c>
      <c r="T130" s="896">
        <f t="shared" si="43"/>
        <v>1</v>
      </c>
      <c r="U130" s="896">
        <f t="shared" si="43"/>
        <v>1</v>
      </c>
      <c r="V130" s="896">
        <f t="shared" si="43"/>
        <v>1</v>
      </c>
      <c r="W130" s="896">
        <f t="shared" si="43"/>
        <v>1</v>
      </c>
      <c r="X130" s="896">
        <f t="shared" si="43"/>
        <v>1</v>
      </c>
      <c r="Y130" s="896">
        <f t="shared" si="43"/>
        <v>1</v>
      </c>
      <c r="Z130" s="896">
        <f t="shared" si="43"/>
        <v>1</v>
      </c>
      <c r="AA130" s="896">
        <f t="shared" si="43"/>
        <v>1</v>
      </c>
      <c r="AB130" s="896">
        <f t="shared" si="43"/>
        <v>1</v>
      </c>
      <c r="AC130" s="896">
        <f t="shared" si="43"/>
        <v>1</v>
      </c>
    </row>
    <row r="131" spans="1:29">
      <c r="B131" s="905">
        <f>SUM(B126:B130)</f>
        <v>2</v>
      </c>
      <c r="C131" s="905">
        <f t="shared" ref="C131:AC131" si="44">SUM(C126:C130)</f>
        <v>2</v>
      </c>
      <c r="D131" s="905">
        <f t="shared" si="44"/>
        <v>2</v>
      </c>
      <c r="E131" s="905">
        <f t="shared" si="44"/>
        <v>2</v>
      </c>
      <c r="F131" s="905">
        <f t="shared" si="44"/>
        <v>2</v>
      </c>
      <c r="G131" s="905">
        <f t="shared" si="44"/>
        <v>2</v>
      </c>
      <c r="H131" s="905">
        <f t="shared" si="44"/>
        <v>2</v>
      </c>
      <c r="I131" s="905">
        <f t="shared" si="44"/>
        <v>2</v>
      </c>
      <c r="J131" s="905">
        <f t="shared" si="44"/>
        <v>2</v>
      </c>
      <c r="K131" s="905">
        <f t="shared" si="44"/>
        <v>2</v>
      </c>
      <c r="L131" s="905">
        <f t="shared" si="44"/>
        <v>2</v>
      </c>
      <c r="M131" s="905">
        <f t="shared" si="44"/>
        <v>2</v>
      </c>
      <c r="N131" s="905">
        <f t="shared" si="44"/>
        <v>2</v>
      </c>
      <c r="O131" s="905">
        <f t="shared" si="44"/>
        <v>2</v>
      </c>
      <c r="P131" s="905">
        <f t="shared" si="44"/>
        <v>2</v>
      </c>
      <c r="Q131" s="905">
        <f t="shared" si="44"/>
        <v>2</v>
      </c>
      <c r="R131" s="905">
        <f t="shared" si="44"/>
        <v>2</v>
      </c>
      <c r="S131" s="905">
        <f t="shared" si="44"/>
        <v>2</v>
      </c>
      <c r="T131" s="905">
        <f t="shared" si="44"/>
        <v>2</v>
      </c>
      <c r="U131" s="905">
        <f t="shared" si="44"/>
        <v>2</v>
      </c>
      <c r="V131" s="905">
        <f t="shared" si="44"/>
        <v>2</v>
      </c>
      <c r="W131" s="905">
        <f t="shared" si="44"/>
        <v>2</v>
      </c>
      <c r="X131" s="905">
        <f t="shared" si="44"/>
        <v>2</v>
      </c>
      <c r="Y131" s="905">
        <f t="shared" si="44"/>
        <v>2</v>
      </c>
      <c r="Z131" s="905">
        <f t="shared" si="44"/>
        <v>2</v>
      </c>
      <c r="AA131" s="905">
        <f t="shared" si="44"/>
        <v>2</v>
      </c>
      <c r="AB131" s="905">
        <f t="shared" si="44"/>
        <v>2</v>
      </c>
      <c r="AC131" s="905">
        <f t="shared" si="44"/>
        <v>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E34"/>
  <sheetViews>
    <sheetView workbookViewId="0">
      <selection activeCell="M4" sqref="M4"/>
    </sheetView>
  </sheetViews>
  <sheetFormatPr defaultColWidth="10.85546875" defaultRowHeight="15"/>
  <cols>
    <col min="1" max="1" width="19.85546875" style="1" customWidth="1"/>
    <col min="2" max="16384" width="10.85546875" style="1"/>
  </cols>
  <sheetData>
    <row r="1" spans="1:31" ht="172.5">
      <c r="B1" s="909" t="s">
        <v>298</v>
      </c>
      <c r="C1" s="909" t="s">
        <v>299</v>
      </c>
      <c r="D1" s="909" t="s">
        <v>300</v>
      </c>
      <c r="E1" s="909" t="s">
        <v>301</v>
      </c>
      <c r="F1" s="909" t="s">
        <v>1</v>
      </c>
      <c r="G1" s="909"/>
      <c r="H1" s="909" t="s">
        <v>302</v>
      </c>
      <c r="I1" s="909" t="s">
        <v>303</v>
      </c>
      <c r="J1" s="909" t="s">
        <v>304</v>
      </c>
      <c r="K1" s="909" t="s">
        <v>305</v>
      </c>
      <c r="L1" s="909" t="s">
        <v>1</v>
      </c>
      <c r="M1" s="909"/>
      <c r="N1" s="909" t="s">
        <v>312</v>
      </c>
      <c r="O1" s="909"/>
      <c r="P1" s="909" t="s">
        <v>314</v>
      </c>
      <c r="Q1" s="909" t="s">
        <v>315</v>
      </c>
      <c r="R1" s="909" t="s">
        <v>316</v>
      </c>
      <c r="S1" s="909" t="s">
        <v>1</v>
      </c>
      <c r="T1" s="909"/>
      <c r="U1" s="909" t="s">
        <v>319</v>
      </c>
      <c r="V1" s="909" t="s">
        <v>320</v>
      </c>
      <c r="W1" s="909" t="s">
        <v>1</v>
      </c>
      <c r="X1" s="909"/>
      <c r="Y1" s="909" t="s">
        <v>318</v>
      </c>
      <c r="Z1" s="909"/>
      <c r="AA1" s="909" t="s">
        <v>322</v>
      </c>
      <c r="AB1" s="909" t="s">
        <v>323</v>
      </c>
      <c r="AC1" s="909" t="s">
        <v>1</v>
      </c>
      <c r="AD1" s="909"/>
      <c r="AE1" s="909" t="s">
        <v>324</v>
      </c>
    </row>
    <row r="2" spans="1:31">
      <c r="A2" s="910" t="s">
        <v>11</v>
      </c>
      <c r="B2" s="911"/>
      <c r="C2" s="911"/>
      <c r="D2" s="911"/>
      <c r="E2" s="911"/>
      <c r="F2" s="911"/>
      <c r="G2" s="911"/>
      <c r="H2" s="911"/>
      <c r="I2" s="911"/>
      <c r="J2" s="911"/>
      <c r="K2" s="911"/>
      <c r="L2" s="911"/>
      <c r="M2" s="911"/>
      <c r="N2" s="911"/>
      <c r="O2" s="911"/>
      <c r="P2" s="911"/>
      <c r="Q2" s="911"/>
      <c r="R2" s="911"/>
      <c r="S2" s="911"/>
      <c r="T2" s="911"/>
      <c r="U2" s="911"/>
      <c r="V2" s="911"/>
      <c r="W2" s="911"/>
      <c r="X2" s="911"/>
      <c r="Y2" s="911"/>
      <c r="Z2" s="911"/>
      <c r="AA2" s="911"/>
      <c r="AB2" s="911"/>
      <c r="AC2" s="911"/>
      <c r="AD2" s="911"/>
      <c r="AE2" s="911"/>
    </row>
    <row r="3" spans="1:31">
      <c r="A3" s="910" t="s">
        <v>46</v>
      </c>
      <c r="B3" s="911"/>
      <c r="C3" s="911"/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1"/>
      <c r="P3" s="911"/>
      <c r="Q3" s="911"/>
      <c r="R3" s="911"/>
      <c r="S3" s="911"/>
      <c r="T3" s="911"/>
      <c r="U3" s="911"/>
      <c r="V3" s="911"/>
      <c r="W3" s="911"/>
      <c r="X3" s="911"/>
      <c r="Y3" s="911"/>
      <c r="Z3" s="911"/>
      <c r="AA3" s="911"/>
      <c r="AB3" s="911"/>
      <c r="AC3" s="911"/>
      <c r="AD3" s="911"/>
      <c r="AE3" s="911"/>
    </row>
    <row r="4" spans="1:31">
      <c r="A4" s="912" t="s">
        <v>13</v>
      </c>
      <c r="B4" s="913">
        <f>ONSV_AUX_2013!$B95</f>
        <v>0.25659588869759709</v>
      </c>
      <c r="C4" s="913">
        <f>ONSV_AUX_2013!$B96</f>
        <v>0.69101958533821861</v>
      </c>
      <c r="D4" s="913">
        <f>ONSV_AUX_2013!$B97</f>
        <v>4.7984814373372181E-2</v>
      </c>
      <c r="E4" s="913">
        <f>ONSV_AUX_2013!$B98</f>
        <v>4.3997115908121073E-3</v>
      </c>
      <c r="F4" s="913">
        <f>SUM(B4:E4)</f>
        <v>1</v>
      </c>
      <c r="G4" s="154"/>
      <c r="H4" s="913">
        <f>ONSV_AUX_2013!$B101</f>
        <v>0.11740768651092691</v>
      </c>
      <c r="I4" s="913">
        <f>ONSV_AUX_2013!$B102</f>
        <v>0.30092941471991963</v>
      </c>
      <c r="J4" s="913">
        <f>ONSV_AUX_2013!$B103</f>
        <v>1.7432805827681488E-2</v>
      </c>
      <c r="K4" s="913">
        <f>ONSV_AUX_2013!$B104</f>
        <v>0.56423009294147197</v>
      </c>
      <c r="L4" s="913">
        <f>SUM(H4:K4)</f>
        <v>1</v>
      </c>
      <c r="M4" s="154"/>
      <c r="N4" s="913">
        <f>ONSV_AUX_2013!$B109</f>
        <v>1</v>
      </c>
      <c r="O4" s="154"/>
      <c r="P4" s="913">
        <f>ONSV_AUX_2013!$B111</f>
        <v>0.95553305539011313</v>
      </c>
      <c r="Q4" s="913">
        <f>ONSV_AUX_2013!$B112</f>
        <v>3.0792138177486598E-2</v>
      </c>
      <c r="R4" s="913">
        <f>ONSV_AUX_2013!$B113</f>
        <v>1.3674806432400238E-2</v>
      </c>
      <c r="S4" s="913">
        <f>SUM(P4:R4)</f>
        <v>1</v>
      </c>
      <c r="T4" s="154"/>
      <c r="U4" s="913">
        <f>ONSV_AUX_2013!$B118</f>
        <v>0.18587360594795538</v>
      </c>
      <c r="V4" s="913">
        <f>ONSV_AUX_2013!$B119</f>
        <v>0.81412639405204457</v>
      </c>
      <c r="W4" s="913">
        <f>SUM(U4:V4)</f>
        <v>1</v>
      </c>
      <c r="X4" s="154"/>
      <c r="Y4" s="913">
        <f>ONSV_AUX_2013!$B122</f>
        <v>1</v>
      </c>
      <c r="Z4" s="154"/>
      <c r="AA4" s="913">
        <f>ONSV_AUX_2013!$B126</f>
        <v>0.61088479713214927</v>
      </c>
      <c r="AB4" s="913">
        <f>ONSV_AUX_2013!$B127</f>
        <v>0.38911520286785073</v>
      </c>
      <c r="AC4" s="913">
        <f>SUM(AA4:AB4)</f>
        <v>1</v>
      </c>
      <c r="AD4" s="913"/>
      <c r="AE4" s="913">
        <f>ONSV_AUX_2013!$B130</f>
        <v>1</v>
      </c>
    </row>
    <row r="5" spans="1:31">
      <c r="A5" s="912" t="s">
        <v>14</v>
      </c>
      <c r="B5" s="913">
        <f>ONSV_AUX_2013!$D95</f>
        <v>0.25811046981245683</v>
      </c>
      <c r="C5" s="913">
        <f>ONSV_AUX_2013!$D96</f>
        <v>0.72063855722489023</v>
      </c>
      <c r="D5" s="913">
        <f>ONSV_AUX_2013!$D97</f>
        <v>1.8842431452027433E-2</v>
      </c>
      <c r="E5" s="913">
        <f>ONSV_AUX_2013!$D98</f>
        <v>2.4085415106254865E-3</v>
      </c>
      <c r="F5" s="913">
        <f t="shared" ref="F5:F20" si="0">SUM(B5:E5)</f>
        <v>1</v>
      </c>
      <c r="G5" s="154"/>
      <c r="H5" s="913">
        <f>ONSV_AUX_2013!$D101</f>
        <v>0.15800067091580006</v>
      </c>
      <c r="I5" s="913">
        <f>ONSV_AUX_2013!$D102</f>
        <v>0.41992619926199259</v>
      </c>
      <c r="J5" s="913">
        <f>ONSV_AUX_2013!$D103</f>
        <v>9.124454880912446E-3</v>
      </c>
      <c r="K5" s="913">
        <f>ONSV_AUX_2013!$D104</f>
        <v>0.41294867494129489</v>
      </c>
      <c r="L5" s="913">
        <f t="shared" ref="L5:L20" si="1">SUM(H5:K5)</f>
        <v>1</v>
      </c>
      <c r="M5" s="154"/>
      <c r="N5" s="913">
        <f>ONSV_AUX_2013!$D109</f>
        <v>1</v>
      </c>
      <c r="O5" s="154"/>
      <c r="P5" s="913">
        <f>ONSV_AUX_2013!$D111</f>
        <v>0.9555394320494992</v>
      </c>
      <c r="Q5" s="913">
        <f>ONSV_AUX_2013!$D112</f>
        <v>3.0795896567708647E-2</v>
      </c>
      <c r="R5" s="913">
        <f>ONSV_AUX_2013!$D113</f>
        <v>1.3664671382792188E-2</v>
      </c>
      <c r="S5" s="913">
        <f t="shared" ref="S5:S10" si="2">SUM(P5:R5)</f>
        <v>1</v>
      </c>
      <c r="T5" s="154"/>
      <c r="U5" s="913">
        <f>ONSV_AUX_2013!$D118</f>
        <v>0.1853813559322034</v>
      </c>
      <c r="V5" s="913">
        <f>ONSV_AUX_2013!$D119</f>
        <v>0.8146186440677966</v>
      </c>
      <c r="W5" s="913">
        <f t="shared" ref="W5:W10" si="3">SUM(U5:V5)</f>
        <v>1</v>
      </c>
      <c r="X5" s="154"/>
      <c r="Y5" s="913">
        <f>ONSV_AUX_2013!$D122</f>
        <v>1</v>
      </c>
      <c r="Z5" s="154"/>
      <c r="AA5" s="913">
        <f>ONSV_AUX_2013!$D126</f>
        <v>0.61092150170648463</v>
      </c>
      <c r="AB5" s="913">
        <f>ONSV_AUX_2013!$D127</f>
        <v>0.38907849829351537</v>
      </c>
      <c r="AC5" s="913">
        <f t="shared" ref="AC5:AC10" si="4">SUM(AA5:AB5)</f>
        <v>1</v>
      </c>
      <c r="AD5" s="913"/>
      <c r="AE5" s="913">
        <f>ONSV_AUX_2013!$D130</f>
        <v>1</v>
      </c>
    </row>
    <row r="6" spans="1:31">
      <c r="A6" s="912" t="s">
        <v>15</v>
      </c>
      <c r="B6" s="913">
        <f>ONSV_AUX_2013!$E95</f>
        <v>0.35841804714348785</v>
      </c>
      <c r="C6" s="913">
        <f>ONSV_AUX_2013!$E96</f>
        <v>0.59735283169676734</v>
      </c>
      <c r="D6" s="913">
        <f>ONSV_AUX_2013!$E97</f>
        <v>4.245453155162613E-2</v>
      </c>
      <c r="E6" s="913">
        <f>ONSV_AUX_2013!$E98</f>
        <v>1.7745896081186752E-3</v>
      </c>
      <c r="F6" s="913">
        <f t="shared" si="0"/>
        <v>1</v>
      </c>
      <c r="G6" s="919"/>
      <c r="H6" s="913">
        <f>ONSV_AUX_2013!$E101</f>
        <v>0.24595201512823545</v>
      </c>
      <c r="I6" s="913">
        <f>ONSV_AUX_2013!$E102</f>
        <v>0.39009868809833353</v>
      </c>
      <c r="J6" s="913">
        <f>ONSV_AUX_2013!$E103</f>
        <v>2.3091242169956269E-2</v>
      </c>
      <c r="K6" s="913">
        <f>ONSV_AUX_2013!$E104</f>
        <v>0.34085805460347479</v>
      </c>
      <c r="L6" s="913">
        <f t="shared" si="1"/>
        <v>1</v>
      </c>
      <c r="M6" s="154"/>
      <c r="N6" s="913">
        <f>ONSV_AUX_2013!$E109</f>
        <v>1</v>
      </c>
      <c r="O6" s="154"/>
      <c r="P6" s="913">
        <f>ONSV_AUX_2013!$E111</f>
        <v>0.95553688878222165</v>
      </c>
      <c r="Q6" s="913">
        <f>ONSV_AUX_2013!$E112</f>
        <v>3.0788747364270654E-2</v>
      </c>
      <c r="R6" s="913">
        <f>ONSV_AUX_2013!$E113</f>
        <v>1.3674363853507735E-2</v>
      </c>
      <c r="S6" s="913">
        <f t="shared" si="2"/>
        <v>1</v>
      </c>
      <c r="T6" s="154"/>
      <c r="U6" s="913">
        <f>ONSV_AUX_2013!$E118</f>
        <v>0.18577122840922816</v>
      </c>
      <c r="V6" s="913">
        <f>ONSV_AUX_2013!$E119</f>
        <v>0.81422877159077178</v>
      </c>
      <c r="W6" s="913">
        <f t="shared" si="3"/>
        <v>1</v>
      </c>
      <c r="X6" s="154"/>
      <c r="Y6" s="913">
        <f>ONSV_AUX_2013!$E122</f>
        <v>1</v>
      </c>
      <c r="Z6" s="154"/>
      <c r="AA6" s="913">
        <f>ONSV_AUX_2013!$E126</f>
        <v>0.61084918441445835</v>
      </c>
      <c r="AB6" s="913">
        <f>ONSV_AUX_2013!$E127</f>
        <v>0.38915081558554165</v>
      </c>
      <c r="AC6" s="913">
        <f t="shared" si="4"/>
        <v>1</v>
      </c>
      <c r="AD6" s="913"/>
      <c r="AE6" s="913">
        <f>ONSV_AUX_2013!$E130</f>
        <v>1</v>
      </c>
    </row>
    <row r="7" spans="1:31">
      <c r="A7" s="912" t="s">
        <v>16</v>
      </c>
      <c r="B7" s="913">
        <f>ONSV_AUX_2013!$O95</f>
        <v>0.14596353313680532</v>
      </c>
      <c r="C7" s="913">
        <f>ONSV_AUX_2013!$O96</f>
        <v>0.80395676383884707</v>
      </c>
      <c r="D7" s="913">
        <f>ONSV_AUX_2013!$O97</f>
        <v>4.6657932088655964E-2</v>
      </c>
      <c r="E7" s="913">
        <f>ONSV_AUX_2013!$O98</f>
        <v>3.4217709356916693E-3</v>
      </c>
      <c r="F7" s="913">
        <f t="shared" si="0"/>
        <v>1</v>
      </c>
      <c r="G7" s="154"/>
      <c r="H7" s="913">
        <f>ONSV_AUX_2013!$O101</f>
        <v>7.6589014746740763E-2</v>
      </c>
      <c r="I7" s="913">
        <f>ONSV_AUX_2013!$O102</f>
        <v>0.40146185082282537</v>
      </c>
      <c r="J7" s="913">
        <f>ONSV_AUX_2013!$O103</f>
        <v>1.9405855952126523E-2</v>
      </c>
      <c r="K7" s="913">
        <f>ONSV_AUX_2013!$O104</f>
        <v>0.50254327847830738</v>
      </c>
      <c r="L7" s="913">
        <f t="shared" si="1"/>
        <v>1</v>
      </c>
      <c r="M7" s="154"/>
      <c r="N7" s="913">
        <f>ONSV_AUX_2013!$O109</f>
        <v>1</v>
      </c>
      <c r="O7" s="154"/>
      <c r="P7" s="913">
        <f>ONSV_AUX_2013!$O111</f>
        <v>0.95553915723317528</v>
      </c>
      <c r="Q7" s="913">
        <f>ONSV_AUX_2013!$O112</f>
        <v>3.0787850269057258E-2</v>
      </c>
      <c r="R7" s="913">
        <f>ONSV_AUX_2013!$O113</f>
        <v>1.3672992497767511E-2</v>
      </c>
      <c r="S7" s="913">
        <f t="shared" si="2"/>
        <v>1</v>
      </c>
      <c r="T7" s="154"/>
      <c r="U7" s="913">
        <f>ONSV_AUX_2013!$O118</f>
        <v>0.18580745781936764</v>
      </c>
      <c r="V7" s="913">
        <f>ONSV_AUX_2013!$O119</f>
        <v>0.81419254218063231</v>
      </c>
      <c r="W7" s="913">
        <f t="shared" si="3"/>
        <v>1</v>
      </c>
      <c r="X7" s="154"/>
      <c r="Y7" s="913">
        <f>ONSV_AUX_2013!$O122</f>
        <v>1</v>
      </c>
      <c r="Z7" s="154"/>
      <c r="AA7" s="913">
        <f>ONSV_AUX_2013!$O126</f>
        <v>0.6108706406134059</v>
      </c>
      <c r="AB7" s="913">
        <f>ONSV_AUX_2013!$O127</f>
        <v>0.3891293593865941</v>
      </c>
      <c r="AC7" s="913">
        <f t="shared" si="4"/>
        <v>1</v>
      </c>
      <c r="AD7" s="913"/>
      <c r="AE7" s="913">
        <f>ONSV_AUX_2013!$O130</f>
        <v>1</v>
      </c>
    </row>
    <row r="8" spans="1:31">
      <c r="A8" s="912" t="s">
        <v>17</v>
      </c>
      <c r="B8" s="913">
        <f>ONSV_AUX_2013!$W95</f>
        <v>0.12723685354989631</v>
      </c>
      <c r="C8" s="913">
        <f>ONSV_AUX_2013!$W96</f>
        <v>0.82672825405254458</v>
      </c>
      <c r="D8" s="913">
        <f>ONSV_AUX_2013!$W97</f>
        <v>4.2203229217690659E-2</v>
      </c>
      <c r="E8" s="913">
        <f>ONSV_AUX_2013!$W98</f>
        <v>3.8316631798684326E-3</v>
      </c>
      <c r="F8" s="913">
        <f t="shared" si="0"/>
        <v>1</v>
      </c>
      <c r="G8" s="154"/>
      <c r="H8" s="913">
        <f>ONSV_AUX_2013!$W101</f>
        <v>6.2992525450671355E-2</v>
      </c>
      <c r="I8" s="913">
        <f>ONSV_AUX_2013!$W102</f>
        <v>0.3895390130889167</v>
      </c>
      <c r="J8" s="913">
        <f>ONSV_AUX_2013!$W103</f>
        <v>1.6555619440592553E-2</v>
      </c>
      <c r="K8" s="913">
        <f>ONSV_AUX_2013!$W104</f>
        <v>0.53091284201981936</v>
      </c>
      <c r="L8" s="913">
        <f t="shared" si="1"/>
        <v>1</v>
      </c>
      <c r="M8" s="154"/>
      <c r="N8" s="913">
        <f>ONSV_AUX_2013!$W109</f>
        <v>1</v>
      </c>
      <c r="O8" s="154"/>
      <c r="P8" s="913">
        <f>ONSV_AUX_2013!$W111</f>
        <v>0.95553749820754263</v>
      </c>
      <c r="Q8" s="913">
        <f>ONSV_AUX_2013!$W112</f>
        <v>3.078884055892803E-2</v>
      </c>
      <c r="R8" s="913">
        <f>ONSV_AUX_2013!$W113</f>
        <v>1.3673661233529309E-2</v>
      </c>
      <c r="S8" s="913">
        <f t="shared" si="2"/>
        <v>1</v>
      </c>
      <c r="T8" s="154"/>
      <c r="U8" s="913">
        <f>ONSV_AUX_2013!$W118</f>
        <v>0.18585182084554205</v>
      </c>
      <c r="V8" s="913">
        <f>ONSV_AUX_2013!$W119</f>
        <v>0.81414817915445792</v>
      </c>
      <c r="W8" s="913">
        <f t="shared" si="3"/>
        <v>1</v>
      </c>
      <c r="X8" s="154"/>
      <c r="Y8" s="913">
        <f>ONSV_AUX_2013!$W122</f>
        <v>1</v>
      </c>
      <c r="Z8" s="154"/>
      <c r="AA8" s="913">
        <f>ONSV_AUX_2013!$W126</f>
        <v>0.61085489956931049</v>
      </c>
      <c r="AB8" s="913">
        <f>ONSV_AUX_2013!$W127</f>
        <v>0.38914510043068951</v>
      </c>
      <c r="AC8" s="913">
        <f t="shared" si="4"/>
        <v>1</v>
      </c>
      <c r="AD8" s="913"/>
      <c r="AE8" s="913">
        <f>ONSV_AUX_2013!$W130</f>
        <v>1</v>
      </c>
    </row>
    <row r="9" spans="1:31">
      <c r="A9" s="912" t="s">
        <v>18</v>
      </c>
      <c r="B9" s="913">
        <f>ONSV_AUX_2013!$X95</f>
        <v>0.32903673842714137</v>
      </c>
      <c r="C9" s="913">
        <f>ONSV_AUX_2013!$X96</f>
        <v>0.64594590016768572</v>
      </c>
      <c r="D9" s="913">
        <f>ONSV_AUX_2013!$X97</f>
        <v>2.1680584020732058E-2</v>
      </c>
      <c r="E9" s="913">
        <f>ONSV_AUX_2013!$X98</f>
        <v>3.3367773844407934E-3</v>
      </c>
      <c r="F9" s="913">
        <f t="shared" si="0"/>
        <v>0.99999999999999989</v>
      </c>
      <c r="G9" s="154"/>
      <c r="H9" s="913">
        <f>ONSV_AUX_2013!$X101</f>
        <v>0.17378537106246664</v>
      </c>
      <c r="I9" s="913">
        <f>ONSV_AUX_2013!$X102</f>
        <v>0.32461292044847839</v>
      </c>
      <c r="J9" s="913">
        <f>ONSV_AUX_2013!$X103</f>
        <v>9.0763481046449539E-3</v>
      </c>
      <c r="K9" s="913">
        <f>ONSV_AUX_2013!$X104</f>
        <v>0.49252536038441003</v>
      </c>
      <c r="L9" s="913">
        <f t="shared" si="1"/>
        <v>1</v>
      </c>
      <c r="M9" s="154"/>
      <c r="N9" s="913">
        <f>ONSV_AUX_2013!$X109</f>
        <v>1</v>
      </c>
      <c r="O9" s="154"/>
      <c r="P9" s="913">
        <f>ONSV_AUX_2013!$X111</f>
        <v>0.95554468414158789</v>
      </c>
      <c r="Q9" s="913">
        <f>ONSV_AUX_2013!$X112</f>
        <v>3.0788896428740511E-2</v>
      </c>
      <c r="R9" s="913">
        <f>ONSV_AUX_2013!$X113</f>
        <v>1.3666419429671596E-2</v>
      </c>
      <c r="S9" s="913">
        <f t="shared" si="2"/>
        <v>1</v>
      </c>
      <c r="T9" s="154"/>
      <c r="U9" s="913">
        <f>ONSV_AUX_2013!$X118</f>
        <v>0.18575063613231552</v>
      </c>
      <c r="V9" s="913">
        <f>ONSV_AUX_2013!$X119</f>
        <v>0.81424936386768443</v>
      </c>
      <c r="W9" s="913">
        <f t="shared" si="3"/>
        <v>1</v>
      </c>
      <c r="X9" s="154"/>
      <c r="Y9" s="913">
        <f>ONSV_AUX_2013!$X122</f>
        <v>1</v>
      </c>
      <c r="Z9" s="154"/>
      <c r="AA9" s="913">
        <f>ONSV_AUX_2013!$X126</f>
        <v>0.61096039066739016</v>
      </c>
      <c r="AB9" s="913">
        <f>ONSV_AUX_2013!$X127</f>
        <v>0.38903960933260989</v>
      </c>
      <c r="AC9" s="913">
        <f t="shared" si="4"/>
        <v>1</v>
      </c>
      <c r="AD9" s="913"/>
      <c r="AE9" s="913">
        <f>ONSV_AUX_2013!$X130</f>
        <v>1</v>
      </c>
    </row>
    <row r="10" spans="1:31">
      <c r="A10" s="912" t="s">
        <v>19</v>
      </c>
      <c r="B10" s="913">
        <f>ONSV_AUX_2013!$AB95</f>
        <v>0.20343435834963761</v>
      </c>
      <c r="C10" s="913">
        <f>ONSV_AUX_2013!$AB96</f>
        <v>0.73314506503254706</v>
      </c>
      <c r="D10" s="913">
        <f>ONSV_AUX_2013!$AB97</f>
        <v>5.9267599394588207E-2</v>
      </c>
      <c r="E10" s="913">
        <f>ONSV_AUX_2013!$AB98</f>
        <v>4.1529772232271403E-3</v>
      </c>
      <c r="F10" s="913">
        <f t="shared" si="0"/>
        <v>1</v>
      </c>
      <c r="G10" s="154"/>
      <c r="H10" s="913">
        <f>ONSV_AUX_2013!$AB101</f>
        <v>9.6344937052901661E-2</v>
      </c>
      <c r="I10" s="913">
        <f>ONSV_AUX_2013!$AB102</f>
        <v>0.33047770215911809</v>
      </c>
      <c r="J10" s="913">
        <f>ONSV_AUX_2013!$AB103</f>
        <v>2.2243482420473571E-2</v>
      </c>
      <c r="K10" s="913">
        <f>ONSV_AUX_2013!$AB104</f>
        <v>0.55093387836750674</v>
      </c>
      <c r="L10" s="913">
        <f t="shared" si="1"/>
        <v>1</v>
      </c>
      <c r="M10" s="154"/>
      <c r="N10" s="913">
        <f>ONSV_AUX_2013!$AB109</f>
        <v>1</v>
      </c>
      <c r="O10" s="154"/>
      <c r="P10" s="913">
        <f>ONSV_AUX_2013!$AB111</f>
        <v>0.95554105018856972</v>
      </c>
      <c r="Q10" s="913">
        <f>ONSV_AUX_2013!$AB112</f>
        <v>3.0784851933676999E-2</v>
      </c>
      <c r="R10" s="913">
        <f>ONSV_AUX_2013!$AB113</f>
        <v>1.3674097877753231E-2</v>
      </c>
      <c r="S10" s="913">
        <f t="shared" si="2"/>
        <v>0.99999999999999989</v>
      </c>
      <c r="T10" s="154"/>
      <c r="U10" s="913">
        <f>ONSV_AUX_2013!$AB118</f>
        <v>0.1857471264367816</v>
      </c>
      <c r="V10" s="913">
        <f>ONSV_AUX_2013!$AB119</f>
        <v>0.8142528735632184</v>
      </c>
      <c r="W10" s="913">
        <f t="shared" si="3"/>
        <v>1</v>
      </c>
      <c r="X10" s="154"/>
      <c r="Y10" s="913">
        <f>ONSV_AUX_2013!$AB122</f>
        <v>1</v>
      </c>
      <c r="Z10" s="154"/>
      <c r="AA10" s="913">
        <f>ONSV_AUX_2013!$AB126</f>
        <v>0.61087560298202015</v>
      </c>
      <c r="AB10" s="913">
        <f>ONSV_AUX_2013!$AB127</f>
        <v>0.38912439701797985</v>
      </c>
      <c r="AC10" s="913">
        <f t="shared" si="4"/>
        <v>1</v>
      </c>
      <c r="AD10" s="913"/>
      <c r="AE10" s="913">
        <f>ONSV_AUX_2013!$AB130</f>
        <v>1</v>
      </c>
    </row>
    <row r="11" spans="1:31">
      <c r="A11" s="910" t="s">
        <v>54</v>
      </c>
      <c r="B11" s="911"/>
      <c r="C11" s="911"/>
      <c r="D11" s="911"/>
      <c r="E11" s="911"/>
      <c r="F11" s="911"/>
      <c r="G11" s="911"/>
      <c r="H11" s="911"/>
      <c r="I11" s="911"/>
      <c r="J11" s="911"/>
      <c r="K11" s="911"/>
      <c r="L11" s="911"/>
      <c r="M11" s="911"/>
      <c r="N11" s="911"/>
      <c r="O11" s="911"/>
      <c r="P11" s="911"/>
      <c r="Q11" s="911"/>
      <c r="R11" s="911"/>
      <c r="S11" s="911"/>
      <c r="T11" s="911"/>
      <c r="U11" s="911"/>
      <c r="V11" s="911"/>
      <c r="W11" s="911"/>
      <c r="X11" s="911"/>
      <c r="Y11" s="911"/>
      <c r="Z11" s="911"/>
      <c r="AA11" s="911"/>
      <c r="AB11" s="911"/>
      <c r="AC11" s="911"/>
      <c r="AD11" s="911"/>
      <c r="AE11" s="911"/>
    </row>
    <row r="12" spans="1:31">
      <c r="A12" s="912" t="s">
        <v>21</v>
      </c>
      <c r="B12" s="913">
        <f>ONSV_AUX_2013!$C95</f>
        <v>0.24293540945790082</v>
      </c>
      <c r="C12" s="913">
        <f>ONSV_AUX_2013!$C96</f>
        <v>0.67218969035578036</v>
      </c>
      <c r="D12" s="913">
        <f>ONSV_AUX_2013!$C97</f>
        <v>8.2978440244876231E-2</v>
      </c>
      <c r="E12" s="913">
        <f>ONSV_AUX_2013!$C98</f>
        <v>1.8964599414426405E-3</v>
      </c>
      <c r="F12" s="913">
        <f t="shared" si="0"/>
        <v>1</v>
      </c>
      <c r="G12" s="154"/>
      <c r="H12" s="913">
        <f>ONSV_AUX_2013!$C101</f>
        <v>0.16415351065217795</v>
      </c>
      <c r="I12" s="913">
        <f>ONSV_AUX_2013!$C102</f>
        <v>0.43229389946133345</v>
      </c>
      <c r="J12" s="913">
        <f>ONSV_AUX_2013!$C103</f>
        <v>4.4453971035022646E-2</v>
      </c>
      <c r="K12" s="913">
        <f>ONSV_AUX_2013!$C104</f>
        <v>0.35909861885146593</v>
      </c>
      <c r="L12" s="913">
        <f t="shared" si="1"/>
        <v>1</v>
      </c>
      <c r="M12" s="154"/>
      <c r="N12" s="913">
        <f>ONSV_AUX_2013!$C109</f>
        <v>1</v>
      </c>
      <c r="O12" s="154"/>
      <c r="P12" s="913">
        <f>ONSV_AUX_2013!$C111</f>
        <v>0.9555401749862632</v>
      </c>
      <c r="Q12" s="913">
        <f>ONSV_AUX_2013!$C112</f>
        <v>3.0786381503867449E-2</v>
      </c>
      <c r="R12" s="913">
        <f>ONSV_AUX_2013!$C113</f>
        <v>1.3673443509869394E-2</v>
      </c>
      <c r="S12" s="913">
        <f>SUM(P12:R12)</f>
        <v>1</v>
      </c>
      <c r="T12" s="154"/>
      <c r="U12" s="913">
        <f>ONSV_AUX_2013!$C118</f>
        <v>0.18588235294117647</v>
      </c>
      <c r="V12" s="913">
        <f>ONSV_AUX_2013!$C119</f>
        <v>0.8141176470588235</v>
      </c>
      <c r="W12" s="913">
        <f>SUM(U12:V12)</f>
        <v>1</v>
      </c>
      <c r="X12" s="154"/>
      <c r="Y12" s="913">
        <f>ONSV_AUX_2013!$C122</f>
        <v>1</v>
      </c>
      <c r="Z12" s="154"/>
      <c r="AA12" s="913">
        <f>ONSV_AUX_2013!$C126</f>
        <v>0.61087820547721461</v>
      </c>
      <c r="AB12" s="913">
        <f>ONSV_AUX_2013!$C127</f>
        <v>0.38912179452278545</v>
      </c>
      <c r="AC12" s="913">
        <f>SUM(AA12:AB12)</f>
        <v>1</v>
      </c>
      <c r="AD12" s="913"/>
      <c r="AE12" s="913">
        <f>ONSV_AUX_2013!$C130</f>
        <v>1</v>
      </c>
    </row>
    <row r="13" spans="1:31">
      <c r="A13" s="912" t="s">
        <v>22</v>
      </c>
      <c r="B13" s="913">
        <f>ONSV_AUX_2013!$F95</f>
        <v>0.32683777575909423</v>
      </c>
      <c r="C13" s="913">
        <f>ONSV_AUX_2013!$F96</f>
        <v>0.60997400750521036</v>
      </c>
      <c r="D13" s="913">
        <f>ONSV_AUX_2013!$F97</f>
        <v>6.1393796793839064E-2</v>
      </c>
      <c r="E13" s="913">
        <f>ONSV_AUX_2013!$F98</f>
        <v>1.7944199418563147E-3</v>
      </c>
      <c r="F13" s="913">
        <f t="shared" si="0"/>
        <v>1</v>
      </c>
      <c r="G13" s="154"/>
      <c r="H13" s="913">
        <f>ONSV_AUX_2013!$F101</f>
        <v>0.22409916361136573</v>
      </c>
      <c r="I13" s="913">
        <f>ONSV_AUX_2013!$F102</f>
        <v>0.39803649175068745</v>
      </c>
      <c r="J13" s="913">
        <f>ONSV_AUX_2013!$F103</f>
        <v>3.3369615032080663E-2</v>
      </c>
      <c r="K13" s="913">
        <f>ONSV_AUX_2013!$F104</f>
        <v>0.34449472960586619</v>
      </c>
      <c r="L13" s="913">
        <f t="shared" si="1"/>
        <v>1</v>
      </c>
      <c r="M13" s="154"/>
      <c r="N13" s="913">
        <f>ONSV_AUX_2013!$F109</f>
        <v>1</v>
      </c>
      <c r="O13" s="154"/>
      <c r="P13" s="913">
        <f>ONSV_AUX_2013!$F111</f>
        <v>0.9555391292104588</v>
      </c>
      <c r="Q13" s="913">
        <f>ONSV_AUX_2013!$F112</f>
        <v>3.078800904415236E-2</v>
      </c>
      <c r="R13" s="913">
        <f>ONSV_AUX_2013!$F113</f>
        <v>1.3672861745388891E-2</v>
      </c>
      <c r="S13" s="913">
        <f t="shared" ref="S13:S20" si="5">SUM(P13:R13)</f>
        <v>1</v>
      </c>
      <c r="T13" s="154"/>
      <c r="U13" s="913">
        <f>ONSV_AUX_2013!$F118</f>
        <v>0.18581315924683411</v>
      </c>
      <c r="V13" s="913">
        <f>ONSV_AUX_2013!$F119</f>
        <v>0.81418684075316594</v>
      </c>
      <c r="W13" s="913">
        <f t="shared" ref="W13:W20" si="6">SUM(U13:V13)</f>
        <v>1</v>
      </c>
      <c r="X13" s="154"/>
      <c r="Y13" s="913">
        <f>ONSV_AUX_2013!$F122</f>
        <v>1</v>
      </c>
      <c r="Z13" s="154"/>
      <c r="AA13" s="913">
        <f>ONSV_AUX_2013!$F126</f>
        <v>0.61086400046718514</v>
      </c>
      <c r="AB13" s="913">
        <f>ONSV_AUX_2013!$F127</f>
        <v>0.38913599953281491</v>
      </c>
      <c r="AC13" s="913">
        <f t="shared" ref="AC13:AC20" si="7">SUM(AA13:AB13)</f>
        <v>1</v>
      </c>
      <c r="AD13" s="913"/>
      <c r="AE13" s="913">
        <f>ONSV_AUX_2013!$F130</f>
        <v>1</v>
      </c>
    </row>
    <row r="14" spans="1:31">
      <c r="A14" s="912" t="s">
        <v>23</v>
      </c>
      <c r="B14" s="913">
        <f>ONSV_AUX_2013!$G95</f>
        <v>0.25499842661694461</v>
      </c>
      <c r="C14" s="913">
        <f>ONSV_AUX_2013!$G96</f>
        <v>0.67331284021473159</v>
      </c>
      <c r="D14" s="913">
        <f>ONSV_AUX_2013!$G97</f>
        <v>6.8986976145634218E-2</v>
      </c>
      <c r="E14" s="913">
        <f>ONSV_AUX_2013!$G98</f>
        <v>2.7017570226895928E-3</v>
      </c>
      <c r="F14" s="913">
        <f t="shared" si="0"/>
        <v>1</v>
      </c>
      <c r="G14" s="154"/>
      <c r="H14" s="913">
        <f>ONSV_AUX_2013!$G101</f>
        <v>0.14939154267413274</v>
      </c>
      <c r="I14" s="913">
        <f>ONSV_AUX_2013!$G102</f>
        <v>0.37540097620061896</v>
      </c>
      <c r="J14" s="913">
        <f>ONSV_AUX_2013!$G103</f>
        <v>3.2037036086574933E-2</v>
      </c>
      <c r="K14" s="913">
        <f>ONSV_AUX_2013!$G104</f>
        <v>0.44317044503867337</v>
      </c>
      <c r="L14" s="913">
        <f t="shared" si="1"/>
        <v>1</v>
      </c>
      <c r="M14" s="154"/>
      <c r="N14" s="913">
        <f>ONSV_AUX_2013!$G109</f>
        <v>1</v>
      </c>
      <c r="O14" s="154"/>
      <c r="P14" s="913">
        <f>ONSV_AUX_2013!$G111</f>
        <v>0.95553931341749476</v>
      </c>
      <c r="Q14" s="913">
        <f>ONSV_AUX_2013!$G112</f>
        <v>3.0787628156801736E-2</v>
      </c>
      <c r="R14" s="913">
        <f>ONSV_AUX_2013!$G113</f>
        <v>1.3673058425703551E-2</v>
      </c>
      <c r="S14" s="913">
        <f t="shared" si="5"/>
        <v>1</v>
      </c>
      <c r="T14" s="154"/>
      <c r="U14" s="913">
        <f>ONSV_AUX_2013!$G118</f>
        <v>0.18579070293076169</v>
      </c>
      <c r="V14" s="913">
        <f>ONSV_AUX_2013!$G119</f>
        <v>0.81420929706923828</v>
      </c>
      <c r="W14" s="913">
        <f t="shared" si="6"/>
        <v>1</v>
      </c>
      <c r="X14" s="154"/>
      <c r="Y14" s="913">
        <f>ONSV_AUX_2013!$G122</f>
        <v>1</v>
      </c>
      <c r="Z14" s="154"/>
      <c r="AA14" s="913">
        <f>ONSV_AUX_2013!$G126</f>
        <v>0.61086702064496434</v>
      </c>
      <c r="AB14" s="913">
        <f>ONSV_AUX_2013!$G127</f>
        <v>0.38913297935503571</v>
      </c>
      <c r="AC14" s="913">
        <f t="shared" si="7"/>
        <v>1</v>
      </c>
      <c r="AD14" s="913"/>
      <c r="AE14" s="913">
        <f>ONSV_AUX_2013!$G130</f>
        <v>1</v>
      </c>
    </row>
    <row r="15" spans="1:31" s="917" customFormat="1">
      <c r="A15" s="914" t="s">
        <v>24</v>
      </c>
      <c r="B15" s="915">
        <f>ONSV_AUX_2013!$K95</f>
        <v>0.37693083949543282</v>
      </c>
      <c r="C15" s="915">
        <f>ONSV_AUX_2013!$K96</f>
        <v>0.59970073945193558</v>
      </c>
      <c r="D15" s="915">
        <f>ONSV_AUX_2013!$K97</f>
        <v>2.1357111787733796E-2</v>
      </c>
      <c r="E15" s="915">
        <f>ONSV_AUX_2013!$K98</f>
        <v>2.0113092648977818E-3</v>
      </c>
      <c r="F15" s="915">
        <f t="shared" si="0"/>
        <v>1</v>
      </c>
      <c r="G15" s="916"/>
      <c r="H15" s="915">
        <f>ONSV_AUX_2013!$K101</f>
        <v>0.24671793346645707</v>
      </c>
      <c r="I15" s="915">
        <f>ONSV_AUX_2013!$K102</f>
        <v>0.37357352253898118</v>
      </c>
      <c r="J15" s="915">
        <f>ONSV_AUX_2013!$K103</f>
        <v>1.1080426562433614E-2</v>
      </c>
      <c r="K15" s="915">
        <f>ONSV_AUX_2013!$K104</f>
        <v>0.36862811743212814</v>
      </c>
      <c r="L15" s="915">
        <f t="shared" si="1"/>
        <v>1</v>
      </c>
      <c r="M15" s="916"/>
      <c r="N15" s="915">
        <f>ONSV_AUX_2013!$K109</f>
        <v>1</v>
      </c>
      <c r="O15" s="916"/>
      <c r="P15" s="915">
        <f>ONSV_AUX_2013!$K111</f>
        <v>0.9555381609373973</v>
      </c>
      <c r="Q15" s="915">
        <f>ONSV_AUX_2013!$K112</f>
        <v>3.0787478265026261E-2</v>
      </c>
      <c r="R15" s="915">
        <f>ONSV_AUX_2013!$K113</f>
        <v>1.3674360797576439E-2</v>
      </c>
      <c r="S15" s="915">
        <f t="shared" si="5"/>
        <v>1</v>
      </c>
      <c r="T15" s="916"/>
      <c r="U15" s="915">
        <f>ONSV_AUX_2013!$K118</f>
        <v>0.18586426142244566</v>
      </c>
      <c r="V15" s="915">
        <f>ONSV_AUX_2013!$K119</f>
        <v>0.81413573857755439</v>
      </c>
      <c r="W15" s="915">
        <f t="shared" si="6"/>
        <v>1</v>
      </c>
      <c r="X15" s="916"/>
      <c r="Y15" s="915">
        <f>ONSV_AUX_2013!$K122</f>
        <v>1</v>
      </c>
      <c r="Z15" s="916"/>
      <c r="AA15" s="915">
        <f>ONSV_AUX_2013!$K126</f>
        <v>0.61086963319678544</v>
      </c>
      <c r="AB15" s="915">
        <f>ONSV_AUX_2013!$K127</f>
        <v>0.38913036680321461</v>
      </c>
      <c r="AC15" s="913">
        <f t="shared" si="7"/>
        <v>1</v>
      </c>
      <c r="AD15" s="915"/>
      <c r="AE15" s="915">
        <f>ONSV_AUX_2013!$K130</f>
        <v>1</v>
      </c>
    </row>
    <row r="16" spans="1:31">
      <c r="A16" s="912" t="s">
        <v>25</v>
      </c>
      <c r="B16" s="913">
        <f>ONSV_AUX_2013!$P95</f>
        <v>0.27148456725466491</v>
      </c>
      <c r="C16" s="913">
        <f>ONSV_AUX_2013!$P96</f>
        <v>0.65559826654518016</v>
      </c>
      <c r="D16" s="913">
        <f>ONSV_AUX_2013!$P97</f>
        <v>7.0908095092667142E-2</v>
      </c>
      <c r="E16" s="913">
        <f>ONSV_AUX_2013!$P98</f>
        <v>2.0090711074878284E-3</v>
      </c>
      <c r="F16" s="913">
        <f t="shared" si="0"/>
        <v>1.0000000000000002</v>
      </c>
      <c r="G16" s="154"/>
      <c r="H16" s="913">
        <f>ONSV_AUX_2013!$P101</f>
        <v>0.17928564321958015</v>
      </c>
      <c r="I16" s="913">
        <f>ONSV_AUX_2013!$P102</f>
        <v>0.41203611580937222</v>
      </c>
      <c r="J16" s="913">
        <f>ONSV_AUX_2013!$P103</f>
        <v>3.7123171823699133E-2</v>
      </c>
      <c r="K16" s="913">
        <f>ONSV_AUX_2013!$P104</f>
        <v>0.37155506914734854</v>
      </c>
      <c r="L16" s="913">
        <f t="shared" si="1"/>
        <v>1</v>
      </c>
      <c r="M16" s="154"/>
      <c r="N16" s="913">
        <f>ONSV_AUX_2013!$P109</f>
        <v>1</v>
      </c>
      <c r="O16" s="154"/>
      <c r="P16" s="913">
        <f>ONSV_AUX_2013!$P111</f>
        <v>0.95553922520954926</v>
      </c>
      <c r="Q16" s="913">
        <f>ONSV_AUX_2013!$P112</f>
        <v>3.0788333375566988E-2</v>
      </c>
      <c r="R16" s="913">
        <f>ONSV_AUX_2013!$P113</f>
        <v>1.3672441414883703E-2</v>
      </c>
      <c r="S16" s="913">
        <f t="shared" si="5"/>
        <v>0.99999999999999989</v>
      </c>
      <c r="T16" s="154"/>
      <c r="U16" s="913">
        <f>ONSV_AUX_2013!$P118</f>
        <v>0.18582779309226527</v>
      </c>
      <c r="V16" s="913">
        <f>ONSV_AUX_2013!$P119</f>
        <v>0.81417220690773473</v>
      </c>
      <c r="W16" s="913">
        <f t="shared" si="6"/>
        <v>1</v>
      </c>
      <c r="X16" s="154"/>
      <c r="Y16" s="913">
        <f>ONSV_AUX_2013!$P122</f>
        <v>1</v>
      </c>
      <c r="Z16" s="154"/>
      <c r="AA16" s="913">
        <f>ONSV_AUX_2013!$P126</f>
        <v>0.61084867894315453</v>
      </c>
      <c r="AB16" s="913">
        <f>ONSV_AUX_2013!$P127</f>
        <v>0.38915132105684547</v>
      </c>
      <c r="AC16" s="913">
        <f t="shared" si="7"/>
        <v>1</v>
      </c>
      <c r="AD16" s="913"/>
      <c r="AE16" s="913">
        <f>ONSV_AUX_2013!$P130</f>
        <v>1</v>
      </c>
    </row>
    <row r="17" spans="1:31">
      <c r="A17" s="912" t="s">
        <v>26</v>
      </c>
      <c r="B17" s="913">
        <f>ONSV_AUX_2013!$R95</f>
        <v>0.28888897216715448</v>
      </c>
      <c r="C17" s="913">
        <f>ONSV_AUX_2013!$R96</f>
        <v>0.6283057828011227</v>
      </c>
      <c r="D17" s="913">
        <f>ONSV_AUX_2013!$R97</f>
        <v>8.1194747473233325E-2</v>
      </c>
      <c r="E17" s="913">
        <f>ONSV_AUX_2013!$R98</f>
        <v>1.6104975584894489E-3</v>
      </c>
      <c r="F17" s="913">
        <f t="shared" si="0"/>
        <v>0.99999999999999989</v>
      </c>
      <c r="G17" s="154"/>
      <c r="H17" s="913">
        <f>ONSV_AUX_2013!$R101</f>
        <v>0.20605187319884727</v>
      </c>
      <c r="I17" s="913">
        <f>ONSV_AUX_2013!$R102</f>
        <v>0.42649302473998585</v>
      </c>
      <c r="J17" s="913">
        <f>ONSV_AUX_2013!$R103</f>
        <v>4.5910074489195575E-2</v>
      </c>
      <c r="K17" s="913">
        <f>ONSV_AUX_2013!$R104</f>
        <v>0.32154502757197134</v>
      </c>
      <c r="L17" s="913">
        <f t="shared" si="1"/>
        <v>1</v>
      </c>
      <c r="M17" s="154"/>
      <c r="N17" s="913">
        <f>ONSV_AUX_2013!$R109</f>
        <v>1</v>
      </c>
      <c r="O17" s="154"/>
      <c r="P17" s="913">
        <f>ONSV_AUX_2013!$R111</f>
        <v>0.95553955975921767</v>
      </c>
      <c r="Q17" s="913">
        <f>ONSV_AUX_2013!$R112</f>
        <v>3.0787763961719491E-2</v>
      </c>
      <c r="R17" s="913">
        <f>ONSV_AUX_2013!$R113</f>
        <v>1.3672676279062828E-2</v>
      </c>
      <c r="S17" s="913">
        <f t="shared" si="5"/>
        <v>1</v>
      </c>
      <c r="T17" s="154"/>
      <c r="U17" s="913">
        <f>ONSV_AUX_2013!$R118</f>
        <v>0.18580316742081449</v>
      </c>
      <c r="V17" s="913">
        <f>ONSV_AUX_2013!$R119</f>
        <v>0.81419683257918551</v>
      </c>
      <c r="W17" s="913">
        <f t="shared" si="6"/>
        <v>1</v>
      </c>
      <c r="X17" s="154"/>
      <c r="Y17" s="913">
        <f>ONSV_AUX_2013!$R122</f>
        <v>1</v>
      </c>
      <c r="Z17" s="154"/>
      <c r="AA17" s="913">
        <f>ONSV_AUX_2013!$R126</f>
        <v>0.61086292029155886</v>
      </c>
      <c r="AB17" s="913">
        <f>ONSV_AUX_2013!$R127</f>
        <v>0.38913707970844108</v>
      </c>
      <c r="AC17" s="913">
        <f t="shared" si="7"/>
        <v>1</v>
      </c>
      <c r="AD17" s="913"/>
      <c r="AE17" s="913">
        <f>ONSV_AUX_2013!$R130</f>
        <v>1</v>
      </c>
    </row>
    <row r="18" spans="1:31">
      <c r="A18" s="912" t="s">
        <v>27</v>
      </c>
      <c r="B18" s="913">
        <f>ONSV_AUX_2013!$S95</f>
        <v>0.16657331955477372</v>
      </c>
      <c r="C18" s="913">
        <f>ONSV_AUX_2013!$S96</f>
        <v>0.76554623837434033</v>
      </c>
      <c r="D18" s="913">
        <f>ONSV_AUX_2013!$S97</f>
        <v>6.4452893891943489E-2</v>
      </c>
      <c r="E18" s="913">
        <f>ONSV_AUX_2013!$S98</f>
        <v>3.4275481789424692E-3</v>
      </c>
      <c r="F18" s="913">
        <f t="shared" si="0"/>
        <v>1</v>
      </c>
      <c r="G18" s="154"/>
      <c r="H18" s="913">
        <f>ONSV_AUX_2013!$S101</f>
        <v>8.7418527785500258E-2</v>
      </c>
      <c r="I18" s="913">
        <f>ONSV_AUX_2013!$S102</f>
        <v>0.38237111172890992</v>
      </c>
      <c r="J18" s="913">
        <f>ONSV_AUX_2013!$S103</f>
        <v>2.6812467179439657E-2</v>
      </c>
      <c r="K18" s="913">
        <f>ONSV_AUX_2013!$S104</f>
        <v>0.50339789330615015</v>
      </c>
      <c r="L18" s="913">
        <f t="shared" si="1"/>
        <v>1</v>
      </c>
      <c r="M18" s="154"/>
      <c r="N18" s="913">
        <f>ONSV_AUX_2013!$S109</f>
        <v>1</v>
      </c>
      <c r="O18" s="154"/>
      <c r="P18" s="913">
        <f>ONSV_AUX_2013!$S111</f>
        <v>0.95553906871443428</v>
      </c>
      <c r="Q18" s="913">
        <f>ONSV_AUX_2013!$S112</f>
        <v>3.0787901038161088E-2</v>
      </c>
      <c r="R18" s="913">
        <f>ONSV_AUX_2013!$S113</f>
        <v>1.3673030247404598E-2</v>
      </c>
      <c r="S18" s="913">
        <f t="shared" si="5"/>
        <v>1</v>
      </c>
      <c r="T18" s="154"/>
      <c r="U18" s="913">
        <f>ONSV_AUX_2013!$S118</f>
        <v>0.18584070796460178</v>
      </c>
      <c r="V18" s="913">
        <f>ONSV_AUX_2013!$S119</f>
        <v>0.81415929203539827</v>
      </c>
      <c r="W18" s="913">
        <f t="shared" si="6"/>
        <v>1</v>
      </c>
      <c r="X18" s="154"/>
      <c r="Y18" s="913">
        <f>ONSV_AUX_2013!$S122</f>
        <v>1</v>
      </c>
      <c r="Z18" s="154"/>
      <c r="AA18" s="913">
        <f>ONSV_AUX_2013!$S126</f>
        <v>0.61087018006976523</v>
      </c>
      <c r="AB18" s="913">
        <f>ONSV_AUX_2013!$S127</f>
        <v>0.38912981993023477</v>
      </c>
      <c r="AC18" s="913">
        <f t="shared" si="7"/>
        <v>1</v>
      </c>
      <c r="AD18" s="913"/>
      <c r="AE18" s="913">
        <f>ONSV_AUX_2013!$S130</f>
        <v>1</v>
      </c>
    </row>
    <row r="19" spans="1:31">
      <c r="A19" s="912" t="s">
        <v>28</v>
      </c>
      <c r="B19" s="913">
        <f>ONSV_AUX_2013!$U95</f>
        <v>0.36306204283384258</v>
      </c>
      <c r="C19" s="913">
        <f>ONSV_AUX_2013!$U96</f>
        <v>0.56065753580763944</v>
      </c>
      <c r="D19" s="913">
        <f>ONSV_AUX_2013!$U97</f>
        <v>7.4347889052703051E-2</v>
      </c>
      <c r="E19" s="913">
        <f>ONSV_AUX_2013!$U98</f>
        <v>1.9325323058149279E-3</v>
      </c>
      <c r="F19" s="913">
        <f t="shared" si="0"/>
        <v>1</v>
      </c>
      <c r="G19" s="154"/>
      <c r="H19" s="913">
        <f>ONSV_AUX_2013!$U101</f>
        <v>0.24257630809652872</v>
      </c>
      <c r="I19" s="913">
        <f>ONSV_AUX_2013!$U102</f>
        <v>0.35650290556614156</v>
      </c>
      <c r="J19" s="913">
        <f>ONSV_AUX_2013!$U103</f>
        <v>3.9376042985809476E-2</v>
      </c>
      <c r="K19" s="913">
        <f>ONSV_AUX_2013!$U104</f>
        <v>0.36154474335152026</v>
      </c>
      <c r="L19" s="913">
        <f t="shared" si="1"/>
        <v>1</v>
      </c>
      <c r="M19" s="154"/>
      <c r="N19" s="913">
        <f>ONSV_AUX_2013!$U109</f>
        <v>1</v>
      </c>
      <c r="O19" s="154"/>
      <c r="P19" s="913">
        <f>ONSV_AUX_2013!$U111</f>
        <v>0.95553926587385729</v>
      </c>
      <c r="Q19" s="913">
        <f>ONSV_AUX_2013!$U112</f>
        <v>3.0787498409736651E-2</v>
      </c>
      <c r="R19" s="913">
        <f>ONSV_AUX_2013!$U113</f>
        <v>1.3673235716406065E-2</v>
      </c>
      <c r="S19" s="913">
        <f t="shared" si="5"/>
        <v>1</v>
      </c>
      <c r="T19" s="154"/>
      <c r="U19" s="913">
        <f>ONSV_AUX_2013!$U118</f>
        <v>0.18588967663842296</v>
      </c>
      <c r="V19" s="913">
        <f>ONSV_AUX_2013!$U119</f>
        <v>0.81411032336157707</v>
      </c>
      <c r="W19" s="913">
        <f t="shared" si="6"/>
        <v>1</v>
      </c>
      <c r="X19" s="154"/>
      <c r="Y19" s="913">
        <f>ONSV_AUX_2013!$U122</f>
        <v>1</v>
      </c>
      <c r="Z19" s="154"/>
      <c r="AA19" s="913">
        <f>ONSV_AUX_2013!$U126</f>
        <v>0.61084644994092763</v>
      </c>
      <c r="AB19" s="913">
        <f>ONSV_AUX_2013!$U127</f>
        <v>0.38915355005907237</v>
      </c>
      <c r="AC19" s="913">
        <f>SUM(AA19:AB19)</f>
        <v>1</v>
      </c>
      <c r="AD19" s="913"/>
      <c r="AE19" s="913">
        <f>ONSV_AUX_2013!$U130</f>
        <v>1</v>
      </c>
    </row>
    <row r="20" spans="1:31">
      <c r="A20" s="912" t="s">
        <v>29</v>
      </c>
      <c r="B20" s="913">
        <f>ONSV_AUX_2013!$AA95</f>
        <v>0.29211342384069006</v>
      </c>
      <c r="C20" s="913">
        <f>ONSV_AUX_2013!$AA96</f>
        <v>0.63470874753868356</v>
      </c>
      <c r="D20" s="913">
        <f>ONSV_AUX_2013!$AA97</f>
        <v>7.1699045766535657E-2</v>
      </c>
      <c r="E20" s="913">
        <f>ONSV_AUX_2013!$AA98</f>
        <v>1.4787828540907678E-3</v>
      </c>
      <c r="F20" s="913">
        <f t="shared" si="0"/>
        <v>1</v>
      </c>
      <c r="G20" s="154"/>
      <c r="H20" s="913">
        <f>ONSV_AUX_2013!$AA101</f>
        <v>0.21366108331520556</v>
      </c>
      <c r="I20" s="913">
        <f>ONSV_AUX_2013!$AA102</f>
        <v>0.44183162932347181</v>
      </c>
      <c r="J20" s="913">
        <f>ONSV_AUX_2013!$AA103</f>
        <v>4.1570589514901023E-2</v>
      </c>
      <c r="K20" s="913">
        <f>ONSV_AUX_2013!$AA104</f>
        <v>0.30293669784642158</v>
      </c>
      <c r="L20" s="913">
        <f t="shared" si="1"/>
        <v>1</v>
      </c>
      <c r="M20" s="154"/>
      <c r="N20" s="913">
        <f>ONSV_AUX_2013!$AA109</f>
        <v>1</v>
      </c>
      <c r="O20" s="154"/>
      <c r="P20" s="913">
        <f>ONSV_AUX_2013!$AA111</f>
        <v>0.95553724920602234</v>
      </c>
      <c r="Q20" s="913">
        <f>ONSV_AUX_2013!$AA112</f>
        <v>3.0788991621231995E-2</v>
      </c>
      <c r="R20" s="913">
        <f>ONSV_AUX_2013!$AA113</f>
        <v>1.36737591727457E-2</v>
      </c>
      <c r="S20" s="913">
        <f t="shared" si="5"/>
        <v>1</v>
      </c>
      <c r="T20" s="154"/>
      <c r="U20" s="913">
        <f>ONSV_AUX_2013!$AA118</f>
        <v>0.18576420820305314</v>
      </c>
      <c r="V20" s="913">
        <f>ONSV_AUX_2013!$AA119</f>
        <v>0.81423579179694683</v>
      </c>
      <c r="W20" s="913">
        <f t="shared" si="6"/>
        <v>1</v>
      </c>
      <c r="X20" s="154"/>
      <c r="Y20" s="913">
        <f>ONSV_AUX_2013!$AA122</f>
        <v>1</v>
      </c>
      <c r="Z20" s="154"/>
      <c r="AA20" s="913">
        <f>ONSV_AUX_2013!$AA126</f>
        <v>0.61086898036050574</v>
      </c>
      <c r="AB20" s="913">
        <f>ONSV_AUX_2013!$AA127</f>
        <v>0.3891310196394942</v>
      </c>
      <c r="AC20" s="913">
        <f t="shared" si="7"/>
        <v>1</v>
      </c>
      <c r="AD20" s="913"/>
      <c r="AE20" s="913">
        <f>ONSV_AUX_2013!$AA130</f>
        <v>1</v>
      </c>
    </row>
    <row r="21" spans="1:31">
      <c r="A21" s="918" t="s">
        <v>64</v>
      </c>
      <c r="B21" s="911"/>
      <c r="C21" s="911"/>
      <c r="D21" s="911"/>
      <c r="E21" s="911"/>
      <c r="F21" s="911"/>
      <c r="G21" s="911"/>
      <c r="H21" s="911"/>
      <c r="I21" s="911"/>
      <c r="J21" s="911"/>
      <c r="K21" s="911"/>
      <c r="L21" s="911"/>
      <c r="M21" s="911"/>
      <c r="N21" s="911"/>
      <c r="O21" s="911"/>
      <c r="P21" s="911"/>
      <c r="Q21" s="911"/>
      <c r="R21" s="911"/>
      <c r="S21" s="911"/>
      <c r="T21" s="911"/>
      <c r="U21" s="911"/>
      <c r="V21" s="911"/>
      <c r="W21" s="911"/>
      <c r="X21" s="911"/>
      <c r="Y21" s="911"/>
      <c r="Z21" s="911"/>
      <c r="AA21" s="911"/>
      <c r="AB21" s="911"/>
      <c r="AC21" s="911"/>
      <c r="AD21" s="911"/>
      <c r="AE21" s="911"/>
    </row>
    <row r="22" spans="1:31">
      <c r="A22" s="912" t="s">
        <v>31</v>
      </c>
      <c r="B22" s="913">
        <f>ONSV_AUX_2013!$I95</f>
        <v>0.40086953234282258</v>
      </c>
      <c r="C22" s="913">
        <f>ONSV_AUX_2013!$I96</f>
        <v>0.53568611142615907</v>
      </c>
      <c r="D22" s="913">
        <f>ONSV_AUX_2013!$I97</f>
        <v>6.1735536148601819E-2</v>
      </c>
      <c r="E22" s="913">
        <f>ONSV_AUX_2013!$I98</f>
        <v>1.7088200824165439E-3</v>
      </c>
      <c r="F22" s="913">
        <f t="shared" ref="F22:F25" si="8">SUM(B22:E22)</f>
        <v>1</v>
      </c>
      <c r="G22" s="154"/>
      <c r="H22" s="913">
        <f>ONSV_AUX_2013!$I101</f>
        <v>0.27878736357513256</v>
      </c>
      <c r="I22" s="913">
        <f>ONSV_AUX_2013!$I102</f>
        <v>0.35455752241324068</v>
      </c>
      <c r="J22" s="913">
        <f>ONSV_AUX_2013!$I103</f>
        <v>3.4036737443026883E-2</v>
      </c>
      <c r="K22" s="913">
        <f>ONSV_AUX_2013!$I104</f>
        <v>0.33261837656859988</v>
      </c>
      <c r="L22" s="913">
        <f t="shared" ref="L22:L25" si="9">SUM(H22:K22)</f>
        <v>1</v>
      </c>
      <c r="M22" s="154"/>
      <c r="N22" s="913">
        <f>ONSV_AUX_2013!$I109</f>
        <v>1</v>
      </c>
      <c r="O22" s="154"/>
      <c r="P22" s="913">
        <f>ONSV_AUX_2013!$I111</f>
        <v>0.95554059158769522</v>
      </c>
      <c r="Q22" s="913">
        <f>ONSV_AUX_2013!$I112</f>
        <v>3.0786538998472581E-2</v>
      </c>
      <c r="R22" s="913">
        <f>ONSV_AUX_2013!$I113</f>
        <v>1.3672869413832181E-2</v>
      </c>
      <c r="S22" s="913">
        <f>SUM(P22:R22)</f>
        <v>1</v>
      </c>
      <c r="T22" s="154"/>
      <c r="U22" s="913">
        <f>ONSV_AUX_2013!$I118</f>
        <v>0.18582807333934476</v>
      </c>
      <c r="V22" s="913">
        <f>ONSV_AUX_2013!$I119</f>
        <v>0.8141719266606553</v>
      </c>
      <c r="W22" s="913">
        <f>SUM(U22:V22)</f>
        <v>1</v>
      </c>
      <c r="X22" s="154"/>
      <c r="Y22" s="913">
        <f>ONSV_AUX_2013!$I122</f>
        <v>1</v>
      </c>
      <c r="Z22" s="154"/>
      <c r="AA22" s="913">
        <f>ONSV_AUX_2013!$I126</f>
        <v>0.61086714399363562</v>
      </c>
      <c r="AB22" s="913">
        <f>ONSV_AUX_2013!$I127</f>
        <v>0.38913285600636438</v>
      </c>
      <c r="AC22" s="913">
        <f>SUM(AA22:AB22)</f>
        <v>1</v>
      </c>
      <c r="AD22" s="913"/>
      <c r="AE22" s="913">
        <f>ONSV_AUX_2013!$I130</f>
        <v>1</v>
      </c>
    </row>
    <row r="23" spans="1:31">
      <c r="A23" s="912" t="s">
        <v>32</v>
      </c>
      <c r="B23" s="913">
        <f>ONSV_AUX_2013!$N95</f>
        <v>0.46629319695947541</v>
      </c>
      <c r="C23" s="913">
        <f>ONSV_AUX_2013!$N96</f>
        <v>0.45226716754258434</v>
      </c>
      <c r="D23" s="913">
        <f>ONSV_AUX_2013!$N97</f>
        <v>8.0318611217624708E-2</v>
      </c>
      <c r="E23" s="913">
        <f>ONSV_AUX_2013!$N98</f>
        <v>1.1210242803155355E-3</v>
      </c>
      <c r="F23" s="913">
        <f t="shared" si="8"/>
        <v>1</v>
      </c>
      <c r="G23" s="154"/>
      <c r="H23" s="913">
        <f>ONSV_AUX_2013!$N101</f>
        <v>0.36593524683168138</v>
      </c>
      <c r="I23" s="913">
        <f>ONSV_AUX_2013!$N102</f>
        <v>0.33778508864087986</v>
      </c>
      <c r="J23" s="913">
        <f>ONSV_AUX_2013!$N103</f>
        <v>4.9966680874822145E-2</v>
      </c>
      <c r="K23" s="913">
        <f>ONSV_AUX_2013!$N104</f>
        <v>0.24631298365261661</v>
      </c>
      <c r="L23" s="913">
        <f t="shared" si="9"/>
        <v>1</v>
      </c>
      <c r="M23" s="154"/>
      <c r="N23" s="913">
        <f>ONSV_AUX_2013!$N109</f>
        <v>1</v>
      </c>
      <c r="O23" s="154"/>
      <c r="P23" s="913">
        <f>ONSV_AUX_2013!$N111</f>
        <v>0.95553960754929956</v>
      </c>
      <c r="Q23" s="913">
        <f>ONSV_AUX_2013!$N112</f>
        <v>3.0787382802426908E-2</v>
      </c>
      <c r="R23" s="913">
        <f>ONSV_AUX_2013!$N113</f>
        <v>1.367300964827348E-2</v>
      </c>
      <c r="S23" s="913">
        <f t="shared" ref="S23:S25" si="10">SUM(P23:R23)</f>
        <v>0.99999999999999989</v>
      </c>
      <c r="T23" s="154"/>
      <c r="U23" s="913">
        <f>ONSV_AUX_2013!$N118</f>
        <v>0.1858135103571209</v>
      </c>
      <c r="V23" s="913">
        <f>ONSV_AUX_2013!$N119</f>
        <v>0.8141864896428791</v>
      </c>
      <c r="W23" s="913">
        <f t="shared" ref="W23:W25" si="11">SUM(U23:V23)</f>
        <v>1</v>
      </c>
      <c r="X23" s="154"/>
      <c r="Y23" s="913">
        <f>ONSV_AUX_2013!$N122</f>
        <v>1</v>
      </c>
      <c r="Z23" s="154"/>
      <c r="AA23" s="913">
        <f>ONSV_AUX_2013!$N126</f>
        <v>0.61086621190827139</v>
      </c>
      <c r="AB23" s="913">
        <f>ONSV_AUX_2013!$N127</f>
        <v>0.38913378809172866</v>
      </c>
      <c r="AC23" s="913">
        <f t="shared" ref="AC23:AC25" si="12">SUM(AA23:AB23)</f>
        <v>1</v>
      </c>
      <c r="AD23" s="913"/>
      <c r="AE23" s="913">
        <f>ONSV_AUX_2013!$N130</f>
        <v>1</v>
      </c>
    </row>
    <row r="24" spans="1:31">
      <c r="A24" s="912" t="s">
        <v>33</v>
      </c>
      <c r="B24" s="913">
        <f>ONSV_AUX_2013!$T95</f>
        <v>0.53163118179701208</v>
      </c>
      <c r="C24" s="913">
        <f>ONSV_AUX_2013!$T96</f>
        <v>0.37990600350322223</v>
      </c>
      <c r="D24" s="913">
        <f>ONSV_AUX_2013!$T97</f>
        <v>8.7917217686485818E-2</v>
      </c>
      <c r="E24" s="913">
        <f>ONSV_AUX_2013!$T98</f>
        <v>5.4559701327986895E-4</v>
      </c>
      <c r="F24" s="913">
        <f t="shared" si="8"/>
        <v>1</v>
      </c>
      <c r="G24" s="154"/>
      <c r="H24" s="913">
        <f>ONSV_AUX_2013!$T101</f>
        <v>0.47653586072944393</v>
      </c>
      <c r="I24" s="913">
        <f>ONSV_AUX_2013!$T102</f>
        <v>0.32408639666211064</v>
      </c>
      <c r="J24" s="913">
        <f>ONSV_AUX_2013!$T103</f>
        <v>6.2472124307603773E-2</v>
      </c>
      <c r="K24" s="913">
        <f>ONSV_AUX_2013!$T104</f>
        <v>0.13690561830084166</v>
      </c>
      <c r="L24" s="913">
        <f t="shared" si="9"/>
        <v>1</v>
      </c>
      <c r="M24" s="154"/>
      <c r="N24" s="913">
        <f>ONSV_AUX_2013!$T109</f>
        <v>1</v>
      </c>
      <c r="O24" s="154"/>
      <c r="P24" s="913">
        <f>ONSV_AUX_2013!$T111</f>
        <v>0.95553975432765315</v>
      </c>
      <c r="Q24" s="913">
        <f>ONSV_AUX_2013!$T112</f>
        <v>3.0787590156569958E-2</v>
      </c>
      <c r="R24" s="913">
        <f>ONSV_AUX_2013!$T113</f>
        <v>1.3672655515776884E-2</v>
      </c>
      <c r="S24" s="913">
        <f t="shared" si="10"/>
        <v>1</v>
      </c>
      <c r="T24" s="154"/>
      <c r="U24" s="913">
        <f>ONSV_AUX_2013!$T118</f>
        <v>0.18582331703304236</v>
      </c>
      <c r="V24" s="913">
        <f>ONSV_AUX_2013!$T119</f>
        <v>0.81417668296695767</v>
      </c>
      <c r="W24" s="913">
        <f t="shared" si="11"/>
        <v>1</v>
      </c>
      <c r="X24" s="154"/>
      <c r="Y24" s="913">
        <f>ONSV_AUX_2013!$T122</f>
        <v>1</v>
      </c>
      <c r="Z24" s="154"/>
      <c r="AA24" s="913">
        <f>ONSV_AUX_2013!$T126</f>
        <v>0.61086334339054826</v>
      </c>
      <c r="AB24" s="913">
        <f>ONSV_AUX_2013!$T127</f>
        <v>0.38913665660945174</v>
      </c>
      <c r="AC24" s="913">
        <f t="shared" si="12"/>
        <v>1</v>
      </c>
      <c r="AD24" s="913"/>
      <c r="AE24" s="913">
        <f>ONSV_AUX_2013!$T130</f>
        <v>1</v>
      </c>
    </row>
    <row r="25" spans="1:31">
      <c r="A25" s="912" t="s">
        <v>34</v>
      </c>
      <c r="B25" s="913">
        <f>ONSV_AUX_2013!$Z95</f>
        <v>0.49780431722502455</v>
      </c>
      <c r="C25" s="913">
        <f>ONSV_AUX_2013!$Z96</f>
        <v>0.39308056661922369</v>
      </c>
      <c r="D25" s="913">
        <f>ONSV_AUX_2013!$Z97</f>
        <v>0.10835742480330174</v>
      </c>
      <c r="E25" s="913">
        <f>ONSV_AUX_2013!$Z98</f>
        <v>7.5769135244998175E-4</v>
      </c>
      <c r="F25" s="913">
        <f t="shared" si="8"/>
        <v>0.99999999999999989</v>
      </c>
      <c r="G25" s="154"/>
      <c r="H25" s="913">
        <f>ONSV_AUX_2013!$Z101</f>
        <v>0.42549450440747882</v>
      </c>
      <c r="I25" s="913">
        <f>ONSV_AUX_2013!$Z102</f>
        <v>0.31975458089692721</v>
      </c>
      <c r="J25" s="913">
        <f>ONSV_AUX_2013!$Z103</f>
        <v>7.3420473106898518E-2</v>
      </c>
      <c r="K25" s="913">
        <f>ONSV_AUX_2013!$Z104</f>
        <v>0.18133044158869549</v>
      </c>
      <c r="L25" s="913">
        <f t="shared" si="9"/>
        <v>1</v>
      </c>
      <c r="M25" s="154"/>
      <c r="N25" s="913">
        <f>ONSV_AUX_2013!$Z109</f>
        <v>1</v>
      </c>
      <c r="O25" s="154"/>
      <c r="P25" s="913">
        <f>ONSV_AUX_2013!$Z111</f>
        <v>0.95553919125944109</v>
      </c>
      <c r="Q25" s="913">
        <f>ONSV_AUX_2013!$Z112</f>
        <v>3.0787727224057128E-2</v>
      </c>
      <c r="R25" s="913">
        <f>ONSV_AUX_2013!$Z113</f>
        <v>1.36730815165018E-2</v>
      </c>
      <c r="S25" s="913">
        <f t="shared" si="10"/>
        <v>1</v>
      </c>
      <c r="T25" s="154"/>
      <c r="U25" s="913">
        <f>ONSV_AUX_2013!$Z118</f>
        <v>0.18582320015441034</v>
      </c>
      <c r="V25" s="913">
        <f>ONSV_AUX_2013!$Z119</f>
        <v>0.81417679984558966</v>
      </c>
      <c r="W25" s="913">
        <f t="shared" si="11"/>
        <v>1</v>
      </c>
      <c r="X25" s="154"/>
      <c r="Y25" s="913">
        <f>ONSV_AUX_2013!$Z122</f>
        <v>1</v>
      </c>
      <c r="Z25" s="154"/>
      <c r="AA25" s="913">
        <f>ONSV_AUX_2013!$Z126</f>
        <v>0.61086515758135718</v>
      </c>
      <c r="AB25" s="913">
        <f>ONSV_AUX_2013!$Z127</f>
        <v>0.38913484241864282</v>
      </c>
      <c r="AC25" s="913">
        <f t="shared" si="12"/>
        <v>1</v>
      </c>
      <c r="AD25" s="913"/>
      <c r="AE25" s="913">
        <f>ONSV_AUX_2013!$Z130</f>
        <v>1</v>
      </c>
    </row>
    <row r="26" spans="1:31">
      <c r="A26" s="910" t="s">
        <v>69</v>
      </c>
      <c r="B26" s="911"/>
      <c r="C26" s="911"/>
      <c r="D26" s="911"/>
      <c r="E26" s="911"/>
      <c r="F26" s="911"/>
      <c r="G26" s="911"/>
      <c r="H26" s="911"/>
      <c r="I26" s="911"/>
      <c r="J26" s="911"/>
      <c r="K26" s="911"/>
      <c r="L26" s="911"/>
      <c r="M26" s="911"/>
      <c r="N26" s="911"/>
      <c r="O26" s="911"/>
      <c r="P26" s="911"/>
      <c r="Q26" s="911"/>
      <c r="R26" s="911"/>
      <c r="S26" s="911"/>
      <c r="T26" s="911"/>
      <c r="U26" s="911"/>
      <c r="V26" s="911"/>
      <c r="W26" s="911"/>
      <c r="X26" s="911"/>
      <c r="Y26" s="911"/>
      <c r="Z26" s="911"/>
      <c r="AA26" s="911"/>
      <c r="AB26" s="911"/>
      <c r="AC26" s="911"/>
      <c r="AD26" s="911"/>
      <c r="AE26" s="911"/>
    </row>
    <row r="27" spans="1:31">
      <c r="A27" s="912" t="s">
        <v>36</v>
      </c>
      <c r="B27" s="913">
        <f>ONSV_AUX_2013!$Q95</f>
        <v>0.49852507133744195</v>
      </c>
      <c r="C27" s="913">
        <f>ONSV_AUX_2013!$Q96</f>
        <v>0.39663481626474623</v>
      </c>
      <c r="D27" s="913">
        <f>ONSV_AUX_2013!$Q97</f>
        <v>0.10347120656704603</v>
      </c>
      <c r="E27" s="913">
        <f>ONSV_AUX_2013!$Q98</f>
        <v>1.3689058307657842E-3</v>
      </c>
      <c r="F27" s="913">
        <f t="shared" ref="F27:F29" si="13">SUM(B27:E27)</f>
        <v>1</v>
      </c>
      <c r="G27" s="154"/>
      <c r="H27" s="913">
        <f>ONSV_AUX_2013!$Q101</f>
        <v>0.37167478286150379</v>
      </c>
      <c r="I27" s="913">
        <f>ONSV_AUX_2013!$Q102</f>
        <v>0.28142905597751694</v>
      </c>
      <c r="J27" s="913">
        <f>ONSV_AUX_2013!$Q103</f>
        <v>6.1153105353054474E-2</v>
      </c>
      <c r="K27" s="913">
        <f>ONSV_AUX_2013!$Q104</f>
        <v>0.28574305580792481</v>
      </c>
      <c r="L27" s="913">
        <f t="shared" ref="L27:L29" si="14">SUM(H27:K27)</f>
        <v>1</v>
      </c>
      <c r="M27" s="154"/>
      <c r="N27" s="913">
        <f>ONSV_AUX_2013!$Q109</f>
        <v>1</v>
      </c>
      <c r="O27" s="154"/>
      <c r="P27" s="913">
        <f>ONSV_AUX_2013!$Q111</f>
        <v>0.95553872606867241</v>
      </c>
      <c r="Q27" s="913">
        <f>ONSV_AUX_2013!$Q112</f>
        <v>3.0787822751033086E-2</v>
      </c>
      <c r="R27" s="913">
        <f>ONSV_AUX_2013!$Q113</f>
        <v>1.3673451180294496E-2</v>
      </c>
      <c r="S27" s="913">
        <f>SUM(P27:R27)</f>
        <v>1</v>
      </c>
      <c r="T27" s="154"/>
      <c r="U27" s="913">
        <f>ONSV_AUX_2013!$Q118</f>
        <v>0.18581455485777615</v>
      </c>
      <c r="V27" s="913">
        <f>ONSV_AUX_2013!$Q119</f>
        <v>0.81418544514222391</v>
      </c>
      <c r="W27" s="913">
        <f>SUM(U27:V27)</f>
        <v>1</v>
      </c>
      <c r="X27" s="154"/>
      <c r="Y27" s="913">
        <f>ONSV_AUX_2013!$Q122</f>
        <v>1</v>
      </c>
      <c r="Z27" s="154"/>
      <c r="AA27" s="913">
        <f>ONSV_AUX_2013!$Q126</f>
        <v>0.61086382910565407</v>
      </c>
      <c r="AB27" s="913">
        <f>ONSV_AUX_2013!$Q127</f>
        <v>0.38913617089434593</v>
      </c>
      <c r="AC27" s="913">
        <f>SUM(AA27:AB27)</f>
        <v>1</v>
      </c>
      <c r="AD27" s="913"/>
      <c r="AE27" s="913">
        <f>ONSV_AUX_2013!$Q130</f>
        <v>1</v>
      </c>
    </row>
    <row r="28" spans="1:31">
      <c r="A28" s="912" t="s">
        <v>37</v>
      </c>
      <c r="B28" s="913">
        <f>ONSV_AUX_2013!$V95</f>
        <v>0.60715436934352451</v>
      </c>
      <c r="C28" s="913">
        <f>ONSV_AUX_2013!$V96</f>
        <v>0.33938593633320552</v>
      </c>
      <c r="D28" s="913">
        <f>ONSV_AUX_2013!$V97</f>
        <v>5.215043377724983E-2</v>
      </c>
      <c r="E28" s="913">
        <f>ONSV_AUX_2013!$V98</f>
        <v>1.3092605460201766E-3</v>
      </c>
      <c r="F28" s="913">
        <f t="shared" si="13"/>
        <v>1</v>
      </c>
      <c r="G28" s="154"/>
      <c r="H28" s="913">
        <f>ONSV_AUX_2013!$V101</f>
        <v>0.45375940937577375</v>
      </c>
      <c r="I28" s="913">
        <f>ONSV_AUX_2013!$V102</f>
        <v>0.24138967758116742</v>
      </c>
      <c r="J28" s="913">
        <f>ONSV_AUX_2013!$V103</f>
        <v>3.0896193805005256E-2</v>
      </c>
      <c r="K28" s="913">
        <f>ONSV_AUX_2013!$V104</f>
        <v>0.27395471923805359</v>
      </c>
      <c r="L28" s="913">
        <f t="shared" si="14"/>
        <v>1</v>
      </c>
      <c r="M28" s="154"/>
      <c r="N28" s="913">
        <f>ONSV_AUX_2013!$V109</f>
        <v>1</v>
      </c>
      <c r="O28" s="154"/>
      <c r="P28" s="913">
        <f>ONSV_AUX_2013!$V111</f>
        <v>0.95553963260833941</v>
      </c>
      <c r="Q28" s="913">
        <f>ONSV_AUX_2013!$V112</f>
        <v>3.0787339757492801E-2</v>
      </c>
      <c r="R28" s="913">
        <f>ONSV_AUX_2013!$V113</f>
        <v>1.3673027634167789E-2</v>
      </c>
      <c r="S28" s="913">
        <f t="shared" ref="S28:S29" si="15">SUM(P28:R28)</f>
        <v>1</v>
      </c>
      <c r="T28" s="154"/>
      <c r="U28" s="913">
        <f>ONSV_AUX_2013!$V118</f>
        <v>0.18583296895496285</v>
      </c>
      <c r="V28" s="913">
        <f>ONSV_AUX_2013!$V119</f>
        <v>0.81416703104503718</v>
      </c>
      <c r="W28" s="913">
        <f t="shared" ref="W28:W29" si="16">SUM(U28:V28)</f>
        <v>1</v>
      </c>
      <c r="X28" s="154"/>
      <c r="Y28" s="913">
        <f>ONSV_AUX_2013!$V122</f>
        <v>1</v>
      </c>
      <c r="Z28" s="154"/>
      <c r="AA28" s="913">
        <f>ONSV_AUX_2013!$V126</f>
        <v>0.61086537597475865</v>
      </c>
      <c r="AB28" s="913">
        <f>ONSV_AUX_2013!$V127</f>
        <v>0.3891346240252414</v>
      </c>
      <c r="AC28" s="913">
        <f t="shared" ref="AC28:AC29" si="17">SUM(AA28:AB28)</f>
        <v>1</v>
      </c>
      <c r="AD28" s="913"/>
      <c r="AE28" s="913">
        <f>ONSV_AUX_2013!$V130</f>
        <v>1</v>
      </c>
    </row>
    <row r="29" spans="1:31">
      <c r="A29" s="912" t="s">
        <v>38</v>
      </c>
      <c r="B29" s="913">
        <f>ONSV_AUX_2013!$Y95</f>
        <v>0.50136480329150945</v>
      </c>
      <c r="C29" s="913">
        <f>ONSV_AUX_2013!$Y96</f>
        <v>0.44429383862083038</v>
      </c>
      <c r="D29" s="913">
        <f>ONSV_AUX_2013!$Y97</f>
        <v>5.3051786867965592E-2</v>
      </c>
      <c r="E29" s="913">
        <f>ONSV_AUX_2013!$Y98</f>
        <v>1.2895712196946513E-3</v>
      </c>
      <c r="F29" s="913">
        <f t="shared" si="13"/>
        <v>1.0000000000000002</v>
      </c>
      <c r="G29" s="154"/>
      <c r="H29" s="913">
        <f>ONSV_AUX_2013!$Y101</f>
        <v>0.37772319572603419</v>
      </c>
      <c r="I29" s="913">
        <f>ONSV_AUX_2013!$Y102</f>
        <v>0.31855954354962801</v>
      </c>
      <c r="J29" s="913">
        <f>ONSV_AUX_2013!$Y103</f>
        <v>3.1684403178714272E-2</v>
      </c>
      <c r="K29" s="913">
        <f>ONSV_AUX_2013!$Y104</f>
        <v>0.27203285754562351</v>
      </c>
      <c r="L29" s="913">
        <f t="shared" si="14"/>
        <v>1</v>
      </c>
      <c r="M29" s="154"/>
      <c r="N29" s="913">
        <f>ONSV_AUX_2013!$Y109</f>
        <v>1</v>
      </c>
      <c r="O29" s="154"/>
      <c r="P29" s="913">
        <f>ONSV_AUX_2013!$Y111</f>
        <v>0.95553902548534742</v>
      </c>
      <c r="Q29" s="913">
        <f>ONSV_AUX_2013!$Y112</f>
        <v>3.0787479141955329E-2</v>
      </c>
      <c r="R29" s="913">
        <f>ONSV_AUX_2013!$Y113</f>
        <v>1.3673495372697238E-2</v>
      </c>
      <c r="S29" s="913">
        <f t="shared" si="15"/>
        <v>1</v>
      </c>
      <c r="T29" s="154"/>
      <c r="U29" s="913">
        <f>ONSV_AUX_2013!$Y118</f>
        <v>0.18580363464715602</v>
      </c>
      <c r="V29" s="913">
        <f>ONSV_AUX_2013!$Y119</f>
        <v>0.81419636535284401</v>
      </c>
      <c r="W29" s="913">
        <f t="shared" si="16"/>
        <v>1</v>
      </c>
      <c r="X29" s="154"/>
      <c r="Y29" s="913">
        <f>ONSV_AUX_2013!$Y122</f>
        <v>1</v>
      </c>
      <c r="Z29" s="154"/>
      <c r="AA29" s="913">
        <f>ONSV_AUX_2013!$Y126</f>
        <v>0.61086642732891672</v>
      </c>
      <c r="AB29" s="913">
        <f>ONSV_AUX_2013!$Y127</f>
        <v>0.38913357267108334</v>
      </c>
      <c r="AC29" s="913">
        <f t="shared" si="17"/>
        <v>1</v>
      </c>
      <c r="AD29" s="913"/>
      <c r="AE29" s="913">
        <f>ONSV_AUX_2013!$Y130</f>
        <v>1</v>
      </c>
    </row>
    <row r="30" spans="1:31" ht="25.5">
      <c r="A30" s="910" t="s">
        <v>73</v>
      </c>
      <c r="B30" s="911"/>
      <c r="C30" s="911"/>
      <c r="D30" s="911"/>
      <c r="E30" s="911"/>
      <c r="F30" s="911"/>
      <c r="G30" s="911"/>
      <c r="H30" s="911"/>
      <c r="I30" s="911"/>
      <c r="J30" s="911"/>
      <c r="K30" s="911"/>
      <c r="L30" s="911"/>
      <c r="M30" s="911"/>
      <c r="N30" s="911"/>
      <c r="O30" s="911"/>
      <c r="P30" s="911"/>
      <c r="Q30" s="911"/>
      <c r="R30" s="911"/>
      <c r="S30" s="911"/>
      <c r="T30" s="911"/>
      <c r="U30" s="911"/>
      <c r="V30" s="911"/>
      <c r="W30" s="911"/>
      <c r="X30" s="911"/>
      <c r="Y30" s="911"/>
      <c r="Z30" s="911"/>
      <c r="AA30" s="911"/>
      <c r="AB30" s="911"/>
      <c r="AC30" s="911"/>
      <c r="AD30" s="911"/>
      <c r="AE30" s="911"/>
    </row>
    <row r="31" spans="1:31">
      <c r="A31" s="912" t="s">
        <v>40</v>
      </c>
      <c r="B31" s="913">
        <f>ONSV_AUX_2013!$H95</f>
        <v>0.41339090555815355</v>
      </c>
      <c r="C31" s="913">
        <f>ONSV_AUX_2013!$H96</f>
        <v>0.53494746330617504</v>
      </c>
      <c r="D31" s="913">
        <f>ONSV_AUX_2013!$H97</f>
        <v>5.0572977875968803E-2</v>
      </c>
      <c r="E31" s="913">
        <f>ONSV_AUX_2013!$H98</f>
        <v>1.0886532597026105E-3</v>
      </c>
      <c r="F31" s="913">
        <f t="shared" ref="F31:F34" si="18">SUM(B31:E31)</f>
        <v>1</v>
      </c>
      <c r="G31" s="154"/>
      <c r="H31" s="913">
        <f>ONSV_AUX_2013!$H101</f>
        <v>0.32618004354015834</v>
      </c>
      <c r="I31" s="913">
        <f>ONSV_AUX_2013!$H102</f>
        <v>0.4016995064340832</v>
      </c>
      <c r="J31" s="913">
        <f>ONSV_AUX_2013!$H103</f>
        <v>3.1630318574364484E-2</v>
      </c>
      <c r="K31" s="913">
        <f>ONSV_AUX_2013!$H104</f>
        <v>0.240490131451394</v>
      </c>
      <c r="L31" s="913">
        <f t="shared" ref="L31:L34" si="19">SUM(H31:K31)</f>
        <v>1</v>
      </c>
      <c r="M31" s="154"/>
      <c r="N31" s="913">
        <f>ONSV_AUX_2013!$H109</f>
        <v>1</v>
      </c>
      <c r="O31" s="154"/>
      <c r="P31" s="913">
        <f>ONSV_AUX_2013!$H111</f>
        <v>0.9555390983508999</v>
      </c>
      <c r="Q31" s="913">
        <f>ONSV_AUX_2013!$H112</f>
        <v>3.0786727852202548E-2</v>
      </c>
      <c r="R31" s="913">
        <f>ONSV_AUX_2013!$H113</f>
        <v>1.3674173796897523E-2</v>
      </c>
      <c r="S31" s="913">
        <f>SUM(P31:R31)</f>
        <v>1</v>
      </c>
      <c r="T31" s="154"/>
      <c r="U31" s="913">
        <f>ONSV_AUX_2013!$H118</f>
        <v>0.18578352180936994</v>
      </c>
      <c r="V31" s="913">
        <f>ONSV_AUX_2013!$H119</f>
        <v>0.81421647819063003</v>
      </c>
      <c r="W31" s="913">
        <f>SUM(U31:V31)</f>
        <v>1</v>
      </c>
      <c r="X31" s="154"/>
      <c r="Y31" s="913">
        <f>ONSV_AUX_2013!$H122</f>
        <v>1</v>
      </c>
      <c r="Z31" s="154"/>
      <c r="AA31" s="913">
        <f>ONSV_AUX_2013!$H126</f>
        <v>0.61086925993540231</v>
      </c>
      <c r="AB31" s="913">
        <f>ONSV_AUX_2013!$H127</f>
        <v>0.38913074006459769</v>
      </c>
      <c r="AC31" s="913">
        <f>SUM(AA31:AB31)</f>
        <v>1</v>
      </c>
      <c r="AD31" s="913"/>
      <c r="AE31" s="913">
        <f>ONSV_AUX_2013!$H130</f>
        <v>1</v>
      </c>
    </row>
    <row r="32" spans="1:31">
      <c r="A32" s="912" t="s">
        <v>41</v>
      </c>
      <c r="B32" s="913">
        <f>ONSV_AUX_2013!$J95</f>
        <v>0.40917464121146224</v>
      </c>
      <c r="C32" s="913">
        <f>ONSV_AUX_2013!$J96</f>
        <v>0.49464786204785255</v>
      </c>
      <c r="D32" s="913">
        <f>ONSV_AUX_2013!$J97</f>
        <v>9.4227845896430323E-2</v>
      </c>
      <c r="E32" s="913">
        <f>ONSV_AUX_2013!$J98</f>
        <v>1.9496508442548969E-3</v>
      </c>
      <c r="F32" s="913">
        <f t="shared" si="18"/>
        <v>1</v>
      </c>
      <c r="G32" s="154"/>
      <c r="H32" s="913">
        <f>ONSV_AUX_2013!$J101</f>
        <v>0.27270341121234692</v>
      </c>
      <c r="I32" s="913">
        <f>ONSV_AUX_2013!$J102</f>
        <v>0.31374819957413164</v>
      </c>
      <c r="J32" s="913">
        <f>ONSV_AUX_2013!$J103</f>
        <v>4.9785261279114403E-2</v>
      </c>
      <c r="K32" s="913">
        <f>ONSV_AUX_2013!$J104</f>
        <v>0.36376312793440707</v>
      </c>
      <c r="L32" s="913">
        <f t="shared" si="19"/>
        <v>1</v>
      </c>
      <c r="M32" s="154"/>
      <c r="N32" s="913">
        <f>ONSV_AUX_2013!$J109</f>
        <v>1</v>
      </c>
      <c r="O32" s="154"/>
      <c r="P32" s="913">
        <f>ONSV_AUX_2013!$J111</f>
        <v>0.95553961746753269</v>
      </c>
      <c r="Q32" s="913">
        <f>ONSV_AUX_2013!$J112</f>
        <v>3.0787889133313692E-2</v>
      </c>
      <c r="R32" s="913">
        <f>ONSV_AUX_2013!$J113</f>
        <v>1.3672493399153661E-2</v>
      </c>
      <c r="S32" s="913">
        <f t="shared" ref="S32:S33" si="20">SUM(P32:R32)</f>
        <v>1</v>
      </c>
      <c r="T32" s="154"/>
      <c r="U32" s="913">
        <f>ONSV_AUX_2013!$J118</f>
        <v>0.18580197491326395</v>
      </c>
      <c r="V32" s="913">
        <f>ONSV_AUX_2013!$J119</f>
        <v>0.81419802508673611</v>
      </c>
      <c r="W32" s="913">
        <f t="shared" ref="W32:W33" si="21">SUM(U32:V32)</f>
        <v>1</v>
      </c>
      <c r="X32" s="154"/>
      <c r="Y32" s="913">
        <f>ONSV_AUX_2013!$J122</f>
        <v>1</v>
      </c>
      <c r="Z32" s="154"/>
      <c r="AA32" s="913">
        <f>ONSV_AUX_2013!$J126</f>
        <v>0.61086402739497203</v>
      </c>
      <c r="AB32" s="913">
        <f>ONSV_AUX_2013!$J127</f>
        <v>0.38913597260502797</v>
      </c>
      <c r="AC32" s="913">
        <f t="shared" ref="AC32:AC34" si="22">SUM(AA32:AB32)</f>
        <v>1</v>
      </c>
      <c r="AD32" s="913"/>
      <c r="AE32" s="913">
        <f>ONSV_AUX_2013!$J130</f>
        <v>1</v>
      </c>
    </row>
    <row r="33" spans="1:31">
      <c r="A33" s="912" t="s">
        <v>42</v>
      </c>
      <c r="B33" s="913">
        <f>ONSV_AUX_2013!$L95</f>
        <v>0.27913650888542535</v>
      </c>
      <c r="C33" s="913">
        <f>ONSV_AUX_2013!$L96</f>
        <v>0.64143198753122532</v>
      </c>
      <c r="D33" s="913">
        <f>ONSV_AUX_2013!$L97</f>
        <v>7.565421924262157E-2</v>
      </c>
      <c r="E33" s="913">
        <f>ONSV_AUX_2013!$L98</f>
        <v>3.7772843407277721E-3</v>
      </c>
      <c r="F33" s="913">
        <f t="shared" si="18"/>
        <v>1.0000000000000002</v>
      </c>
      <c r="G33" s="154"/>
      <c r="H33" s="913">
        <f>ONSV_AUX_2013!$L101</f>
        <v>0.13907481877348007</v>
      </c>
      <c r="I33" s="913">
        <f>ONSV_AUX_2013!$L102</f>
        <v>0.30414307635324622</v>
      </c>
      <c r="J33" s="913">
        <f>ONSV_AUX_2013!$L103</f>
        <v>2.9882533467379225E-2</v>
      </c>
      <c r="K33" s="913">
        <f>ONSV_AUX_2013!$L104</f>
        <v>0.5268995714058945</v>
      </c>
      <c r="L33" s="913">
        <f t="shared" si="19"/>
        <v>1</v>
      </c>
      <c r="M33" s="154"/>
      <c r="N33" s="913">
        <f>ONSV_AUX_2013!$L109</f>
        <v>1</v>
      </c>
      <c r="O33" s="154"/>
      <c r="P33" s="913">
        <f>ONSV_AUX_2013!$L111</f>
        <v>0.9555388405743046</v>
      </c>
      <c r="Q33" s="913">
        <f>ONSV_AUX_2013!$L112</f>
        <v>3.0787337780070909E-2</v>
      </c>
      <c r="R33" s="913">
        <f>ONSV_AUX_2013!$L113</f>
        <v>1.3673821645624439E-2</v>
      </c>
      <c r="S33" s="913">
        <f t="shared" si="20"/>
        <v>1</v>
      </c>
      <c r="T33" s="154"/>
      <c r="U33" s="913">
        <f>ONSV_AUX_2013!$L118</f>
        <v>0.18583974845494958</v>
      </c>
      <c r="V33" s="913">
        <f>ONSV_AUX_2013!$L119</f>
        <v>0.81416025154505045</v>
      </c>
      <c r="W33" s="913">
        <f t="shared" si="21"/>
        <v>1</v>
      </c>
      <c r="X33" s="154"/>
      <c r="Y33" s="913">
        <f>ONSV_AUX_2013!$L122</f>
        <v>1</v>
      </c>
      <c r="Z33" s="154"/>
      <c r="AA33" s="913">
        <f>ONSV_AUX_2013!$L126</f>
        <v>0.61086289969338592</v>
      </c>
      <c r="AB33" s="913">
        <f>ONSV_AUX_2013!$L127</f>
        <v>0.38913710030661408</v>
      </c>
      <c r="AC33" s="913">
        <f t="shared" si="22"/>
        <v>1</v>
      </c>
      <c r="AD33" s="913"/>
      <c r="AE33" s="913">
        <f>ONSV_AUX_2013!$L130</f>
        <v>1</v>
      </c>
    </row>
    <row r="34" spans="1:31">
      <c r="A34" s="912" t="s">
        <v>43</v>
      </c>
      <c r="B34" s="913">
        <f>ONSV_AUX_2013!$M95</f>
        <v>0.42940643020885733</v>
      </c>
      <c r="C34" s="913">
        <f>ONSV_AUX_2013!$M96</f>
        <v>0.48480697363130476</v>
      </c>
      <c r="D34" s="913">
        <f>ONSV_AUX_2013!$M97</f>
        <v>8.3041633957462654E-2</v>
      </c>
      <c r="E34" s="913">
        <f>ONSV_AUX_2013!$M98</f>
        <v>2.7449622023752538E-3</v>
      </c>
      <c r="F34" s="913">
        <f t="shared" si="18"/>
        <v>1</v>
      </c>
      <c r="G34" s="154"/>
      <c r="H34" s="913">
        <f>ONSV_AUX_2013!$M101</f>
        <v>0.24888778482870758</v>
      </c>
      <c r="I34" s="913">
        <f>ONSV_AUX_2013!$M102</f>
        <v>0.26742846819177524</v>
      </c>
      <c r="J34" s="913">
        <f>ONSV_AUX_2013!$M103</f>
        <v>3.8157825402919232E-2</v>
      </c>
      <c r="K34" s="913">
        <f>ONSV_AUX_2013!$M104</f>
        <v>0.44552592157659793</v>
      </c>
      <c r="L34" s="913">
        <f t="shared" si="19"/>
        <v>1</v>
      </c>
      <c r="M34" s="154"/>
      <c r="N34" s="913">
        <f>ONSV_AUX_2013!$M109</f>
        <v>1</v>
      </c>
      <c r="O34" s="154"/>
      <c r="P34" s="913">
        <f>ONSV_AUX_2013!$M111</f>
        <v>0.95553907523628745</v>
      </c>
      <c r="Q34" s="913">
        <f>ONSV_AUX_2013!$M112</f>
        <v>3.0788430815873815E-2</v>
      </c>
      <c r="R34" s="913">
        <f>ONSV_AUX_2013!$M113</f>
        <v>1.3672493947838701E-2</v>
      </c>
      <c r="S34" s="913">
        <f>SUM(P34:R34)</f>
        <v>0.99999999999999989</v>
      </c>
      <c r="T34" s="154"/>
      <c r="U34" s="913">
        <f>ONSV_AUX_2013!$M118</f>
        <v>0.18577271037303258</v>
      </c>
      <c r="V34" s="913">
        <f>ONSV_AUX_2013!$M119</f>
        <v>0.81422728962696744</v>
      </c>
      <c r="W34" s="913">
        <f>SUM(U34:V34)</f>
        <v>1</v>
      </c>
      <c r="X34" s="154"/>
      <c r="Y34" s="913">
        <f>ONSV_AUX_2013!$M122</f>
        <v>1</v>
      </c>
      <c r="Z34" s="154"/>
      <c r="AA34" s="913">
        <f>ONSV_AUX_2013!$M126</f>
        <v>0.61087224991995615</v>
      </c>
      <c r="AB34" s="913">
        <f>ONSV_AUX_2013!$M127</f>
        <v>0.38912775008004391</v>
      </c>
      <c r="AC34" s="913">
        <f t="shared" si="22"/>
        <v>1</v>
      </c>
      <c r="AD34" s="913"/>
      <c r="AE34" s="913">
        <f>ONSV_AUX_2013!$M130</f>
        <v>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9" tint="0.39997558519241921"/>
  </sheetPr>
  <dimension ref="A1:AW171"/>
  <sheetViews>
    <sheetView topLeftCell="A153" workbookViewId="0">
      <pane xSplit="1" topLeftCell="K156" activePane="topRight" state="frozen"/>
      <selection pane="topRight" activeCell="K156" sqref="K156"/>
    </sheetView>
  </sheetViews>
  <sheetFormatPr defaultColWidth="8.85546875" defaultRowHeight="15"/>
  <cols>
    <col min="1" max="1" width="34" style="3" customWidth="1"/>
    <col min="2" max="2" width="11.28515625" style="3" bestFit="1" customWidth="1"/>
    <col min="3" max="3" width="9.42578125" style="3" bestFit="1" customWidth="1"/>
    <col min="4" max="4" width="12.28515625" style="3" bestFit="1" customWidth="1"/>
    <col min="5" max="5" width="9.42578125" style="3" customWidth="1"/>
    <col min="6" max="6" width="11.42578125" style="3" bestFit="1" customWidth="1"/>
    <col min="7" max="7" width="9.42578125" style="3" customWidth="1"/>
    <col min="8" max="8" width="13.140625" style="3" bestFit="1" customWidth="1"/>
    <col min="9" max="9" width="9.42578125" style="3" customWidth="1"/>
    <col min="10" max="10" width="10.42578125" style="3" bestFit="1" customWidth="1"/>
    <col min="11" max="11" width="9.42578125" style="3" customWidth="1"/>
    <col min="12" max="12" width="15" style="3" customWidth="1"/>
    <col min="13" max="49" width="8.85546875" style="1"/>
  </cols>
  <sheetData>
    <row r="1" spans="1:12" ht="15.75" thickBot="1">
      <c r="A1" s="1148" t="s">
        <v>325</v>
      </c>
      <c r="B1" s="1151"/>
      <c r="C1" s="1151"/>
      <c r="D1" s="1149"/>
      <c r="E1" s="1149"/>
      <c r="F1" s="1149"/>
      <c r="G1" s="1149"/>
      <c r="H1" s="1149"/>
      <c r="I1" s="1149"/>
      <c r="J1" s="1149"/>
      <c r="K1" s="1149"/>
      <c r="L1" s="1150"/>
    </row>
    <row r="2" spans="1:12" ht="15.75" customHeight="1" thickBot="1">
      <c r="A2" s="1154" t="s">
        <v>326</v>
      </c>
      <c r="B2" s="797">
        <v>2009</v>
      </c>
      <c r="C2" s="798"/>
      <c r="D2" s="1148">
        <v>2010</v>
      </c>
      <c r="E2" s="1150"/>
      <c r="F2" s="1148">
        <v>2011</v>
      </c>
      <c r="G2" s="1150"/>
      <c r="H2" s="1148">
        <v>2012</v>
      </c>
      <c r="I2" s="1149"/>
      <c r="J2" s="1148">
        <v>2013</v>
      </c>
      <c r="K2" s="1150"/>
      <c r="L2" s="1152" t="s">
        <v>327</v>
      </c>
    </row>
    <row r="3" spans="1:12" ht="15.75" thickBot="1">
      <c r="A3" s="1155"/>
      <c r="B3" s="295" t="s">
        <v>328</v>
      </c>
      <c r="C3" s="296" t="s">
        <v>240</v>
      </c>
      <c r="D3" s="296" t="s">
        <v>328</v>
      </c>
      <c r="E3" s="296" t="s">
        <v>240</v>
      </c>
      <c r="F3" s="296" t="s">
        <v>328</v>
      </c>
      <c r="G3" s="296" t="s">
        <v>240</v>
      </c>
      <c r="H3" s="296" t="s">
        <v>328</v>
      </c>
      <c r="I3" s="446" t="s">
        <v>240</v>
      </c>
      <c r="J3" s="295" t="s">
        <v>328</v>
      </c>
      <c r="K3" s="296" t="s">
        <v>240</v>
      </c>
      <c r="L3" s="1153"/>
    </row>
    <row r="4" spans="1:12" ht="15.75" thickBot="1">
      <c r="A4" s="102" t="s">
        <v>329</v>
      </c>
      <c r="B4" s="106">
        <v>81732</v>
      </c>
      <c r="C4" s="112">
        <f>B4/B$22</f>
        <v>5.7492338821573058E-3</v>
      </c>
      <c r="D4" s="453">
        <v>76061</v>
      </c>
      <c r="E4" s="112">
        <f>D4/D$22</f>
        <v>5.6028283377401802E-3</v>
      </c>
      <c r="F4" s="453">
        <v>76061</v>
      </c>
      <c r="G4" s="112">
        <f t="shared" ref="G4:G21" si="0">F4/F$22</f>
        <v>5.6028283377401802E-3</v>
      </c>
      <c r="H4" s="119">
        <f>F4</f>
        <v>76061</v>
      </c>
      <c r="I4" s="108">
        <f>H4/H$22</f>
        <v>5.6028283377401802E-3</v>
      </c>
      <c r="J4" s="453"/>
      <c r="K4" s="112" t="e">
        <f t="shared" ref="K4:K21" si="1">J4/J$22</f>
        <v>#DIV/0!</v>
      </c>
      <c r="L4" s="110">
        <v>8.1999999999999993</v>
      </c>
    </row>
    <row r="5" spans="1:12" ht="15.75" thickBot="1">
      <c r="A5" s="102" t="s">
        <v>330</v>
      </c>
      <c r="B5" s="107">
        <v>19850</v>
      </c>
      <c r="C5" s="113">
        <f t="shared" ref="C5:E22" si="2">B5/B$22</f>
        <v>1.396298788244782E-3</v>
      </c>
      <c r="D5" s="806">
        <f>5800+130</f>
        <v>5930</v>
      </c>
      <c r="E5" s="113">
        <f t="shared" si="2"/>
        <v>4.3681744971535045E-4</v>
      </c>
      <c r="F5" s="806">
        <f>5800+130</f>
        <v>5930</v>
      </c>
      <c r="G5" s="113">
        <f t="shared" si="0"/>
        <v>4.3681744971535045E-4</v>
      </c>
      <c r="H5" s="119">
        <f t="shared" ref="H5:H21" si="3">F5</f>
        <v>5930</v>
      </c>
      <c r="I5" s="109">
        <f>H5/H$22</f>
        <v>4.3681744971535045E-4</v>
      </c>
      <c r="J5" s="454"/>
      <c r="K5" s="113" t="e">
        <f t="shared" si="1"/>
        <v>#DIV/0!</v>
      </c>
      <c r="L5" s="111">
        <v>8.1999999999999993</v>
      </c>
    </row>
    <row r="6" spans="1:12" ht="15.75" thickBot="1">
      <c r="A6" s="102" t="s">
        <v>331</v>
      </c>
      <c r="B6" s="107">
        <v>166</v>
      </c>
      <c r="C6" s="113">
        <f t="shared" si="2"/>
        <v>1.167685636517047E-5</v>
      </c>
      <c r="D6" s="453">
        <v>65</v>
      </c>
      <c r="E6" s="113">
        <f t="shared" si="2"/>
        <v>4.7880496174532512E-6</v>
      </c>
      <c r="F6" s="453">
        <v>65</v>
      </c>
      <c r="G6" s="113">
        <f t="shared" si="0"/>
        <v>4.7880496174532512E-6</v>
      </c>
      <c r="H6" s="119">
        <f t="shared" si="3"/>
        <v>65</v>
      </c>
      <c r="I6" s="109">
        <f t="shared" ref="I6:I21" si="4">H6/H$22</f>
        <v>4.7880496174532512E-6</v>
      </c>
      <c r="J6" s="455"/>
      <c r="K6" s="113" t="e">
        <f t="shared" si="1"/>
        <v>#DIV/0!</v>
      </c>
      <c r="L6" s="111">
        <v>10.7</v>
      </c>
    </row>
    <row r="7" spans="1:12" ht="15.75" thickBot="1">
      <c r="A7" s="102" t="s">
        <v>332</v>
      </c>
      <c r="B7" s="107">
        <v>1171430</v>
      </c>
      <c r="C7" s="113">
        <f t="shared" si="2"/>
        <v>8.2401324408744842E-2</v>
      </c>
      <c r="D7" s="453">
        <v>1163990</v>
      </c>
      <c r="E7" s="113">
        <f t="shared" si="2"/>
        <v>8.5742182680298609E-2</v>
      </c>
      <c r="F7" s="453">
        <v>1163990</v>
      </c>
      <c r="G7" s="113">
        <f t="shared" si="0"/>
        <v>8.5742182680298609E-2</v>
      </c>
      <c r="H7" s="119">
        <f t="shared" si="3"/>
        <v>1163990</v>
      </c>
      <c r="I7" s="109">
        <f t="shared" si="4"/>
        <v>8.5742182680298609E-2</v>
      </c>
      <c r="J7" s="454"/>
      <c r="K7" s="113" t="e">
        <f t="shared" si="1"/>
        <v>#DIV/0!</v>
      </c>
      <c r="L7" s="111">
        <v>10.7</v>
      </c>
    </row>
    <row r="8" spans="1:12" ht="15.75" thickBot="1">
      <c r="A8" s="102" t="s">
        <v>333</v>
      </c>
      <c r="B8" s="107">
        <v>1724666</v>
      </c>
      <c r="C8" s="113">
        <f t="shared" si="2"/>
        <v>0.12131733228851262</v>
      </c>
      <c r="D8" s="453">
        <v>1592729</v>
      </c>
      <c r="E8" s="113">
        <f t="shared" si="2"/>
        <v>0.11732408429471845</v>
      </c>
      <c r="F8" s="453">
        <v>1592729</v>
      </c>
      <c r="G8" s="113">
        <f t="shared" si="0"/>
        <v>0.11732408429471845</v>
      </c>
      <c r="H8" s="119">
        <f t="shared" si="3"/>
        <v>1592729</v>
      </c>
      <c r="I8" s="109">
        <f t="shared" si="4"/>
        <v>0.11732408429471845</v>
      </c>
      <c r="J8" s="454"/>
      <c r="K8" s="113" t="e">
        <f t="shared" si="1"/>
        <v>#DIV/0!</v>
      </c>
      <c r="L8" s="111">
        <v>11.1</v>
      </c>
    </row>
    <row r="9" spans="1:12" ht="15.75" thickBot="1">
      <c r="A9" s="102" t="s">
        <v>334</v>
      </c>
      <c r="B9" s="107">
        <v>6406807</v>
      </c>
      <c r="C9" s="113">
        <f t="shared" si="2"/>
        <v>0.45067087408655859</v>
      </c>
      <c r="D9" s="453">
        <v>6194439</v>
      </c>
      <c r="E9" s="113">
        <f t="shared" si="2"/>
        <v>0.4562966351428846</v>
      </c>
      <c r="F9" s="453">
        <v>6194439</v>
      </c>
      <c r="G9" s="113">
        <f t="shared" si="0"/>
        <v>0.4562966351428846</v>
      </c>
      <c r="H9" s="119">
        <f t="shared" si="3"/>
        <v>6194439</v>
      </c>
      <c r="I9" s="109">
        <f t="shared" si="4"/>
        <v>0.4562966351428846</v>
      </c>
      <c r="J9" s="454"/>
      <c r="K9" s="113" t="e">
        <f t="shared" si="1"/>
        <v>#DIV/0!</v>
      </c>
      <c r="L9" s="111">
        <v>11.3</v>
      </c>
    </row>
    <row r="10" spans="1:12" ht="15.75" thickBot="1">
      <c r="A10" s="102" t="s">
        <v>335</v>
      </c>
      <c r="B10" s="107">
        <v>22027</v>
      </c>
      <c r="C10" s="113">
        <f t="shared" si="2"/>
        <v>1.5494344286482527E-3</v>
      </c>
      <c r="D10" s="453">
        <v>21020</v>
      </c>
      <c r="E10" s="113">
        <f t="shared" si="2"/>
        <v>1.5483815839825745E-3</v>
      </c>
      <c r="F10" s="453">
        <v>21020</v>
      </c>
      <c r="G10" s="113">
        <f t="shared" si="0"/>
        <v>1.5483815839825745E-3</v>
      </c>
      <c r="H10" s="119">
        <f t="shared" si="3"/>
        <v>21020</v>
      </c>
      <c r="I10" s="109">
        <f t="shared" si="4"/>
        <v>1.5483815839825745E-3</v>
      </c>
      <c r="J10" s="454"/>
      <c r="K10" s="113" t="e">
        <f t="shared" si="1"/>
        <v>#DIV/0!</v>
      </c>
      <c r="L10" s="111">
        <v>10.6</v>
      </c>
    </row>
    <row r="11" spans="1:12" ht="15.75" thickBot="1">
      <c r="A11" s="102" t="s">
        <v>336</v>
      </c>
      <c r="B11" s="107">
        <v>244452</v>
      </c>
      <c r="C11" s="113">
        <f t="shared" si="2"/>
        <v>1.7195366820353324E-2</v>
      </c>
      <c r="D11" s="453">
        <v>253317</v>
      </c>
      <c r="E11" s="113">
        <f t="shared" si="2"/>
        <v>1.8659913306837004E-2</v>
      </c>
      <c r="F11" s="453">
        <v>253317</v>
      </c>
      <c r="G11" s="113">
        <f t="shared" si="0"/>
        <v>1.8659913306837004E-2</v>
      </c>
      <c r="H11" s="119">
        <f t="shared" si="3"/>
        <v>253317</v>
      </c>
      <c r="I11" s="109">
        <f t="shared" si="4"/>
        <v>1.8659913306837004E-2</v>
      </c>
      <c r="J11" s="454"/>
      <c r="K11" s="113" t="e">
        <f t="shared" si="1"/>
        <v>#DIV/0!</v>
      </c>
      <c r="L11" s="111">
        <v>10.4</v>
      </c>
    </row>
    <row r="12" spans="1:12" ht="15.75" thickBot="1">
      <c r="A12" s="102" t="s">
        <v>337</v>
      </c>
      <c r="B12" s="107">
        <v>558835</v>
      </c>
      <c r="C12" s="113">
        <f t="shared" si="2"/>
        <v>3.9309855583313492E-2</v>
      </c>
      <c r="D12" s="453">
        <v>501583</v>
      </c>
      <c r="E12" s="113">
        <f t="shared" si="2"/>
        <v>3.6947758327246984E-2</v>
      </c>
      <c r="F12" s="453">
        <v>501583</v>
      </c>
      <c r="G12" s="113">
        <f t="shared" si="0"/>
        <v>3.6947758327246984E-2</v>
      </c>
      <c r="H12" s="119">
        <f t="shared" si="3"/>
        <v>501583</v>
      </c>
      <c r="I12" s="109">
        <f t="shared" si="4"/>
        <v>3.6947758327246984E-2</v>
      </c>
      <c r="J12" s="454"/>
      <c r="K12" s="113" t="e">
        <f t="shared" si="1"/>
        <v>#DIV/0!</v>
      </c>
      <c r="L12" s="111">
        <v>8.6</v>
      </c>
    </row>
    <row r="13" spans="1:12" ht="15.75" thickBot="1">
      <c r="A13" s="102" t="s">
        <v>338</v>
      </c>
      <c r="B13" s="107">
        <v>1851009</v>
      </c>
      <c r="C13" s="113">
        <f t="shared" si="2"/>
        <v>0.13020461580504714</v>
      </c>
      <c r="D13" s="453">
        <v>1745443</v>
      </c>
      <c r="E13" s="113">
        <f t="shared" si="2"/>
        <v>0.12857334905286855</v>
      </c>
      <c r="F13" s="453">
        <v>1745443</v>
      </c>
      <c r="G13" s="113">
        <f t="shared" si="0"/>
        <v>0.12857334905286855</v>
      </c>
      <c r="H13" s="119">
        <f t="shared" si="3"/>
        <v>1745443</v>
      </c>
      <c r="I13" s="109">
        <f t="shared" si="4"/>
        <v>0.12857334905286855</v>
      </c>
      <c r="J13" s="454"/>
      <c r="K13" s="113" t="e">
        <f t="shared" si="1"/>
        <v>#DIV/0!</v>
      </c>
      <c r="L13" s="111">
        <v>10.4</v>
      </c>
    </row>
    <row r="14" spans="1:12" ht="15.75" thickBot="1">
      <c r="A14" s="102" t="s">
        <v>339</v>
      </c>
      <c r="B14" s="107">
        <v>409775</v>
      </c>
      <c r="C14" s="113">
        <f t="shared" si="2"/>
        <v>2.8824601307456201E-2</v>
      </c>
      <c r="D14" s="453">
        <v>360489</v>
      </c>
      <c r="E14" s="113">
        <f t="shared" si="2"/>
        <v>2.6554449516093925E-2</v>
      </c>
      <c r="F14" s="453">
        <v>360489</v>
      </c>
      <c r="G14" s="113">
        <f t="shared" si="0"/>
        <v>2.6554449516093925E-2</v>
      </c>
      <c r="H14" s="119">
        <f t="shared" si="3"/>
        <v>360489</v>
      </c>
      <c r="I14" s="109">
        <f t="shared" si="4"/>
        <v>2.6554449516093925E-2</v>
      </c>
      <c r="J14" s="454"/>
      <c r="K14" s="113" t="e">
        <f t="shared" si="1"/>
        <v>#DIV/0!</v>
      </c>
      <c r="L14" s="111">
        <v>10.9</v>
      </c>
    </row>
    <row r="15" spans="1:12" ht="15.75" thickBot="1">
      <c r="A15" s="102" t="s">
        <v>340</v>
      </c>
      <c r="B15" s="107">
        <v>770654</v>
      </c>
      <c r="C15" s="113">
        <f t="shared" si="2"/>
        <v>5.4209735332795682E-2</v>
      </c>
      <c r="D15" s="453">
        <v>748355</v>
      </c>
      <c r="E15" s="113">
        <f t="shared" si="2"/>
        <v>5.5125551868757353E-2</v>
      </c>
      <c r="F15" s="453">
        <v>748355</v>
      </c>
      <c r="G15" s="113">
        <f t="shared" si="0"/>
        <v>5.5125551868757353E-2</v>
      </c>
      <c r="H15" s="119">
        <f t="shared" si="3"/>
        <v>748355</v>
      </c>
      <c r="I15" s="109">
        <f t="shared" si="4"/>
        <v>5.5125551868757353E-2</v>
      </c>
      <c r="J15" s="454"/>
      <c r="K15" s="113" t="e">
        <f t="shared" si="1"/>
        <v>#DIV/0!</v>
      </c>
      <c r="L15" s="111">
        <v>10.8</v>
      </c>
    </row>
    <row r="16" spans="1:12" ht="15.75" thickBot="1">
      <c r="A16" s="102" t="s">
        <v>341</v>
      </c>
      <c r="B16" s="107">
        <v>7078</v>
      </c>
      <c r="C16" s="113">
        <f t="shared" si="2"/>
        <v>4.9788427320889505E-4</v>
      </c>
      <c r="D16" s="453">
        <v>3519</v>
      </c>
      <c r="E16" s="113">
        <f t="shared" si="2"/>
        <v>2.5921764005873833E-4</v>
      </c>
      <c r="F16" s="453">
        <v>3519</v>
      </c>
      <c r="G16" s="113">
        <f t="shared" si="0"/>
        <v>2.5921764005873833E-4</v>
      </c>
      <c r="H16" s="119">
        <f t="shared" si="3"/>
        <v>3519</v>
      </c>
      <c r="I16" s="109">
        <f t="shared" si="4"/>
        <v>2.5921764005873833E-4</v>
      </c>
      <c r="J16" s="454"/>
      <c r="K16" s="113" t="e">
        <f t="shared" si="1"/>
        <v>#DIV/0!</v>
      </c>
      <c r="L16" s="111">
        <v>10.4</v>
      </c>
    </row>
    <row r="17" spans="1:12" ht="15.75" thickBot="1">
      <c r="A17" s="102" t="s">
        <v>342</v>
      </c>
      <c r="B17" s="107">
        <v>15</v>
      </c>
      <c r="C17" s="113">
        <f t="shared" si="2"/>
        <v>1.0551376233587774E-6</v>
      </c>
      <c r="D17" s="806">
        <v>18195</v>
      </c>
      <c r="E17" s="113">
        <f t="shared" si="2"/>
        <v>1.3402855813778754E-3</v>
      </c>
      <c r="F17" s="806">
        <v>18195</v>
      </c>
      <c r="G17" s="113">
        <f t="shared" si="0"/>
        <v>1.3402855813778754E-3</v>
      </c>
      <c r="H17" s="119">
        <f t="shared" si="3"/>
        <v>18195</v>
      </c>
      <c r="I17" s="109">
        <f t="shared" si="4"/>
        <v>1.3402855813778754E-3</v>
      </c>
      <c r="J17" s="455"/>
      <c r="K17" s="113" t="e">
        <f t="shared" si="1"/>
        <v>#DIV/0!</v>
      </c>
      <c r="L17" s="111">
        <v>10.4</v>
      </c>
    </row>
    <row r="18" spans="1:12" ht="15.75" thickBot="1">
      <c r="A18" s="102" t="s">
        <v>343</v>
      </c>
      <c r="B18" s="107">
        <v>101</v>
      </c>
      <c r="C18" s="113">
        <f t="shared" si="2"/>
        <v>7.1045933306157674E-6</v>
      </c>
      <c r="D18" s="453">
        <v>97</v>
      </c>
      <c r="E18" s="113">
        <f t="shared" si="2"/>
        <v>7.1452432752763904E-6</v>
      </c>
      <c r="F18" s="453">
        <v>97</v>
      </c>
      <c r="G18" s="113">
        <f t="shared" si="0"/>
        <v>7.1452432752763904E-6</v>
      </c>
      <c r="H18" s="119">
        <f t="shared" si="3"/>
        <v>97</v>
      </c>
      <c r="I18" s="109">
        <f t="shared" si="4"/>
        <v>7.1452432752763904E-6</v>
      </c>
      <c r="J18" s="455"/>
      <c r="K18" s="113" t="e">
        <f t="shared" si="1"/>
        <v>#DIV/0!</v>
      </c>
      <c r="L18" s="111">
        <v>10.4</v>
      </c>
    </row>
    <row r="19" spans="1:12" ht="15.75" thickBot="1">
      <c r="A19" s="102" t="s">
        <v>344</v>
      </c>
      <c r="B19" s="107">
        <v>782830</v>
      </c>
      <c r="C19" s="113">
        <f t="shared" si="2"/>
        <v>5.5066225712930114E-2</v>
      </c>
      <c r="D19" s="453">
        <v>730402</v>
      </c>
      <c r="E19" s="113">
        <f t="shared" si="2"/>
        <v>5.380309256441676E-2</v>
      </c>
      <c r="F19" s="453">
        <v>730402</v>
      </c>
      <c r="G19" s="113">
        <f t="shared" si="0"/>
        <v>5.380309256441676E-2</v>
      </c>
      <c r="H19" s="119">
        <f t="shared" si="3"/>
        <v>730402</v>
      </c>
      <c r="I19" s="109">
        <f t="shared" si="4"/>
        <v>5.380309256441676E-2</v>
      </c>
      <c r="J19" s="454"/>
      <c r="K19" s="113" t="e">
        <f t="shared" si="1"/>
        <v>#DIV/0!</v>
      </c>
      <c r="L19" s="111">
        <v>10.6</v>
      </c>
    </row>
    <row r="20" spans="1:12" ht="15.75" thickBot="1">
      <c r="A20" s="102" t="s">
        <v>345</v>
      </c>
      <c r="B20" s="107">
        <v>121980</v>
      </c>
      <c r="C20" s="113">
        <f t="shared" si="2"/>
        <v>8.5803791531535775E-3</v>
      </c>
      <c r="D20" s="453">
        <v>118354</v>
      </c>
      <c r="E20" s="113">
        <f t="shared" si="2"/>
        <v>8.7182280680624929E-3</v>
      </c>
      <c r="F20" s="453">
        <v>118354</v>
      </c>
      <c r="G20" s="113">
        <f t="shared" si="0"/>
        <v>8.7182280680624929E-3</v>
      </c>
      <c r="H20" s="119">
        <f t="shared" si="3"/>
        <v>118354</v>
      </c>
      <c r="I20" s="109">
        <f t="shared" si="4"/>
        <v>8.7182280680624929E-3</v>
      </c>
      <c r="J20" s="454"/>
      <c r="K20" s="113" t="e">
        <f t="shared" si="1"/>
        <v>#DIV/0!</v>
      </c>
      <c r="L20" s="111">
        <v>10.8</v>
      </c>
    </row>
    <row r="21" spans="1:12" ht="15.75" thickBot="1">
      <c r="A21" s="102" t="s">
        <v>346</v>
      </c>
      <c r="B21" s="114">
        <v>42748</v>
      </c>
      <c r="C21" s="115">
        <f t="shared" si="2"/>
        <v>3.0070015415560678E-3</v>
      </c>
      <c r="D21" s="453">
        <v>41477</v>
      </c>
      <c r="E21" s="115">
        <f t="shared" si="2"/>
        <v>3.0552912920478229E-3</v>
      </c>
      <c r="F21" s="453">
        <v>41477</v>
      </c>
      <c r="G21" s="115">
        <f t="shared" si="0"/>
        <v>3.0552912920478229E-3</v>
      </c>
      <c r="H21" s="119">
        <f t="shared" si="3"/>
        <v>41477</v>
      </c>
      <c r="I21" s="236">
        <f t="shared" si="4"/>
        <v>3.0552912920478229E-3</v>
      </c>
      <c r="J21" s="456"/>
      <c r="K21" s="115" t="e">
        <f t="shared" si="1"/>
        <v>#DIV/0!</v>
      </c>
      <c r="L21" s="251">
        <v>8.5</v>
      </c>
    </row>
    <row r="22" spans="1:12" ht="15.75" thickBot="1">
      <c r="A22" s="297" t="s">
        <v>347</v>
      </c>
      <c r="B22" s="448">
        <f>SUM(B4:B21)</f>
        <v>14216155</v>
      </c>
      <c r="C22" s="449">
        <f t="shared" si="2"/>
        <v>1</v>
      </c>
      <c r="D22" s="450">
        <f>SUM(D4:D21)</f>
        <v>13575465</v>
      </c>
      <c r="E22" s="449">
        <f t="shared" si="2"/>
        <v>1</v>
      </c>
      <c r="F22" s="450">
        <f t="shared" ref="F22:K22" si="5">SUM(F4:F21)</f>
        <v>13575465</v>
      </c>
      <c r="G22" s="451">
        <f t="shared" si="5"/>
        <v>1</v>
      </c>
      <c r="H22" s="450">
        <f>SUM(H4:H21)</f>
        <v>13575465</v>
      </c>
      <c r="I22" s="447">
        <f>SUM(I4:I21)</f>
        <v>1</v>
      </c>
      <c r="J22" s="450">
        <f t="shared" si="5"/>
        <v>0</v>
      </c>
      <c r="K22" s="447" t="e">
        <f t="shared" si="5"/>
        <v>#DIV/0!</v>
      </c>
      <c r="L22" s="452"/>
    </row>
    <row r="23" spans="1:12" ht="15.75" thickBot="1"/>
    <row r="24" spans="1:12" ht="15.75" thickBot="1">
      <c r="A24" s="1148" t="s">
        <v>348</v>
      </c>
      <c r="B24" s="1149"/>
      <c r="C24" s="1149"/>
      <c r="D24" s="1149"/>
      <c r="E24" s="1149"/>
      <c r="F24" s="1149"/>
      <c r="G24" s="1149"/>
      <c r="H24" s="1149"/>
      <c r="I24" s="1149"/>
      <c r="J24" s="1149"/>
      <c r="K24" s="1149"/>
      <c r="L24" s="1150"/>
    </row>
    <row r="25" spans="1:12" ht="15.75" customHeight="1" thickBot="1">
      <c r="A25" s="180" t="s">
        <v>326</v>
      </c>
      <c r="B25" s="180" t="s">
        <v>328</v>
      </c>
      <c r="C25" s="181" t="s">
        <v>240</v>
      </c>
      <c r="D25" s="181" t="s">
        <v>328</v>
      </c>
      <c r="E25" s="181" t="s">
        <v>240</v>
      </c>
      <c r="F25" s="181" t="s">
        <v>328</v>
      </c>
      <c r="G25" s="181" t="s">
        <v>240</v>
      </c>
      <c r="H25" s="181" t="s">
        <v>328</v>
      </c>
      <c r="I25" s="181" t="s">
        <v>240</v>
      </c>
      <c r="J25" s="181" t="s">
        <v>328</v>
      </c>
      <c r="K25" s="181" t="s">
        <v>240</v>
      </c>
      <c r="L25" s="298" t="s">
        <v>349</v>
      </c>
    </row>
    <row r="26" spans="1:12" ht="15.75" thickBot="1">
      <c r="A26" s="95" t="s">
        <v>350</v>
      </c>
      <c r="B26" s="96">
        <v>14743</v>
      </c>
      <c r="C26" s="97">
        <f>B26/$B$38</f>
        <v>7.8084863199217825E-3</v>
      </c>
      <c r="D26" s="96">
        <v>13578</v>
      </c>
      <c r="E26" s="97">
        <f>D26/$D$38</f>
        <v>7.4291270146541692E-3</v>
      </c>
      <c r="F26" s="96">
        <v>13578</v>
      </c>
      <c r="G26" s="97">
        <f>F26/$F$38</f>
        <v>7.4291270146541692E-3</v>
      </c>
      <c r="H26" s="103">
        <f>F26</f>
        <v>13578</v>
      </c>
      <c r="I26" s="97">
        <f>H26/$H$38</f>
        <v>7.4291270146541692E-3</v>
      </c>
      <c r="J26" s="103"/>
      <c r="K26" s="97" t="e">
        <f>J26/$J$38</f>
        <v>#DIV/0!</v>
      </c>
      <c r="L26" s="104">
        <v>8.2799999999999994</v>
      </c>
    </row>
    <row r="27" spans="1:12" ht="15.75" thickBot="1">
      <c r="A27" s="95" t="s">
        <v>351</v>
      </c>
      <c r="B27" s="96">
        <v>241939</v>
      </c>
      <c r="C27" s="97">
        <f t="shared" ref="C27:C37" si="6">B27/$B$38</f>
        <v>0.12814063431835829</v>
      </c>
      <c r="D27" s="96">
        <v>221500</v>
      </c>
      <c r="E27" s="97">
        <f t="shared" ref="E27:E38" si="7">D27/$D$38</f>
        <v>0.12119249033332585</v>
      </c>
      <c r="F27" s="96">
        <v>221500</v>
      </c>
      <c r="G27" s="97">
        <f t="shared" ref="G27:G38" si="8">F27/$F$38</f>
        <v>0.12119249033332585</v>
      </c>
      <c r="H27" s="103">
        <f t="shared" ref="H27:H37" si="9">F27</f>
        <v>221500</v>
      </c>
      <c r="I27" s="97">
        <f t="shared" ref="I27:I38" si="10">H27/$H$38</f>
        <v>0.12119249033332585</v>
      </c>
      <c r="J27" s="103"/>
      <c r="K27" s="97" t="e">
        <f t="shared" ref="K27:K38" si="11">J27/$J$38</f>
        <v>#DIV/0!</v>
      </c>
      <c r="L27" s="104">
        <v>10.5</v>
      </c>
    </row>
    <row r="28" spans="1:12" ht="15.75" thickBot="1">
      <c r="A28" s="95" t="s">
        <v>352</v>
      </c>
      <c r="B28" s="96">
        <v>8898</v>
      </c>
      <c r="C28" s="97">
        <f t="shared" si="6"/>
        <v>4.7127390134073131E-3</v>
      </c>
      <c r="D28" s="96">
        <v>5301</v>
      </c>
      <c r="E28" s="97">
        <f t="shared" si="7"/>
        <v>2.9004126016115594E-3</v>
      </c>
      <c r="F28" s="96">
        <v>5301</v>
      </c>
      <c r="G28" s="97">
        <f t="shared" si="8"/>
        <v>2.9004126016115594E-3</v>
      </c>
      <c r="H28" s="103">
        <f t="shared" si="9"/>
        <v>5301</v>
      </c>
      <c r="I28" s="97">
        <f t="shared" si="10"/>
        <v>2.9004126016115594E-3</v>
      </c>
      <c r="J28" s="103"/>
      <c r="K28" s="97" t="e">
        <f t="shared" si="11"/>
        <v>#DIV/0!</v>
      </c>
      <c r="L28" s="104">
        <v>10.5</v>
      </c>
    </row>
    <row r="29" spans="1:12" ht="15.75" thickBot="1">
      <c r="A29" s="95" t="s">
        <v>353</v>
      </c>
      <c r="B29" s="96">
        <v>36965</v>
      </c>
      <c r="C29" s="97">
        <f t="shared" si="6"/>
        <v>1.957815212751195E-2</v>
      </c>
      <c r="D29" s="96">
        <v>31343</v>
      </c>
      <c r="E29" s="97">
        <f t="shared" si="7"/>
        <v>1.7149147740485021E-2</v>
      </c>
      <c r="F29" s="96">
        <v>31343</v>
      </c>
      <c r="G29" s="97">
        <f t="shared" si="8"/>
        <v>1.7149147740485021E-2</v>
      </c>
      <c r="H29" s="103">
        <f t="shared" si="9"/>
        <v>31343</v>
      </c>
      <c r="I29" s="97">
        <f t="shared" si="10"/>
        <v>1.7149147740485021E-2</v>
      </c>
      <c r="J29" s="103"/>
      <c r="K29" s="97" t="e">
        <f t="shared" si="11"/>
        <v>#DIV/0!</v>
      </c>
      <c r="L29" s="104">
        <v>7.78</v>
      </c>
    </row>
    <row r="30" spans="1:12" ht="15.75" thickBot="1">
      <c r="A30" s="95" t="s">
        <v>354</v>
      </c>
      <c r="B30" s="96">
        <v>63621</v>
      </c>
      <c r="C30" s="97">
        <f t="shared" si="6"/>
        <v>3.3696242837939615E-2</v>
      </c>
      <c r="D30" s="96">
        <v>64874</v>
      </c>
      <c r="E30" s="97">
        <f t="shared" si="7"/>
        <v>3.5495447484804432E-2</v>
      </c>
      <c r="F30" s="96">
        <v>64874</v>
      </c>
      <c r="G30" s="97">
        <f t="shared" si="8"/>
        <v>3.5495447484804432E-2</v>
      </c>
      <c r="H30" s="103">
        <f t="shared" si="9"/>
        <v>64874</v>
      </c>
      <c r="I30" s="97">
        <f t="shared" si="10"/>
        <v>3.5495447484804432E-2</v>
      </c>
      <c r="J30" s="103"/>
      <c r="K30" s="97" t="e">
        <f t="shared" si="11"/>
        <v>#DIV/0!</v>
      </c>
      <c r="L30" s="104">
        <v>7.78</v>
      </c>
    </row>
    <row r="31" spans="1:12" ht="15.75" thickBot="1">
      <c r="A31" s="95" t="s">
        <v>355</v>
      </c>
      <c r="B31" s="96">
        <v>192446</v>
      </c>
      <c r="C31" s="97">
        <f t="shared" si="6"/>
        <v>0.10192714904182781</v>
      </c>
      <c r="D31" s="96">
        <v>174562</v>
      </c>
      <c r="E31" s="97">
        <f t="shared" si="7"/>
        <v>9.5510625271178456E-2</v>
      </c>
      <c r="F31" s="96">
        <v>174562</v>
      </c>
      <c r="G31" s="97">
        <f t="shared" si="8"/>
        <v>9.5510625271178456E-2</v>
      </c>
      <c r="H31" s="103">
        <f t="shared" si="9"/>
        <v>174562</v>
      </c>
      <c r="I31" s="97">
        <f t="shared" si="10"/>
        <v>9.5510625271178456E-2</v>
      </c>
      <c r="J31" s="103"/>
      <c r="K31" s="97" t="e">
        <f t="shared" si="11"/>
        <v>#DIV/0!</v>
      </c>
      <c r="L31" s="104">
        <v>11.8</v>
      </c>
    </row>
    <row r="32" spans="1:12" ht="15.75" thickBot="1">
      <c r="A32" s="95" t="s">
        <v>356</v>
      </c>
      <c r="B32" s="96">
        <v>623222</v>
      </c>
      <c r="C32" s="97">
        <f t="shared" si="6"/>
        <v>0.33008346071181532</v>
      </c>
      <c r="D32" s="96">
        <v>546958</v>
      </c>
      <c r="E32" s="97">
        <f t="shared" si="7"/>
        <v>0.2992650208927099</v>
      </c>
      <c r="F32" s="96">
        <v>546958</v>
      </c>
      <c r="G32" s="97">
        <f t="shared" si="8"/>
        <v>0.2992650208927099</v>
      </c>
      <c r="H32" s="103">
        <f t="shared" si="9"/>
        <v>546958</v>
      </c>
      <c r="I32" s="97">
        <f t="shared" si="10"/>
        <v>0.2992650208927099</v>
      </c>
      <c r="J32" s="103"/>
      <c r="K32" s="97" t="e">
        <f t="shared" si="11"/>
        <v>#DIV/0!</v>
      </c>
      <c r="L32" s="104">
        <v>10.4</v>
      </c>
    </row>
    <row r="33" spans="1:12" ht="15.75" thickBot="1">
      <c r="A33" s="95" t="s">
        <v>357</v>
      </c>
      <c r="B33" s="96">
        <v>9581</v>
      </c>
      <c r="C33" s="97">
        <f t="shared" si="6"/>
        <v>5.0744833094465581E-3</v>
      </c>
      <c r="D33" s="96">
        <v>5696</v>
      </c>
      <c r="E33" s="97">
        <f t="shared" si="7"/>
        <v>3.1165346498357744E-3</v>
      </c>
      <c r="F33" s="96">
        <v>5696</v>
      </c>
      <c r="G33" s="97">
        <f t="shared" si="8"/>
        <v>3.1165346498357744E-3</v>
      </c>
      <c r="H33" s="103">
        <f t="shared" si="9"/>
        <v>5696</v>
      </c>
      <c r="I33" s="97">
        <f t="shared" si="10"/>
        <v>3.1165346498357744E-3</v>
      </c>
      <c r="J33" s="103"/>
      <c r="K33" s="97" t="e">
        <f t="shared" si="11"/>
        <v>#DIV/0!</v>
      </c>
      <c r="L33" s="104">
        <v>10.4</v>
      </c>
    </row>
    <row r="34" spans="1:12" ht="15.75" thickBot="1">
      <c r="A34" s="95" t="s">
        <v>344</v>
      </c>
      <c r="B34" s="98">
        <v>6</v>
      </c>
      <c r="C34" s="97">
        <f t="shared" si="6"/>
        <v>3.1778415464648102E-6</v>
      </c>
      <c r="D34" s="96">
        <v>0</v>
      </c>
      <c r="E34" s="97">
        <f t="shared" si="7"/>
        <v>0</v>
      </c>
      <c r="F34" s="96">
        <v>0</v>
      </c>
      <c r="G34" s="97">
        <f t="shared" si="8"/>
        <v>0</v>
      </c>
      <c r="H34" s="103">
        <f t="shared" si="9"/>
        <v>0</v>
      </c>
      <c r="I34" s="97">
        <f t="shared" si="10"/>
        <v>0</v>
      </c>
      <c r="J34" s="103"/>
      <c r="K34" s="97" t="e">
        <f t="shared" si="11"/>
        <v>#DIV/0!</v>
      </c>
      <c r="L34" s="104">
        <v>10.6</v>
      </c>
    </row>
    <row r="35" spans="1:12" ht="15.75" thickBot="1">
      <c r="A35" s="95" t="s">
        <v>358</v>
      </c>
      <c r="B35" s="96">
        <v>425809</v>
      </c>
      <c r="C35" s="97">
        <f t="shared" si="6"/>
        <v>0.22552558850977239</v>
      </c>
      <c r="D35" s="96">
        <v>537780</v>
      </c>
      <c r="E35" s="97">
        <f t="shared" si="7"/>
        <v>0.29424332935194575</v>
      </c>
      <c r="F35" s="96">
        <v>537780</v>
      </c>
      <c r="G35" s="97">
        <f t="shared" si="8"/>
        <v>0.29424332935194575</v>
      </c>
      <c r="H35" s="103">
        <f t="shared" si="9"/>
        <v>537780</v>
      </c>
      <c r="I35" s="97">
        <f t="shared" si="10"/>
        <v>0.29424332935194575</v>
      </c>
      <c r="J35" s="103"/>
      <c r="K35" s="97" t="e">
        <f t="shared" si="11"/>
        <v>#DIV/0!</v>
      </c>
      <c r="L35" s="104">
        <v>8.5</v>
      </c>
    </row>
    <row r="36" spans="1:12" ht="15.75" thickBot="1">
      <c r="A36" s="95" t="s">
        <v>359</v>
      </c>
      <c r="B36" s="96">
        <v>3528</v>
      </c>
      <c r="C36" s="97">
        <f t="shared" si="6"/>
        <v>1.8685708293213084E-3</v>
      </c>
      <c r="D36" s="96">
        <v>3424</v>
      </c>
      <c r="E36" s="97">
        <f t="shared" si="7"/>
        <v>1.8734225142271229E-3</v>
      </c>
      <c r="F36" s="96">
        <v>3424</v>
      </c>
      <c r="G36" s="97">
        <f t="shared" si="8"/>
        <v>1.8734225142271229E-3</v>
      </c>
      <c r="H36" s="103">
        <f t="shared" si="9"/>
        <v>3424</v>
      </c>
      <c r="I36" s="97">
        <f t="shared" si="10"/>
        <v>1.8734225142271229E-3</v>
      </c>
      <c r="J36" s="103"/>
      <c r="K36" s="97" t="e">
        <f t="shared" si="11"/>
        <v>#DIV/0!</v>
      </c>
      <c r="L36" s="104">
        <v>8.5</v>
      </c>
    </row>
    <row r="37" spans="1:12" ht="15.75" thickBot="1">
      <c r="A37" s="95" t="s">
        <v>360</v>
      </c>
      <c r="B37" s="96">
        <v>267316</v>
      </c>
      <c r="C37" s="97">
        <f t="shared" si="6"/>
        <v>0.14158131513913119</v>
      </c>
      <c r="D37" s="96">
        <v>222655</v>
      </c>
      <c r="E37" s="97">
        <f t="shared" si="7"/>
        <v>0.12182444214522198</v>
      </c>
      <c r="F37" s="96">
        <v>222655</v>
      </c>
      <c r="G37" s="97">
        <f t="shared" si="8"/>
        <v>0.12182444214522198</v>
      </c>
      <c r="H37" s="103">
        <f t="shared" si="9"/>
        <v>222655</v>
      </c>
      <c r="I37" s="97">
        <f t="shared" si="10"/>
        <v>0.12182444214522198</v>
      </c>
      <c r="J37" s="103"/>
      <c r="K37" s="97" t="e">
        <f t="shared" si="11"/>
        <v>#DIV/0!</v>
      </c>
      <c r="L37" s="104">
        <v>8.3000000000000007</v>
      </c>
    </row>
    <row r="38" spans="1:12" ht="15.75" thickBot="1">
      <c r="A38" s="183" t="s">
        <v>347</v>
      </c>
      <c r="B38" s="184">
        <f>SUM(B26:B37)</f>
        <v>1888074</v>
      </c>
      <c r="C38" s="185">
        <f>SUM(C26:C37)</f>
        <v>1.0000000000000002</v>
      </c>
      <c r="D38" s="186">
        <f>SUM(D26:D37)</f>
        <v>1827671</v>
      </c>
      <c r="E38" s="182">
        <f t="shared" si="7"/>
        <v>1</v>
      </c>
      <c r="F38" s="186">
        <f>SUM(F26:F37)</f>
        <v>1827671</v>
      </c>
      <c r="G38" s="182">
        <f t="shared" si="8"/>
        <v>1</v>
      </c>
      <c r="H38" s="299">
        <f>SUM(H26:H37)</f>
        <v>1827671</v>
      </c>
      <c r="I38" s="97">
        <f t="shared" si="10"/>
        <v>1</v>
      </c>
      <c r="J38" s="299">
        <f>SUM(J26:J37)</f>
        <v>0</v>
      </c>
      <c r="K38" s="182" t="e">
        <f t="shared" si="11"/>
        <v>#DIV/0!</v>
      </c>
      <c r="L38" s="300">
        <f>SUM(N26:N37)/B38</f>
        <v>0</v>
      </c>
    </row>
    <row r="39" spans="1:12" ht="15.75" thickBot="1"/>
    <row r="40" spans="1:12" ht="15.75" thickBot="1">
      <c r="A40" s="1148" t="s">
        <v>361</v>
      </c>
      <c r="B40" s="1149"/>
      <c r="C40" s="1149"/>
      <c r="D40" s="1149"/>
      <c r="E40" s="1149"/>
      <c r="F40" s="1149"/>
      <c r="G40" s="1149"/>
      <c r="H40" s="1149"/>
      <c r="I40" s="1149"/>
      <c r="J40" s="1149"/>
      <c r="K40" s="1150"/>
      <c r="L40" s="101"/>
    </row>
    <row r="41" spans="1:12" ht="15.75" thickBot="1">
      <c r="A41" s="183" t="s">
        <v>326</v>
      </c>
      <c r="B41" s="301" t="s">
        <v>328</v>
      </c>
      <c r="C41" s="301" t="s">
        <v>240</v>
      </c>
      <c r="D41" s="301" t="s">
        <v>328</v>
      </c>
      <c r="E41" s="301" t="s">
        <v>240</v>
      </c>
      <c r="F41" s="301" t="s">
        <v>328</v>
      </c>
      <c r="G41" s="301" t="s">
        <v>240</v>
      </c>
      <c r="H41" s="301" t="s">
        <v>328</v>
      </c>
      <c r="I41" s="301" t="s">
        <v>240</v>
      </c>
      <c r="J41" s="301" t="s">
        <v>328</v>
      </c>
      <c r="K41" s="301" t="s">
        <v>240</v>
      </c>
      <c r="L41" s="105"/>
    </row>
    <row r="42" spans="1:12" ht="15.75" thickBot="1">
      <c r="A42" s="95" t="s">
        <v>332</v>
      </c>
      <c r="B42" s="96">
        <v>412629</v>
      </c>
      <c r="C42" s="97">
        <f>B42/$B$52</f>
        <v>5.0318498833707467E-2</v>
      </c>
      <c r="D42" s="96">
        <v>638017</v>
      </c>
      <c r="E42" s="97">
        <f>D42/$D$52</f>
        <v>6.1462173111593743E-2</v>
      </c>
      <c r="F42" s="96">
        <v>638017</v>
      </c>
      <c r="G42" s="97">
        <f>F42/$F$52</f>
        <v>6.1462173111593743E-2</v>
      </c>
      <c r="H42" s="96">
        <f>F42</f>
        <v>638017</v>
      </c>
      <c r="I42" s="97">
        <f>H42/$H$52</f>
        <v>6.1462173111593743E-2</v>
      </c>
      <c r="J42" s="96"/>
      <c r="K42" s="97" t="e">
        <f>J42/$J$52</f>
        <v>#DIV/0!</v>
      </c>
    </row>
    <row r="43" spans="1:12" ht="15.75" thickBot="1">
      <c r="A43" s="95" t="s">
        <v>333</v>
      </c>
      <c r="B43" s="96">
        <v>1600368</v>
      </c>
      <c r="C43" s="97">
        <f t="shared" ref="C43:C51" si="12">B43/$B$52</f>
        <v>0.19515864212525719</v>
      </c>
      <c r="D43" s="96">
        <v>1841845</v>
      </c>
      <c r="E43" s="97">
        <f>D43/$D$52</f>
        <v>0.17743068951881122</v>
      </c>
      <c r="F43" s="96">
        <v>1841845</v>
      </c>
      <c r="G43" s="97">
        <f t="shared" ref="G43:G51" si="13">F43/$F$52</f>
        <v>0.17743068951881122</v>
      </c>
      <c r="H43" s="96">
        <f t="shared" ref="H43:H51" si="14">F43</f>
        <v>1841845</v>
      </c>
      <c r="I43" s="97">
        <f t="shared" ref="I43:I51" si="15">H43/$H$52</f>
        <v>0.17743068951881122</v>
      </c>
      <c r="J43" s="96"/>
      <c r="K43" s="97" t="e">
        <f t="shared" ref="K43:K51" si="16">J43/$J$52</f>
        <v>#DIV/0!</v>
      </c>
    </row>
    <row r="44" spans="1:12" ht="15.75" thickBot="1">
      <c r="A44" s="95" t="s">
        <v>334</v>
      </c>
      <c r="B44" s="96">
        <v>3315643</v>
      </c>
      <c r="C44" s="97">
        <f t="shared" si="12"/>
        <v>0.40432974519117737</v>
      </c>
      <c r="D44" s="96">
        <v>4284711</v>
      </c>
      <c r="E44" s="97">
        <f t="shared" ref="E44:E51" si="17">D44/$D$52</f>
        <v>0.41275961175822889</v>
      </c>
      <c r="F44" s="96">
        <v>4284711</v>
      </c>
      <c r="G44" s="97">
        <f t="shared" si="13"/>
        <v>0.41275961175822889</v>
      </c>
      <c r="H44" s="96">
        <f t="shared" si="14"/>
        <v>4284711</v>
      </c>
      <c r="I44" s="97">
        <f t="shared" si="15"/>
        <v>0.41275961175822889</v>
      </c>
      <c r="J44" s="96"/>
      <c r="K44" s="97" t="e">
        <f t="shared" si="16"/>
        <v>#DIV/0!</v>
      </c>
    </row>
    <row r="45" spans="1:12" ht="15.75" thickBot="1">
      <c r="A45" s="95" t="s">
        <v>336</v>
      </c>
      <c r="B45" s="96">
        <v>357846</v>
      </c>
      <c r="C45" s="97">
        <f t="shared" si="12"/>
        <v>4.3637925433372061E-2</v>
      </c>
      <c r="D45" s="96">
        <v>441178</v>
      </c>
      <c r="E45" s="97">
        <f t="shared" si="17"/>
        <v>4.2500056595712501E-2</v>
      </c>
      <c r="F45" s="96">
        <v>441178</v>
      </c>
      <c r="G45" s="97">
        <f t="shared" si="13"/>
        <v>4.2500056595712501E-2</v>
      </c>
      <c r="H45" s="96">
        <f t="shared" si="14"/>
        <v>441178</v>
      </c>
      <c r="I45" s="97">
        <f t="shared" si="15"/>
        <v>4.2500056595712501E-2</v>
      </c>
      <c r="J45" s="96"/>
      <c r="K45" s="97" t="e">
        <f t="shared" si="16"/>
        <v>#DIV/0!</v>
      </c>
    </row>
    <row r="46" spans="1:12" ht="15.75" thickBot="1">
      <c r="A46" s="95" t="s">
        <v>362</v>
      </c>
      <c r="B46" s="96">
        <v>11240</v>
      </c>
      <c r="C46" s="97">
        <f t="shared" si="12"/>
        <v>1.3706742058625834E-3</v>
      </c>
      <c r="D46" s="96">
        <v>2</v>
      </c>
      <c r="E46" s="97">
        <f t="shared" si="17"/>
        <v>1.9266625532421156E-7</v>
      </c>
      <c r="F46" s="96">
        <v>2</v>
      </c>
      <c r="G46" s="97">
        <f t="shared" si="13"/>
        <v>1.9266625532421156E-7</v>
      </c>
      <c r="H46" s="96">
        <f t="shared" si="14"/>
        <v>2</v>
      </c>
      <c r="I46" s="97">
        <f t="shared" si="15"/>
        <v>1.9266625532421156E-7</v>
      </c>
      <c r="J46" s="96"/>
      <c r="K46" s="97" t="e">
        <f t="shared" si="16"/>
        <v>#DIV/0!</v>
      </c>
    </row>
    <row r="47" spans="1:12" ht="15.75" thickBot="1">
      <c r="A47" s="95" t="s">
        <v>338</v>
      </c>
      <c r="B47" s="96">
        <v>602183</v>
      </c>
      <c r="C47" s="97">
        <f t="shared" si="12"/>
        <v>7.3433870579087901E-2</v>
      </c>
      <c r="D47" s="96">
        <v>794100</v>
      </c>
      <c r="E47" s="97">
        <f t="shared" si="17"/>
        <v>7.6498136676478201E-2</v>
      </c>
      <c r="F47" s="96">
        <v>794100</v>
      </c>
      <c r="G47" s="97">
        <f t="shared" si="13"/>
        <v>7.6498136676478201E-2</v>
      </c>
      <c r="H47" s="96">
        <f t="shared" si="14"/>
        <v>794100</v>
      </c>
      <c r="I47" s="97">
        <f t="shared" si="15"/>
        <v>7.6498136676478201E-2</v>
      </c>
      <c r="J47" s="96"/>
      <c r="K47" s="97" t="e">
        <f t="shared" si="16"/>
        <v>#DIV/0!</v>
      </c>
    </row>
    <row r="48" spans="1:12" ht="15.75" thickBot="1">
      <c r="A48" s="95" t="s">
        <v>339</v>
      </c>
      <c r="B48" s="96">
        <v>622660</v>
      </c>
      <c r="C48" s="97">
        <f t="shared" si="12"/>
        <v>7.5930960945053041E-2</v>
      </c>
      <c r="D48" s="96">
        <v>782383</v>
      </c>
      <c r="E48" s="97">
        <f t="shared" si="17"/>
        <v>7.5369401419661308E-2</v>
      </c>
      <c r="F48" s="96">
        <v>782383</v>
      </c>
      <c r="G48" s="97">
        <f t="shared" si="13"/>
        <v>7.5369401419661308E-2</v>
      </c>
      <c r="H48" s="96">
        <f t="shared" si="14"/>
        <v>782383</v>
      </c>
      <c r="I48" s="97">
        <f t="shared" si="15"/>
        <v>7.5369401419661308E-2</v>
      </c>
      <c r="J48" s="96"/>
      <c r="K48" s="97" t="e">
        <f t="shared" si="16"/>
        <v>#DIV/0!</v>
      </c>
    </row>
    <row r="49" spans="1:12" ht="15.75" thickBot="1">
      <c r="A49" s="95" t="s">
        <v>340</v>
      </c>
      <c r="B49" s="96">
        <v>890200</v>
      </c>
      <c r="C49" s="97">
        <f t="shared" si="12"/>
        <v>0.10855642153548681</v>
      </c>
      <c r="D49" s="96">
        <v>1162341</v>
      </c>
      <c r="E49" s="97">
        <f t="shared" si="17"/>
        <v>0.11197194393989969</v>
      </c>
      <c r="F49" s="96">
        <v>1162341</v>
      </c>
      <c r="G49" s="97">
        <f t="shared" si="13"/>
        <v>0.11197194393989969</v>
      </c>
      <c r="H49" s="96">
        <f t="shared" si="14"/>
        <v>1162341</v>
      </c>
      <c r="I49" s="97">
        <f t="shared" si="15"/>
        <v>0.11197194393989969</v>
      </c>
      <c r="J49" s="96"/>
      <c r="K49" s="97" t="e">
        <f t="shared" si="16"/>
        <v>#DIV/0!</v>
      </c>
    </row>
    <row r="50" spans="1:12" ht="15.75" thickBot="1">
      <c r="A50" s="95" t="s">
        <v>344</v>
      </c>
      <c r="B50" s="96">
        <v>354574</v>
      </c>
      <c r="C50" s="97">
        <f t="shared" si="12"/>
        <v>4.3238917781985728E-2</v>
      </c>
      <c r="D50" s="96">
        <v>404572</v>
      </c>
      <c r="E50" s="97">
        <f t="shared" si="17"/>
        <v>3.8973686124513456E-2</v>
      </c>
      <c r="F50" s="96">
        <v>404572</v>
      </c>
      <c r="G50" s="97">
        <f t="shared" si="13"/>
        <v>3.8973686124513456E-2</v>
      </c>
      <c r="H50" s="96">
        <f t="shared" si="14"/>
        <v>404572</v>
      </c>
      <c r="I50" s="97">
        <f t="shared" si="15"/>
        <v>3.8973686124513456E-2</v>
      </c>
      <c r="J50" s="96"/>
      <c r="K50" s="97" t="e">
        <f t="shared" si="16"/>
        <v>#DIV/0!</v>
      </c>
    </row>
    <row r="51" spans="1:12" ht="15.75" thickBot="1">
      <c r="A51" s="95" t="s">
        <v>346</v>
      </c>
      <c r="B51" s="96">
        <v>33001</v>
      </c>
      <c r="C51" s="97">
        <f t="shared" si="12"/>
        <v>4.0243433690098857E-3</v>
      </c>
      <c r="D51" s="96">
        <v>31496</v>
      </c>
      <c r="E51" s="97">
        <f t="shared" si="17"/>
        <v>3.0341081888456837E-3</v>
      </c>
      <c r="F51" s="96">
        <v>31496</v>
      </c>
      <c r="G51" s="97">
        <f t="shared" si="13"/>
        <v>3.0341081888456837E-3</v>
      </c>
      <c r="H51" s="96">
        <f t="shared" si="14"/>
        <v>31496</v>
      </c>
      <c r="I51" s="97">
        <f t="shared" si="15"/>
        <v>3.0341081888456837E-3</v>
      </c>
      <c r="J51" s="96"/>
      <c r="K51" s="97" t="e">
        <f t="shared" si="16"/>
        <v>#DIV/0!</v>
      </c>
    </row>
    <row r="52" spans="1:12" ht="15.75" thickBot="1">
      <c r="A52" s="183" t="s">
        <v>85</v>
      </c>
      <c r="B52" s="184">
        <f t="shared" ref="B52:K52" si="18">SUM(B42:B51)</f>
        <v>8200344</v>
      </c>
      <c r="C52" s="182">
        <f t="shared" si="18"/>
        <v>1</v>
      </c>
      <c r="D52" s="184">
        <f t="shared" si="18"/>
        <v>10380645</v>
      </c>
      <c r="E52" s="182">
        <f t="shared" si="18"/>
        <v>1</v>
      </c>
      <c r="F52" s="184">
        <f t="shared" si="18"/>
        <v>10380645</v>
      </c>
      <c r="G52" s="182">
        <f t="shared" si="18"/>
        <v>1</v>
      </c>
      <c r="H52" s="184">
        <f t="shared" si="18"/>
        <v>10380645</v>
      </c>
      <c r="I52" s="182">
        <f t="shared" si="18"/>
        <v>1</v>
      </c>
      <c r="J52" s="184">
        <f t="shared" si="18"/>
        <v>0</v>
      </c>
      <c r="K52" s="182" t="e">
        <f t="shared" si="18"/>
        <v>#DIV/0!</v>
      </c>
    </row>
    <row r="53" spans="1:12" ht="15.75" thickBot="1"/>
    <row r="54" spans="1:12" ht="15.75" thickBot="1">
      <c r="A54" s="1148" t="s">
        <v>363</v>
      </c>
      <c r="B54" s="1149"/>
      <c r="C54" s="1149"/>
      <c r="D54" s="1149"/>
      <c r="E54" s="1149"/>
      <c r="F54" s="1149"/>
      <c r="G54" s="1149"/>
      <c r="H54" s="1149"/>
      <c r="I54" s="1149"/>
      <c r="J54" s="1149"/>
      <c r="K54" s="1150"/>
      <c r="L54" s="101"/>
    </row>
    <row r="55" spans="1:12" ht="15.75" thickBot="1">
      <c r="A55" s="180" t="s">
        <v>326</v>
      </c>
      <c r="B55" s="181" t="s">
        <v>328</v>
      </c>
      <c r="C55" s="181" t="s">
        <v>240</v>
      </c>
      <c r="D55" s="181" t="s">
        <v>328</v>
      </c>
      <c r="E55" s="181" t="s">
        <v>240</v>
      </c>
      <c r="F55" s="181" t="s">
        <v>328</v>
      </c>
      <c r="G55" s="181" t="s">
        <v>240</v>
      </c>
      <c r="H55" s="181" t="s">
        <v>328</v>
      </c>
      <c r="I55" s="181" t="s">
        <v>240</v>
      </c>
      <c r="J55" s="181" t="s">
        <v>328</v>
      </c>
      <c r="K55" s="181" t="s">
        <v>240</v>
      </c>
      <c r="L55" s="105"/>
    </row>
    <row r="56" spans="1:12" ht="15.75" thickBot="1">
      <c r="A56" s="95" t="s">
        <v>350</v>
      </c>
      <c r="B56" s="96">
        <v>11153</v>
      </c>
      <c r="C56" s="97">
        <f t="shared" ref="C56:C61" si="19">B56/$B$62</f>
        <v>1.0984605990170683E-2</v>
      </c>
      <c r="D56" s="96">
        <v>13406</v>
      </c>
      <c r="E56" s="97">
        <f t="shared" ref="E56:E61" si="20">D56/$D$62</f>
        <v>9.9781472174917535E-3</v>
      </c>
      <c r="F56" s="96">
        <v>13406</v>
      </c>
      <c r="G56" s="97">
        <f t="shared" ref="G56:G61" si="21">F56/$F$62</f>
        <v>9.9781472174917535E-3</v>
      </c>
      <c r="H56" s="96">
        <f>F56</f>
        <v>13406</v>
      </c>
      <c r="I56" s="97">
        <f t="shared" ref="I56:I61" si="22">H56/$H$62</f>
        <v>9.9781472174917535E-3</v>
      </c>
      <c r="J56" s="96"/>
      <c r="K56" s="97" t="e">
        <f t="shared" ref="K56:K61" si="23">J56/$J$62</f>
        <v>#DIV/0!</v>
      </c>
    </row>
    <row r="57" spans="1:12" ht="15.75" thickBot="1">
      <c r="A57" s="95" t="s">
        <v>351</v>
      </c>
      <c r="B57" s="96">
        <v>92123</v>
      </c>
      <c r="C57" s="97">
        <f t="shared" si="19"/>
        <v>9.0732077255670576E-2</v>
      </c>
      <c r="D57" s="96">
        <v>115124</v>
      </c>
      <c r="E57" s="97">
        <f t="shared" si="20"/>
        <v>8.5687320622595903E-2</v>
      </c>
      <c r="F57" s="96">
        <v>115124</v>
      </c>
      <c r="G57" s="97">
        <f t="shared" si="21"/>
        <v>8.5687320622595903E-2</v>
      </c>
      <c r="H57" s="96">
        <f t="shared" ref="H57:H60" si="24">F57</f>
        <v>115124</v>
      </c>
      <c r="I57" s="97">
        <f t="shared" si="22"/>
        <v>8.5687320622595903E-2</v>
      </c>
      <c r="J57" s="96"/>
      <c r="K57" s="97" t="e">
        <f t="shared" si="23"/>
        <v>#DIV/0!</v>
      </c>
    </row>
    <row r="58" spans="1:12" ht="15.75" thickBot="1">
      <c r="A58" s="95" t="s">
        <v>355</v>
      </c>
      <c r="B58" s="96">
        <v>62194</v>
      </c>
      <c r="C58" s="97">
        <f t="shared" si="19"/>
        <v>6.1254961441107821E-2</v>
      </c>
      <c r="D58" s="96">
        <v>85183</v>
      </c>
      <c r="E58" s="97">
        <f t="shared" si="20"/>
        <v>6.3402097152588391E-2</v>
      </c>
      <c r="F58" s="96">
        <v>85183</v>
      </c>
      <c r="G58" s="97">
        <f t="shared" si="21"/>
        <v>6.3402097152588391E-2</v>
      </c>
      <c r="H58" s="96">
        <f t="shared" si="24"/>
        <v>85183</v>
      </c>
      <c r="I58" s="97">
        <f t="shared" si="22"/>
        <v>6.3402097152588391E-2</v>
      </c>
      <c r="J58" s="96"/>
      <c r="K58" s="97" t="e">
        <f t="shared" si="23"/>
        <v>#DIV/0!</v>
      </c>
    </row>
    <row r="59" spans="1:12" ht="15.75" thickBot="1">
      <c r="A59" s="95" t="s">
        <v>356</v>
      </c>
      <c r="B59" s="96">
        <v>568453</v>
      </c>
      <c r="C59" s="97">
        <f t="shared" si="19"/>
        <v>0.55987018998749172</v>
      </c>
      <c r="D59" s="96">
        <v>779893</v>
      </c>
      <c r="E59" s="97">
        <f t="shared" si="20"/>
        <v>0.58047793285777227</v>
      </c>
      <c r="F59" s="96">
        <v>779893</v>
      </c>
      <c r="G59" s="97">
        <f t="shared" si="21"/>
        <v>0.58047793285777227</v>
      </c>
      <c r="H59" s="96">
        <f t="shared" si="24"/>
        <v>779893</v>
      </c>
      <c r="I59" s="97">
        <f t="shared" si="22"/>
        <v>0.58047793285777227</v>
      </c>
      <c r="J59" s="96"/>
      <c r="K59" s="97" t="e">
        <f t="shared" si="23"/>
        <v>#DIV/0!</v>
      </c>
    </row>
    <row r="60" spans="1:12" ht="15.75" thickBot="1">
      <c r="A60" s="95" t="s">
        <v>358</v>
      </c>
      <c r="B60" s="96">
        <v>196671</v>
      </c>
      <c r="C60" s="97">
        <f t="shared" si="19"/>
        <v>0.19370155515940629</v>
      </c>
      <c r="D60" s="96">
        <v>245417</v>
      </c>
      <c r="E60" s="97">
        <f t="shared" si="20"/>
        <v>0.18266499743959225</v>
      </c>
      <c r="F60" s="96">
        <v>245417</v>
      </c>
      <c r="G60" s="97">
        <f t="shared" si="21"/>
        <v>0.18266499743959225</v>
      </c>
      <c r="H60" s="96">
        <f t="shared" si="24"/>
        <v>245417</v>
      </c>
      <c r="I60" s="97">
        <f t="shared" si="22"/>
        <v>0.18266499743959225</v>
      </c>
      <c r="J60" s="96"/>
      <c r="K60" s="97" t="e">
        <f t="shared" si="23"/>
        <v>#DIV/0!</v>
      </c>
    </row>
    <row r="61" spans="1:12" ht="15.75" thickBot="1">
      <c r="A61" s="95" t="s">
        <v>360</v>
      </c>
      <c r="B61" s="96">
        <v>84736</v>
      </c>
      <c r="C61" s="97">
        <f t="shared" si="19"/>
        <v>8.345661016615287E-2</v>
      </c>
      <c r="D61" s="96">
        <v>104513</v>
      </c>
      <c r="E61" s="97">
        <f t="shared" si="20"/>
        <v>7.7789504709959392E-2</v>
      </c>
      <c r="F61" s="96">
        <v>104513</v>
      </c>
      <c r="G61" s="97">
        <f t="shared" si="21"/>
        <v>7.7789504709959392E-2</v>
      </c>
      <c r="H61" s="96">
        <f>F61</f>
        <v>104513</v>
      </c>
      <c r="I61" s="97">
        <f t="shared" si="22"/>
        <v>7.7789504709959392E-2</v>
      </c>
      <c r="J61" s="96"/>
      <c r="K61" s="97" t="e">
        <f t="shared" si="23"/>
        <v>#DIV/0!</v>
      </c>
    </row>
    <row r="62" spans="1:12" ht="15.75" thickBot="1">
      <c r="A62" s="183" t="s">
        <v>347</v>
      </c>
      <c r="B62" s="184">
        <f t="shared" ref="B62:K62" si="25">SUM(B56:B61)</f>
        <v>1015330</v>
      </c>
      <c r="C62" s="182">
        <f t="shared" si="25"/>
        <v>1</v>
      </c>
      <c r="D62" s="184">
        <f t="shared" si="25"/>
        <v>1343536</v>
      </c>
      <c r="E62" s="182">
        <f t="shared" si="25"/>
        <v>0.99999999999999989</v>
      </c>
      <c r="F62" s="184">
        <f t="shared" si="25"/>
        <v>1343536</v>
      </c>
      <c r="G62" s="182">
        <f t="shared" si="25"/>
        <v>0.99999999999999989</v>
      </c>
      <c r="H62" s="184">
        <f t="shared" si="25"/>
        <v>1343536</v>
      </c>
      <c r="I62" s="182">
        <f t="shared" si="25"/>
        <v>0.99999999999999989</v>
      </c>
      <c r="J62" s="184">
        <f t="shared" si="25"/>
        <v>0</v>
      </c>
      <c r="K62" s="182" t="e">
        <f t="shared" si="25"/>
        <v>#DIV/0!</v>
      </c>
    </row>
    <row r="63" spans="1:12" ht="15.75" thickBot="1"/>
    <row r="64" spans="1:12" ht="15.75" thickBot="1">
      <c r="A64" s="1148" t="s">
        <v>364</v>
      </c>
      <c r="B64" s="1151"/>
      <c r="C64" s="1151"/>
      <c r="D64" s="1149"/>
      <c r="E64" s="1149"/>
      <c r="F64" s="1149"/>
      <c r="G64" s="1149"/>
      <c r="H64" s="1149"/>
      <c r="I64" s="1149"/>
      <c r="J64" s="1149"/>
      <c r="K64" s="1149"/>
      <c r="L64" s="1150"/>
    </row>
    <row r="65" spans="1:12" ht="15.75" thickBot="1">
      <c r="A65" s="1154" t="s">
        <v>326</v>
      </c>
      <c r="B65" s="797">
        <v>2009</v>
      </c>
      <c r="C65" s="798"/>
      <c r="D65" s="1148">
        <v>2010</v>
      </c>
      <c r="E65" s="1150"/>
      <c r="F65" s="1148">
        <v>2011</v>
      </c>
      <c r="G65" s="1150"/>
      <c r="H65" s="1148">
        <v>2012</v>
      </c>
      <c r="I65" s="1149"/>
      <c r="J65" s="1148">
        <v>2013</v>
      </c>
      <c r="K65" s="1150"/>
      <c r="L65" s="1152" t="s">
        <v>349</v>
      </c>
    </row>
    <row r="66" spans="1:12" ht="15.75" thickBot="1">
      <c r="A66" s="1155"/>
      <c r="B66" s="295" t="s">
        <v>328</v>
      </c>
      <c r="C66" s="446" t="s">
        <v>240</v>
      </c>
      <c r="D66" s="295" t="s">
        <v>328</v>
      </c>
      <c r="E66" s="296" t="s">
        <v>240</v>
      </c>
      <c r="F66" s="295" t="s">
        <v>328</v>
      </c>
      <c r="G66" s="296" t="s">
        <v>240</v>
      </c>
      <c r="H66" s="295" t="s">
        <v>328</v>
      </c>
      <c r="I66" s="296" t="s">
        <v>240</v>
      </c>
      <c r="J66" s="295" t="s">
        <v>328</v>
      </c>
      <c r="K66" s="296" t="s">
        <v>240</v>
      </c>
      <c r="L66" s="1153"/>
    </row>
    <row r="67" spans="1:12" ht="15.75" thickBot="1">
      <c r="A67" s="458" t="s">
        <v>329</v>
      </c>
      <c r="B67" s="74">
        <v>24778</v>
      </c>
      <c r="C67" s="108">
        <f>B67/B$76</f>
        <v>1.6090017864088767E-2</v>
      </c>
      <c r="D67" s="116">
        <v>12724</v>
      </c>
      <c r="E67" s="112">
        <f>D67/D$76</f>
        <v>1.1880918166020984E-2</v>
      </c>
      <c r="F67" s="116">
        <v>12724</v>
      </c>
      <c r="G67" s="112">
        <f>F67/F$76</f>
        <v>1.1880918166020984E-2</v>
      </c>
      <c r="H67" s="453">
        <f>F67</f>
        <v>12724</v>
      </c>
      <c r="I67" s="112">
        <f>H67/H$76</f>
        <v>1.1880918166020984E-2</v>
      </c>
      <c r="J67" s="453"/>
      <c r="K67" s="112" t="e">
        <f>J67/J$76</f>
        <v>#DIV/0!</v>
      </c>
      <c r="L67" s="120">
        <v>7.2</v>
      </c>
    </row>
    <row r="68" spans="1:12" ht="15.75" thickBot="1">
      <c r="A68" s="458" t="s">
        <v>332</v>
      </c>
      <c r="B68" s="75">
        <v>82746</v>
      </c>
      <c r="C68" s="109">
        <f t="shared" ref="C68:C75" si="26">B68/B$76</f>
        <v>5.3732529590035071E-2</v>
      </c>
      <c r="D68" s="116">
        <v>67834</v>
      </c>
      <c r="E68" s="113">
        <f t="shared" ref="E68:E75" si="27">D68/D$76</f>
        <v>6.3339374636424667E-2</v>
      </c>
      <c r="F68" s="116">
        <v>67834</v>
      </c>
      <c r="G68" s="113">
        <f t="shared" ref="G68:G75" si="28">F68/F$76</f>
        <v>6.3339374636424667E-2</v>
      </c>
      <c r="H68" s="453">
        <f t="shared" ref="H68:H75" si="29">F68</f>
        <v>67834</v>
      </c>
      <c r="I68" s="113">
        <f t="shared" ref="I68:I75" si="30">H68/H$76</f>
        <v>6.3339374636424667E-2</v>
      </c>
      <c r="J68" s="454"/>
      <c r="K68" s="113" t="e">
        <f t="shared" ref="K68:K75" si="31">J68/J$76</f>
        <v>#DIV/0!</v>
      </c>
      <c r="L68" s="121">
        <v>7.3</v>
      </c>
    </row>
    <row r="69" spans="1:12" ht="15.75" thickBot="1">
      <c r="A69" s="458" t="s">
        <v>333</v>
      </c>
      <c r="B69" s="75">
        <v>332622</v>
      </c>
      <c r="C69" s="109">
        <f t="shared" si="26"/>
        <v>0.2159937816607044</v>
      </c>
      <c r="D69" s="116">
        <v>224540</v>
      </c>
      <c r="E69" s="113">
        <f t="shared" si="27"/>
        <v>0.2096621632347023</v>
      </c>
      <c r="F69" s="116">
        <v>224540</v>
      </c>
      <c r="G69" s="113">
        <f t="shared" si="28"/>
        <v>0.2096621632347023</v>
      </c>
      <c r="H69" s="453">
        <f t="shared" si="29"/>
        <v>224540</v>
      </c>
      <c r="I69" s="113">
        <f t="shared" si="30"/>
        <v>0.2096621632347023</v>
      </c>
      <c r="J69" s="455"/>
      <c r="K69" s="113" t="e">
        <f t="shared" si="31"/>
        <v>#DIV/0!</v>
      </c>
      <c r="L69" s="121">
        <v>7.3</v>
      </c>
    </row>
    <row r="70" spans="1:12" ht="15.75" thickBot="1">
      <c r="A70" s="458" t="s">
        <v>334</v>
      </c>
      <c r="B70" s="75">
        <v>64160</v>
      </c>
      <c r="C70" s="109">
        <f t="shared" si="26"/>
        <v>4.1663392774232595E-2</v>
      </c>
      <c r="D70" s="116">
        <v>62249</v>
      </c>
      <c r="E70" s="113">
        <f t="shared" si="27"/>
        <v>5.8124432168865162E-2</v>
      </c>
      <c r="F70" s="116">
        <v>62249</v>
      </c>
      <c r="G70" s="113">
        <f t="shared" si="28"/>
        <v>5.8124432168865162E-2</v>
      </c>
      <c r="H70" s="453">
        <f t="shared" si="29"/>
        <v>62249</v>
      </c>
      <c r="I70" s="113">
        <f t="shared" si="30"/>
        <v>5.8124432168865162E-2</v>
      </c>
      <c r="J70" s="454"/>
      <c r="K70" s="113" t="e">
        <f t="shared" si="31"/>
        <v>#DIV/0!</v>
      </c>
      <c r="L70" s="121">
        <v>7.6</v>
      </c>
    </row>
    <row r="71" spans="1:12" ht="15.75" thickBot="1">
      <c r="A71" s="458" t="s">
        <v>337</v>
      </c>
      <c r="B71" s="75">
        <v>282627</v>
      </c>
      <c r="C71" s="109">
        <f t="shared" si="26"/>
        <v>0.18352867377810217</v>
      </c>
      <c r="D71" s="116">
        <v>180201</v>
      </c>
      <c r="E71" s="113">
        <f t="shared" si="27"/>
        <v>0.16826102911310495</v>
      </c>
      <c r="F71" s="116">
        <v>180201</v>
      </c>
      <c r="G71" s="113">
        <f t="shared" si="28"/>
        <v>0.16826102911310495</v>
      </c>
      <c r="H71" s="453">
        <f t="shared" si="29"/>
        <v>180201</v>
      </c>
      <c r="I71" s="113">
        <f t="shared" si="30"/>
        <v>0.16826102911310495</v>
      </c>
      <c r="J71" s="454"/>
      <c r="K71" s="113" t="e">
        <f t="shared" si="31"/>
        <v>#DIV/0!</v>
      </c>
      <c r="L71" s="121">
        <v>5.7</v>
      </c>
    </row>
    <row r="72" spans="1:12" ht="15.75" thickBot="1">
      <c r="A72" s="458" t="s">
        <v>338</v>
      </c>
      <c r="B72" s="75">
        <v>276904</v>
      </c>
      <c r="C72" s="109">
        <f t="shared" si="26"/>
        <v>0.17981234589707143</v>
      </c>
      <c r="D72" s="116">
        <v>191658</v>
      </c>
      <c r="E72" s="113">
        <f t="shared" si="27"/>
        <v>0.1789588976629401</v>
      </c>
      <c r="F72" s="116">
        <v>191658</v>
      </c>
      <c r="G72" s="113">
        <f t="shared" si="28"/>
        <v>0.1789588976629401</v>
      </c>
      <c r="H72" s="453">
        <f t="shared" si="29"/>
        <v>191658</v>
      </c>
      <c r="I72" s="113">
        <f t="shared" si="30"/>
        <v>0.1789588976629401</v>
      </c>
      <c r="J72" s="454"/>
      <c r="K72" s="113" t="e">
        <f t="shared" si="31"/>
        <v>#DIV/0!</v>
      </c>
      <c r="L72" s="121">
        <v>7</v>
      </c>
    </row>
    <row r="73" spans="1:12" ht="15.75" thickBot="1">
      <c r="A73" s="458" t="s">
        <v>339</v>
      </c>
      <c r="B73" s="75">
        <v>264921</v>
      </c>
      <c r="C73" s="109">
        <f t="shared" si="26"/>
        <v>0.17203098000533779</v>
      </c>
      <c r="D73" s="116">
        <v>173418</v>
      </c>
      <c r="E73" s="113">
        <f t="shared" si="27"/>
        <v>0.16192746514578962</v>
      </c>
      <c r="F73" s="116">
        <v>173418</v>
      </c>
      <c r="G73" s="113">
        <f t="shared" si="28"/>
        <v>0.16192746514578962</v>
      </c>
      <c r="H73" s="453">
        <f t="shared" si="29"/>
        <v>173418</v>
      </c>
      <c r="I73" s="113">
        <f t="shared" si="30"/>
        <v>0.16192746514578962</v>
      </c>
      <c r="J73" s="454"/>
      <c r="K73" s="113" t="e">
        <f t="shared" si="31"/>
        <v>#DIV/0!</v>
      </c>
      <c r="L73" s="121">
        <v>7.3</v>
      </c>
    </row>
    <row r="74" spans="1:12" ht="15.75" thickBot="1">
      <c r="A74" s="458" t="s">
        <v>340</v>
      </c>
      <c r="B74" s="75">
        <v>51314</v>
      </c>
      <c r="C74" s="109">
        <f t="shared" si="26"/>
        <v>3.3321623080065012E-2</v>
      </c>
      <c r="D74" s="116">
        <v>49786</v>
      </c>
      <c r="E74" s="113">
        <f t="shared" si="27"/>
        <v>4.6487220356296821E-2</v>
      </c>
      <c r="F74" s="116">
        <v>49786</v>
      </c>
      <c r="G74" s="113">
        <f t="shared" si="28"/>
        <v>4.6487220356296821E-2</v>
      </c>
      <c r="H74" s="453">
        <f t="shared" si="29"/>
        <v>49786</v>
      </c>
      <c r="I74" s="113">
        <f t="shared" si="30"/>
        <v>4.6487220356296821E-2</v>
      </c>
      <c r="J74" s="454"/>
      <c r="K74" s="113" t="e">
        <f t="shared" si="31"/>
        <v>#DIV/0!</v>
      </c>
      <c r="L74" s="121">
        <v>7.3</v>
      </c>
    </row>
    <row r="75" spans="1:12" ht="15.75" thickBot="1">
      <c r="A75" s="458" t="s">
        <v>344</v>
      </c>
      <c r="B75" s="76">
        <v>159889</v>
      </c>
      <c r="C75" s="236">
        <f t="shared" si="26"/>
        <v>0.10382665535036277</v>
      </c>
      <c r="D75" s="116">
        <v>108551</v>
      </c>
      <c r="E75" s="115">
        <f t="shared" si="27"/>
        <v>0.10135849951585539</v>
      </c>
      <c r="F75" s="116">
        <v>108551</v>
      </c>
      <c r="G75" s="115">
        <f t="shared" si="28"/>
        <v>0.10135849951585539</v>
      </c>
      <c r="H75" s="453">
        <f t="shared" si="29"/>
        <v>108551</v>
      </c>
      <c r="I75" s="115">
        <f t="shared" si="30"/>
        <v>0.10135849951585539</v>
      </c>
      <c r="J75" s="456"/>
      <c r="K75" s="115" t="e">
        <f t="shared" si="31"/>
        <v>#DIV/0!</v>
      </c>
      <c r="L75" s="463">
        <v>7.2</v>
      </c>
    </row>
    <row r="76" spans="1:12" ht="15.75" thickBot="1">
      <c r="A76" s="99" t="s">
        <v>347</v>
      </c>
      <c r="B76" s="461">
        <f t="shared" ref="B76:K76" si="32">SUM(B67:B75)</f>
        <v>1539961</v>
      </c>
      <c r="C76" s="462">
        <f t="shared" si="32"/>
        <v>0.99999999999999989</v>
      </c>
      <c r="D76" s="457">
        <f t="shared" si="32"/>
        <v>1070961</v>
      </c>
      <c r="E76" s="462">
        <f t="shared" si="32"/>
        <v>0.99999999999999989</v>
      </c>
      <c r="F76" s="457">
        <f t="shared" si="32"/>
        <v>1070961</v>
      </c>
      <c r="G76" s="462">
        <f t="shared" si="32"/>
        <v>0.99999999999999989</v>
      </c>
      <c r="H76" s="457">
        <f t="shared" si="32"/>
        <v>1070961</v>
      </c>
      <c r="I76" s="462">
        <f t="shared" si="32"/>
        <v>0.99999999999999989</v>
      </c>
      <c r="J76" s="457">
        <f t="shared" si="32"/>
        <v>0</v>
      </c>
      <c r="K76" s="462" t="e">
        <f t="shared" si="32"/>
        <v>#DIV/0!</v>
      </c>
    </row>
    <row r="77" spans="1:12" ht="15.75" thickBot="1"/>
    <row r="78" spans="1:12" ht="15.75" thickBot="1">
      <c r="A78" s="1148" t="s">
        <v>365</v>
      </c>
      <c r="B78" s="1151"/>
      <c r="C78" s="1151"/>
      <c r="D78" s="1149"/>
      <c r="E78" s="1149"/>
      <c r="F78" s="1149"/>
      <c r="G78" s="1149"/>
      <c r="H78" s="1149"/>
      <c r="I78" s="1149"/>
      <c r="J78" s="1149"/>
      <c r="K78" s="1149"/>
      <c r="L78" s="1150"/>
    </row>
    <row r="79" spans="1:12" ht="15.75" thickBot="1">
      <c r="A79" s="1154" t="s">
        <v>326</v>
      </c>
      <c r="B79" s="797">
        <v>2009</v>
      </c>
      <c r="C79" s="798"/>
      <c r="D79" s="1148">
        <v>2010</v>
      </c>
      <c r="E79" s="1150"/>
      <c r="F79" s="1148">
        <v>2011</v>
      </c>
      <c r="G79" s="1150"/>
      <c r="H79" s="1148">
        <v>2012</v>
      </c>
      <c r="I79" s="1149"/>
      <c r="J79" s="1148">
        <v>2013</v>
      </c>
      <c r="K79" s="1150"/>
      <c r="L79" s="1156" t="s">
        <v>349</v>
      </c>
    </row>
    <row r="80" spans="1:12" ht="15.75" thickBot="1">
      <c r="A80" s="1155"/>
      <c r="B80" s="180" t="s">
        <v>328</v>
      </c>
      <c r="C80" s="285" t="s">
        <v>240</v>
      </c>
      <c r="D80" s="180" t="s">
        <v>328</v>
      </c>
      <c r="E80" s="181" t="s">
        <v>240</v>
      </c>
      <c r="F80" s="180" t="s">
        <v>328</v>
      </c>
      <c r="G80" s="181" t="s">
        <v>240</v>
      </c>
      <c r="H80" s="180" t="s">
        <v>328</v>
      </c>
      <c r="I80" s="181" t="s">
        <v>240</v>
      </c>
      <c r="J80" s="180" t="s">
        <v>328</v>
      </c>
      <c r="K80" s="181" t="s">
        <v>240</v>
      </c>
      <c r="L80" s="1157"/>
    </row>
    <row r="81" spans="1:12" ht="15.75" thickBot="1">
      <c r="A81" s="458" t="s">
        <v>350</v>
      </c>
      <c r="B81" s="466">
        <v>3014</v>
      </c>
      <c r="C81" s="467">
        <f>B81/B$88</f>
        <v>1.8931685133539357E-2</v>
      </c>
      <c r="D81" s="468">
        <v>1995</v>
      </c>
      <c r="E81" s="469">
        <f>D81/D$88</f>
        <v>1.7299387801113404E-2</v>
      </c>
      <c r="F81" s="468">
        <v>1995</v>
      </c>
      <c r="G81" s="469">
        <f>F81/F$88</f>
        <v>1.7299387801113404E-2</v>
      </c>
      <c r="H81" s="468">
        <f>F81</f>
        <v>1995</v>
      </c>
      <c r="I81" s="469">
        <f>H81/H$88</f>
        <v>1.7299387801113404E-2</v>
      </c>
      <c r="J81" s="468"/>
      <c r="K81" s="469" t="e">
        <f>J81/J$88</f>
        <v>#DIV/0!</v>
      </c>
      <c r="L81" s="459">
        <v>5.7</v>
      </c>
    </row>
    <row r="82" spans="1:12" ht="15.75" thickBot="1">
      <c r="A82" s="458" t="s">
        <v>351</v>
      </c>
      <c r="B82" s="68">
        <v>17409</v>
      </c>
      <c r="C82" s="109">
        <f t="shared" ref="C82:C87" si="33">B82/B$88</f>
        <v>0.10935026758121655</v>
      </c>
      <c r="D82" s="468">
        <v>10189</v>
      </c>
      <c r="E82" s="113">
        <f t="shared" ref="E82:E87" si="34">D82/D$88</f>
        <v>8.8352612684483453E-2</v>
      </c>
      <c r="F82" s="468">
        <v>10189</v>
      </c>
      <c r="G82" s="113">
        <f t="shared" ref="G82:G87" si="35">F82/F$88</f>
        <v>8.8352612684483453E-2</v>
      </c>
      <c r="H82" s="468">
        <f t="shared" ref="H82:H87" si="36">F82</f>
        <v>10189</v>
      </c>
      <c r="I82" s="113">
        <f t="shared" ref="I82:I87" si="37">H82/H$88</f>
        <v>8.8352612684483453E-2</v>
      </c>
      <c r="J82" s="117"/>
      <c r="K82" s="113" t="e">
        <f t="shared" ref="K82:K87" si="38">J82/J$88</f>
        <v>#DIV/0!</v>
      </c>
      <c r="L82" s="460">
        <v>7.2</v>
      </c>
    </row>
    <row r="83" spans="1:12" ht="15.75" thickBot="1">
      <c r="A83" s="458" t="s">
        <v>353</v>
      </c>
      <c r="B83" s="68">
        <v>591</v>
      </c>
      <c r="C83" s="109">
        <f t="shared" si="33"/>
        <v>3.7122182859727145E-3</v>
      </c>
      <c r="D83" s="468">
        <v>125</v>
      </c>
      <c r="E83" s="113">
        <f t="shared" si="34"/>
        <v>1.0839215414231455E-3</v>
      </c>
      <c r="F83" s="468">
        <v>125</v>
      </c>
      <c r="G83" s="113">
        <f t="shared" si="35"/>
        <v>1.0839215414231455E-3</v>
      </c>
      <c r="H83" s="468">
        <f t="shared" si="36"/>
        <v>125</v>
      </c>
      <c r="I83" s="113">
        <f t="shared" si="37"/>
        <v>1.0839215414231455E-3</v>
      </c>
      <c r="J83" s="117"/>
      <c r="K83" s="113" t="e">
        <f t="shared" si="38"/>
        <v>#DIV/0!</v>
      </c>
      <c r="L83" s="460">
        <v>5.3</v>
      </c>
    </row>
    <row r="84" spans="1:12" ht="15.75" thickBot="1">
      <c r="A84" s="458" t="s">
        <v>354</v>
      </c>
      <c r="B84" s="68">
        <v>9707</v>
      </c>
      <c r="C84" s="109">
        <f t="shared" si="33"/>
        <v>6.0972086128489235E-2</v>
      </c>
      <c r="D84" s="468">
        <v>15799</v>
      </c>
      <c r="E84" s="113">
        <f t="shared" si="34"/>
        <v>0.13699901146355423</v>
      </c>
      <c r="F84" s="468">
        <v>15799</v>
      </c>
      <c r="G84" s="113">
        <f t="shared" si="35"/>
        <v>0.13699901146355423</v>
      </c>
      <c r="H84" s="468">
        <f t="shared" si="36"/>
        <v>15799</v>
      </c>
      <c r="I84" s="113">
        <f t="shared" si="37"/>
        <v>0.13699901146355423</v>
      </c>
      <c r="J84" s="117"/>
      <c r="K84" s="113" t="e">
        <f t="shared" si="38"/>
        <v>#DIV/0!</v>
      </c>
      <c r="L84" s="460">
        <v>5.3</v>
      </c>
    </row>
    <row r="85" spans="1:12" ht="15.75" thickBot="1">
      <c r="A85" s="458" t="s">
        <v>356</v>
      </c>
      <c r="B85" s="68">
        <v>107456</v>
      </c>
      <c r="C85" s="109">
        <f t="shared" si="33"/>
        <v>0.67495791563026053</v>
      </c>
      <c r="D85" s="468">
        <v>72034</v>
      </c>
      <c r="E85" s="113">
        <f t="shared" si="34"/>
        <v>0.624633634518999</v>
      </c>
      <c r="F85" s="468">
        <v>72034</v>
      </c>
      <c r="G85" s="113">
        <f t="shared" si="35"/>
        <v>0.624633634518999</v>
      </c>
      <c r="H85" s="468">
        <f t="shared" si="36"/>
        <v>72034</v>
      </c>
      <c r="I85" s="113">
        <f t="shared" si="37"/>
        <v>0.624633634518999</v>
      </c>
      <c r="J85" s="117"/>
      <c r="K85" s="113" t="e">
        <f t="shared" si="38"/>
        <v>#DIV/0!</v>
      </c>
      <c r="L85" s="460">
        <v>7</v>
      </c>
    </row>
    <row r="86" spans="1:12" ht="15.75" thickBot="1">
      <c r="A86" s="458" t="s">
        <v>358</v>
      </c>
      <c r="B86" s="68">
        <v>1050</v>
      </c>
      <c r="C86" s="109">
        <f t="shared" si="33"/>
        <v>6.5953116755860406E-3</v>
      </c>
      <c r="D86" s="468">
        <v>897</v>
      </c>
      <c r="E86" s="113">
        <f t="shared" si="34"/>
        <v>7.7782209812524931E-3</v>
      </c>
      <c r="F86" s="468">
        <v>897</v>
      </c>
      <c r="G86" s="113">
        <f t="shared" si="35"/>
        <v>7.7782209812524931E-3</v>
      </c>
      <c r="H86" s="468">
        <f t="shared" si="36"/>
        <v>897</v>
      </c>
      <c r="I86" s="113">
        <f t="shared" si="37"/>
        <v>7.7782209812524931E-3</v>
      </c>
      <c r="J86" s="117"/>
      <c r="K86" s="113" t="e">
        <f t="shared" si="38"/>
        <v>#DIV/0!</v>
      </c>
      <c r="L86" s="460">
        <v>5.7</v>
      </c>
    </row>
    <row r="87" spans="1:12" ht="15.75" thickBot="1">
      <c r="A87" s="458" t="s">
        <v>360</v>
      </c>
      <c r="B87" s="68">
        <v>19977</v>
      </c>
      <c r="C87" s="109">
        <f t="shared" si="33"/>
        <v>0.12548051556493556</v>
      </c>
      <c r="D87" s="468">
        <v>14283</v>
      </c>
      <c r="E87" s="115">
        <f t="shared" si="34"/>
        <v>0.12385321100917432</v>
      </c>
      <c r="F87" s="468">
        <v>14283</v>
      </c>
      <c r="G87" s="115">
        <f t="shared" si="35"/>
        <v>0.12385321100917432</v>
      </c>
      <c r="H87" s="468">
        <f t="shared" si="36"/>
        <v>14283</v>
      </c>
      <c r="I87" s="115">
        <f t="shared" si="37"/>
        <v>0.12385321100917432</v>
      </c>
      <c r="J87" s="118"/>
      <c r="K87" s="115" t="e">
        <f t="shared" si="38"/>
        <v>#DIV/0!</v>
      </c>
      <c r="L87" s="460">
        <v>5.7</v>
      </c>
    </row>
    <row r="88" spans="1:12" ht="15.75" thickBot="1">
      <c r="A88" s="183" t="s">
        <v>347</v>
      </c>
      <c r="B88" s="464">
        <f t="shared" ref="B88:K88" si="39">SUM(B81:B87)</f>
        <v>159204</v>
      </c>
      <c r="C88" s="465">
        <f t="shared" si="39"/>
        <v>1</v>
      </c>
      <c r="D88" s="184">
        <f t="shared" si="39"/>
        <v>115322</v>
      </c>
      <c r="E88" s="465">
        <f t="shared" si="39"/>
        <v>1</v>
      </c>
      <c r="F88" s="184">
        <f t="shared" si="39"/>
        <v>115322</v>
      </c>
      <c r="G88" s="465">
        <f t="shared" si="39"/>
        <v>1</v>
      </c>
      <c r="H88" s="184">
        <f t="shared" si="39"/>
        <v>115322</v>
      </c>
      <c r="I88" s="465">
        <f t="shared" si="39"/>
        <v>1</v>
      </c>
      <c r="J88" s="184">
        <f t="shared" si="39"/>
        <v>0</v>
      </c>
      <c r="K88" s="465" t="e">
        <f t="shared" si="39"/>
        <v>#DIV/0!</v>
      </c>
    </row>
    <row r="89" spans="1:12" ht="15.75" thickBot="1"/>
    <row r="90" spans="1:12" ht="15.75" thickBot="1">
      <c r="A90" s="1148" t="s">
        <v>366</v>
      </c>
      <c r="B90" s="1151"/>
      <c r="C90" s="1151"/>
      <c r="D90" s="1149"/>
      <c r="E90" s="1149"/>
      <c r="F90" s="1149"/>
      <c r="G90" s="1149"/>
      <c r="H90" s="1149"/>
      <c r="I90" s="1149"/>
      <c r="J90" s="1149"/>
      <c r="K90" s="1149"/>
      <c r="L90" s="1150"/>
    </row>
    <row r="91" spans="1:12" ht="15.75" thickBot="1">
      <c r="A91" s="1154" t="s">
        <v>326</v>
      </c>
      <c r="B91" s="1148">
        <v>2009</v>
      </c>
      <c r="C91" s="1150"/>
      <c r="D91" s="1148">
        <v>2010</v>
      </c>
      <c r="E91" s="1150"/>
      <c r="F91" s="1148">
        <v>2011</v>
      </c>
      <c r="G91" s="1150"/>
      <c r="H91" s="1148">
        <v>2012</v>
      </c>
      <c r="I91" s="1149"/>
      <c r="J91" s="1148">
        <v>2013</v>
      </c>
      <c r="K91" s="1150"/>
      <c r="L91" s="1156" t="s">
        <v>349</v>
      </c>
    </row>
    <row r="92" spans="1:12" ht="15.75" thickBot="1">
      <c r="A92" s="1155"/>
      <c r="B92" s="295" t="s">
        <v>328</v>
      </c>
      <c r="C92" s="296" t="s">
        <v>240</v>
      </c>
      <c r="D92" s="295" t="s">
        <v>328</v>
      </c>
      <c r="E92" s="296" t="s">
        <v>240</v>
      </c>
      <c r="F92" s="295" t="s">
        <v>328</v>
      </c>
      <c r="G92" s="296" t="s">
        <v>240</v>
      </c>
      <c r="H92" s="295" t="s">
        <v>328</v>
      </c>
      <c r="I92" s="296" t="s">
        <v>240</v>
      </c>
      <c r="J92" s="295" t="s">
        <v>328</v>
      </c>
      <c r="K92" s="296" t="s">
        <v>240</v>
      </c>
      <c r="L92" s="1157"/>
    </row>
    <row r="93" spans="1:12" ht="15.75" thickBot="1">
      <c r="A93" s="102" t="s">
        <v>333</v>
      </c>
      <c r="B93" s="107">
        <v>19</v>
      </c>
      <c r="C93" s="113">
        <f>B93/B$99</f>
        <v>5.5088431429399824E-4</v>
      </c>
      <c r="D93" s="117">
        <v>7</v>
      </c>
      <c r="E93" s="113">
        <f>D93/D$99</f>
        <v>2.0954319583308388E-4</v>
      </c>
      <c r="F93" s="117">
        <v>7</v>
      </c>
      <c r="G93" s="113">
        <f t="shared" ref="G93:G98" si="40">F93/F$99</f>
        <v>2.0954319583308388E-4</v>
      </c>
      <c r="H93" s="454">
        <f>F93</f>
        <v>7</v>
      </c>
      <c r="I93" s="113">
        <f t="shared" ref="I93:I98" si="41">H93/H$99</f>
        <v>2.0954319583308388E-4</v>
      </c>
      <c r="J93" s="454"/>
      <c r="K93" s="113" t="e">
        <f t="shared" ref="K93:K98" si="42">J93/J$99</f>
        <v>#DIV/0!</v>
      </c>
      <c r="L93" s="459">
        <v>10</v>
      </c>
    </row>
    <row r="94" spans="1:12" ht="15.75" thickBot="1">
      <c r="A94" s="102" t="s">
        <v>336</v>
      </c>
      <c r="B94" s="107">
        <v>30816</v>
      </c>
      <c r="C94" s="113">
        <f t="shared" ref="C94:E98" si="43">B94/B$99</f>
        <v>0.89347636996230795</v>
      </c>
      <c r="D94" s="117">
        <v>29897</v>
      </c>
      <c r="E94" s="113">
        <f t="shared" si="43"/>
        <v>0.89495898940310126</v>
      </c>
      <c r="F94" s="117">
        <v>29897</v>
      </c>
      <c r="G94" s="113">
        <f t="shared" si="40"/>
        <v>0.89495898940310126</v>
      </c>
      <c r="H94" s="454">
        <f t="shared" ref="H94:H98" si="44">F94</f>
        <v>29897</v>
      </c>
      <c r="I94" s="113">
        <f t="shared" si="41"/>
        <v>0.89495898940310126</v>
      </c>
      <c r="J94" s="454"/>
      <c r="K94" s="113" t="e">
        <f t="shared" si="42"/>
        <v>#DIV/0!</v>
      </c>
      <c r="L94" s="459">
        <v>10</v>
      </c>
    </row>
    <row r="95" spans="1:12" ht="15.75" thickBot="1">
      <c r="A95" s="102" t="s">
        <v>337</v>
      </c>
      <c r="B95" s="107">
        <v>2</v>
      </c>
      <c r="C95" s="113">
        <f t="shared" si="43"/>
        <v>5.7987822557262977E-5</v>
      </c>
      <c r="D95" s="117">
        <v>0</v>
      </c>
      <c r="E95" s="113">
        <f t="shared" si="43"/>
        <v>0</v>
      </c>
      <c r="F95" s="117">
        <v>0</v>
      </c>
      <c r="G95" s="113">
        <f t="shared" si="40"/>
        <v>0</v>
      </c>
      <c r="H95" s="454">
        <f t="shared" si="44"/>
        <v>0</v>
      </c>
      <c r="I95" s="113">
        <f t="shared" si="41"/>
        <v>0</v>
      </c>
      <c r="J95" s="455"/>
      <c r="K95" s="113" t="e">
        <f t="shared" si="42"/>
        <v>#DIV/0!</v>
      </c>
      <c r="L95" s="459">
        <v>10</v>
      </c>
    </row>
    <row r="96" spans="1:12" ht="15.75" thickBot="1">
      <c r="A96" s="102" t="s">
        <v>338</v>
      </c>
      <c r="B96" s="107">
        <v>85</v>
      </c>
      <c r="C96" s="113">
        <f t="shared" si="43"/>
        <v>2.4644824586836766E-3</v>
      </c>
      <c r="D96" s="117">
        <v>82</v>
      </c>
      <c r="E96" s="113">
        <f t="shared" si="43"/>
        <v>2.4546488654732684E-3</v>
      </c>
      <c r="F96" s="117">
        <v>82</v>
      </c>
      <c r="G96" s="113">
        <f t="shared" si="40"/>
        <v>2.4546488654732684E-3</v>
      </c>
      <c r="H96" s="454">
        <f t="shared" si="44"/>
        <v>82</v>
      </c>
      <c r="I96" s="113">
        <f t="shared" si="41"/>
        <v>2.4546488654732684E-3</v>
      </c>
      <c r="J96" s="454"/>
      <c r="K96" s="113" t="e">
        <f t="shared" si="42"/>
        <v>#DIV/0!</v>
      </c>
      <c r="L96" s="459">
        <v>10</v>
      </c>
    </row>
    <row r="97" spans="1:12" ht="15.75" thickBot="1">
      <c r="A97" s="102" t="s">
        <v>339</v>
      </c>
      <c r="B97" s="107">
        <v>2916</v>
      </c>
      <c r="C97" s="113">
        <f t="shared" si="43"/>
        <v>8.4546245288489419E-2</v>
      </c>
      <c r="D97" s="117">
        <v>2787</v>
      </c>
      <c r="E97" s="113">
        <f t="shared" si="43"/>
        <v>8.3428126683829248E-2</v>
      </c>
      <c r="F97" s="117">
        <v>2787</v>
      </c>
      <c r="G97" s="113">
        <f t="shared" si="40"/>
        <v>8.3428126683829248E-2</v>
      </c>
      <c r="H97" s="454">
        <f t="shared" si="44"/>
        <v>2787</v>
      </c>
      <c r="I97" s="113">
        <f t="shared" si="41"/>
        <v>8.3428126683829248E-2</v>
      </c>
      <c r="J97" s="454"/>
      <c r="K97" s="113" t="e">
        <f t="shared" si="42"/>
        <v>#DIV/0!</v>
      </c>
      <c r="L97" s="459">
        <v>10</v>
      </c>
    </row>
    <row r="98" spans="1:12" ht="15.75" thickBot="1">
      <c r="A98" s="102" t="s">
        <v>344</v>
      </c>
      <c r="B98" s="114">
        <v>652</v>
      </c>
      <c r="C98" s="113">
        <f t="shared" si="43"/>
        <v>1.890403015366773E-2</v>
      </c>
      <c r="D98" s="117">
        <v>633</v>
      </c>
      <c r="E98" s="113">
        <f t="shared" si="43"/>
        <v>1.8948691851763157E-2</v>
      </c>
      <c r="F98" s="117">
        <v>633</v>
      </c>
      <c r="G98" s="113">
        <f t="shared" si="40"/>
        <v>1.8948691851763157E-2</v>
      </c>
      <c r="H98" s="454">
        <f t="shared" si="44"/>
        <v>633</v>
      </c>
      <c r="I98" s="113">
        <f t="shared" si="41"/>
        <v>1.8948691851763157E-2</v>
      </c>
      <c r="J98" s="456"/>
      <c r="K98" s="113" t="e">
        <f t="shared" si="42"/>
        <v>#DIV/0!</v>
      </c>
      <c r="L98" s="459">
        <v>10</v>
      </c>
    </row>
    <row r="99" spans="1:12" ht="15.75" thickBot="1">
      <c r="A99" s="297" t="s">
        <v>347</v>
      </c>
      <c r="B99" s="448">
        <f t="shared" ref="B99:K99" si="45">SUM(B93:B98)</f>
        <v>34490</v>
      </c>
      <c r="C99" s="449">
        <f t="shared" si="45"/>
        <v>1</v>
      </c>
      <c r="D99" s="450">
        <f t="shared" si="45"/>
        <v>33406</v>
      </c>
      <c r="E99" s="449">
        <f t="shared" si="45"/>
        <v>1</v>
      </c>
      <c r="F99" s="450">
        <f t="shared" si="45"/>
        <v>33406</v>
      </c>
      <c r="G99" s="449">
        <f t="shared" si="45"/>
        <v>1</v>
      </c>
      <c r="H99" s="450">
        <f t="shared" si="45"/>
        <v>33406</v>
      </c>
      <c r="I99" s="449">
        <f t="shared" si="45"/>
        <v>1</v>
      </c>
      <c r="J99" s="450">
        <f t="shared" si="45"/>
        <v>0</v>
      </c>
      <c r="K99" s="449" t="e">
        <f t="shared" si="45"/>
        <v>#DIV/0!</v>
      </c>
      <c r="L99" s="100"/>
    </row>
    <row r="100" spans="1:12" ht="15.75" thickBot="1"/>
    <row r="101" spans="1:12" ht="15.75" thickBot="1">
      <c r="A101" s="1148" t="s">
        <v>367</v>
      </c>
      <c r="B101" s="1149"/>
      <c r="C101" s="1149"/>
      <c r="D101" s="1149"/>
      <c r="E101" s="1149"/>
      <c r="F101" s="1149"/>
      <c r="G101" s="1149"/>
      <c r="H101" s="1149"/>
      <c r="I101" s="1149"/>
      <c r="J101" s="1149"/>
      <c r="K101" s="1149"/>
      <c r="L101" s="1150"/>
    </row>
    <row r="102" spans="1:12" ht="27" thickBot="1">
      <c r="A102" s="180" t="s">
        <v>326</v>
      </c>
      <c r="B102" s="180" t="s">
        <v>328</v>
      </c>
      <c r="C102" s="181" t="s">
        <v>240</v>
      </c>
      <c r="D102" s="181" t="s">
        <v>328</v>
      </c>
      <c r="E102" s="181" t="s">
        <v>240</v>
      </c>
      <c r="F102" s="181" t="s">
        <v>328</v>
      </c>
      <c r="G102" s="181" t="s">
        <v>240</v>
      </c>
      <c r="H102" s="181" t="s">
        <v>328</v>
      </c>
      <c r="I102" s="181" t="s">
        <v>240</v>
      </c>
      <c r="J102" s="181" t="s">
        <v>328</v>
      </c>
      <c r="K102" s="181" t="s">
        <v>240</v>
      </c>
      <c r="L102" s="298" t="s">
        <v>349</v>
      </c>
    </row>
    <row r="103" spans="1:12" ht="15.75" thickBot="1">
      <c r="A103" s="95" t="s">
        <v>350</v>
      </c>
      <c r="B103" s="96">
        <v>89501</v>
      </c>
      <c r="C103" s="97">
        <f>B103/B$113</f>
        <v>7.2342864163442933E-2</v>
      </c>
      <c r="D103" s="103">
        <v>85915</v>
      </c>
      <c r="E103" s="97">
        <f>D103/D$113</f>
        <v>6.6960910696443346E-2</v>
      </c>
      <c r="F103" s="103">
        <v>85915</v>
      </c>
      <c r="G103" s="97">
        <f>F103/F$113</f>
        <v>6.6960910696443346E-2</v>
      </c>
      <c r="H103" s="103">
        <f>F103</f>
        <v>85915</v>
      </c>
      <c r="I103" s="97">
        <f>H103/H$113</f>
        <v>6.6960910696443346E-2</v>
      </c>
      <c r="J103" s="103"/>
      <c r="K103" s="97" t="e">
        <f>J103/J$113</f>
        <v>#DIV/0!</v>
      </c>
      <c r="L103" s="104">
        <v>9.1</v>
      </c>
    </row>
    <row r="104" spans="1:12" ht="15.75" thickBot="1">
      <c r="A104" s="95" t="s">
        <v>351</v>
      </c>
      <c r="B104" s="96">
        <v>609</v>
      </c>
      <c r="C104" s="97">
        <f t="shared" ref="C104:E112" si="46">B104/B$113</f>
        <v>4.9224929638257392E-4</v>
      </c>
      <c r="D104" s="103">
        <v>927</v>
      </c>
      <c r="E104" s="97">
        <f t="shared" si="46"/>
        <v>7.2249041745449556E-4</v>
      </c>
      <c r="F104" s="103">
        <v>927</v>
      </c>
      <c r="G104" s="97">
        <f t="shared" ref="G104:G112" si="47">F104/F$113</f>
        <v>7.2249041745449556E-4</v>
      </c>
      <c r="H104" s="103">
        <f t="shared" ref="H104:H112" si="48">F104</f>
        <v>927</v>
      </c>
      <c r="I104" s="97">
        <f t="shared" ref="I104:I112" si="49">H104/H$113</f>
        <v>7.2249041745449556E-4</v>
      </c>
      <c r="J104" s="103"/>
      <c r="K104" s="97" t="e">
        <f t="shared" ref="K104:K112" si="50">J104/J$113</f>
        <v>#DIV/0!</v>
      </c>
      <c r="L104" s="104">
        <v>9.1</v>
      </c>
    </row>
    <row r="105" spans="1:12" ht="15.75" thickBot="1">
      <c r="A105" s="95" t="s">
        <v>353</v>
      </c>
      <c r="B105" s="96">
        <v>23785</v>
      </c>
      <c r="C105" s="97">
        <f t="shared" si="46"/>
        <v>1.9225204457240592E-2</v>
      </c>
      <c r="D105" s="103">
        <v>22474</v>
      </c>
      <c r="E105" s="97">
        <f t="shared" si="46"/>
        <v>1.7515911156280834E-2</v>
      </c>
      <c r="F105" s="103">
        <v>22474</v>
      </c>
      <c r="G105" s="97">
        <f t="shared" si="47"/>
        <v>1.7515911156280834E-2</v>
      </c>
      <c r="H105" s="103">
        <f t="shared" si="48"/>
        <v>22474</v>
      </c>
      <c r="I105" s="97">
        <f t="shared" si="49"/>
        <v>1.7515911156280834E-2</v>
      </c>
      <c r="J105" s="103"/>
      <c r="K105" s="97" t="e">
        <f t="shared" si="50"/>
        <v>#DIV/0!</v>
      </c>
      <c r="L105" s="104">
        <v>9.1</v>
      </c>
    </row>
    <row r="106" spans="1:12" ht="15.75" thickBot="1">
      <c r="A106" s="95" t="s">
        <v>354</v>
      </c>
      <c r="B106" s="96">
        <v>231002</v>
      </c>
      <c r="C106" s="97">
        <f t="shared" si="46"/>
        <v>0.18671686693426492</v>
      </c>
      <c r="D106" s="103">
        <v>182125</v>
      </c>
      <c r="E106" s="97">
        <f t="shared" si="46"/>
        <v>0.14194559577011867</v>
      </c>
      <c r="F106" s="103">
        <v>182125</v>
      </c>
      <c r="G106" s="97">
        <f t="shared" si="47"/>
        <v>0.14194559577011867</v>
      </c>
      <c r="H106" s="103">
        <f t="shared" si="48"/>
        <v>182125</v>
      </c>
      <c r="I106" s="97">
        <f t="shared" si="49"/>
        <v>0.14194559577011867</v>
      </c>
      <c r="J106" s="103"/>
      <c r="K106" s="97" t="e">
        <f t="shared" si="50"/>
        <v>#DIV/0!</v>
      </c>
      <c r="L106" s="104">
        <v>9.1</v>
      </c>
    </row>
    <row r="107" spans="1:12" ht="15.75" thickBot="1">
      <c r="A107" s="95" t="s">
        <v>355</v>
      </c>
      <c r="B107" s="96">
        <v>552114</v>
      </c>
      <c r="C107" s="97">
        <f t="shared" si="46"/>
        <v>0.44626884732835531</v>
      </c>
      <c r="D107" s="103">
        <v>621232</v>
      </c>
      <c r="E107" s="97">
        <f t="shared" si="46"/>
        <v>0.4841792524445428</v>
      </c>
      <c r="F107" s="103">
        <v>621232</v>
      </c>
      <c r="G107" s="97">
        <f t="shared" si="47"/>
        <v>0.4841792524445428</v>
      </c>
      <c r="H107" s="103">
        <f t="shared" si="48"/>
        <v>621232</v>
      </c>
      <c r="I107" s="97">
        <f t="shared" si="49"/>
        <v>0.4841792524445428</v>
      </c>
      <c r="J107" s="103"/>
      <c r="K107" s="97" t="e">
        <f t="shared" si="50"/>
        <v>#DIV/0!</v>
      </c>
      <c r="L107" s="104">
        <v>9.1</v>
      </c>
    </row>
    <row r="108" spans="1:12" ht="15.75" thickBot="1">
      <c r="A108" s="95" t="s">
        <v>356</v>
      </c>
      <c r="B108" s="96">
        <v>91</v>
      </c>
      <c r="C108" s="97">
        <f t="shared" si="46"/>
        <v>7.3554492562913343E-5</v>
      </c>
      <c r="D108" s="103">
        <v>43</v>
      </c>
      <c r="E108" s="97">
        <f t="shared" si="46"/>
        <v>3.351357923467455E-5</v>
      </c>
      <c r="F108" s="103">
        <v>43</v>
      </c>
      <c r="G108" s="97">
        <f t="shared" si="47"/>
        <v>3.351357923467455E-5</v>
      </c>
      <c r="H108" s="103">
        <f t="shared" si="48"/>
        <v>43</v>
      </c>
      <c r="I108" s="97">
        <f t="shared" si="49"/>
        <v>3.351357923467455E-5</v>
      </c>
      <c r="J108" s="103"/>
      <c r="K108" s="97" t="e">
        <f t="shared" si="50"/>
        <v>#DIV/0!</v>
      </c>
      <c r="L108" s="104">
        <v>9.1</v>
      </c>
    </row>
    <row r="109" spans="1:12" ht="15.75" thickBot="1">
      <c r="A109" s="95" t="s">
        <v>368</v>
      </c>
      <c r="B109" s="98">
        <v>65059</v>
      </c>
      <c r="C109" s="97">
        <f t="shared" si="46"/>
        <v>5.2586612435720645E-2</v>
      </c>
      <c r="D109" s="103">
        <v>78614</v>
      </c>
      <c r="E109" s="97">
        <f t="shared" si="46"/>
        <v>6.1270616696621052E-2</v>
      </c>
      <c r="F109" s="103">
        <v>78614</v>
      </c>
      <c r="G109" s="97">
        <f t="shared" si="47"/>
        <v>6.1270616696621052E-2</v>
      </c>
      <c r="H109" s="103">
        <f t="shared" si="48"/>
        <v>78614</v>
      </c>
      <c r="I109" s="97">
        <f t="shared" si="49"/>
        <v>6.1270616696621052E-2</v>
      </c>
      <c r="J109" s="103"/>
      <c r="K109" s="97" t="e">
        <f t="shared" si="50"/>
        <v>#DIV/0!</v>
      </c>
      <c r="L109" s="104">
        <v>9.1</v>
      </c>
    </row>
    <row r="110" spans="1:12" ht="15.75" thickBot="1">
      <c r="A110" s="95" t="s">
        <v>358</v>
      </c>
      <c r="B110" s="96">
        <v>119959</v>
      </c>
      <c r="C110" s="97">
        <f t="shared" si="46"/>
        <v>9.6961795311588148E-2</v>
      </c>
      <c r="D110" s="103">
        <v>131861</v>
      </c>
      <c r="E110" s="97">
        <f t="shared" si="46"/>
        <v>0.10277055980147491</v>
      </c>
      <c r="F110" s="103">
        <v>131861</v>
      </c>
      <c r="G110" s="97">
        <f t="shared" si="47"/>
        <v>0.10277055980147491</v>
      </c>
      <c r="H110" s="103">
        <f t="shared" si="48"/>
        <v>131861</v>
      </c>
      <c r="I110" s="97">
        <f t="shared" si="49"/>
        <v>0.10277055980147491</v>
      </c>
      <c r="J110" s="103"/>
      <c r="K110" s="97" t="e">
        <f t="shared" si="50"/>
        <v>#DIV/0!</v>
      </c>
      <c r="L110" s="104">
        <v>9.1</v>
      </c>
    </row>
    <row r="111" spans="1:12" ht="15.75" thickBot="1">
      <c r="A111" s="95" t="s">
        <v>360</v>
      </c>
      <c r="B111" s="96">
        <v>148025</v>
      </c>
      <c r="C111" s="97">
        <f t="shared" si="46"/>
        <v>0.11964729408379393</v>
      </c>
      <c r="D111" s="103">
        <v>149783</v>
      </c>
      <c r="E111" s="97">
        <f t="shared" si="46"/>
        <v>0.11673870787226183</v>
      </c>
      <c r="F111" s="103">
        <v>149783</v>
      </c>
      <c r="G111" s="97">
        <f t="shared" si="47"/>
        <v>0.11673870787226183</v>
      </c>
      <c r="H111" s="103">
        <f t="shared" si="48"/>
        <v>149783</v>
      </c>
      <c r="I111" s="97">
        <f t="shared" si="49"/>
        <v>0.11673870787226183</v>
      </c>
      <c r="J111" s="103"/>
      <c r="K111" s="97" t="e">
        <f t="shared" si="50"/>
        <v>#DIV/0!</v>
      </c>
      <c r="L111" s="104">
        <v>9.1</v>
      </c>
    </row>
    <row r="112" spans="1:12" ht="15.75" thickBot="1">
      <c r="A112" s="95" t="s">
        <v>369</v>
      </c>
      <c r="B112" s="96">
        <v>7033</v>
      </c>
      <c r="C112" s="97">
        <f t="shared" si="46"/>
        <v>5.6847114966480164E-3</v>
      </c>
      <c r="D112" s="807">
        <f>6214+3874</f>
        <v>10088</v>
      </c>
      <c r="E112" s="97">
        <f t="shared" si="46"/>
        <v>7.8624415655673685E-3</v>
      </c>
      <c r="F112" s="807">
        <f>6214+3874</f>
        <v>10088</v>
      </c>
      <c r="G112" s="97">
        <f t="shared" si="47"/>
        <v>7.8624415655673685E-3</v>
      </c>
      <c r="H112" s="103">
        <f t="shared" si="48"/>
        <v>10088</v>
      </c>
      <c r="I112" s="97">
        <f t="shared" si="49"/>
        <v>7.8624415655673685E-3</v>
      </c>
      <c r="J112" s="103"/>
      <c r="K112" s="97" t="e">
        <f t="shared" si="50"/>
        <v>#DIV/0!</v>
      </c>
      <c r="L112" s="104">
        <v>9.1</v>
      </c>
    </row>
    <row r="113" spans="1:12" ht="15.75" thickBot="1">
      <c r="A113" s="183" t="s">
        <v>347</v>
      </c>
      <c r="B113" s="184">
        <f t="shared" ref="B113:K113" si="51">SUM(B103:B112)</f>
        <v>1237178</v>
      </c>
      <c r="C113" s="185">
        <f t="shared" si="51"/>
        <v>1</v>
      </c>
      <c r="D113" s="186">
        <f t="shared" si="51"/>
        <v>1283062</v>
      </c>
      <c r="E113" s="185">
        <f t="shared" si="51"/>
        <v>0.99999999999999989</v>
      </c>
      <c r="F113" s="186">
        <f t="shared" si="51"/>
        <v>1283062</v>
      </c>
      <c r="G113" s="185">
        <f t="shared" si="51"/>
        <v>0.99999999999999989</v>
      </c>
      <c r="H113" s="186">
        <f t="shared" si="51"/>
        <v>1283062</v>
      </c>
      <c r="I113" s="185">
        <f t="shared" si="51"/>
        <v>0.99999999999999989</v>
      </c>
      <c r="J113" s="299">
        <f t="shared" si="51"/>
        <v>0</v>
      </c>
      <c r="K113" s="185" t="e">
        <f t="shared" si="51"/>
        <v>#DIV/0!</v>
      </c>
      <c r="L113" s="300">
        <f>SUM(N103:N112)/B113</f>
        <v>0</v>
      </c>
    </row>
    <row r="114" spans="1:12" ht="15.75" thickBot="1"/>
    <row r="115" spans="1:12" ht="15.75" thickBot="1">
      <c r="A115" s="1148" t="s">
        <v>370</v>
      </c>
      <c r="B115" s="1149"/>
      <c r="C115" s="1149"/>
      <c r="D115" s="1149"/>
      <c r="E115" s="1149"/>
      <c r="F115" s="1149"/>
      <c r="G115" s="1149"/>
      <c r="H115" s="1149"/>
      <c r="I115" s="1149"/>
      <c r="J115" s="1149"/>
      <c r="K115" s="1150"/>
      <c r="L115" s="101"/>
    </row>
    <row r="116" spans="1:12" ht="15.75" thickBot="1">
      <c r="A116" s="180" t="s">
        <v>326</v>
      </c>
      <c r="B116" s="180" t="s">
        <v>328</v>
      </c>
      <c r="C116" s="181" t="s">
        <v>240</v>
      </c>
      <c r="D116" s="181" t="s">
        <v>328</v>
      </c>
      <c r="E116" s="181" t="s">
        <v>240</v>
      </c>
      <c r="F116" s="181" t="s">
        <v>328</v>
      </c>
      <c r="G116" s="181" t="s">
        <v>240</v>
      </c>
      <c r="H116" s="181" t="s">
        <v>328</v>
      </c>
      <c r="I116" s="181" t="s">
        <v>240</v>
      </c>
      <c r="J116" s="181" t="s">
        <v>328</v>
      </c>
      <c r="K116" s="181" t="s">
        <v>240</v>
      </c>
      <c r="L116" s="105"/>
    </row>
    <row r="117" spans="1:12" ht="15.75" thickBot="1">
      <c r="A117" s="95" t="s">
        <v>371</v>
      </c>
      <c r="B117" s="96">
        <f>B22</f>
        <v>14216155</v>
      </c>
      <c r="C117" s="97">
        <f>B117/B$125</f>
        <v>0.50250212649115955</v>
      </c>
      <c r="D117" s="96">
        <f>D22</f>
        <v>13575465</v>
      </c>
      <c r="E117" s="97">
        <f>D117/D$125</f>
        <v>0.4581651651963809</v>
      </c>
      <c r="F117" s="96">
        <f>F22</f>
        <v>13575465</v>
      </c>
      <c r="G117" s="97">
        <f>F117/F$125</f>
        <v>0.4581651651963809</v>
      </c>
      <c r="H117" s="96">
        <f>F117</f>
        <v>13575465</v>
      </c>
      <c r="I117" s="97">
        <f>H117/H$125</f>
        <v>0.4581651651963809</v>
      </c>
      <c r="J117" s="96">
        <f>J22</f>
        <v>0</v>
      </c>
      <c r="K117" s="97" t="e">
        <f>J117/J$125</f>
        <v>#DIV/0!</v>
      </c>
      <c r="L117" s="178"/>
    </row>
    <row r="118" spans="1:12" ht="15.75" thickBot="1">
      <c r="A118" s="95" t="s">
        <v>372</v>
      </c>
      <c r="B118" s="96">
        <f>B38</f>
        <v>1888074</v>
      </c>
      <c r="C118" s="97">
        <f t="shared" ref="C118:E124" si="52">B118/B$125</f>
        <v>6.6738242511612283E-2</v>
      </c>
      <c r="D118" s="96">
        <f>D38</f>
        <v>1827671</v>
      </c>
      <c r="E118" s="97">
        <f t="shared" si="52"/>
        <v>6.1682983650256894E-2</v>
      </c>
      <c r="F118" s="96">
        <f>F38</f>
        <v>1827671</v>
      </c>
      <c r="G118" s="97">
        <f t="shared" ref="G118" si="53">F118/F$125</f>
        <v>6.1682983650256894E-2</v>
      </c>
      <c r="H118" s="96">
        <f>F118</f>
        <v>1827671</v>
      </c>
      <c r="I118" s="97">
        <f t="shared" ref="I118" si="54">H118/H$125</f>
        <v>6.1682983650256894E-2</v>
      </c>
      <c r="J118" s="96">
        <f>J38</f>
        <v>0</v>
      </c>
      <c r="K118" s="97" t="e">
        <f t="shared" ref="K118" si="55">J118/J$125</f>
        <v>#DIV/0!</v>
      </c>
      <c r="L118" s="178"/>
    </row>
    <row r="119" spans="1:12" ht="15.75" thickBot="1">
      <c r="A119" s="95" t="s">
        <v>373</v>
      </c>
      <c r="B119" s="96">
        <f>B52</f>
        <v>8200344</v>
      </c>
      <c r="C119" s="97">
        <f t="shared" si="52"/>
        <v>0.28985969117240357</v>
      </c>
      <c r="D119" s="96">
        <f>D52</f>
        <v>10380645</v>
      </c>
      <c r="E119" s="97">
        <f t="shared" si="52"/>
        <v>0.35034158544624333</v>
      </c>
      <c r="F119" s="96">
        <f>F52</f>
        <v>10380645</v>
      </c>
      <c r="G119" s="97">
        <f t="shared" ref="G119" si="56">F119/F$125</f>
        <v>0.35034158544624333</v>
      </c>
      <c r="H119" s="96">
        <f t="shared" ref="H119:H124" si="57">F119</f>
        <v>10380645</v>
      </c>
      <c r="I119" s="97">
        <f t="shared" ref="I119" si="58">H119/H$125</f>
        <v>0.35034158544624333</v>
      </c>
      <c r="J119" s="96">
        <f>J52</f>
        <v>0</v>
      </c>
      <c r="K119" s="97" t="e">
        <f t="shared" ref="K119" si="59">J119/J$125</f>
        <v>#DIV/0!</v>
      </c>
      <c r="L119" s="178"/>
    </row>
    <row r="120" spans="1:12" ht="15.75" thickBot="1">
      <c r="A120" s="95" t="s">
        <v>374</v>
      </c>
      <c r="B120" s="96">
        <f>B62</f>
        <v>1015330</v>
      </c>
      <c r="C120" s="97">
        <f t="shared" si="52"/>
        <v>3.5889133460508059E-2</v>
      </c>
      <c r="D120" s="96">
        <f>D62</f>
        <v>1343536</v>
      </c>
      <c r="E120" s="97">
        <f t="shared" si="52"/>
        <v>4.5343669140415065E-2</v>
      </c>
      <c r="F120" s="96">
        <f>F62</f>
        <v>1343536</v>
      </c>
      <c r="G120" s="97">
        <f t="shared" ref="G120" si="60">F120/F$125</f>
        <v>4.5343669140415065E-2</v>
      </c>
      <c r="H120" s="96">
        <f t="shared" si="57"/>
        <v>1343536</v>
      </c>
      <c r="I120" s="97">
        <f t="shared" ref="I120" si="61">H120/H$125</f>
        <v>4.5343669140415065E-2</v>
      </c>
      <c r="J120" s="96">
        <f>J62</f>
        <v>0</v>
      </c>
      <c r="K120" s="97" t="e">
        <f t="shared" ref="K120" si="62">J120/J$125</f>
        <v>#DIV/0!</v>
      </c>
      <c r="L120" s="178"/>
    </row>
    <row r="121" spans="1:12" ht="15.75" thickBot="1">
      <c r="A121" s="95" t="s">
        <v>375</v>
      </c>
      <c r="B121" s="96">
        <f>B76</f>
        <v>1539961</v>
      </c>
      <c r="C121" s="97">
        <f t="shared" si="52"/>
        <v>5.4433401803332372E-2</v>
      </c>
      <c r="D121" s="96">
        <f>D76</f>
        <v>1070961</v>
      </c>
      <c r="E121" s="97">
        <f t="shared" si="52"/>
        <v>3.6144398993616891E-2</v>
      </c>
      <c r="F121" s="96">
        <f>F76</f>
        <v>1070961</v>
      </c>
      <c r="G121" s="97">
        <f t="shared" ref="G121" si="63">F121/F$125</f>
        <v>3.6144398993616891E-2</v>
      </c>
      <c r="H121" s="96">
        <f t="shared" si="57"/>
        <v>1070961</v>
      </c>
      <c r="I121" s="97">
        <f t="shared" ref="I121" si="64">H121/H$125</f>
        <v>3.6144398993616891E-2</v>
      </c>
      <c r="J121" s="96">
        <f>J76</f>
        <v>0</v>
      </c>
      <c r="K121" s="97" t="e">
        <f t="shared" ref="K121" si="65">J121/J$125</f>
        <v>#DIV/0!</v>
      </c>
      <c r="L121" s="178"/>
    </row>
    <row r="122" spans="1:12" ht="15.75" thickBot="1">
      <c r="A122" s="95" t="s">
        <v>376</v>
      </c>
      <c r="B122" s="96">
        <f>B88</f>
        <v>159204</v>
      </c>
      <c r="C122" s="97">
        <f t="shared" si="52"/>
        <v>5.6274251755062156E-3</v>
      </c>
      <c r="D122" s="96">
        <f>D88</f>
        <v>115322</v>
      </c>
      <c r="E122" s="97">
        <f t="shared" si="52"/>
        <v>3.8920599169735286E-3</v>
      </c>
      <c r="F122" s="96">
        <f>F88</f>
        <v>115322</v>
      </c>
      <c r="G122" s="97">
        <f t="shared" ref="G122" si="66">F122/F$125</f>
        <v>3.8920599169735286E-3</v>
      </c>
      <c r="H122" s="96">
        <f t="shared" si="57"/>
        <v>115322</v>
      </c>
      <c r="I122" s="97">
        <f t="shared" ref="I122" si="67">H122/H$125</f>
        <v>3.8920599169735286E-3</v>
      </c>
      <c r="J122" s="96">
        <f>J88</f>
        <v>0</v>
      </c>
      <c r="K122" s="97" t="e">
        <f t="shared" ref="K122" si="68">J122/J$125</f>
        <v>#DIV/0!</v>
      </c>
      <c r="L122" s="178"/>
    </row>
    <row r="123" spans="1:12" ht="15.75" thickBot="1">
      <c r="A123" s="95" t="s">
        <v>377</v>
      </c>
      <c r="B123" s="96">
        <f>B99</f>
        <v>34490</v>
      </c>
      <c r="C123" s="97">
        <f t="shared" si="52"/>
        <v>1.2191269962011592E-3</v>
      </c>
      <c r="D123" s="96">
        <f>D99</f>
        <v>33406</v>
      </c>
      <c r="E123" s="97">
        <f t="shared" si="52"/>
        <v>1.1274358195870493E-3</v>
      </c>
      <c r="F123" s="96">
        <f>F99</f>
        <v>33406</v>
      </c>
      <c r="G123" s="97">
        <f t="shared" ref="G123" si="69">F123/F$125</f>
        <v>1.1274358195870493E-3</v>
      </c>
      <c r="H123" s="96">
        <f t="shared" si="57"/>
        <v>33406</v>
      </c>
      <c r="I123" s="97">
        <f t="shared" ref="I123" si="70">H123/H$125</f>
        <v>1.1274358195870493E-3</v>
      </c>
      <c r="J123" s="96">
        <f>J99</f>
        <v>0</v>
      </c>
      <c r="K123" s="97" t="e">
        <f t="shared" ref="K123" si="71">J123/J$125</f>
        <v>#DIV/0!</v>
      </c>
      <c r="L123" s="178"/>
    </row>
    <row r="124" spans="1:12" ht="15.75" thickBot="1">
      <c r="A124" s="95" t="s">
        <v>378</v>
      </c>
      <c r="B124" s="96">
        <f>B113</f>
        <v>1237178</v>
      </c>
      <c r="C124" s="97">
        <f t="shared" si="52"/>
        <v>4.3730852389276827E-2</v>
      </c>
      <c r="D124" s="96">
        <f>D113</f>
        <v>1283062</v>
      </c>
      <c r="E124" s="97">
        <f t="shared" si="52"/>
        <v>4.3302701836526326E-2</v>
      </c>
      <c r="F124" s="96">
        <f>F113</f>
        <v>1283062</v>
      </c>
      <c r="G124" s="97">
        <f t="shared" ref="G124" si="72">F124/F$125</f>
        <v>4.3302701836526326E-2</v>
      </c>
      <c r="H124" s="96">
        <f t="shared" si="57"/>
        <v>1283062</v>
      </c>
      <c r="I124" s="97">
        <f t="shared" ref="I124" si="73">H124/H$125</f>
        <v>4.3302701836526326E-2</v>
      </c>
      <c r="J124" s="96">
        <f>J113</f>
        <v>0</v>
      </c>
      <c r="K124" s="97" t="e">
        <f t="shared" ref="K124" si="74">J124/J$125</f>
        <v>#DIV/0!</v>
      </c>
      <c r="L124" s="178"/>
    </row>
    <row r="125" spans="1:12" ht="15.75" thickBot="1">
      <c r="A125" s="183" t="s">
        <v>347</v>
      </c>
      <c r="B125" s="184">
        <f t="shared" ref="B125:K125" si="75">SUM(B117:B124)</f>
        <v>28290736</v>
      </c>
      <c r="C125" s="185">
        <f t="shared" si="75"/>
        <v>1</v>
      </c>
      <c r="D125" s="186">
        <f t="shared" si="75"/>
        <v>29630068</v>
      </c>
      <c r="E125" s="182">
        <f t="shared" si="75"/>
        <v>0.99999999999999989</v>
      </c>
      <c r="F125" s="186">
        <f t="shared" si="75"/>
        <v>29630068</v>
      </c>
      <c r="G125" s="182">
        <f t="shared" si="75"/>
        <v>0.99999999999999989</v>
      </c>
      <c r="H125" s="186">
        <f>SUM(H117:H124)</f>
        <v>29630068</v>
      </c>
      <c r="I125" s="182">
        <f>SUM(I117:I124)</f>
        <v>0.99999999999999989</v>
      </c>
      <c r="J125" s="186">
        <f t="shared" si="75"/>
        <v>0</v>
      </c>
      <c r="K125" s="182" t="e">
        <f t="shared" si="75"/>
        <v>#DIV/0!</v>
      </c>
      <c r="L125" s="179"/>
    </row>
    <row r="126" spans="1:12" ht="15.75" thickBot="1"/>
    <row r="127" spans="1:12" ht="15.75" thickBot="1">
      <c r="A127" s="1148" t="s">
        <v>379</v>
      </c>
      <c r="B127" s="1149"/>
      <c r="C127" s="1149"/>
      <c r="D127" s="1149"/>
      <c r="E127" s="1149"/>
      <c r="F127" s="1149"/>
      <c r="G127" s="1149"/>
      <c r="H127" s="1149"/>
      <c r="I127" s="1149"/>
      <c r="J127" s="1149"/>
      <c r="K127" s="1150"/>
    </row>
    <row r="128" spans="1:12" ht="15.75" thickBot="1">
      <c r="A128" s="180" t="s">
        <v>326</v>
      </c>
      <c r="B128" s="180" t="s">
        <v>328</v>
      </c>
      <c r="C128" s="181" t="s">
        <v>240</v>
      </c>
      <c r="D128" s="181" t="s">
        <v>328</v>
      </c>
      <c r="E128" s="181" t="s">
        <v>240</v>
      </c>
      <c r="F128" s="181" t="s">
        <v>328</v>
      </c>
      <c r="G128" s="181" t="s">
        <v>240</v>
      </c>
      <c r="H128" s="181" t="s">
        <v>328</v>
      </c>
      <c r="I128" s="181" t="s">
        <v>240</v>
      </c>
      <c r="J128" s="181" t="s">
        <v>328</v>
      </c>
      <c r="K128" s="181" t="s">
        <v>240</v>
      </c>
    </row>
    <row r="129" spans="1:11" ht="15.75" thickBot="1">
      <c r="A129" s="95" t="s">
        <v>371</v>
      </c>
      <c r="B129" s="96">
        <f>B117</f>
        <v>14216155</v>
      </c>
      <c r="C129" s="97">
        <f>B129/B$133</f>
        <v>0.59256323738743155</v>
      </c>
      <c r="D129" s="96">
        <f>D117</f>
        <v>13575465</v>
      </c>
      <c r="E129" s="97">
        <f>D129/D$133</f>
        <v>0.54170816461314764</v>
      </c>
      <c r="F129" s="96">
        <f>F117</f>
        <v>13575465</v>
      </c>
      <c r="G129" s="97">
        <f>F129/F$133</f>
        <v>0.54170816461314764</v>
      </c>
      <c r="H129" s="96">
        <f>F129</f>
        <v>13575465</v>
      </c>
      <c r="I129" s="97">
        <f>H129/H$133</f>
        <v>0.54170816461314764</v>
      </c>
      <c r="J129" s="96">
        <f>J117</f>
        <v>0</v>
      </c>
      <c r="K129" s="97" t="e">
        <f>J129/J$133</f>
        <v>#DIV/0!</v>
      </c>
    </row>
    <row r="130" spans="1:11" ht="15.75" thickBot="1">
      <c r="A130" s="95" t="s">
        <v>373</v>
      </c>
      <c r="B130" s="96">
        <f>B119</f>
        <v>8200344</v>
      </c>
      <c r="C130" s="97">
        <f t="shared" ref="C130:E132" si="76">B130/B$133</f>
        <v>0.34180989081299407</v>
      </c>
      <c r="D130" s="96">
        <f>D119</f>
        <v>10380645</v>
      </c>
      <c r="E130" s="97">
        <f t="shared" si="76"/>
        <v>0.41422375958765667</v>
      </c>
      <c r="F130" s="96">
        <f>F119</f>
        <v>10380645</v>
      </c>
      <c r="G130" s="97">
        <f>F130/F$133</f>
        <v>0.41422375958765667</v>
      </c>
      <c r="H130" s="96">
        <f>F130</f>
        <v>10380645</v>
      </c>
      <c r="I130" s="97">
        <f>H130/H$133</f>
        <v>0.41422375958765667</v>
      </c>
      <c r="J130" s="96">
        <f>J119</f>
        <v>0</v>
      </c>
      <c r="K130" s="97" t="e">
        <f>J130/J$133</f>
        <v>#DIV/0!</v>
      </c>
    </row>
    <row r="131" spans="1:11" ht="15.75" thickBot="1">
      <c r="A131" s="95" t="s">
        <v>375</v>
      </c>
      <c r="B131" s="96">
        <f>B121</f>
        <v>1539961</v>
      </c>
      <c r="C131" s="97">
        <f t="shared" si="76"/>
        <v>6.4189246361648869E-2</v>
      </c>
      <c r="D131" s="96">
        <f>D121</f>
        <v>1070961</v>
      </c>
      <c r="E131" s="97">
        <f t="shared" si="76"/>
        <v>4.2735060469918429E-2</v>
      </c>
      <c r="F131" s="96">
        <f>F121</f>
        <v>1070961</v>
      </c>
      <c r="G131" s="97">
        <f>F131/F$133</f>
        <v>4.2735060469918429E-2</v>
      </c>
      <c r="H131" s="96">
        <f>F131</f>
        <v>1070961</v>
      </c>
      <c r="I131" s="97">
        <f>H131/H$133</f>
        <v>4.2735060469918429E-2</v>
      </c>
      <c r="J131" s="96">
        <f>J121</f>
        <v>0</v>
      </c>
      <c r="K131" s="97" t="e">
        <f>J131/J$133</f>
        <v>#DIV/0!</v>
      </c>
    </row>
    <row r="132" spans="1:11" ht="15.75" thickBot="1">
      <c r="A132" s="95" t="s">
        <v>377</v>
      </c>
      <c r="B132" s="96">
        <f>B123</f>
        <v>34490</v>
      </c>
      <c r="C132" s="97">
        <f t="shared" si="76"/>
        <v>1.4376254379255512E-3</v>
      </c>
      <c r="D132" s="96">
        <f>D123</f>
        <v>33406</v>
      </c>
      <c r="E132" s="97">
        <f t="shared" si="76"/>
        <v>1.3330153292772521E-3</v>
      </c>
      <c r="F132" s="96">
        <f>F123</f>
        <v>33406</v>
      </c>
      <c r="G132" s="97">
        <f>F132/F$133</f>
        <v>1.3330153292772521E-3</v>
      </c>
      <c r="H132" s="96">
        <f>F132</f>
        <v>33406</v>
      </c>
      <c r="I132" s="97">
        <f>H132/H$133</f>
        <v>1.3330153292772521E-3</v>
      </c>
      <c r="J132" s="96">
        <f>J123</f>
        <v>0</v>
      </c>
      <c r="K132" s="97" t="e">
        <f>J132/J$133</f>
        <v>#DIV/0!</v>
      </c>
    </row>
    <row r="133" spans="1:11" ht="15.75" thickBot="1">
      <c r="A133" s="183" t="s">
        <v>347</v>
      </c>
      <c r="B133" s="184">
        <f t="shared" ref="B133:K133" si="77">SUM(B129:B132)</f>
        <v>23990950</v>
      </c>
      <c r="C133" s="185">
        <f t="shared" si="77"/>
        <v>1</v>
      </c>
      <c r="D133" s="186">
        <f t="shared" si="77"/>
        <v>25060477</v>
      </c>
      <c r="E133" s="182">
        <f t="shared" si="77"/>
        <v>1</v>
      </c>
      <c r="F133" s="186">
        <f t="shared" si="77"/>
        <v>25060477</v>
      </c>
      <c r="G133" s="182">
        <f t="shared" si="77"/>
        <v>1</v>
      </c>
      <c r="H133" s="186">
        <f>SUM(H129:H132)</f>
        <v>25060477</v>
      </c>
      <c r="I133" s="182">
        <f>SUM(I129:I132)</f>
        <v>1</v>
      </c>
      <c r="J133" s="186">
        <f t="shared" si="77"/>
        <v>0</v>
      </c>
      <c r="K133" s="182" t="e">
        <f t="shared" si="77"/>
        <v>#DIV/0!</v>
      </c>
    </row>
    <row r="134" spans="1:11" ht="15.75" thickBot="1"/>
    <row r="135" spans="1:11" ht="15.75" thickBot="1">
      <c r="A135" s="1148" t="s">
        <v>380</v>
      </c>
      <c r="B135" s="1149"/>
      <c r="C135" s="1149"/>
      <c r="D135" s="1149"/>
      <c r="E135" s="1149"/>
      <c r="F135" s="1149"/>
      <c r="G135" s="1149"/>
      <c r="H135" s="1149"/>
      <c r="I135" s="1149"/>
      <c r="J135" s="1149"/>
      <c r="K135" s="1150"/>
    </row>
    <row r="136" spans="1:11" ht="15.75" thickBot="1">
      <c r="A136" s="797"/>
      <c r="B136" s="1148">
        <v>2009</v>
      </c>
      <c r="C136" s="1150"/>
      <c r="D136" s="1148">
        <v>2010</v>
      </c>
      <c r="E136" s="1150"/>
      <c r="F136" s="1148">
        <v>2011</v>
      </c>
      <c r="G136" s="1150"/>
      <c r="H136" s="1148">
        <v>2012</v>
      </c>
      <c r="I136" s="1149"/>
      <c r="J136" s="1148">
        <v>2013</v>
      </c>
      <c r="K136" s="1150"/>
    </row>
    <row r="137" spans="1:11" ht="15.75" thickBot="1">
      <c r="A137" s="180" t="s">
        <v>326</v>
      </c>
      <c r="B137" s="180" t="s">
        <v>328</v>
      </c>
      <c r="C137" s="181" t="s">
        <v>240</v>
      </c>
      <c r="D137" s="181" t="s">
        <v>328</v>
      </c>
      <c r="E137" s="181" t="s">
        <v>240</v>
      </c>
      <c r="F137" s="181" t="s">
        <v>328</v>
      </c>
      <c r="G137" s="181" t="s">
        <v>240</v>
      </c>
      <c r="H137" s="181" t="s">
        <v>328</v>
      </c>
      <c r="I137" s="181" t="s">
        <v>240</v>
      </c>
      <c r="J137" s="181" t="s">
        <v>328</v>
      </c>
      <c r="K137" s="181" t="s">
        <v>240</v>
      </c>
    </row>
    <row r="138" spans="1:11" ht="15.75" thickBot="1">
      <c r="A138" s="95" t="s">
        <v>372</v>
      </c>
      <c r="B138" s="96">
        <f>B118</f>
        <v>1888074</v>
      </c>
      <c r="C138" s="97">
        <f>B138/B$142</f>
        <v>0.43910883006735685</v>
      </c>
      <c r="D138" s="96">
        <f>D118</f>
        <v>1827671</v>
      </c>
      <c r="E138" s="97">
        <f>D138/D$142</f>
        <v>0.39996380420041971</v>
      </c>
      <c r="F138" s="96">
        <f>F118</f>
        <v>1827671</v>
      </c>
      <c r="G138" s="97">
        <f>F138/F$142</f>
        <v>0.39996380420041971</v>
      </c>
      <c r="H138" s="96">
        <f>F138</f>
        <v>1827671</v>
      </c>
      <c r="I138" s="97">
        <f>H138/H$142</f>
        <v>0.39996380420041971</v>
      </c>
      <c r="J138" s="96">
        <f>J118</f>
        <v>0</v>
      </c>
      <c r="K138" s="97" t="e">
        <f>J138/J$142</f>
        <v>#DIV/0!</v>
      </c>
    </row>
    <row r="139" spans="1:11" ht="15.75" thickBot="1">
      <c r="A139" s="95" t="s">
        <v>374</v>
      </c>
      <c r="B139" s="96">
        <f>B120</f>
        <v>1015330</v>
      </c>
      <c r="C139" s="97">
        <f t="shared" ref="C139:E141" si="78">B139/B$142</f>
        <v>0.23613500764921788</v>
      </c>
      <c r="D139" s="96">
        <f>D120</f>
        <v>1343536</v>
      </c>
      <c r="E139" s="97">
        <f t="shared" si="78"/>
        <v>0.29401668551955745</v>
      </c>
      <c r="F139" s="96">
        <f>F120</f>
        <v>1343536</v>
      </c>
      <c r="G139" s="97">
        <f>F139/F$142</f>
        <v>0.29401668551955745</v>
      </c>
      <c r="H139" s="96">
        <f>F139</f>
        <v>1343536</v>
      </c>
      <c r="I139" s="97">
        <f>H139/H$142</f>
        <v>0.29401668551955745</v>
      </c>
      <c r="J139" s="96">
        <f>J120</f>
        <v>0</v>
      </c>
      <c r="K139" s="97" t="e">
        <f>J139/J$142</f>
        <v>#DIV/0!</v>
      </c>
    </row>
    <row r="140" spans="1:11" ht="15.75" thickBot="1">
      <c r="A140" s="95" t="s">
        <v>376</v>
      </c>
      <c r="B140" s="96">
        <f>B122</f>
        <v>159204</v>
      </c>
      <c r="C140" s="97">
        <f t="shared" si="78"/>
        <v>3.7026028737244129E-2</v>
      </c>
      <c r="D140" s="96">
        <f>D122</f>
        <v>115322</v>
      </c>
      <c r="E140" s="97">
        <f t="shared" si="78"/>
        <v>2.523683191777995E-2</v>
      </c>
      <c r="F140" s="96">
        <f>F122</f>
        <v>115322</v>
      </c>
      <c r="G140" s="97">
        <f>F140/F$142</f>
        <v>2.523683191777995E-2</v>
      </c>
      <c r="H140" s="96">
        <f>F140</f>
        <v>115322</v>
      </c>
      <c r="I140" s="97">
        <f>H140/H$142</f>
        <v>2.523683191777995E-2</v>
      </c>
      <c r="J140" s="96">
        <f>J122</f>
        <v>0</v>
      </c>
      <c r="K140" s="97" t="e">
        <f>J140/J$142</f>
        <v>#DIV/0!</v>
      </c>
    </row>
    <row r="141" spans="1:11" ht="15.75" thickBot="1">
      <c r="A141" s="95" t="s">
        <v>378</v>
      </c>
      <c r="B141" s="96">
        <f>B124</f>
        <v>1237178</v>
      </c>
      <c r="C141" s="97">
        <f t="shared" si="78"/>
        <v>0.28773013354618115</v>
      </c>
      <c r="D141" s="96">
        <f>D124</f>
        <v>1283062</v>
      </c>
      <c r="E141" s="97">
        <f t="shared" si="78"/>
        <v>0.28078267836224291</v>
      </c>
      <c r="F141" s="96">
        <f>F124</f>
        <v>1283062</v>
      </c>
      <c r="G141" s="97">
        <f>F141/F$142</f>
        <v>0.28078267836224291</v>
      </c>
      <c r="H141" s="96">
        <f>F141</f>
        <v>1283062</v>
      </c>
      <c r="I141" s="97">
        <f>H141/H$142</f>
        <v>0.28078267836224291</v>
      </c>
      <c r="J141" s="96">
        <f>J124</f>
        <v>0</v>
      </c>
      <c r="K141" s="97" t="e">
        <f>J141/J$142</f>
        <v>#DIV/0!</v>
      </c>
    </row>
    <row r="142" spans="1:11" ht="15.75" thickBot="1">
      <c r="A142" s="183" t="s">
        <v>347</v>
      </c>
      <c r="B142" s="184">
        <f t="shared" ref="B142:K142" si="79">SUM(B138:B141)</f>
        <v>4299786</v>
      </c>
      <c r="C142" s="185">
        <f t="shared" si="79"/>
        <v>1</v>
      </c>
      <c r="D142" s="186">
        <f t="shared" si="79"/>
        <v>4569591</v>
      </c>
      <c r="E142" s="182">
        <f t="shared" si="79"/>
        <v>1</v>
      </c>
      <c r="F142" s="186">
        <f t="shared" si="79"/>
        <v>4569591</v>
      </c>
      <c r="G142" s="182">
        <f t="shared" si="79"/>
        <v>1</v>
      </c>
      <c r="H142" s="186">
        <f>SUM(H138:H141)</f>
        <v>4569591</v>
      </c>
      <c r="I142" s="182">
        <f>SUM(I138:I141)</f>
        <v>1</v>
      </c>
      <c r="J142" s="186">
        <f t="shared" si="79"/>
        <v>0</v>
      </c>
      <c r="K142" s="182" t="e">
        <f t="shared" si="79"/>
        <v>#DIV/0!</v>
      </c>
    </row>
    <row r="144" spans="1:11" ht="15.75" thickBot="1"/>
    <row r="145" spans="1:11" ht="15.75" thickBot="1">
      <c r="A145" s="1148" t="s">
        <v>381</v>
      </c>
      <c r="B145" s="1149"/>
      <c r="C145" s="1149"/>
      <c r="D145" s="1149"/>
      <c r="E145" s="1149"/>
      <c r="F145" s="1149"/>
      <c r="G145" s="1149"/>
      <c r="H145" s="1149"/>
      <c r="I145" s="1149"/>
      <c r="J145" s="1149"/>
      <c r="K145" s="1150"/>
    </row>
    <row r="146" spans="1:11" ht="15.75" thickBot="1">
      <c r="A146" s="797"/>
      <c r="B146" s="1148">
        <v>2009</v>
      </c>
      <c r="C146" s="1150"/>
      <c r="D146" s="1148">
        <v>2010</v>
      </c>
      <c r="E146" s="1150"/>
      <c r="F146" s="1148">
        <v>2011</v>
      </c>
      <c r="G146" s="1150"/>
      <c r="H146" s="1148">
        <v>2012</v>
      </c>
      <c r="I146" s="1149"/>
      <c r="J146" s="1148">
        <v>2013</v>
      </c>
      <c r="K146" s="1150"/>
    </row>
    <row r="147" spans="1:11" ht="15.75" thickBot="1">
      <c r="A147" s="180" t="s">
        <v>326</v>
      </c>
      <c r="B147" s="180" t="s">
        <v>328</v>
      </c>
      <c r="C147" s="181" t="s">
        <v>240</v>
      </c>
      <c r="D147" s="181" t="s">
        <v>328</v>
      </c>
      <c r="E147" s="181" t="s">
        <v>240</v>
      </c>
      <c r="F147" s="181" t="s">
        <v>328</v>
      </c>
      <c r="G147" s="181" t="s">
        <v>240</v>
      </c>
      <c r="H147" s="181" t="s">
        <v>328</v>
      </c>
      <c r="I147" s="181" t="s">
        <v>240</v>
      </c>
      <c r="J147" s="181" t="s">
        <v>328</v>
      </c>
      <c r="K147" s="181" t="s">
        <v>240</v>
      </c>
    </row>
    <row r="148" spans="1:11" ht="15.75" thickBot="1">
      <c r="A148" s="95" t="s">
        <v>371</v>
      </c>
      <c r="B148" s="96">
        <f>B129</f>
        <v>14216155</v>
      </c>
      <c r="C148" s="97">
        <f>B148/B$150</f>
        <v>0.88275911873831403</v>
      </c>
      <c r="D148" s="96">
        <f>D129</f>
        <v>13575465</v>
      </c>
      <c r="E148" s="97">
        <f>D148/D$150</f>
        <v>0.88134422756508801</v>
      </c>
      <c r="F148" s="96">
        <f>F129</f>
        <v>13575465</v>
      </c>
      <c r="G148" s="97">
        <f>F148/F$150</f>
        <v>0.88134422756508801</v>
      </c>
      <c r="H148" s="96">
        <f>F148</f>
        <v>13575465</v>
      </c>
      <c r="I148" s="97">
        <f>H148/H$142</f>
        <v>2.9708271484253186</v>
      </c>
      <c r="J148" s="96" t="str">
        <f>J128</f>
        <v>Frota</v>
      </c>
      <c r="K148" s="97" t="e">
        <f>J148/J$142</f>
        <v>#VALUE!</v>
      </c>
    </row>
    <row r="149" spans="1:11" ht="15.75" thickBot="1">
      <c r="A149" s="95" t="s">
        <v>372</v>
      </c>
      <c r="B149" s="96">
        <f>B138</f>
        <v>1888074</v>
      </c>
      <c r="C149" s="97">
        <f>B149/B$150</f>
        <v>0.11724088126168598</v>
      </c>
      <c r="D149" s="96">
        <f>D138</f>
        <v>1827671</v>
      </c>
      <c r="E149" s="97">
        <f>D149/D$150</f>
        <v>0.11865577243491196</v>
      </c>
      <c r="F149" s="96">
        <f>F138</f>
        <v>1827671</v>
      </c>
      <c r="G149" s="97">
        <f>F149/F$150</f>
        <v>0.11865577243491196</v>
      </c>
      <c r="H149" s="96">
        <f>F149</f>
        <v>1827671</v>
      </c>
      <c r="I149" s="97">
        <f>H149/H$142</f>
        <v>0.39996380420041971</v>
      </c>
      <c r="J149" s="96">
        <f>J134</f>
        <v>0</v>
      </c>
      <c r="K149" s="97" t="e">
        <f>J149/J$142</f>
        <v>#DIV/0!</v>
      </c>
    </row>
    <row r="150" spans="1:11" ht="15.75" thickBot="1">
      <c r="A150" s="183" t="s">
        <v>347</v>
      </c>
      <c r="B150" s="184">
        <f t="shared" ref="B150:K150" si="80">SUM(B148:B149)</f>
        <v>16104229</v>
      </c>
      <c r="C150" s="185">
        <f t="shared" si="80"/>
        <v>1</v>
      </c>
      <c r="D150" s="186">
        <f t="shared" si="80"/>
        <v>15403136</v>
      </c>
      <c r="E150" s="182">
        <f t="shared" si="80"/>
        <v>1</v>
      </c>
      <c r="F150" s="186">
        <f t="shared" si="80"/>
        <v>15403136</v>
      </c>
      <c r="G150" s="182">
        <f t="shared" si="80"/>
        <v>1</v>
      </c>
      <c r="H150" s="186">
        <f t="shared" si="80"/>
        <v>15403136</v>
      </c>
      <c r="I150" s="182">
        <f t="shared" si="80"/>
        <v>3.3707909526257382</v>
      </c>
      <c r="J150" s="186">
        <f t="shared" si="80"/>
        <v>0</v>
      </c>
      <c r="K150" s="182" t="e">
        <f t="shared" si="80"/>
        <v>#VALUE!</v>
      </c>
    </row>
    <row r="151" spans="1:11" ht="15.75" thickBot="1"/>
    <row r="152" spans="1:11" ht="15.75" thickBot="1">
      <c r="A152" s="1148" t="s">
        <v>382</v>
      </c>
      <c r="B152" s="1149"/>
      <c r="C152" s="1149"/>
      <c r="D152" s="1149"/>
      <c r="E152" s="1149"/>
      <c r="F152" s="1149"/>
      <c r="G152" s="1149"/>
      <c r="H152" s="1149"/>
      <c r="I152" s="1149"/>
      <c r="J152" s="1149"/>
      <c r="K152" s="1150"/>
    </row>
    <row r="153" spans="1:11" ht="15.75" thickBot="1">
      <c r="A153" s="797"/>
      <c r="B153" s="1148">
        <v>2009</v>
      </c>
      <c r="C153" s="1150"/>
      <c r="D153" s="1148">
        <v>2010</v>
      </c>
      <c r="E153" s="1150"/>
      <c r="F153" s="1148">
        <v>2011</v>
      </c>
      <c r="G153" s="1150"/>
      <c r="H153" s="1148">
        <v>2012</v>
      </c>
      <c r="I153" s="1149"/>
      <c r="J153" s="1148">
        <v>2013</v>
      </c>
      <c r="K153" s="1150"/>
    </row>
    <row r="154" spans="1:11" ht="15.75" thickBot="1">
      <c r="A154" s="180" t="s">
        <v>326</v>
      </c>
      <c r="B154" s="180" t="s">
        <v>328</v>
      </c>
      <c r="C154" s="181" t="s">
        <v>240</v>
      </c>
      <c r="D154" s="181" t="s">
        <v>328</v>
      </c>
      <c r="E154" s="181" t="s">
        <v>240</v>
      </c>
      <c r="F154" s="181" t="s">
        <v>328</v>
      </c>
      <c r="G154" s="181" t="s">
        <v>240</v>
      </c>
      <c r="H154" s="181" t="s">
        <v>328</v>
      </c>
      <c r="I154" s="181" t="s">
        <v>240</v>
      </c>
      <c r="J154" s="181" t="s">
        <v>328</v>
      </c>
      <c r="K154" s="181" t="s">
        <v>240</v>
      </c>
    </row>
    <row r="155" spans="1:11" ht="15.75" thickBot="1">
      <c r="A155" s="95" t="s">
        <v>373</v>
      </c>
      <c r="B155" s="96">
        <f>B130</f>
        <v>8200344</v>
      </c>
      <c r="C155" s="97">
        <f>B155/B$157</f>
        <v>0.88982574687429261</v>
      </c>
      <c r="D155" s="96">
        <f>D130</f>
        <v>10380645</v>
      </c>
      <c r="E155" s="97">
        <f>D155/D$157</f>
        <v>0.88540470332213395</v>
      </c>
      <c r="F155" s="96">
        <f>F130</f>
        <v>10380645</v>
      </c>
      <c r="G155" s="97">
        <f>F155/F$157</f>
        <v>0.88540470332213395</v>
      </c>
      <c r="H155" s="96">
        <f>F155</f>
        <v>10380645</v>
      </c>
      <c r="I155" s="97">
        <f>H155/H$142</f>
        <v>2.271679237813625</v>
      </c>
      <c r="J155" s="96">
        <f>J135</f>
        <v>0</v>
      </c>
      <c r="K155" s="97" t="e">
        <f>J155/J$142</f>
        <v>#DIV/0!</v>
      </c>
    </row>
    <row r="156" spans="1:11" ht="15.75" thickBot="1">
      <c r="A156" s="95" t="s">
        <v>374</v>
      </c>
      <c r="B156" s="96">
        <f>B139</f>
        <v>1015330</v>
      </c>
      <c r="C156" s="97">
        <f>B156/B$157</f>
        <v>0.11017425312570736</v>
      </c>
      <c r="D156" s="96">
        <f>D139</f>
        <v>1343536</v>
      </c>
      <c r="E156" s="97">
        <f>D156/D$157</f>
        <v>0.11459529667786603</v>
      </c>
      <c r="F156" s="96">
        <f>F139</f>
        <v>1343536</v>
      </c>
      <c r="G156" s="97">
        <f>F156/F$157</f>
        <v>0.11459529667786603</v>
      </c>
      <c r="H156" s="96">
        <f>F156</f>
        <v>1343536</v>
      </c>
      <c r="I156" s="97">
        <f>H156/H$142</f>
        <v>0.29401668551955745</v>
      </c>
      <c r="J156" s="96">
        <f>J141</f>
        <v>0</v>
      </c>
      <c r="K156" s="97" t="e">
        <f>J156/J$142</f>
        <v>#DIV/0!</v>
      </c>
    </row>
    <row r="157" spans="1:11" ht="15.75" thickBot="1">
      <c r="A157" s="183" t="s">
        <v>347</v>
      </c>
      <c r="B157" s="184">
        <f t="shared" ref="B157:K157" si="81">SUM(B155:B156)</f>
        <v>9215674</v>
      </c>
      <c r="C157" s="185">
        <f t="shared" si="81"/>
        <v>1</v>
      </c>
      <c r="D157" s="186">
        <f t="shared" si="81"/>
        <v>11724181</v>
      </c>
      <c r="E157" s="182">
        <f t="shared" si="81"/>
        <v>1</v>
      </c>
      <c r="F157" s="186">
        <f t="shared" si="81"/>
        <v>11724181</v>
      </c>
      <c r="G157" s="182">
        <f t="shared" si="81"/>
        <v>1</v>
      </c>
      <c r="H157" s="186">
        <f t="shared" si="81"/>
        <v>11724181</v>
      </c>
      <c r="I157" s="182">
        <f t="shared" si="81"/>
        <v>2.5656959233331826</v>
      </c>
      <c r="J157" s="186">
        <f t="shared" si="81"/>
        <v>0</v>
      </c>
      <c r="K157" s="182" t="e">
        <f t="shared" si="81"/>
        <v>#DIV/0!</v>
      </c>
    </row>
    <row r="158" spans="1:11" ht="15.75" thickBot="1"/>
    <row r="159" spans="1:11" ht="15.75" thickBot="1">
      <c r="A159" s="1148" t="s">
        <v>383</v>
      </c>
      <c r="B159" s="1149"/>
      <c r="C159" s="1149"/>
      <c r="D159" s="1149"/>
      <c r="E159" s="1149"/>
      <c r="F159" s="1149"/>
      <c r="G159" s="1149"/>
      <c r="H159" s="1149"/>
      <c r="I159" s="1149"/>
      <c r="J159" s="1149"/>
      <c r="K159" s="1150"/>
    </row>
    <row r="160" spans="1:11" ht="15.75" thickBot="1">
      <c r="A160" s="797"/>
      <c r="B160" s="1148">
        <v>2009</v>
      </c>
      <c r="C160" s="1150"/>
      <c r="D160" s="1148">
        <v>2010</v>
      </c>
      <c r="E160" s="1150"/>
      <c r="F160" s="1148">
        <v>2011</v>
      </c>
      <c r="G160" s="1150"/>
      <c r="H160" s="1148">
        <v>2012</v>
      </c>
      <c r="I160" s="1149"/>
      <c r="J160" s="1148">
        <v>2013</v>
      </c>
      <c r="K160" s="1150"/>
    </row>
    <row r="161" spans="1:11" ht="15.75" thickBot="1">
      <c r="A161" s="180" t="s">
        <v>326</v>
      </c>
      <c r="B161" s="180" t="s">
        <v>328</v>
      </c>
      <c r="C161" s="181" t="s">
        <v>240</v>
      </c>
      <c r="D161" s="181" t="s">
        <v>328</v>
      </c>
      <c r="E161" s="181" t="s">
        <v>240</v>
      </c>
      <c r="F161" s="181" t="s">
        <v>328</v>
      </c>
      <c r="G161" s="181" t="s">
        <v>240</v>
      </c>
      <c r="H161" s="181" t="s">
        <v>328</v>
      </c>
      <c r="I161" s="181" t="s">
        <v>240</v>
      </c>
      <c r="J161" s="181" t="s">
        <v>328</v>
      </c>
      <c r="K161" s="181" t="s">
        <v>240</v>
      </c>
    </row>
    <row r="162" spans="1:11" ht="15.75" thickBot="1">
      <c r="A162" s="95" t="s">
        <v>384</v>
      </c>
      <c r="B162" s="96">
        <f>B131</f>
        <v>1539961</v>
      </c>
      <c r="C162" s="97">
        <f>B162/B$164</f>
        <v>0.90630456724332242</v>
      </c>
      <c r="D162" s="96">
        <f>D131</f>
        <v>1070961</v>
      </c>
      <c r="E162" s="97">
        <f>D162/D$164</f>
        <v>0.90278710897821179</v>
      </c>
      <c r="F162" s="96">
        <f>F131</f>
        <v>1070961</v>
      </c>
      <c r="G162" s="97">
        <f>F162/F$164</f>
        <v>0.90278710897821179</v>
      </c>
      <c r="H162" s="96">
        <f>F162</f>
        <v>1070961</v>
      </c>
      <c r="I162" s="97">
        <f>H162/H$142</f>
        <v>0.23436692693065966</v>
      </c>
      <c r="J162" s="96">
        <f>J142</f>
        <v>0</v>
      </c>
      <c r="K162" s="97" t="e">
        <f>J162/J$142</f>
        <v>#DIV/0!</v>
      </c>
    </row>
    <row r="163" spans="1:11" ht="15.75" thickBot="1">
      <c r="A163" s="95" t="s">
        <v>385</v>
      </c>
      <c r="B163" s="96">
        <f>B140</f>
        <v>159204</v>
      </c>
      <c r="C163" s="97">
        <f>B163/B$164</f>
        <v>9.3695432756677549E-2</v>
      </c>
      <c r="D163" s="96">
        <f>D140</f>
        <v>115322</v>
      </c>
      <c r="E163" s="97">
        <f>D163/D$164</f>
        <v>9.721289102178822E-2</v>
      </c>
      <c r="F163" s="96">
        <f>F140</f>
        <v>115322</v>
      </c>
      <c r="G163" s="97">
        <f>F163/F$164</f>
        <v>9.721289102178822E-2</v>
      </c>
      <c r="H163" s="96">
        <f>F163</f>
        <v>115322</v>
      </c>
      <c r="I163" s="97">
        <f>H163/H$142</f>
        <v>2.523683191777995E-2</v>
      </c>
      <c r="J163" s="96" t="str">
        <f>J148</f>
        <v>Frota</v>
      </c>
      <c r="K163" s="97" t="e">
        <f>J163/J$142</f>
        <v>#VALUE!</v>
      </c>
    </row>
    <row r="164" spans="1:11" ht="15.75" thickBot="1">
      <c r="A164" s="183" t="s">
        <v>347</v>
      </c>
      <c r="B164" s="184">
        <f t="shared" ref="B164:K164" si="82">SUM(B162:B163)</f>
        <v>1699165</v>
      </c>
      <c r="C164" s="185">
        <f t="shared" si="82"/>
        <v>1</v>
      </c>
      <c r="D164" s="186">
        <f t="shared" si="82"/>
        <v>1186283</v>
      </c>
      <c r="E164" s="182">
        <f t="shared" si="82"/>
        <v>1</v>
      </c>
      <c r="F164" s="186">
        <f t="shared" si="82"/>
        <v>1186283</v>
      </c>
      <c r="G164" s="182">
        <f t="shared" si="82"/>
        <v>1</v>
      </c>
      <c r="H164" s="186">
        <f t="shared" si="82"/>
        <v>1186283</v>
      </c>
      <c r="I164" s="182">
        <f t="shared" si="82"/>
        <v>0.25960375884843961</v>
      </c>
      <c r="J164" s="186">
        <f t="shared" si="82"/>
        <v>0</v>
      </c>
      <c r="K164" s="182" t="e">
        <f t="shared" si="82"/>
        <v>#DIV/0!</v>
      </c>
    </row>
    <row r="165" spans="1:11" ht="15.75" thickBot="1"/>
    <row r="166" spans="1:11" ht="15.75" thickBot="1">
      <c r="A166" s="1148" t="s">
        <v>386</v>
      </c>
      <c r="B166" s="1149"/>
      <c r="C166" s="1149"/>
      <c r="D166" s="1149"/>
      <c r="E166" s="1149"/>
      <c r="F166" s="1149"/>
      <c r="G166" s="1149"/>
      <c r="H166" s="1149"/>
      <c r="I166" s="1149"/>
      <c r="J166" s="1149"/>
      <c r="K166" s="1150"/>
    </row>
    <row r="167" spans="1:11" ht="15.75" thickBot="1">
      <c r="A167" s="797"/>
      <c r="B167" s="1148">
        <v>2009</v>
      </c>
      <c r="C167" s="1150"/>
      <c r="D167" s="1148">
        <v>2010</v>
      </c>
      <c r="E167" s="1150"/>
      <c r="F167" s="1148">
        <v>2011</v>
      </c>
      <c r="G167" s="1150"/>
      <c r="H167" s="1148">
        <v>2012</v>
      </c>
      <c r="I167" s="1149"/>
      <c r="J167" s="1148">
        <v>2013</v>
      </c>
      <c r="K167" s="1150"/>
    </row>
    <row r="168" spans="1:11" ht="15.75" thickBot="1">
      <c r="A168" s="180" t="s">
        <v>326</v>
      </c>
      <c r="B168" s="180" t="s">
        <v>328</v>
      </c>
      <c r="C168" s="181" t="s">
        <v>240</v>
      </c>
      <c r="D168" s="181" t="s">
        <v>328</v>
      </c>
      <c r="E168" s="181" t="s">
        <v>240</v>
      </c>
      <c r="F168" s="181" t="s">
        <v>328</v>
      </c>
      <c r="G168" s="181" t="s">
        <v>240</v>
      </c>
      <c r="H168" s="181" t="s">
        <v>328</v>
      </c>
      <c r="I168" s="181" t="s">
        <v>240</v>
      </c>
      <c r="J168" s="181" t="s">
        <v>328</v>
      </c>
      <c r="K168" s="181" t="s">
        <v>240</v>
      </c>
    </row>
    <row r="169" spans="1:11" ht="15.75" thickBot="1">
      <c r="A169" s="95" t="s">
        <v>377</v>
      </c>
      <c r="B169" s="96">
        <f>B132</f>
        <v>34490</v>
      </c>
      <c r="C169" s="97">
        <f>B169/B$171</f>
        <v>2.7121858849951403E-2</v>
      </c>
      <c r="D169" s="96">
        <f>D132</f>
        <v>33406</v>
      </c>
      <c r="E169" s="97">
        <f>D169/D$171</f>
        <v>2.5375474375374105E-2</v>
      </c>
      <c r="F169" s="96">
        <f>F132</f>
        <v>33406</v>
      </c>
      <c r="G169" s="97">
        <f>F169/F$171</f>
        <v>2.5375474375374105E-2</v>
      </c>
      <c r="H169" s="96">
        <f>F169</f>
        <v>33406</v>
      </c>
      <c r="I169" s="97">
        <f>H169/H$142</f>
        <v>7.3105010929862217E-3</v>
      </c>
      <c r="J169" s="96">
        <f>J149</f>
        <v>0</v>
      </c>
      <c r="K169" s="97" t="e">
        <f>J169/J$142</f>
        <v>#DIV/0!</v>
      </c>
    </row>
    <row r="170" spans="1:11" ht="15.75" thickBot="1">
      <c r="A170" s="95" t="s">
        <v>378</v>
      </c>
      <c r="B170" s="96">
        <f>B141</f>
        <v>1237178</v>
      </c>
      <c r="C170" s="97">
        <f>B170/B$171</f>
        <v>0.97287814115004856</v>
      </c>
      <c r="D170" s="96">
        <f>D141</f>
        <v>1283062</v>
      </c>
      <c r="E170" s="97">
        <f>D170/D$171</f>
        <v>0.97462452562462587</v>
      </c>
      <c r="F170" s="96">
        <f>F141</f>
        <v>1283062</v>
      </c>
      <c r="G170" s="97">
        <f>F170/F$171</f>
        <v>0.97462452562462587</v>
      </c>
      <c r="H170" s="96">
        <f>F170</f>
        <v>1283062</v>
      </c>
      <c r="I170" s="97">
        <f>H170/H$142</f>
        <v>0.28078267836224291</v>
      </c>
      <c r="J170" s="96">
        <f>J155</f>
        <v>0</v>
      </c>
      <c r="K170" s="97" t="e">
        <f>J170/J$142</f>
        <v>#DIV/0!</v>
      </c>
    </row>
    <row r="171" spans="1:11" ht="15.75" thickBot="1">
      <c r="A171" s="183" t="s">
        <v>347</v>
      </c>
      <c r="B171" s="184">
        <f t="shared" ref="B171:K171" si="83">SUM(B169:B170)</f>
        <v>1271668</v>
      </c>
      <c r="C171" s="185">
        <f t="shared" si="83"/>
        <v>1</v>
      </c>
      <c r="D171" s="186">
        <f t="shared" si="83"/>
        <v>1316468</v>
      </c>
      <c r="E171" s="182">
        <f t="shared" si="83"/>
        <v>1</v>
      </c>
      <c r="F171" s="186">
        <f t="shared" si="83"/>
        <v>1316468</v>
      </c>
      <c r="G171" s="182">
        <f t="shared" si="83"/>
        <v>1</v>
      </c>
      <c r="H171" s="186">
        <f t="shared" si="83"/>
        <v>1316468</v>
      </c>
      <c r="I171" s="182">
        <f t="shared" si="83"/>
        <v>0.28809317945522911</v>
      </c>
      <c r="J171" s="186">
        <f t="shared" si="83"/>
        <v>0</v>
      </c>
      <c r="K171" s="182" t="e">
        <f t="shared" si="83"/>
        <v>#DIV/0!</v>
      </c>
    </row>
  </sheetData>
  <mergeCells count="65">
    <mergeCell ref="A101:L101"/>
    <mergeCell ref="A115:K115"/>
    <mergeCell ref="A127:K127"/>
    <mergeCell ref="A135:K135"/>
    <mergeCell ref="A90:L90"/>
    <mergeCell ref="A91:A92"/>
    <mergeCell ref="D91:E91"/>
    <mergeCell ref="F91:G91"/>
    <mergeCell ref="J91:K91"/>
    <mergeCell ref="L91:L92"/>
    <mergeCell ref="H91:I91"/>
    <mergeCell ref="B91:C91"/>
    <mergeCell ref="L65:L66"/>
    <mergeCell ref="A78:L78"/>
    <mergeCell ref="A79:A80"/>
    <mergeCell ref="D79:E79"/>
    <mergeCell ref="F79:G79"/>
    <mergeCell ref="J79:K79"/>
    <mergeCell ref="L79:L80"/>
    <mergeCell ref="A65:A66"/>
    <mergeCell ref="D65:E65"/>
    <mergeCell ref="F65:G65"/>
    <mergeCell ref="J65:K65"/>
    <mergeCell ref="H65:I65"/>
    <mergeCell ref="H79:I79"/>
    <mergeCell ref="A54:K54"/>
    <mergeCell ref="A40:K40"/>
    <mergeCell ref="A64:L64"/>
    <mergeCell ref="A1:L1"/>
    <mergeCell ref="A24:L24"/>
    <mergeCell ref="L2:L3"/>
    <mergeCell ref="A2:A3"/>
    <mergeCell ref="D2:E2"/>
    <mergeCell ref="F2:G2"/>
    <mergeCell ref="J2:K2"/>
    <mergeCell ref="H2:I2"/>
    <mergeCell ref="B136:C136"/>
    <mergeCell ref="D136:E136"/>
    <mergeCell ref="F136:G136"/>
    <mergeCell ref="H136:I136"/>
    <mergeCell ref="J136:K136"/>
    <mergeCell ref="A145:K145"/>
    <mergeCell ref="B146:C146"/>
    <mergeCell ref="D146:E146"/>
    <mergeCell ref="F146:G146"/>
    <mergeCell ref="H146:I146"/>
    <mergeCell ref="J146:K146"/>
    <mergeCell ref="A152:K152"/>
    <mergeCell ref="B153:C153"/>
    <mergeCell ref="D153:E153"/>
    <mergeCell ref="F153:G153"/>
    <mergeCell ref="H153:I153"/>
    <mergeCell ref="J153:K153"/>
    <mergeCell ref="A159:K159"/>
    <mergeCell ref="B160:C160"/>
    <mergeCell ref="D160:E160"/>
    <mergeCell ref="F160:G160"/>
    <mergeCell ref="H160:I160"/>
    <mergeCell ref="J160:K160"/>
    <mergeCell ref="A166:K166"/>
    <mergeCell ref="B167:C167"/>
    <mergeCell ref="D167:E167"/>
    <mergeCell ref="F167:G167"/>
    <mergeCell ref="H167:I167"/>
    <mergeCell ref="J167:K167"/>
  </mergeCells>
  <pageMargins left="0.511811024" right="0.511811024" top="0.78740157499999996" bottom="0.78740157499999996" header="0.31496062000000002" footer="0.31496062000000002"/>
  <pageSetup paperSize="9" orientation="portrait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9" tint="0.39997558519241921"/>
  </sheetPr>
  <dimension ref="A1:AX15"/>
  <sheetViews>
    <sheetView topLeftCell="B1" workbookViewId="0">
      <selection activeCell="B4" sqref="B4:B8"/>
    </sheetView>
  </sheetViews>
  <sheetFormatPr defaultColWidth="8.85546875" defaultRowHeight="15"/>
  <cols>
    <col min="1" max="1" width="8.85546875" style="3"/>
    <col min="2" max="2" width="14.140625" style="3" bestFit="1" customWidth="1"/>
    <col min="3" max="10" width="14.140625" style="3" customWidth="1"/>
    <col min="11" max="12" width="10.85546875" style="3" customWidth="1"/>
    <col min="13" max="13" width="12.7109375" style="3" bestFit="1" customWidth="1"/>
    <col min="14" max="14" width="11.42578125" style="3" customWidth="1"/>
    <col min="15" max="15" width="16.85546875" style="3" bestFit="1" customWidth="1"/>
    <col min="16" max="22" width="8.85546875" style="3"/>
    <col min="23" max="50" width="8.85546875" style="1"/>
  </cols>
  <sheetData>
    <row r="1" spans="2:19" ht="15.75" thickBot="1"/>
    <row r="2" spans="2:19" ht="15.75" thickBot="1">
      <c r="B2" s="1160" t="s">
        <v>326</v>
      </c>
      <c r="C2" s="1158">
        <v>2009</v>
      </c>
      <c r="D2" s="1158"/>
      <c r="E2" s="1158">
        <v>2010</v>
      </c>
      <c r="F2" s="1158"/>
      <c r="G2" s="1158">
        <v>2011</v>
      </c>
      <c r="H2" s="1158"/>
      <c r="I2" s="1158">
        <v>2012</v>
      </c>
      <c r="J2" s="1159"/>
      <c r="K2" s="1158">
        <v>2013</v>
      </c>
      <c r="L2" s="1159"/>
      <c r="M2" s="1162" t="s">
        <v>327</v>
      </c>
      <c r="N2" s="1069" t="s">
        <v>387</v>
      </c>
      <c r="O2" s="1070"/>
      <c r="P2" s="1068" t="s">
        <v>388</v>
      </c>
      <c r="Q2" s="1070"/>
    </row>
    <row r="3" spans="2:19" ht="27" customHeight="1" thickBot="1">
      <c r="B3" s="1161"/>
      <c r="C3" s="257" t="s">
        <v>328</v>
      </c>
      <c r="D3" s="257" t="s">
        <v>240</v>
      </c>
      <c r="E3" s="257" t="s">
        <v>328</v>
      </c>
      <c r="F3" s="257" t="s">
        <v>240</v>
      </c>
      <c r="G3" s="257" t="s">
        <v>328</v>
      </c>
      <c r="H3" s="257" t="s">
        <v>240</v>
      </c>
      <c r="I3" s="257" t="s">
        <v>328</v>
      </c>
      <c r="J3" s="258" t="s">
        <v>240</v>
      </c>
      <c r="K3" s="257" t="s">
        <v>328</v>
      </c>
      <c r="L3" s="258" t="s">
        <v>240</v>
      </c>
      <c r="M3" s="1163"/>
      <c r="N3" s="259" t="s">
        <v>389</v>
      </c>
      <c r="O3" s="259" t="s">
        <v>390</v>
      </c>
      <c r="P3" s="259" t="s">
        <v>389</v>
      </c>
      <c r="Q3" s="259" t="s">
        <v>390</v>
      </c>
    </row>
    <row r="4" spans="2:19">
      <c r="B4" s="252" t="s">
        <v>106</v>
      </c>
      <c r="C4" s="253">
        <v>1076257</v>
      </c>
      <c r="D4" s="254">
        <f>C4/C$8</f>
        <v>0.11387138610808809</v>
      </c>
      <c r="E4" s="253">
        <v>1073190</v>
      </c>
      <c r="F4" s="254">
        <f>E4/E$8</f>
        <v>0.10979632346674789</v>
      </c>
      <c r="G4" s="253">
        <v>1073190</v>
      </c>
      <c r="H4" s="254">
        <f>G4/G$8</f>
        <v>0.10979632346674789</v>
      </c>
      <c r="I4" s="253">
        <f>G4</f>
        <v>1073190</v>
      </c>
      <c r="J4" s="255">
        <f>I4/I$8</f>
        <v>0.10979632346674789</v>
      </c>
      <c r="K4" s="253"/>
      <c r="L4" s="255" t="e">
        <f>K4/K$8</f>
        <v>#DIV/0!</v>
      </c>
      <c r="M4" s="256">
        <v>40</v>
      </c>
      <c r="N4" s="237">
        <v>0</v>
      </c>
      <c r="O4" s="108">
        <v>1</v>
      </c>
      <c r="P4" s="66">
        <v>0</v>
      </c>
      <c r="Q4" s="67">
        <v>7500</v>
      </c>
      <c r="R4" s="234" t="s">
        <v>391</v>
      </c>
    </row>
    <row r="5" spans="2:19">
      <c r="B5" s="243" t="s">
        <v>107</v>
      </c>
      <c r="C5" s="240">
        <v>8069964</v>
      </c>
      <c r="D5" s="241">
        <f>C5/C$8</f>
        <v>0.85382765131596905</v>
      </c>
      <c r="E5" s="253">
        <v>8279477</v>
      </c>
      <c r="F5" s="241">
        <f>E5/E$8</f>
        <v>0.84705982615147302</v>
      </c>
      <c r="G5" s="253">
        <v>8279477</v>
      </c>
      <c r="H5" s="241">
        <f>G5/G$8</f>
        <v>0.84705982615147302</v>
      </c>
      <c r="I5" s="253">
        <f t="shared" ref="I5:I7" si="0">G5</f>
        <v>8279477</v>
      </c>
      <c r="J5" s="249">
        <f>I5/I$8</f>
        <v>0.84705982615147302</v>
      </c>
      <c r="K5" s="242"/>
      <c r="L5" s="249" t="e">
        <f>K5/K$8</f>
        <v>#DIV/0!</v>
      </c>
      <c r="M5" s="111">
        <v>30</v>
      </c>
      <c r="N5" s="235">
        <v>0.3</v>
      </c>
      <c r="O5" s="109">
        <v>0.7</v>
      </c>
      <c r="P5" s="59">
        <v>40000</v>
      </c>
      <c r="Q5" s="60">
        <v>7500</v>
      </c>
      <c r="R5" s="234" t="s">
        <v>392</v>
      </c>
      <c r="S5" s="234" t="s">
        <v>393</v>
      </c>
    </row>
    <row r="6" spans="2:19">
      <c r="B6" s="243" t="s">
        <v>108</v>
      </c>
      <c r="C6" s="240">
        <v>197908</v>
      </c>
      <c r="D6" s="241">
        <f>C6/C$8</f>
        <v>2.0939290784524046E-2</v>
      </c>
      <c r="E6" s="253">
        <v>299028</v>
      </c>
      <c r="F6" s="241">
        <f>E6/E$8</f>
        <v>3.0593068341686642E-2</v>
      </c>
      <c r="G6" s="253">
        <v>299028</v>
      </c>
      <c r="H6" s="241">
        <f>G6/G$8</f>
        <v>3.0593068341686642E-2</v>
      </c>
      <c r="I6" s="253">
        <f t="shared" si="0"/>
        <v>299028</v>
      </c>
      <c r="J6" s="249">
        <f>I6/I$8</f>
        <v>3.0593068341686642E-2</v>
      </c>
      <c r="K6" s="242"/>
      <c r="L6" s="249" t="e">
        <f>K6/K$8</f>
        <v>#DIV/0!</v>
      </c>
      <c r="M6" s="111">
        <v>20</v>
      </c>
      <c r="N6" s="238">
        <v>0</v>
      </c>
      <c r="O6" s="109">
        <v>1</v>
      </c>
      <c r="P6" s="59">
        <v>0</v>
      </c>
      <c r="Q6" s="60">
        <v>7500</v>
      </c>
      <c r="R6" s="234" t="s">
        <v>391</v>
      </c>
    </row>
    <row r="7" spans="2:19" ht="15.75" thickBot="1">
      <c r="B7" s="244" t="s">
        <v>109</v>
      </c>
      <c r="C7" s="245">
        <v>107385</v>
      </c>
      <c r="D7" s="246">
        <f>C7/C$8</f>
        <v>1.1361671791418814E-2</v>
      </c>
      <c r="E7" s="253">
        <v>122676</v>
      </c>
      <c r="F7" s="246">
        <f>E7/E$8</f>
        <v>1.2550782040092402E-2</v>
      </c>
      <c r="G7" s="253">
        <v>122676</v>
      </c>
      <c r="H7" s="246">
        <f>G7/G$8</f>
        <v>1.2550782040092402E-2</v>
      </c>
      <c r="I7" s="253">
        <f t="shared" si="0"/>
        <v>122676</v>
      </c>
      <c r="J7" s="250">
        <f>I7/I$8</f>
        <v>1.2550782040092402E-2</v>
      </c>
      <c r="K7" s="247"/>
      <c r="L7" s="250" t="e">
        <f>K7/K$8</f>
        <v>#DIV/0!</v>
      </c>
      <c r="M7" s="251">
        <v>10</v>
      </c>
      <c r="N7" s="239">
        <v>0</v>
      </c>
      <c r="O7" s="236">
        <v>1</v>
      </c>
      <c r="P7" s="61">
        <v>0</v>
      </c>
      <c r="Q7" s="62">
        <v>5000</v>
      </c>
    </row>
    <row r="8" spans="2:19" ht="15.75" thickBot="1">
      <c r="B8" s="94" t="s">
        <v>85</v>
      </c>
      <c r="C8" s="122">
        <f>SUM(C4:C7)</f>
        <v>9451514</v>
      </c>
      <c r="D8" s="248">
        <f>C8/C$8</f>
        <v>1</v>
      </c>
      <c r="E8" s="122">
        <f>SUM(E4:E7)</f>
        <v>9774371</v>
      </c>
      <c r="F8" s="248">
        <f>E8/E$8</f>
        <v>1</v>
      </c>
      <c r="G8" s="122">
        <f>SUM(G4:G7)</f>
        <v>9774371</v>
      </c>
      <c r="H8" s="248">
        <f>G8/G$8</f>
        <v>1</v>
      </c>
      <c r="I8" s="122">
        <f>SUM(I4:I7)</f>
        <v>9774371</v>
      </c>
      <c r="J8" s="248">
        <f>I8/I$8</f>
        <v>1</v>
      </c>
      <c r="K8" s="122">
        <f>SUM(K4:K7)</f>
        <v>0</v>
      </c>
      <c r="L8" s="248" t="e">
        <f>K8/K$8</f>
        <v>#DIV/0!</v>
      </c>
      <c r="M8" s="179"/>
    </row>
    <row r="9" spans="2:19" ht="15.75" thickBot="1"/>
    <row r="10" spans="2:19">
      <c r="B10" s="1160" t="s">
        <v>326</v>
      </c>
      <c r="C10" s="1158">
        <v>2009</v>
      </c>
      <c r="D10" s="1158"/>
      <c r="E10" s="1158">
        <v>2010</v>
      </c>
      <c r="F10" s="1158"/>
      <c r="G10" s="1158">
        <v>2011</v>
      </c>
      <c r="H10" s="1158"/>
      <c r="I10" s="1158">
        <v>2012</v>
      </c>
      <c r="J10" s="1159"/>
      <c r="K10" s="1158">
        <v>2013</v>
      </c>
      <c r="L10" s="1159"/>
    </row>
    <row r="11" spans="2:19" ht="15.75" thickBot="1">
      <c r="B11" s="1161"/>
      <c r="C11" s="257" t="s">
        <v>328</v>
      </c>
      <c r="D11" s="257" t="s">
        <v>240</v>
      </c>
      <c r="E11" s="257" t="s">
        <v>328</v>
      </c>
      <c r="F11" s="257" t="s">
        <v>240</v>
      </c>
      <c r="G11" s="257" t="s">
        <v>328</v>
      </c>
      <c r="H11" s="257" t="s">
        <v>240</v>
      </c>
      <c r="I11" s="257" t="s">
        <v>328</v>
      </c>
      <c r="J11" s="258" t="s">
        <v>240</v>
      </c>
      <c r="K11" s="257" t="s">
        <v>328</v>
      </c>
      <c r="L11" s="258" t="s">
        <v>240</v>
      </c>
    </row>
    <row r="12" spans="2:19">
      <c r="B12" s="243" t="s">
        <v>107</v>
      </c>
      <c r="C12" s="240">
        <v>8069964</v>
      </c>
      <c r="D12" s="241">
        <f>C12/C$15</f>
        <v>0.96354822305751331</v>
      </c>
      <c r="E12" s="253">
        <v>8279477</v>
      </c>
      <c r="F12" s="241">
        <f>E12/E$15</f>
        <v>0.95153485486625322</v>
      </c>
      <c r="G12" s="253">
        <v>8279477</v>
      </c>
      <c r="H12" s="241">
        <f>G12/G$15</f>
        <v>0.95153485486625322</v>
      </c>
      <c r="I12" s="242">
        <f>G12</f>
        <v>8279477</v>
      </c>
      <c r="J12" s="241">
        <f>I12/I$15</f>
        <v>0.95153485486625322</v>
      </c>
      <c r="K12" s="242"/>
      <c r="L12" s="241" t="e">
        <f>K12/K$15</f>
        <v>#DIV/0!</v>
      </c>
    </row>
    <row r="13" spans="2:19">
      <c r="B13" s="243" t="s">
        <v>108</v>
      </c>
      <c r="C13" s="240">
        <v>197908</v>
      </c>
      <c r="D13" s="241">
        <f t="shared" ref="D13:F14" si="1">C13/C$15</f>
        <v>2.3630080844086337E-2</v>
      </c>
      <c r="E13" s="253">
        <v>299028</v>
      </c>
      <c r="F13" s="241">
        <f t="shared" si="1"/>
        <v>3.4366369346873718E-2</v>
      </c>
      <c r="G13" s="253">
        <v>299028</v>
      </c>
      <c r="H13" s="241">
        <f t="shared" ref="H13:H14" si="2">G13/G$15</f>
        <v>3.4366369346873718E-2</v>
      </c>
      <c r="I13" s="242">
        <f t="shared" ref="I13:I14" si="3">G13</f>
        <v>299028</v>
      </c>
      <c r="J13" s="241">
        <f t="shared" ref="J13:J14" si="4">I13/I$15</f>
        <v>3.4366369346873718E-2</v>
      </c>
      <c r="K13" s="242"/>
      <c r="L13" s="241" t="e">
        <f t="shared" ref="L13:L14" si="5">K13/K$15</f>
        <v>#DIV/0!</v>
      </c>
    </row>
    <row r="14" spans="2:19" ht="15.75" thickBot="1">
      <c r="B14" s="244" t="s">
        <v>109</v>
      </c>
      <c r="C14" s="245">
        <v>107385</v>
      </c>
      <c r="D14" s="241">
        <f t="shared" si="1"/>
        <v>1.2821696098400323E-2</v>
      </c>
      <c r="E14" s="253">
        <v>122676</v>
      </c>
      <c r="F14" s="241">
        <f t="shared" si="1"/>
        <v>1.4098775786873069E-2</v>
      </c>
      <c r="G14" s="253">
        <v>122676</v>
      </c>
      <c r="H14" s="241">
        <f t="shared" si="2"/>
        <v>1.4098775786873069E-2</v>
      </c>
      <c r="I14" s="242">
        <f t="shared" si="3"/>
        <v>122676</v>
      </c>
      <c r="J14" s="241">
        <f t="shared" si="4"/>
        <v>1.4098775786873069E-2</v>
      </c>
      <c r="K14" s="247"/>
      <c r="L14" s="241" t="e">
        <f t="shared" si="5"/>
        <v>#DIV/0!</v>
      </c>
    </row>
    <row r="15" spans="2:19" ht="15.75" thickBot="1">
      <c r="B15" s="94" t="s">
        <v>85</v>
      </c>
      <c r="C15" s="122">
        <f t="shared" ref="C15:L15" si="6">SUM(C12:C14)</f>
        <v>8375257</v>
      </c>
      <c r="D15" s="248">
        <f t="shared" si="6"/>
        <v>1</v>
      </c>
      <c r="E15" s="122">
        <f t="shared" si="6"/>
        <v>8701181</v>
      </c>
      <c r="F15" s="248">
        <f t="shared" si="6"/>
        <v>1</v>
      </c>
      <c r="G15" s="122">
        <f t="shared" si="6"/>
        <v>8701181</v>
      </c>
      <c r="H15" s="248">
        <f t="shared" si="6"/>
        <v>1</v>
      </c>
      <c r="I15" s="122">
        <f t="shared" si="6"/>
        <v>8701181</v>
      </c>
      <c r="J15" s="248">
        <f t="shared" si="6"/>
        <v>1</v>
      </c>
      <c r="K15" s="122">
        <f t="shared" si="6"/>
        <v>0</v>
      </c>
      <c r="L15" s="248" t="e">
        <f t="shared" si="6"/>
        <v>#DIV/0!</v>
      </c>
    </row>
  </sheetData>
  <mergeCells count="15">
    <mergeCell ref="N2:O2"/>
    <mergeCell ref="P2:Q2"/>
    <mergeCell ref="M2:M3"/>
    <mergeCell ref="B2:B3"/>
    <mergeCell ref="C2:D2"/>
    <mergeCell ref="E2:F2"/>
    <mergeCell ref="G2:H2"/>
    <mergeCell ref="K2:L2"/>
    <mergeCell ref="I2:J2"/>
    <mergeCell ref="K10:L10"/>
    <mergeCell ref="B10:B11"/>
    <mergeCell ref="C10:D10"/>
    <mergeCell ref="E10:F10"/>
    <mergeCell ref="G10:H10"/>
    <mergeCell ref="I10:J10"/>
  </mergeCells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9" tint="0.39997558519241921"/>
  </sheetPr>
  <dimension ref="A1:AS25"/>
  <sheetViews>
    <sheetView workbookViewId="0">
      <selection activeCell="B16" sqref="B16:B18"/>
    </sheetView>
  </sheetViews>
  <sheetFormatPr defaultColWidth="8.85546875" defaultRowHeight="15"/>
  <cols>
    <col min="1" max="1" width="8.85546875" style="1"/>
    <col min="2" max="2" width="14.140625" style="3" bestFit="1" customWidth="1"/>
    <col min="3" max="10" width="14.140625" style="3" customWidth="1"/>
    <col min="11" max="11" width="10.140625" style="3" bestFit="1" customWidth="1"/>
    <col min="12" max="12" width="9.28515625" style="3" customWidth="1"/>
    <col min="13" max="13" width="15.28515625" style="3" customWidth="1"/>
    <col min="14" max="15" width="8.85546875" style="3"/>
    <col min="16" max="45" width="8.85546875" style="1"/>
  </cols>
  <sheetData>
    <row r="1" spans="2:13" ht="15.75" thickBot="1"/>
    <row r="2" spans="2:13" ht="15.75" thickBot="1">
      <c r="B2" s="1164" t="s">
        <v>394</v>
      </c>
      <c r="C2" s="1165"/>
      <c r="D2" s="1165"/>
      <c r="E2" s="1165"/>
      <c r="F2" s="1165"/>
      <c r="G2" s="1165"/>
      <c r="H2" s="1165"/>
      <c r="I2" s="1165"/>
      <c r="J2" s="1165"/>
      <c r="K2" s="1165"/>
      <c r="L2" s="1165"/>
      <c r="M2" s="1166"/>
    </row>
    <row r="3" spans="2:13" ht="15.75" thickBot="1">
      <c r="B3" s="1168" t="s">
        <v>326</v>
      </c>
      <c r="C3" s="1165">
        <v>2009</v>
      </c>
      <c r="D3" s="1166"/>
      <c r="E3" s="1164">
        <v>2010</v>
      </c>
      <c r="F3" s="1166"/>
      <c r="G3" s="1164">
        <v>2011</v>
      </c>
      <c r="H3" s="1166"/>
      <c r="I3" s="1164">
        <v>2012</v>
      </c>
      <c r="J3" s="1166"/>
      <c r="K3" s="1165">
        <v>2013</v>
      </c>
      <c r="L3" s="1165"/>
      <c r="M3" s="1152" t="s">
        <v>327</v>
      </c>
    </row>
    <row r="4" spans="2:13" ht="15.75" thickBot="1">
      <c r="B4" s="1169"/>
      <c r="C4" s="181" t="s">
        <v>328</v>
      </c>
      <c r="D4" s="181" t="s">
        <v>240</v>
      </c>
      <c r="E4" s="181" t="s">
        <v>328</v>
      </c>
      <c r="F4" s="181" t="s">
        <v>240</v>
      </c>
      <c r="G4" s="181" t="s">
        <v>328</v>
      </c>
      <c r="H4" s="181" t="s">
        <v>240</v>
      </c>
      <c r="I4" s="180" t="s">
        <v>328</v>
      </c>
      <c r="J4" s="181" t="s">
        <v>240</v>
      </c>
      <c r="K4" s="181" t="s">
        <v>328</v>
      </c>
      <c r="L4" s="285" t="s">
        <v>240</v>
      </c>
      <c r="M4" s="1167"/>
    </row>
    <row r="5" spans="2:13" ht="15.75" thickBot="1">
      <c r="B5" s="95" t="s">
        <v>395</v>
      </c>
      <c r="C5" s="98">
        <v>5</v>
      </c>
      <c r="D5" s="97">
        <f t="shared" ref="D5:D12" si="0">C5/C$12</f>
        <v>3.691145606097182E-6</v>
      </c>
      <c r="E5" s="98">
        <v>3</v>
      </c>
      <c r="F5" s="97">
        <f t="shared" ref="F5:F12" si="1">E5/E$12</f>
        <v>2.0927317334166704E-6</v>
      </c>
      <c r="G5" s="98">
        <v>3</v>
      </c>
      <c r="H5" s="97">
        <f t="shared" ref="H5:H12" si="2">G5/G$12</f>
        <v>2.0927317334166704E-6</v>
      </c>
      <c r="I5" s="95">
        <f>G5</f>
        <v>3</v>
      </c>
      <c r="J5" s="97">
        <f>I5/I$12</f>
        <v>2.0927317334166704E-6</v>
      </c>
      <c r="K5" s="98"/>
      <c r="L5" s="97" t="e">
        <f t="shared" ref="L5:L12" si="3">K5/K$12</f>
        <v>#DIV/0!</v>
      </c>
      <c r="M5" s="123">
        <v>6.9</v>
      </c>
    </row>
    <row r="6" spans="2:13" ht="15.75" thickBot="1">
      <c r="B6" s="95" t="s">
        <v>396</v>
      </c>
      <c r="C6" s="98">
        <v>2122</v>
      </c>
      <c r="D6" s="97">
        <f t="shared" si="0"/>
        <v>1.566522195227644E-3</v>
      </c>
      <c r="E6" s="98">
        <v>1087</v>
      </c>
      <c r="F6" s="97">
        <f t="shared" si="1"/>
        <v>7.5826646474130691E-4</v>
      </c>
      <c r="G6" s="98">
        <v>1087</v>
      </c>
      <c r="H6" s="97">
        <f t="shared" si="2"/>
        <v>7.5826646474130691E-4</v>
      </c>
      <c r="I6" s="95">
        <f t="shared" ref="I6:I11" si="4">G6</f>
        <v>1087</v>
      </c>
      <c r="J6" s="97">
        <f t="shared" ref="J6:J12" si="5">I6/I$12</f>
        <v>7.5826646474130691E-4</v>
      </c>
      <c r="K6" s="96"/>
      <c r="L6" s="97" t="e">
        <f t="shared" si="3"/>
        <v>#DIV/0!</v>
      </c>
      <c r="M6" s="123">
        <v>6.9</v>
      </c>
    </row>
    <row r="7" spans="2:13" ht="15.75" thickBot="1">
      <c r="B7" s="95" t="s">
        <v>397</v>
      </c>
      <c r="C7" s="98">
        <v>404106</v>
      </c>
      <c r="D7" s="97">
        <f t="shared" si="0"/>
        <v>0.29832281725950155</v>
      </c>
      <c r="E7" s="98">
        <v>395611</v>
      </c>
      <c r="F7" s="97">
        <f t="shared" si="1"/>
        <v>0.27596923126290079</v>
      </c>
      <c r="G7" s="98">
        <v>395611</v>
      </c>
      <c r="H7" s="97">
        <f t="shared" si="2"/>
        <v>0.27596923126290079</v>
      </c>
      <c r="I7" s="95">
        <f t="shared" si="4"/>
        <v>395611</v>
      </c>
      <c r="J7" s="97">
        <f t="shared" si="5"/>
        <v>0.27596923126290079</v>
      </c>
      <c r="K7" s="96"/>
      <c r="L7" s="97" t="e">
        <f t="shared" si="3"/>
        <v>#DIV/0!</v>
      </c>
      <c r="M7" s="123">
        <v>6.9</v>
      </c>
    </row>
    <row r="8" spans="2:13" ht="15.75" thickBot="1">
      <c r="B8" s="95" t="s">
        <v>398</v>
      </c>
      <c r="C8" s="98">
        <v>302685</v>
      </c>
      <c r="D8" s="97">
        <f t="shared" si="0"/>
        <v>0.2234508815563051</v>
      </c>
      <c r="E8" s="98">
        <v>275525</v>
      </c>
      <c r="F8" s="97">
        <f t="shared" si="1"/>
        <v>0.1921999702832094</v>
      </c>
      <c r="G8" s="98">
        <v>275525</v>
      </c>
      <c r="H8" s="97">
        <f t="shared" si="2"/>
        <v>0.1921999702832094</v>
      </c>
      <c r="I8" s="95">
        <f t="shared" si="4"/>
        <v>275525</v>
      </c>
      <c r="J8" s="97">
        <f t="shared" si="5"/>
        <v>0.1921999702832094</v>
      </c>
      <c r="K8" s="96"/>
      <c r="L8" s="97" t="e">
        <f t="shared" si="3"/>
        <v>#DIV/0!</v>
      </c>
      <c r="M8" s="123">
        <v>5.6</v>
      </c>
    </row>
    <row r="9" spans="2:13" ht="15.75" thickBot="1">
      <c r="B9" s="95" t="s">
        <v>399</v>
      </c>
      <c r="C9" s="98">
        <v>365051</v>
      </c>
      <c r="D9" s="97">
        <f t="shared" si="0"/>
        <v>0.26949127893027647</v>
      </c>
      <c r="E9" s="98">
        <v>404776</v>
      </c>
      <c r="F9" s="97">
        <f t="shared" si="1"/>
        <v>0.28236252670848877</v>
      </c>
      <c r="G9" s="98">
        <v>404776</v>
      </c>
      <c r="H9" s="97">
        <f t="shared" si="2"/>
        <v>0.28236252670848877</v>
      </c>
      <c r="I9" s="95">
        <f t="shared" si="4"/>
        <v>404776</v>
      </c>
      <c r="J9" s="97">
        <f t="shared" si="5"/>
        <v>0.28236252670848877</v>
      </c>
      <c r="K9" s="96"/>
      <c r="L9" s="97" t="e">
        <f t="shared" si="3"/>
        <v>#DIV/0!</v>
      </c>
      <c r="M9" s="123">
        <v>2.5</v>
      </c>
    </row>
    <row r="10" spans="2:13" ht="15.75" thickBot="1">
      <c r="B10" s="95" t="s">
        <v>400</v>
      </c>
      <c r="C10" s="98">
        <v>31599</v>
      </c>
      <c r="D10" s="97">
        <f t="shared" si="0"/>
        <v>2.3327302001412972E-2</v>
      </c>
      <c r="E10" s="98">
        <v>59768</v>
      </c>
      <c r="F10" s="97">
        <f t="shared" si="1"/>
        <v>4.1692796747615855E-2</v>
      </c>
      <c r="G10" s="98">
        <v>59768</v>
      </c>
      <c r="H10" s="97">
        <f t="shared" si="2"/>
        <v>4.1692796747615855E-2</v>
      </c>
      <c r="I10" s="95">
        <f t="shared" si="4"/>
        <v>59768</v>
      </c>
      <c r="J10" s="97">
        <f t="shared" si="5"/>
        <v>4.1692796747615855E-2</v>
      </c>
      <c r="K10" s="96"/>
      <c r="L10" s="97" t="e">
        <f t="shared" si="3"/>
        <v>#DIV/0!</v>
      </c>
      <c r="M10" s="123">
        <v>6.3</v>
      </c>
    </row>
    <row r="11" spans="2:13" ht="15.75" thickBot="1">
      <c r="B11" s="95" t="s">
        <v>401</v>
      </c>
      <c r="C11" s="98">
        <v>249025</v>
      </c>
      <c r="D11" s="97">
        <f t="shared" si="0"/>
        <v>0.18383750691167014</v>
      </c>
      <c r="E11" s="98">
        <v>296763</v>
      </c>
      <c r="F11" s="97">
        <f t="shared" si="1"/>
        <v>0.20701511580131046</v>
      </c>
      <c r="G11" s="98">
        <v>296763</v>
      </c>
      <c r="H11" s="97">
        <f t="shared" si="2"/>
        <v>0.20701511580131046</v>
      </c>
      <c r="I11" s="95">
        <f t="shared" si="4"/>
        <v>296763</v>
      </c>
      <c r="J11" s="97">
        <f t="shared" si="5"/>
        <v>0.20701511580131046</v>
      </c>
      <c r="K11" s="96"/>
      <c r="L11" s="97" t="e">
        <f t="shared" si="3"/>
        <v>#DIV/0!</v>
      </c>
      <c r="M11" s="123">
        <v>4.0999999999999996</v>
      </c>
    </row>
    <row r="12" spans="2:13" ht="15.75" thickBot="1">
      <c r="B12" s="183" t="s">
        <v>347</v>
      </c>
      <c r="C12" s="184">
        <f>SUM(C5:C11)</f>
        <v>1354593</v>
      </c>
      <c r="D12" s="182">
        <f t="shared" si="0"/>
        <v>1</v>
      </c>
      <c r="E12" s="184">
        <f>SUM(E5:E11)</f>
        <v>1433533</v>
      </c>
      <c r="F12" s="182">
        <f t="shared" si="1"/>
        <v>1</v>
      </c>
      <c r="G12" s="184">
        <f>SUM(G5:G11)</f>
        <v>1433533</v>
      </c>
      <c r="H12" s="182">
        <f t="shared" si="2"/>
        <v>1</v>
      </c>
      <c r="I12" s="464">
        <f>SUM(I5:I11)</f>
        <v>1433533</v>
      </c>
      <c r="J12" s="182">
        <f t="shared" si="5"/>
        <v>1</v>
      </c>
      <c r="K12" s="184">
        <f>SUM(K5:K11)</f>
        <v>0</v>
      </c>
      <c r="L12" s="182" t="e">
        <f t="shared" si="3"/>
        <v>#DIV/0!</v>
      </c>
      <c r="M12" s="303"/>
    </row>
    <row r="14" spans="2:13" ht="15.75" thickBot="1"/>
    <row r="15" spans="2:13" ht="29.25" customHeight="1" thickBot="1">
      <c r="B15" s="302" t="s">
        <v>402</v>
      </c>
      <c r="C15" s="181" t="s">
        <v>328</v>
      </c>
      <c r="D15" s="181" t="s">
        <v>240</v>
      </c>
      <c r="E15" s="181" t="s">
        <v>328</v>
      </c>
      <c r="F15" s="181" t="s">
        <v>240</v>
      </c>
      <c r="G15" s="181" t="s">
        <v>328</v>
      </c>
      <c r="H15" s="181" t="s">
        <v>240</v>
      </c>
      <c r="I15" s="181" t="s">
        <v>328</v>
      </c>
      <c r="J15" s="180" t="s">
        <v>240</v>
      </c>
      <c r="K15" s="181" t="s">
        <v>328</v>
      </c>
      <c r="L15" s="180" t="s">
        <v>240</v>
      </c>
      <c r="M15" s="298" t="s">
        <v>327</v>
      </c>
    </row>
    <row r="16" spans="2:13" ht="15.75" thickBot="1">
      <c r="B16" s="95" t="s">
        <v>397</v>
      </c>
      <c r="C16" s="96">
        <f>C7+C10</f>
        <v>435705</v>
      </c>
      <c r="D16" s="97">
        <f>C16/C19</f>
        <v>0.32165011926091452</v>
      </c>
      <c r="E16" s="96">
        <f>E7+E10</f>
        <v>455379</v>
      </c>
      <c r="F16" s="97">
        <f>E16/E19</f>
        <v>0.31766202801051668</v>
      </c>
      <c r="G16" s="96">
        <f>G7+G10</f>
        <v>455379</v>
      </c>
      <c r="H16" s="97">
        <f>G16/G19</f>
        <v>0.31766202801051668</v>
      </c>
      <c r="I16" s="96">
        <f>I7+I10</f>
        <v>455379</v>
      </c>
      <c r="J16" s="97">
        <f>I16/I19</f>
        <v>0.31766202801051668</v>
      </c>
      <c r="K16" s="96">
        <f>K7+K10</f>
        <v>0</v>
      </c>
      <c r="L16" s="97" t="e">
        <f>K16/K19</f>
        <v>#DIV/0!</v>
      </c>
      <c r="M16" s="124">
        <f>(C7*M7+C10*M10)/C16</f>
        <v>6.8564856955967928</v>
      </c>
    </row>
    <row r="17" spans="2:13" ht="15.75" thickBot="1">
      <c r="B17" s="95" t="s">
        <v>398</v>
      </c>
      <c r="C17" s="96">
        <f>C5+C6+C8</f>
        <v>304812</v>
      </c>
      <c r="D17" s="97">
        <f>C17/C19</f>
        <v>0.22502109489713884</v>
      </c>
      <c r="E17" s="96">
        <f>E5+E6+E8</f>
        <v>276615</v>
      </c>
      <c r="F17" s="97">
        <f>E17/E19</f>
        <v>0.19296032947968411</v>
      </c>
      <c r="G17" s="96">
        <f>G5+G6+G8</f>
        <v>276615</v>
      </c>
      <c r="H17" s="97">
        <f>G17/G19</f>
        <v>0.19296032947968411</v>
      </c>
      <c r="I17" s="96">
        <f>I5+I6+I8</f>
        <v>276615</v>
      </c>
      <c r="J17" s="97">
        <f>I17/I19</f>
        <v>0.19296032947968411</v>
      </c>
      <c r="K17" s="96">
        <f>K5+K6+K8</f>
        <v>0</v>
      </c>
      <c r="L17" s="97" t="e">
        <f>K17/K19</f>
        <v>#DIV/0!</v>
      </c>
      <c r="M17" s="124">
        <f>(C5*M5+C6*M6+C8*M8)/C17</f>
        <v>5.6090714932482975</v>
      </c>
    </row>
    <row r="18" spans="2:13" ht="15.75" thickBot="1">
      <c r="B18" s="95" t="s">
        <v>399</v>
      </c>
      <c r="C18" s="96">
        <f>C9+C11</f>
        <v>614076</v>
      </c>
      <c r="D18" s="97">
        <f>C18/C19</f>
        <v>0.45332878584194664</v>
      </c>
      <c r="E18" s="96">
        <f>E9+E11</f>
        <v>701539</v>
      </c>
      <c r="F18" s="97">
        <f>E18/E19</f>
        <v>0.4893776425097992</v>
      </c>
      <c r="G18" s="96">
        <f>G9+G11</f>
        <v>701539</v>
      </c>
      <c r="H18" s="97">
        <f>G18/G19</f>
        <v>0.4893776425097992</v>
      </c>
      <c r="I18" s="96">
        <f>I9+I11</f>
        <v>701539</v>
      </c>
      <c r="J18" s="97">
        <f>I18/I19</f>
        <v>0.4893776425097992</v>
      </c>
      <c r="K18" s="96">
        <f>K9+K11</f>
        <v>0</v>
      </c>
      <c r="L18" s="97" t="e">
        <f>K18/K19</f>
        <v>#DIV/0!</v>
      </c>
      <c r="M18" s="124">
        <f>(C9*M9+C11*M11)/C18</f>
        <v>3.1488447684000027</v>
      </c>
    </row>
    <row r="19" spans="2:13" ht="15.75" thickBot="1">
      <c r="B19" s="183" t="s">
        <v>347</v>
      </c>
      <c r="C19" s="184">
        <f>C16+C17+C18</f>
        <v>1354593</v>
      </c>
      <c r="D19" s="185">
        <f>SUM(D16:D18)</f>
        <v>1</v>
      </c>
      <c r="E19" s="184">
        <f>E16+E17+E18</f>
        <v>1433533</v>
      </c>
      <c r="F19" s="185">
        <f>SUM(F16:F18)</f>
        <v>1</v>
      </c>
      <c r="G19" s="184">
        <f>G16+G17+G18</f>
        <v>1433533</v>
      </c>
      <c r="H19" s="185">
        <f>SUM(H16:H18)</f>
        <v>1</v>
      </c>
      <c r="I19" s="184">
        <f>I16+I17+I18</f>
        <v>1433533</v>
      </c>
      <c r="J19" s="185">
        <f>SUM(J16:J18)</f>
        <v>1</v>
      </c>
      <c r="K19" s="184">
        <f>K16+K17+K18</f>
        <v>0</v>
      </c>
      <c r="L19" s="185" t="e">
        <f>SUM(L16:L18)</f>
        <v>#DIV/0!</v>
      </c>
      <c r="M19" s="303" t="e">
        <f>(K16*M16+K17*M17+K18*M18)/K19</f>
        <v>#DIV/0!</v>
      </c>
    </row>
    <row r="21" spans="2:13" ht="15.75" thickBot="1"/>
    <row r="22" spans="2:13" ht="27" thickBot="1">
      <c r="B22" s="302" t="s">
        <v>402</v>
      </c>
      <c r="C22" s="181" t="s">
        <v>328</v>
      </c>
      <c r="D22" s="181" t="s">
        <v>240</v>
      </c>
      <c r="E22" s="181" t="s">
        <v>328</v>
      </c>
      <c r="F22" s="181" t="s">
        <v>240</v>
      </c>
      <c r="G22" s="181" t="s">
        <v>328</v>
      </c>
      <c r="H22" s="181" t="s">
        <v>240</v>
      </c>
      <c r="I22" s="181" t="s">
        <v>328</v>
      </c>
      <c r="J22" s="180" t="s">
        <v>240</v>
      </c>
      <c r="K22" s="181" t="s">
        <v>328</v>
      </c>
      <c r="L22" s="180" t="s">
        <v>240</v>
      </c>
      <c r="M22" s="298" t="s">
        <v>327</v>
      </c>
    </row>
    <row r="23" spans="2:13" ht="15.75" thickBot="1">
      <c r="B23" s="95" t="s">
        <v>397</v>
      </c>
      <c r="C23" s="96">
        <f>C16</f>
        <v>435705</v>
      </c>
      <c r="D23" s="97">
        <f>C23/C25</f>
        <v>0.58837947001891922</v>
      </c>
      <c r="E23" s="96">
        <f>E16</f>
        <v>455379</v>
      </c>
      <c r="F23" s="97">
        <f>E23/E25</f>
        <v>0.62210755825867425</v>
      </c>
      <c r="G23" s="96">
        <f>G16</f>
        <v>455379</v>
      </c>
      <c r="H23" s="97">
        <f>G23/G25</f>
        <v>0.62210755825867425</v>
      </c>
      <c r="I23" s="96">
        <f>I16</f>
        <v>455379</v>
      </c>
      <c r="J23" s="97">
        <f>I23/I25</f>
        <v>0.62210755825867425</v>
      </c>
      <c r="K23" s="96">
        <f>K16</f>
        <v>0</v>
      </c>
      <c r="L23" s="97" t="e">
        <f>K23/K25</f>
        <v>#DIV/0!</v>
      </c>
      <c r="M23" s="124">
        <f>(C14*M14+C17*M17)/C23</f>
        <v>3.9240134953695738</v>
      </c>
    </row>
    <row r="24" spans="2:13" ht="15.75" thickBot="1">
      <c r="B24" s="95" t="s">
        <v>398</v>
      </c>
      <c r="C24" s="96">
        <f>C17</f>
        <v>304812</v>
      </c>
      <c r="D24" s="97">
        <f>C24/C25</f>
        <v>0.41162052998108078</v>
      </c>
      <c r="E24" s="96">
        <f>E17</f>
        <v>276615</v>
      </c>
      <c r="F24" s="97">
        <f>E24/E25</f>
        <v>0.37789244174132575</v>
      </c>
      <c r="G24" s="96">
        <f>G17</f>
        <v>276615</v>
      </c>
      <c r="H24" s="97">
        <f>G24/G25</f>
        <v>0.37789244174132575</v>
      </c>
      <c r="I24" s="96">
        <f>I17</f>
        <v>276615</v>
      </c>
      <c r="J24" s="97">
        <f>I24/I25</f>
        <v>0.37789244174132575</v>
      </c>
      <c r="K24" s="96">
        <f>K17</f>
        <v>0</v>
      </c>
      <c r="L24" s="97" t="e">
        <f>K24/K25</f>
        <v>#DIV/0!</v>
      </c>
      <c r="M24" s="124" t="e">
        <f>(C12*M12+C13*M13+C15*M15)/C24</f>
        <v>#VALUE!</v>
      </c>
    </row>
    <row r="25" spans="2:13" ht="15.75" thickBot="1">
      <c r="B25" s="183" t="s">
        <v>347</v>
      </c>
      <c r="C25" s="184">
        <f>C23+C24</f>
        <v>740517</v>
      </c>
      <c r="D25" s="185">
        <f>SUM(D23:D24)</f>
        <v>1</v>
      </c>
      <c r="E25" s="184">
        <f>E23+E24</f>
        <v>731994</v>
      </c>
      <c r="F25" s="185">
        <f>SUM(F23:F24)</f>
        <v>1</v>
      </c>
      <c r="G25" s="184">
        <f>G23+G24</f>
        <v>731994</v>
      </c>
      <c r="H25" s="185">
        <f>SUM(H23:H24)</f>
        <v>1</v>
      </c>
      <c r="I25" s="184">
        <f>I23+I24</f>
        <v>731994</v>
      </c>
      <c r="J25" s="185">
        <f>SUM(J23:J24)</f>
        <v>1</v>
      </c>
      <c r="K25" s="184">
        <f>K23+K24</f>
        <v>0</v>
      </c>
      <c r="L25" s="185" t="e">
        <f>SUM(L23:L24)</f>
        <v>#DIV/0!</v>
      </c>
      <c r="M25" s="303" t="e">
        <f>(K23*M23+K24*M24+#REF!*#REF!)/K25</f>
        <v>#VALUE!</v>
      </c>
    </row>
  </sheetData>
  <mergeCells count="8">
    <mergeCell ref="B2:M2"/>
    <mergeCell ref="C3:D3"/>
    <mergeCell ref="E3:F3"/>
    <mergeCell ref="G3:H3"/>
    <mergeCell ref="K3:L3"/>
    <mergeCell ref="M3:M4"/>
    <mergeCell ref="B3:B4"/>
    <mergeCell ref="I3:J3"/>
  </mergeCells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9" tint="0.39997558519241921"/>
  </sheetPr>
  <dimension ref="A2:AL27"/>
  <sheetViews>
    <sheetView workbookViewId="0">
      <selection activeCell="I6" sqref="I6:I11"/>
    </sheetView>
  </sheetViews>
  <sheetFormatPr defaultColWidth="8.85546875" defaultRowHeight="15"/>
  <cols>
    <col min="1" max="1" width="8.85546875" style="1"/>
    <col min="2" max="2" width="31.42578125" style="3" bestFit="1" customWidth="1"/>
    <col min="3" max="3" width="8.42578125" style="3" bestFit="1" customWidth="1"/>
    <col min="4" max="4" width="8.28515625" style="3" bestFit="1" customWidth="1"/>
    <col min="5" max="5" width="8.42578125" style="3" bestFit="1" customWidth="1"/>
    <col min="6" max="6" width="8.28515625" style="3" bestFit="1" customWidth="1"/>
    <col min="7" max="7" width="8.42578125" style="3" bestFit="1" customWidth="1"/>
    <col min="8" max="8" width="8.28515625" style="3" bestFit="1" customWidth="1"/>
    <col min="9" max="10" width="8.28515625" style="3" customWidth="1"/>
    <col min="11" max="11" width="11.42578125" style="3" customWidth="1"/>
    <col min="12" max="12" width="9.42578125" style="3" bestFit="1" customWidth="1"/>
    <col min="13" max="13" width="16.7109375" style="3" customWidth="1"/>
    <col min="14" max="15" width="8.85546875" style="3"/>
    <col min="16" max="38" width="8.85546875" style="1"/>
  </cols>
  <sheetData>
    <row r="2" spans="2:13" ht="15.75" thickBot="1"/>
    <row r="3" spans="2:13" ht="15.75" thickBot="1">
      <c r="B3" s="1164" t="s">
        <v>8</v>
      </c>
      <c r="C3" s="1165"/>
      <c r="D3" s="1165"/>
      <c r="E3" s="1165"/>
      <c r="F3" s="1165"/>
      <c r="G3" s="1165"/>
      <c r="H3" s="1165"/>
      <c r="I3" s="1165"/>
      <c r="J3" s="1165"/>
      <c r="K3" s="1165"/>
      <c r="L3" s="1165"/>
      <c r="M3" s="1166"/>
    </row>
    <row r="4" spans="2:13" ht="15.75" thickBot="1">
      <c r="B4" s="1168" t="s">
        <v>326</v>
      </c>
      <c r="C4" s="1165">
        <v>2009</v>
      </c>
      <c r="D4" s="1166"/>
      <c r="E4" s="1164">
        <v>2010</v>
      </c>
      <c r="F4" s="1166"/>
      <c r="G4" s="1164">
        <v>2011</v>
      </c>
      <c r="H4" s="1166"/>
      <c r="I4" s="1165">
        <v>2012</v>
      </c>
      <c r="J4" s="1165"/>
      <c r="K4" s="1164">
        <v>2013</v>
      </c>
      <c r="L4" s="1166"/>
      <c r="M4" s="1152" t="s">
        <v>327</v>
      </c>
    </row>
    <row r="5" spans="2:13" ht="15.75" thickBot="1">
      <c r="B5" s="1169"/>
      <c r="C5" s="181" t="s">
        <v>328</v>
      </c>
      <c r="D5" s="181" t="s">
        <v>240</v>
      </c>
      <c r="E5" s="181" t="s">
        <v>328</v>
      </c>
      <c r="F5" s="181" t="s">
        <v>240</v>
      </c>
      <c r="G5" s="181" t="s">
        <v>328</v>
      </c>
      <c r="H5" s="181" t="s">
        <v>240</v>
      </c>
      <c r="I5" s="181" t="s">
        <v>328</v>
      </c>
      <c r="J5" s="285" t="s">
        <v>240</v>
      </c>
      <c r="K5" s="181" t="s">
        <v>328</v>
      </c>
      <c r="L5" s="285" t="s">
        <v>240</v>
      </c>
      <c r="M5" s="1167"/>
    </row>
    <row r="6" spans="2:13" ht="15.75" thickBot="1">
      <c r="B6" s="95" t="s">
        <v>403</v>
      </c>
      <c r="C6" s="98">
        <v>57</v>
      </c>
      <c r="D6" s="97">
        <f t="shared" ref="D6:D12" si="0">C6/C$12</f>
        <v>1.795513107245683E-4</v>
      </c>
      <c r="E6" s="98">
        <v>22</v>
      </c>
      <c r="F6" s="97">
        <f t="shared" ref="F6:F12" si="1">E6/E$12</f>
        <v>6.8915181074638275E-5</v>
      </c>
      <c r="G6" s="98">
        <v>22</v>
      </c>
      <c r="H6" s="97">
        <f t="shared" ref="H6:H12" si="2">G6/G$12</f>
        <v>6.8915181074638275E-5</v>
      </c>
      <c r="I6" s="98">
        <f>G6</f>
        <v>22</v>
      </c>
      <c r="J6" s="97">
        <f>I6/I$12</f>
        <v>6.8915181074638275E-5</v>
      </c>
      <c r="K6" s="98"/>
      <c r="L6" s="97" t="e">
        <f t="shared" ref="L6:L12" si="3">K6/K$12</f>
        <v>#DIV/0!</v>
      </c>
      <c r="M6" s="123">
        <v>2.7</v>
      </c>
    </row>
    <row r="7" spans="2:13" ht="15.75" thickBot="1">
      <c r="B7" s="95" t="s">
        <v>404</v>
      </c>
      <c r="C7" s="98">
        <v>30149</v>
      </c>
      <c r="D7" s="97">
        <f t="shared" si="0"/>
        <v>9.4970043281315947E-2</v>
      </c>
      <c r="E7" s="98">
        <v>25745</v>
      </c>
      <c r="F7" s="97">
        <f t="shared" si="1"/>
        <v>8.0646424398480104E-2</v>
      </c>
      <c r="G7" s="98">
        <v>25745</v>
      </c>
      <c r="H7" s="97">
        <f t="shared" si="2"/>
        <v>8.0646424398480104E-2</v>
      </c>
      <c r="I7" s="98">
        <f t="shared" ref="I7:I11" si="4">G7</f>
        <v>25745</v>
      </c>
      <c r="J7" s="97">
        <f t="shared" ref="J7:J12" si="5">I7/I$12</f>
        <v>8.0646424398480104E-2</v>
      </c>
      <c r="K7" s="96"/>
      <c r="L7" s="97" t="e">
        <f t="shared" si="3"/>
        <v>#DIV/0!</v>
      </c>
      <c r="M7" s="123">
        <v>4.7</v>
      </c>
    </row>
    <row r="8" spans="2:13" ht="15.75" thickBot="1">
      <c r="B8" s="95" t="s">
        <v>105</v>
      </c>
      <c r="C8" s="98">
        <v>33846</v>
      </c>
      <c r="D8" s="97">
        <f t="shared" si="0"/>
        <v>0.10661567829445155</v>
      </c>
      <c r="E8" s="98">
        <v>22197</v>
      </c>
      <c r="F8" s="97">
        <f t="shared" si="1"/>
        <v>6.9532285196079346E-2</v>
      </c>
      <c r="G8" s="98">
        <v>22197</v>
      </c>
      <c r="H8" s="97">
        <f t="shared" si="2"/>
        <v>6.9532285196079346E-2</v>
      </c>
      <c r="I8" s="98">
        <f t="shared" si="4"/>
        <v>22197</v>
      </c>
      <c r="J8" s="97">
        <f t="shared" si="5"/>
        <v>6.9532285196079346E-2</v>
      </c>
      <c r="K8" s="96"/>
      <c r="L8" s="97" t="e">
        <f t="shared" si="3"/>
        <v>#DIV/0!</v>
      </c>
      <c r="M8" s="123">
        <v>2.7</v>
      </c>
    </row>
    <row r="9" spans="2:13" ht="15.75" thickBot="1">
      <c r="B9" s="95" t="s">
        <v>405</v>
      </c>
      <c r="C9" s="98">
        <v>1704</v>
      </c>
      <c r="D9" s="97">
        <f t="shared" si="0"/>
        <v>5.3676391837660419E-3</v>
      </c>
      <c r="E9" s="98">
        <v>1130</v>
      </c>
      <c r="F9" s="97">
        <f t="shared" si="1"/>
        <v>3.539734300651875E-3</v>
      </c>
      <c r="G9" s="98">
        <v>1130</v>
      </c>
      <c r="H9" s="97">
        <f t="shared" si="2"/>
        <v>3.539734300651875E-3</v>
      </c>
      <c r="I9" s="98">
        <f t="shared" si="4"/>
        <v>1130</v>
      </c>
      <c r="J9" s="97">
        <f t="shared" si="5"/>
        <v>3.539734300651875E-3</v>
      </c>
      <c r="K9" s="96"/>
      <c r="L9" s="97" t="e">
        <f t="shared" si="3"/>
        <v>#DIV/0!</v>
      </c>
      <c r="M9" s="123">
        <v>2.2999999999999998</v>
      </c>
    </row>
    <row r="10" spans="2:13" ht="15.75" thickBot="1">
      <c r="B10" s="95" t="s">
        <v>114</v>
      </c>
      <c r="C10" s="98">
        <v>49048</v>
      </c>
      <c r="D10" s="97">
        <f t="shared" si="0"/>
        <v>0.15450232786699342</v>
      </c>
      <c r="E10" s="98">
        <v>56753</v>
      </c>
      <c r="F10" s="97">
        <f t="shared" si="1"/>
        <v>0.17777923961495209</v>
      </c>
      <c r="G10" s="98">
        <v>56753</v>
      </c>
      <c r="H10" s="97">
        <f t="shared" si="2"/>
        <v>0.17777923961495209</v>
      </c>
      <c r="I10" s="98">
        <f t="shared" si="4"/>
        <v>56753</v>
      </c>
      <c r="J10" s="97">
        <f t="shared" si="5"/>
        <v>0.17777923961495209</v>
      </c>
      <c r="K10" s="96"/>
      <c r="L10" s="97" t="e">
        <f t="shared" si="3"/>
        <v>#DIV/0!</v>
      </c>
      <c r="M10" s="123">
        <v>3</v>
      </c>
    </row>
    <row r="11" spans="2:13" ht="15.75" thickBot="1">
      <c r="B11" s="95" t="s">
        <v>115</v>
      </c>
      <c r="C11" s="98">
        <v>202654</v>
      </c>
      <c r="D11" s="97">
        <f t="shared" si="0"/>
        <v>0.63836476006274845</v>
      </c>
      <c r="E11" s="98">
        <v>213386</v>
      </c>
      <c r="F11" s="97">
        <f t="shared" si="1"/>
        <v>0.66843340130876194</v>
      </c>
      <c r="G11" s="98">
        <v>213386</v>
      </c>
      <c r="H11" s="97">
        <f t="shared" si="2"/>
        <v>0.66843340130876194</v>
      </c>
      <c r="I11" s="98">
        <f t="shared" si="4"/>
        <v>213386</v>
      </c>
      <c r="J11" s="97">
        <f t="shared" si="5"/>
        <v>0.66843340130876194</v>
      </c>
      <c r="K11" s="96"/>
      <c r="L11" s="97" t="e">
        <f t="shared" si="3"/>
        <v>#DIV/0!</v>
      </c>
      <c r="M11" s="123">
        <v>2.2999999999999998</v>
      </c>
    </row>
    <row r="12" spans="2:13" ht="15.75" thickBot="1">
      <c r="B12" s="183" t="s">
        <v>347</v>
      </c>
      <c r="C12" s="301">
        <f>SUM(C6:C11)</f>
        <v>317458</v>
      </c>
      <c r="D12" s="182">
        <f t="shared" si="0"/>
        <v>1</v>
      </c>
      <c r="E12" s="301">
        <f t="shared" ref="E12:K12" si="6">SUM(E6:E11)</f>
        <v>319233</v>
      </c>
      <c r="F12" s="182">
        <f t="shared" si="1"/>
        <v>1</v>
      </c>
      <c r="G12" s="301">
        <f t="shared" si="6"/>
        <v>319233</v>
      </c>
      <c r="H12" s="182">
        <f t="shared" si="2"/>
        <v>1</v>
      </c>
      <c r="I12" s="301">
        <f>SUM(I6:I11)</f>
        <v>319233</v>
      </c>
      <c r="J12" s="182">
        <f t="shared" si="5"/>
        <v>1</v>
      </c>
      <c r="K12" s="301">
        <f t="shared" si="6"/>
        <v>0</v>
      </c>
      <c r="L12" s="182" t="e">
        <f t="shared" si="3"/>
        <v>#DIV/0!</v>
      </c>
      <c r="M12" s="303"/>
    </row>
    <row r="16" spans="2:13" ht="15.75" thickBot="1"/>
    <row r="17" spans="2:13" ht="27" customHeight="1" thickBot="1">
      <c r="B17" s="180" t="s">
        <v>326</v>
      </c>
      <c r="C17" s="181" t="s">
        <v>328</v>
      </c>
      <c r="D17" s="181" t="s">
        <v>240</v>
      </c>
      <c r="E17" s="181" t="s">
        <v>328</v>
      </c>
      <c r="F17" s="181" t="s">
        <v>240</v>
      </c>
      <c r="G17" s="181" t="s">
        <v>328</v>
      </c>
      <c r="H17" s="181" t="s">
        <v>240</v>
      </c>
      <c r="I17" s="181" t="s">
        <v>328</v>
      </c>
      <c r="J17" s="180" t="s">
        <v>240</v>
      </c>
      <c r="K17" s="181" t="s">
        <v>328</v>
      </c>
      <c r="L17" s="180" t="s">
        <v>240</v>
      </c>
      <c r="M17" s="298" t="s">
        <v>327</v>
      </c>
    </row>
    <row r="18" spans="2:13" ht="15.75" thickBot="1">
      <c r="B18" s="95" t="s">
        <v>404</v>
      </c>
      <c r="C18" s="96">
        <f>C7</f>
        <v>30149</v>
      </c>
      <c r="D18" s="97">
        <f>C18/C$21</f>
        <v>9.4970043281315947E-2</v>
      </c>
      <c r="E18" s="96">
        <f>E7</f>
        <v>25745</v>
      </c>
      <c r="F18" s="97">
        <f>E18/E$21</f>
        <v>8.0646424398480104E-2</v>
      </c>
      <c r="G18" s="96">
        <f>G7</f>
        <v>25745</v>
      </c>
      <c r="H18" s="97">
        <f>G18/G$21</f>
        <v>8.0646424398480104E-2</v>
      </c>
      <c r="I18" s="96">
        <f>I7</f>
        <v>25745</v>
      </c>
      <c r="J18" s="97">
        <f>I18/I$21</f>
        <v>8.0646424398480104E-2</v>
      </c>
      <c r="K18" s="96">
        <f>K7</f>
        <v>0</v>
      </c>
      <c r="L18" s="97" t="e">
        <f>K18/K$21</f>
        <v>#DIV/0!</v>
      </c>
      <c r="M18" s="124">
        <f>M7</f>
        <v>4.7</v>
      </c>
    </row>
    <row r="19" spans="2:13" ht="15.75" thickBot="1">
      <c r="B19" s="95" t="s">
        <v>114</v>
      </c>
      <c r="C19" s="96">
        <f>C10</f>
        <v>49048</v>
      </c>
      <c r="D19" s="97">
        <f t="shared" ref="D19:F21" si="7">C19/C$21</f>
        <v>0.15450232786699342</v>
      </c>
      <c r="E19" s="96">
        <f>E10</f>
        <v>56753</v>
      </c>
      <c r="F19" s="97">
        <f t="shared" si="7"/>
        <v>0.17777923961495209</v>
      </c>
      <c r="G19" s="96">
        <f>G10</f>
        <v>56753</v>
      </c>
      <c r="H19" s="97">
        <f>G19/G$21</f>
        <v>0.17777923961495209</v>
      </c>
      <c r="I19" s="96">
        <f>I10</f>
        <v>56753</v>
      </c>
      <c r="J19" s="97">
        <f>I19/I$21</f>
        <v>0.17777923961495209</v>
      </c>
      <c r="K19" s="96">
        <f>K10</f>
        <v>0</v>
      </c>
      <c r="L19" s="97" t="e">
        <f>K19/K$21</f>
        <v>#DIV/0!</v>
      </c>
      <c r="M19" s="124">
        <f>M10</f>
        <v>3</v>
      </c>
    </row>
    <row r="20" spans="2:13" ht="15.75" thickBot="1">
      <c r="B20" s="95" t="s">
        <v>115</v>
      </c>
      <c r="C20" s="96">
        <f>C6+C8+C9+C11</f>
        <v>238261</v>
      </c>
      <c r="D20" s="97">
        <f t="shared" si="7"/>
        <v>0.75052762885169066</v>
      </c>
      <c r="E20" s="96">
        <f>E6+E8+E9+E11</f>
        <v>236735</v>
      </c>
      <c r="F20" s="97">
        <f t="shared" si="7"/>
        <v>0.74157433598656786</v>
      </c>
      <c r="G20" s="96">
        <f>G6+G8+G9+G11</f>
        <v>236735</v>
      </c>
      <c r="H20" s="97">
        <f>G20/G$21</f>
        <v>0.74157433598656786</v>
      </c>
      <c r="I20" s="96">
        <f>I6+I8+I9+I11</f>
        <v>236735</v>
      </c>
      <c r="J20" s="97">
        <f>I20/I$21</f>
        <v>0.74157433598656786</v>
      </c>
      <c r="K20" s="96">
        <f>K6+K8+K9+K11</f>
        <v>0</v>
      </c>
      <c r="L20" s="97" t="e">
        <f>K20/K$21</f>
        <v>#DIV/0!</v>
      </c>
      <c r="M20" s="124">
        <f>(C6*M6+C8*M8+C9*M9+C11*M11)/C20</f>
        <v>2.3569174140963063</v>
      </c>
    </row>
    <row r="21" spans="2:13" ht="15.75" thickBot="1">
      <c r="B21" s="183" t="s">
        <v>347</v>
      </c>
      <c r="C21" s="184">
        <f>SUM(C18:C20)</f>
        <v>317458</v>
      </c>
      <c r="D21" s="182">
        <f t="shared" si="7"/>
        <v>1</v>
      </c>
      <c r="E21" s="184">
        <f>SUM(E18:E20)</f>
        <v>319233</v>
      </c>
      <c r="F21" s="182">
        <f t="shared" si="7"/>
        <v>1</v>
      </c>
      <c r="G21" s="184">
        <f>SUM(G18:G20)</f>
        <v>319233</v>
      </c>
      <c r="H21" s="182">
        <f>G21/G$21</f>
        <v>1</v>
      </c>
      <c r="I21" s="184">
        <f>I18+I19+I20</f>
        <v>319233</v>
      </c>
      <c r="J21" s="182">
        <f>I21/I$21</f>
        <v>1</v>
      </c>
      <c r="K21" s="184">
        <f>K18+K19+K20</f>
        <v>0</v>
      </c>
      <c r="L21" s="182" t="e">
        <f>K21/K$21</f>
        <v>#DIV/0!</v>
      </c>
      <c r="M21" s="303" t="e">
        <f>(K18*M18+K19*M19+K20*M20)/K21</f>
        <v>#DIV/0!</v>
      </c>
    </row>
    <row r="23" spans="2:13" ht="15.75" thickBot="1"/>
    <row r="24" spans="2:13" ht="27" customHeight="1" thickBot="1">
      <c r="B24" s="180" t="s">
        <v>326</v>
      </c>
      <c r="C24" s="181" t="s">
        <v>328</v>
      </c>
      <c r="D24" s="181" t="s">
        <v>240</v>
      </c>
      <c r="E24" s="181" t="s">
        <v>328</v>
      </c>
      <c r="F24" s="181" t="s">
        <v>240</v>
      </c>
      <c r="G24" s="181" t="s">
        <v>328</v>
      </c>
      <c r="H24" s="181" t="s">
        <v>240</v>
      </c>
      <c r="I24" s="181" t="s">
        <v>328</v>
      </c>
      <c r="J24" s="180" t="s">
        <v>240</v>
      </c>
      <c r="K24" s="181" t="s">
        <v>328</v>
      </c>
      <c r="L24" s="180" t="s">
        <v>240</v>
      </c>
      <c r="M24" s="298" t="s">
        <v>327</v>
      </c>
    </row>
    <row r="25" spans="2:13" ht="15.75" thickBot="1">
      <c r="B25" s="95" t="s">
        <v>114</v>
      </c>
      <c r="C25" s="96">
        <f>C19</f>
        <v>49048</v>
      </c>
      <c r="D25" s="97">
        <f>C25/C$27</f>
        <v>0.17071515337145721</v>
      </c>
      <c r="E25" s="96">
        <f>E19</f>
        <v>56753</v>
      </c>
      <c r="F25" s="97">
        <f>E25/E$27</f>
        <v>0.19337417543477076</v>
      </c>
      <c r="G25" s="96">
        <f>G19</f>
        <v>56753</v>
      </c>
      <c r="H25" s="97">
        <f>G25/G$27</f>
        <v>0.19337417543477076</v>
      </c>
      <c r="I25" s="96" t="str">
        <f>I17</f>
        <v>Frota</v>
      </c>
      <c r="J25" s="97" t="e">
        <f>I25/I$27</f>
        <v>#VALUE!</v>
      </c>
      <c r="K25" s="96" t="str">
        <f>K17</f>
        <v>Frota</v>
      </c>
      <c r="L25" s="97" t="e">
        <f>K25/K$27</f>
        <v>#VALUE!</v>
      </c>
      <c r="M25" s="124">
        <f>M19</f>
        <v>3</v>
      </c>
    </row>
    <row r="26" spans="2:13" ht="15.75" thickBot="1">
      <c r="B26" s="95" t="s">
        <v>115</v>
      </c>
      <c r="C26" s="96">
        <f>C20</f>
        <v>238261</v>
      </c>
      <c r="D26" s="97">
        <f>C26/C$27</f>
        <v>0.82928484662854274</v>
      </c>
      <c r="E26" s="96">
        <f>E20</f>
        <v>236735</v>
      </c>
      <c r="F26" s="97">
        <f>E26/E$27</f>
        <v>0.80662582456522924</v>
      </c>
      <c r="G26" s="96">
        <f>G20</f>
        <v>236735</v>
      </c>
      <c r="H26" s="97">
        <f>G26/G$27</f>
        <v>0.80662582456522924</v>
      </c>
      <c r="I26" s="96">
        <f>I13+I15+I16+I18</f>
        <v>25745</v>
      </c>
      <c r="J26" s="97" t="e">
        <f>I26/I$27</f>
        <v>#REF!</v>
      </c>
      <c r="K26" s="96">
        <f>K13+K15+K16+K18</f>
        <v>0</v>
      </c>
      <c r="L26" s="97" t="e">
        <f>K26/K$27</f>
        <v>#REF!</v>
      </c>
      <c r="M26" s="124">
        <f>M20</f>
        <v>2.3569174140963063</v>
      </c>
    </row>
    <row r="27" spans="2:13" ht="15.75" thickBot="1">
      <c r="B27" s="183" t="s">
        <v>347</v>
      </c>
      <c r="C27" s="184">
        <f>SUM(C25:C26)</f>
        <v>287309</v>
      </c>
      <c r="D27" s="182">
        <f t="shared" ref="D27" si="8">C27/C$21</f>
        <v>0.90502995671868403</v>
      </c>
      <c r="E27" s="184">
        <f>SUM(E25:E26)</f>
        <v>293488</v>
      </c>
      <c r="F27" s="182">
        <f t="shared" ref="F27" si="9">E27/E$21</f>
        <v>0.91935357560151987</v>
      </c>
      <c r="G27" s="184">
        <f>SUM(G25:G26)</f>
        <v>293488</v>
      </c>
      <c r="H27" s="182">
        <f>G27/G$21</f>
        <v>0.91935357560151987</v>
      </c>
      <c r="I27" s="184" t="e">
        <f>#REF!+I25+I26</f>
        <v>#REF!</v>
      </c>
      <c r="J27" s="182" t="e">
        <f>I27/I$21</f>
        <v>#REF!</v>
      </c>
      <c r="K27" s="184" t="e">
        <f>#REF!+K25+K26</f>
        <v>#REF!</v>
      </c>
      <c r="L27" s="182" t="e">
        <f>K27/K$21</f>
        <v>#REF!</v>
      </c>
      <c r="M27" s="303" t="e">
        <f>(#REF!*#REF!+K25*M25+K26*M26)/K27</f>
        <v>#REF!</v>
      </c>
    </row>
  </sheetData>
  <mergeCells count="8">
    <mergeCell ref="B3:M3"/>
    <mergeCell ref="B4:B5"/>
    <mergeCell ref="C4:D4"/>
    <mergeCell ref="E4:F4"/>
    <mergeCell ref="G4:H4"/>
    <mergeCell ref="K4:L4"/>
    <mergeCell ref="M4:M5"/>
    <mergeCell ref="I4:J4"/>
  </mergeCells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9" tint="0.39997558519241921"/>
  </sheetPr>
  <dimension ref="A1:AK192"/>
  <sheetViews>
    <sheetView topLeftCell="A2" workbookViewId="0">
      <selection activeCell="R9" sqref="R9"/>
    </sheetView>
  </sheetViews>
  <sheetFormatPr defaultColWidth="8.85546875" defaultRowHeight="15"/>
  <cols>
    <col min="1" max="1" width="8.85546875" style="1"/>
    <col min="2" max="11" width="12.85546875" style="45" customWidth="1"/>
    <col min="12" max="12" width="11.140625" style="45" customWidth="1"/>
    <col min="13" max="13" width="10.42578125" style="45" customWidth="1"/>
    <col min="14" max="14" width="9.85546875" style="46" bestFit="1" customWidth="1"/>
    <col min="15" max="15" width="11.140625" style="1" customWidth="1"/>
    <col min="16" max="16" width="8.85546875" style="1"/>
    <col min="17" max="17" width="10" style="1" customWidth="1"/>
    <col min="18" max="37" width="8.85546875" style="1"/>
  </cols>
  <sheetData>
    <row r="1" spans="2:19" ht="15.75" thickBot="1"/>
    <row r="2" spans="2:19">
      <c r="B2" s="1170" t="s">
        <v>406</v>
      </c>
      <c r="C2" s="1177">
        <v>2009</v>
      </c>
      <c r="D2" s="1173"/>
      <c r="E2" s="1174"/>
      <c r="F2" s="1177">
        <v>2010</v>
      </c>
      <c r="G2" s="1173"/>
      <c r="H2" s="1174"/>
      <c r="I2" s="1177">
        <v>2011</v>
      </c>
      <c r="J2" s="1173"/>
      <c r="K2" s="1174"/>
      <c r="L2" s="1173">
        <v>2012</v>
      </c>
      <c r="M2" s="1173"/>
      <c r="N2" s="1174"/>
      <c r="O2" s="1173">
        <v>2013</v>
      </c>
      <c r="P2" s="1173"/>
      <c r="Q2" s="1174"/>
    </row>
    <row r="3" spans="2:19" ht="15.75" thickBot="1">
      <c r="B3" s="1171"/>
      <c r="C3" s="1178"/>
      <c r="D3" s="1175"/>
      <c r="E3" s="1176"/>
      <c r="F3" s="1178"/>
      <c r="G3" s="1175"/>
      <c r="H3" s="1176"/>
      <c r="I3" s="1178"/>
      <c r="J3" s="1175"/>
      <c r="K3" s="1176"/>
      <c r="L3" s="1175"/>
      <c r="M3" s="1175"/>
      <c r="N3" s="1176"/>
      <c r="O3" s="1175"/>
      <c r="P3" s="1175"/>
      <c r="Q3" s="1176"/>
    </row>
    <row r="4" spans="2:19">
      <c r="B4" s="1172"/>
      <c r="C4" s="304" t="s">
        <v>97</v>
      </c>
      <c r="D4" s="305" t="s">
        <v>98</v>
      </c>
      <c r="E4" s="306" t="s">
        <v>407</v>
      </c>
      <c r="F4" s="304" t="s">
        <v>97</v>
      </c>
      <c r="G4" s="305" t="s">
        <v>98</v>
      </c>
      <c r="H4" s="306" t="s">
        <v>407</v>
      </c>
      <c r="I4" s="304" t="s">
        <v>97</v>
      </c>
      <c r="J4" s="305" t="s">
        <v>98</v>
      </c>
      <c r="K4" s="306" t="s">
        <v>407</v>
      </c>
      <c r="L4" s="305" t="s">
        <v>97</v>
      </c>
      <c r="M4" s="305" t="s">
        <v>98</v>
      </c>
      <c r="N4" s="306" t="s">
        <v>407</v>
      </c>
      <c r="O4" s="305" t="s">
        <v>97</v>
      </c>
      <c r="P4" s="305" t="s">
        <v>98</v>
      </c>
      <c r="Q4" s="306" t="s">
        <v>407</v>
      </c>
    </row>
    <row r="5" spans="2:19" ht="14.25">
      <c r="B5" s="164" t="s">
        <v>11</v>
      </c>
      <c r="C5" s="307">
        <v>2.5019999999999998</v>
      </c>
      <c r="D5" s="308">
        <v>1.52</v>
      </c>
      <c r="E5" s="309" t="str">
        <f>IF(C5*0.7&lt;D5,"GAS","ALC")</f>
        <v>ALC</v>
      </c>
      <c r="F5" s="802">
        <v>2.5666089735652031</v>
      </c>
      <c r="G5" s="308">
        <v>1.6599432655135835</v>
      </c>
      <c r="H5" s="309" t="str">
        <f>IF(F5*0.7&lt;G5,"GAS","ALC")</f>
        <v>ALC</v>
      </c>
      <c r="I5" s="307">
        <v>2.7309999999999999</v>
      </c>
      <c r="J5" s="308">
        <v>1.996</v>
      </c>
      <c r="K5" s="309" t="str">
        <f>IF(I5*0.7&lt;J5,"GAS","ALC")</f>
        <v>GAS</v>
      </c>
      <c r="L5" s="310">
        <v>2.7363333333333331</v>
      </c>
      <c r="M5" s="311">
        <v>1.9425833333333333</v>
      </c>
      <c r="N5" s="309" t="str">
        <f>IF(L5*0.7&lt;M5,"GAS","ALC")</f>
        <v>GAS</v>
      </c>
      <c r="O5" s="310"/>
      <c r="P5" s="311"/>
      <c r="Q5" s="309" t="str">
        <f>IF(O5*0.7&lt;P5,"GAS","ALC")</f>
        <v>ALC</v>
      </c>
    </row>
    <row r="6" spans="2:19" ht="14.25">
      <c r="B6" s="269" t="s">
        <v>46</v>
      </c>
      <c r="C6" s="312">
        <v>2.7330000000000001</v>
      </c>
      <c r="D6" s="313">
        <v>1.92</v>
      </c>
      <c r="E6" s="314" t="str">
        <f>IF(C6*0.7&lt;D6,"GAS","ALC")</f>
        <v>GAS</v>
      </c>
      <c r="F6" s="315">
        <v>2.7429680891887922</v>
      </c>
      <c r="G6" s="313">
        <v>2.0673908136997561</v>
      </c>
      <c r="H6" s="314" t="str">
        <f>IF(F6*0.7&lt;G6,"GAS","ALC")</f>
        <v>GAS</v>
      </c>
      <c r="I6" s="312">
        <v>2.8450000000000002</v>
      </c>
      <c r="J6" s="313">
        <v>2.3029999999999999</v>
      </c>
      <c r="K6" s="314" t="str">
        <f>IF(I6*0.7&lt;J6,"GAS","ALC")</f>
        <v>GAS</v>
      </c>
      <c r="L6" s="316">
        <v>2.8845833333333331</v>
      </c>
      <c r="M6" s="317">
        <v>2.3254166666666665</v>
      </c>
      <c r="N6" s="314" t="str">
        <f>IF(L6*0.7&lt;M6,"GAS","ALC")</f>
        <v>GAS</v>
      </c>
      <c r="O6" s="1031"/>
      <c r="P6" s="1036"/>
      <c r="Q6" s="314" t="str">
        <f>IF(O6*0.7&lt;P6,"GAS","ALC")</f>
        <v>ALC</v>
      </c>
      <c r="R6" s="731"/>
      <c r="S6" s="731"/>
    </row>
    <row r="7" spans="2:19">
      <c r="B7" s="127" t="s">
        <v>13</v>
      </c>
      <c r="C7" s="143">
        <v>2.9289999999999998</v>
      </c>
      <c r="D7" s="132">
        <v>2.0910000000000002</v>
      </c>
      <c r="E7" s="138" t="str">
        <f>IF(C7*0.7&lt;D7,"GAS","ALC")</f>
        <v>GAS</v>
      </c>
      <c r="F7" s="143">
        <v>2.7688333333333333</v>
      </c>
      <c r="G7" s="132">
        <v>2.4075000000000002</v>
      </c>
      <c r="H7" s="138" t="str">
        <f>IF(F7*0.7&lt;G7,"GAS","ALC")</f>
        <v>GAS</v>
      </c>
      <c r="I7" s="143">
        <v>3.113</v>
      </c>
      <c r="J7" s="132">
        <v>2.4860000000000002</v>
      </c>
      <c r="K7" s="138" t="str">
        <f>IF(I7*0.7&lt;J7,"GAS","ALC")</f>
        <v>GAS</v>
      </c>
      <c r="L7" s="145">
        <v>3.125083333333333</v>
      </c>
      <c r="M7" s="137">
        <v>2.5243333333333333</v>
      </c>
      <c r="N7" s="1027" t="str">
        <f>IF(L7*0.7&lt;M7,"GAS","ALC")</f>
        <v>GAS</v>
      </c>
      <c r="O7" s="1025">
        <v>3.2543333329999999</v>
      </c>
      <c r="P7" s="1025">
        <v>2.6363333330000001</v>
      </c>
      <c r="Q7" s="1032" t="str">
        <f>IF(O7*0.7&lt;P7,"GAS","ALC")</f>
        <v>GAS</v>
      </c>
    </row>
    <row r="8" spans="2:19">
      <c r="B8" s="127" t="s">
        <v>14</v>
      </c>
      <c r="C8" s="143">
        <v>2.7</v>
      </c>
      <c r="D8" s="132">
        <v>2.0169999999999999</v>
      </c>
      <c r="E8" s="138" t="str">
        <f t="shared" ref="E8:E37" si="0">IF(C8*0.7&lt;D8,"GAS","ALC")</f>
        <v>GAS</v>
      </c>
      <c r="F8" s="143">
        <v>2.9851666666666667</v>
      </c>
      <c r="G8" s="132">
        <v>2.1821666666666664</v>
      </c>
      <c r="H8" s="138" t="str">
        <f t="shared" ref="H8:H37" si="1">IF(F8*0.7&lt;G8,"GAS","ALC")</f>
        <v>GAS</v>
      </c>
      <c r="I8" s="143">
        <v>2.7970000000000002</v>
      </c>
      <c r="J8" s="132">
        <v>2.282</v>
      </c>
      <c r="K8" s="138" t="str">
        <f t="shared" ref="K8:K37" si="2">IF(I8*0.7&lt;J8,"GAS","ALC")</f>
        <v>GAS</v>
      </c>
      <c r="L8" s="145">
        <v>2.7065833333333331</v>
      </c>
      <c r="M8" s="137">
        <v>2.2850000000000006</v>
      </c>
      <c r="N8" s="1027" t="str">
        <f t="shared" ref="N8:N37" si="3">IF(L8*0.7&lt;M8,"GAS","ALC")</f>
        <v>GAS</v>
      </c>
      <c r="O8" s="1025">
        <v>2.8485833330000001</v>
      </c>
      <c r="P8" s="1025">
        <v>2.415333333</v>
      </c>
      <c r="Q8" s="1032" t="str">
        <f t="shared" ref="Q8:Q37" si="4">IF(O8*0.7&lt;P8,"GAS","ALC")</f>
        <v>GAS</v>
      </c>
    </row>
    <row r="9" spans="2:19">
      <c r="B9" s="127" t="s">
        <v>15</v>
      </c>
      <c r="C9" s="143">
        <v>2.556</v>
      </c>
      <c r="D9" s="132">
        <v>1.8089999999999999</v>
      </c>
      <c r="E9" s="138" t="str">
        <f t="shared" si="0"/>
        <v>GAS</v>
      </c>
      <c r="F9" s="143">
        <v>2.6125000000000003</v>
      </c>
      <c r="G9" s="132">
        <v>2.0305833333333339</v>
      </c>
      <c r="H9" s="138" t="str">
        <f t="shared" si="1"/>
        <v>GAS</v>
      </c>
      <c r="I9" s="143">
        <v>2.7759999999999998</v>
      </c>
      <c r="J9" s="132">
        <v>2.2879999999999998</v>
      </c>
      <c r="K9" s="138" t="str">
        <f t="shared" si="2"/>
        <v>GAS</v>
      </c>
      <c r="L9" s="145">
        <v>2.8889166666666668</v>
      </c>
      <c r="M9" s="137">
        <v>2.3347499999999997</v>
      </c>
      <c r="N9" s="1027" t="str">
        <f t="shared" si="3"/>
        <v>GAS</v>
      </c>
      <c r="O9" s="1025">
        <v>2.9920833330000001</v>
      </c>
      <c r="P9" s="1025">
        <v>2.4279999999999999</v>
      </c>
      <c r="Q9" s="1032" t="str">
        <f t="shared" si="4"/>
        <v>GAS</v>
      </c>
    </row>
    <row r="10" spans="2:19">
      <c r="B10" s="127" t="s">
        <v>16</v>
      </c>
      <c r="C10" s="143">
        <v>2.738</v>
      </c>
      <c r="D10" s="132">
        <v>2.0609999999999999</v>
      </c>
      <c r="E10" s="138" t="str">
        <f t="shared" si="0"/>
        <v>GAS</v>
      </c>
      <c r="F10" s="143">
        <v>2.8327499999999994</v>
      </c>
      <c r="G10" s="132">
        <v>2.1295833333333332</v>
      </c>
      <c r="H10" s="138" t="str">
        <f t="shared" si="1"/>
        <v>GAS</v>
      </c>
      <c r="I10" s="143">
        <v>2.8180000000000001</v>
      </c>
      <c r="J10" s="132">
        <v>2.3450000000000002</v>
      </c>
      <c r="K10" s="138" t="str">
        <f t="shared" si="2"/>
        <v>GAS</v>
      </c>
      <c r="L10" s="145">
        <v>2.8445</v>
      </c>
      <c r="M10" s="137">
        <v>2.3422500000000004</v>
      </c>
      <c r="N10" s="1027" t="str">
        <f t="shared" si="3"/>
        <v>GAS</v>
      </c>
      <c r="O10" s="1025">
        <v>2.9820833329999998</v>
      </c>
      <c r="P10" s="1025">
        <v>2.5264166669999999</v>
      </c>
      <c r="Q10" s="1032" t="str">
        <f t="shared" si="4"/>
        <v>GAS</v>
      </c>
    </row>
    <row r="11" spans="2:19">
      <c r="B11" s="127" t="s">
        <v>17</v>
      </c>
      <c r="C11" s="143">
        <v>2.6309999999999998</v>
      </c>
      <c r="D11" s="132">
        <v>1.837</v>
      </c>
      <c r="E11" s="138" t="str">
        <f t="shared" si="0"/>
        <v>ALC</v>
      </c>
      <c r="F11" s="143">
        <v>2.7654166666666669</v>
      </c>
      <c r="G11" s="132">
        <v>2.0646666666666667</v>
      </c>
      <c r="H11" s="138" t="str">
        <f t="shared" si="1"/>
        <v>GAS</v>
      </c>
      <c r="I11" s="143">
        <v>2.96</v>
      </c>
      <c r="J11" s="132">
        <v>2.3740000000000001</v>
      </c>
      <c r="K11" s="138" t="str">
        <f t="shared" si="2"/>
        <v>GAS</v>
      </c>
      <c r="L11" s="145">
        <v>2.9523333333333333</v>
      </c>
      <c r="M11" s="137">
        <v>2.4141666666666666</v>
      </c>
      <c r="N11" s="1027" t="str">
        <f t="shared" si="3"/>
        <v>GAS</v>
      </c>
      <c r="O11" s="1025">
        <v>3.0568333330000002</v>
      </c>
      <c r="P11" s="1025">
        <v>2.4521666670000002</v>
      </c>
      <c r="Q11" s="1032" t="str">
        <f t="shared" si="4"/>
        <v>GAS</v>
      </c>
    </row>
    <row r="12" spans="2:19">
      <c r="B12" s="127" t="s">
        <v>18</v>
      </c>
      <c r="C12" s="143">
        <v>2.6909999999999998</v>
      </c>
      <c r="D12" s="132">
        <v>2.157</v>
      </c>
      <c r="E12" s="138" t="str">
        <f t="shared" si="0"/>
        <v>GAS</v>
      </c>
      <c r="F12" s="143">
        <v>2.8485833333333326</v>
      </c>
      <c r="G12" s="132">
        <v>2.3115000000000001</v>
      </c>
      <c r="H12" s="138" t="str">
        <f t="shared" si="1"/>
        <v>GAS</v>
      </c>
      <c r="I12" s="143">
        <v>2.8359999999999999</v>
      </c>
      <c r="J12" s="132">
        <v>2.4510000000000001</v>
      </c>
      <c r="K12" s="138" t="str">
        <f t="shared" si="2"/>
        <v>GAS</v>
      </c>
      <c r="L12" s="145">
        <v>2.8684999999999996</v>
      </c>
      <c r="M12" s="137">
        <v>2.5554166666666669</v>
      </c>
      <c r="N12" s="1027" t="str">
        <f t="shared" si="3"/>
        <v>GAS</v>
      </c>
      <c r="O12" s="1025">
        <v>3.0085000000000002</v>
      </c>
      <c r="P12" s="1025">
        <v>2.6956666669999998</v>
      </c>
      <c r="Q12" s="1032" t="str">
        <f t="shared" si="4"/>
        <v>GAS</v>
      </c>
    </row>
    <row r="13" spans="2:19">
      <c r="B13" s="128" t="s">
        <v>19</v>
      </c>
      <c r="C13" s="144">
        <v>2.746</v>
      </c>
      <c r="D13" s="139">
        <v>1.742</v>
      </c>
      <c r="E13" s="142" t="str">
        <f t="shared" si="0"/>
        <v>ALC</v>
      </c>
      <c r="F13" s="144">
        <v>2.8236666666666665</v>
      </c>
      <c r="G13" s="139">
        <v>1.8893333333333333</v>
      </c>
      <c r="H13" s="142" t="str">
        <f t="shared" si="1"/>
        <v>ALC</v>
      </c>
      <c r="I13" s="144">
        <v>2.911</v>
      </c>
      <c r="J13" s="139">
        <v>2.1120000000000001</v>
      </c>
      <c r="K13" s="142" t="str">
        <f t="shared" si="2"/>
        <v>GAS</v>
      </c>
      <c r="L13" s="146">
        <v>2.9109166666666666</v>
      </c>
      <c r="M13" s="141">
        <v>2.1739999999999999</v>
      </c>
      <c r="N13" s="1028" t="str">
        <f t="shared" si="3"/>
        <v>GAS</v>
      </c>
      <c r="O13" s="1025">
        <v>3.0429166670000001</v>
      </c>
      <c r="P13" s="1025">
        <v>2.248583333</v>
      </c>
      <c r="Q13" s="1033" t="str">
        <f t="shared" si="4"/>
        <v>GAS</v>
      </c>
    </row>
    <row r="14" spans="2:19" ht="24">
      <c r="B14" s="269" t="s">
        <v>54</v>
      </c>
      <c r="C14" s="312">
        <v>2.6219999999999999</v>
      </c>
      <c r="D14" s="313">
        <v>1.7490000000000001</v>
      </c>
      <c r="E14" s="314" t="str">
        <f t="shared" si="0"/>
        <v>ALC</v>
      </c>
      <c r="F14" s="315">
        <v>2.6358729729654615</v>
      </c>
      <c r="G14" s="313">
        <v>1.8980067342042988</v>
      </c>
      <c r="H14" s="314" t="str">
        <f t="shared" si="1"/>
        <v>GAS</v>
      </c>
      <c r="I14" s="315">
        <v>2.7050000000000001</v>
      </c>
      <c r="J14" s="313">
        <v>2.1480000000000001</v>
      </c>
      <c r="K14" s="314" t="str">
        <f t="shared" si="2"/>
        <v>GAS</v>
      </c>
      <c r="L14" s="316">
        <v>2.6996666666666669</v>
      </c>
      <c r="M14" s="317">
        <v>2.1592499999999997</v>
      </c>
      <c r="N14" s="1029" t="str">
        <f t="shared" si="3"/>
        <v>GAS</v>
      </c>
      <c r="O14" s="1026"/>
      <c r="P14" s="1026"/>
      <c r="Q14" s="1034" t="str">
        <f t="shared" si="4"/>
        <v>ALC</v>
      </c>
    </row>
    <row r="15" spans="2:19">
      <c r="B15" s="127" t="s">
        <v>21</v>
      </c>
      <c r="C15" s="143">
        <v>2.6960000000000002</v>
      </c>
      <c r="D15" s="133">
        <v>1.754</v>
      </c>
      <c r="E15" s="138" t="str">
        <f t="shared" si="0"/>
        <v>ALC</v>
      </c>
      <c r="F15" s="143">
        <v>2.5834166666666669</v>
      </c>
      <c r="G15" s="132">
        <v>1.9649166666666664</v>
      </c>
      <c r="H15" s="138" t="str">
        <f t="shared" si="1"/>
        <v>GAS</v>
      </c>
      <c r="I15" s="143">
        <v>2.8250000000000002</v>
      </c>
      <c r="J15" s="132">
        <v>2.262</v>
      </c>
      <c r="K15" s="138" t="str">
        <f t="shared" si="2"/>
        <v>GAS</v>
      </c>
      <c r="L15" s="145">
        <v>2.7630000000000003</v>
      </c>
      <c r="M15" s="137">
        <v>2.2709166666666665</v>
      </c>
      <c r="N15" s="1027" t="str">
        <f t="shared" si="3"/>
        <v>GAS</v>
      </c>
      <c r="O15" s="1025">
        <v>2.8853333330000002</v>
      </c>
      <c r="P15" s="1025">
        <v>2.4274166670000001</v>
      </c>
      <c r="Q15" s="1032" t="str">
        <f t="shared" si="4"/>
        <v>GAS</v>
      </c>
    </row>
    <row r="16" spans="2:19">
      <c r="B16" s="127" t="s">
        <v>22</v>
      </c>
      <c r="C16" s="143">
        <v>2.6150000000000002</v>
      </c>
      <c r="D16" s="133">
        <v>1.704</v>
      </c>
      <c r="E16" s="138" t="str">
        <f t="shared" si="0"/>
        <v>ALC</v>
      </c>
      <c r="F16" s="143">
        <v>2.5174999999999996</v>
      </c>
      <c r="G16" s="132">
        <v>1.8773333333333333</v>
      </c>
      <c r="H16" s="138" t="str">
        <f t="shared" si="1"/>
        <v>GAS</v>
      </c>
      <c r="I16" s="143">
        <v>2.7530000000000001</v>
      </c>
      <c r="J16" s="132">
        <v>2.0950000000000002</v>
      </c>
      <c r="K16" s="138" t="str">
        <f t="shared" si="2"/>
        <v>GAS</v>
      </c>
      <c r="L16" s="145">
        <v>2.7344166666666658</v>
      </c>
      <c r="M16" s="137">
        <v>2.1064166666666666</v>
      </c>
      <c r="N16" s="1027" t="str">
        <f t="shared" si="3"/>
        <v>GAS</v>
      </c>
      <c r="O16" s="1025">
        <v>2.89825</v>
      </c>
      <c r="P16" s="1025">
        <v>2.2408333329999999</v>
      </c>
      <c r="Q16" s="1032" t="str">
        <f t="shared" si="4"/>
        <v>GAS</v>
      </c>
    </row>
    <row r="17" spans="2:17">
      <c r="B17" s="127" t="s">
        <v>23</v>
      </c>
      <c r="C17" s="143">
        <v>2.5009999999999999</v>
      </c>
      <c r="D17" s="133">
        <v>1.7549999999999999</v>
      </c>
      <c r="E17" s="138" t="str">
        <f t="shared" si="0"/>
        <v>GAS</v>
      </c>
      <c r="F17" s="143">
        <v>2.6332500000000003</v>
      </c>
      <c r="G17" s="132">
        <v>1.9035000000000002</v>
      </c>
      <c r="H17" s="138" t="str">
        <f t="shared" si="1"/>
        <v>GAS</v>
      </c>
      <c r="I17" s="143">
        <v>2.72</v>
      </c>
      <c r="J17" s="132">
        <v>2.1320000000000001</v>
      </c>
      <c r="K17" s="138" t="str">
        <f t="shared" si="2"/>
        <v>GAS</v>
      </c>
      <c r="L17" s="145">
        <v>2.7073333333333331</v>
      </c>
      <c r="M17" s="137">
        <v>2.1621666666666668</v>
      </c>
      <c r="N17" s="1027" t="str">
        <f t="shared" si="3"/>
        <v>GAS</v>
      </c>
      <c r="O17" s="1025">
        <v>2.8400833329999999</v>
      </c>
      <c r="P17" s="1025">
        <v>2.3325</v>
      </c>
      <c r="Q17" s="1032" t="str">
        <f t="shared" si="4"/>
        <v>GAS</v>
      </c>
    </row>
    <row r="18" spans="2:17">
      <c r="B18" s="127" t="s">
        <v>24</v>
      </c>
      <c r="C18" s="143">
        <v>2.5830000000000002</v>
      </c>
      <c r="D18" s="133">
        <v>1.7</v>
      </c>
      <c r="E18" s="138" t="str">
        <f t="shared" si="0"/>
        <v>ALC</v>
      </c>
      <c r="F18" s="143">
        <v>2.6754166666666666</v>
      </c>
      <c r="G18" s="132">
        <v>1.9139166666666665</v>
      </c>
      <c r="H18" s="138" t="str">
        <f t="shared" si="1"/>
        <v>GAS</v>
      </c>
      <c r="I18" s="143">
        <v>2.6480000000000001</v>
      </c>
      <c r="J18" s="132">
        <v>2.1859999999999999</v>
      </c>
      <c r="K18" s="138" t="str">
        <f t="shared" si="2"/>
        <v>GAS</v>
      </c>
      <c r="L18" s="145">
        <v>2.6409166666666666</v>
      </c>
      <c r="M18" s="137">
        <v>2.1854166666666668</v>
      </c>
      <c r="N18" s="1027" t="str">
        <f t="shared" si="3"/>
        <v>GAS</v>
      </c>
      <c r="O18" s="1025">
        <v>2.8236666669999999</v>
      </c>
      <c r="P18" s="1025">
        <v>2.3476666669999999</v>
      </c>
      <c r="Q18" s="1032" t="str">
        <f t="shared" si="4"/>
        <v>GAS</v>
      </c>
    </row>
    <row r="19" spans="2:17">
      <c r="B19" s="127" t="s">
        <v>25</v>
      </c>
      <c r="C19" s="143">
        <v>2.399</v>
      </c>
      <c r="D19" s="133">
        <v>1.6839999999999999</v>
      </c>
      <c r="E19" s="138" t="str">
        <f t="shared" si="0"/>
        <v>GAS</v>
      </c>
      <c r="F19" s="143">
        <v>2.4458333333333333</v>
      </c>
      <c r="G19" s="132">
        <v>1.8492499999999998</v>
      </c>
      <c r="H19" s="138" t="str">
        <f t="shared" si="1"/>
        <v>GAS</v>
      </c>
      <c r="I19" s="143">
        <v>2.56</v>
      </c>
      <c r="J19" s="132">
        <v>2.1</v>
      </c>
      <c r="K19" s="138" t="str">
        <f t="shared" si="2"/>
        <v>GAS</v>
      </c>
      <c r="L19" s="145">
        <v>2.6040833333333335</v>
      </c>
      <c r="M19" s="137">
        <v>2.1668333333333334</v>
      </c>
      <c r="N19" s="1027" t="str">
        <f t="shared" si="3"/>
        <v>GAS</v>
      </c>
      <c r="O19" s="1025">
        <v>2.7755833330000002</v>
      </c>
      <c r="P19" s="1025">
        <v>2.2595000000000001</v>
      </c>
      <c r="Q19" s="1032" t="str">
        <f t="shared" si="4"/>
        <v>GAS</v>
      </c>
    </row>
    <row r="20" spans="2:17">
      <c r="B20" s="127" t="s">
        <v>26</v>
      </c>
      <c r="C20" s="143">
        <v>2.5649999999999999</v>
      </c>
      <c r="D20" s="133">
        <v>1.649</v>
      </c>
      <c r="E20" s="138" t="str">
        <f t="shared" si="0"/>
        <v>ALC</v>
      </c>
      <c r="F20" s="143">
        <v>2.6160833333333331</v>
      </c>
      <c r="G20" s="132">
        <v>1.8601666666666665</v>
      </c>
      <c r="H20" s="138" t="str">
        <f t="shared" si="1"/>
        <v>GAS</v>
      </c>
      <c r="I20" s="143">
        <v>2.6739999999999999</v>
      </c>
      <c r="J20" s="132">
        <v>2.1110000000000002</v>
      </c>
      <c r="K20" s="138" t="str">
        <f t="shared" si="2"/>
        <v>GAS</v>
      </c>
      <c r="L20" s="145">
        <v>2.7237500000000003</v>
      </c>
      <c r="M20" s="137">
        <v>2.1445000000000003</v>
      </c>
      <c r="N20" s="1027" t="str">
        <f t="shared" si="3"/>
        <v>GAS</v>
      </c>
      <c r="O20" s="1025">
        <v>2.834333333</v>
      </c>
      <c r="P20" s="1025">
        <v>2.2745000000000002</v>
      </c>
      <c r="Q20" s="1032" t="str">
        <f t="shared" si="4"/>
        <v>GAS</v>
      </c>
    </row>
    <row r="21" spans="2:17">
      <c r="B21" s="127" t="s">
        <v>27</v>
      </c>
      <c r="C21" s="143">
        <v>2.5489999999999999</v>
      </c>
      <c r="D21" s="133">
        <v>1.8560000000000001</v>
      </c>
      <c r="E21" s="138" t="str">
        <f t="shared" si="0"/>
        <v>GAS</v>
      </c>
      <c r="F21" s="143">
        <v>2.7260000000000004</v>
      </c>
      <c r="G21" s="132">
        <v>1.9972500000000002</v>
      </c>
      <c r="H21" s="138" t="str">
        <f t="shared" si="1"/>
        <v>GAS</v>
      </c>
      <c r="I21" s="143">
        <v>2.6560000000000001</v>
      </c>
      <c r="J21" s="132">
        <v>2.278</v>
      </c>
      <c r="K21" s="138" t="str">
        <f t="shared" si="2"/>
        <v>GAS</v>
      </c>
      <c r="L21" s="145">
        <v>2.5803333333333334</v>
      </c>
      <c r="M21" s="137">
        <v>2.2769166666666667</v>
      </c>
      <c r="N21" s="1027" t="str">
        <f t="shared" si="3"/>
        <v>GAS</v>
      </c>
      <c r="O21" s="1025">
        <v>2.7175833329999999</v>
      </c>
      <c r="P21" s="1025">
        <v>2.4060000000000001</v>
      </c>
      <c r="Q21" s="1032" t="str">
        <f t="shared" si="4"/>
        <v>GAS</v>
      </c>
    </row>
    <row r="22" spans="2:17" ht="24">
      <c r="B22" s="127" t="s">
        <v>28</v>
      </c>
      <c r="C22" s="143">
        <v>2.5859999999999999</v>
      </c>
      <c r="D22" s="133">
        <v>1.825</v>
      </c>
      <c r="E22" s="138" t="str">
        <f t="shared" si="0"/>
        <v>GAS</v>
      </c>
      <c r="F22" s="143">
        <v>2.6071666666666666</v>
      </c>
      <c r="G22" s="132">
        <v>1.9564999999999999</v>
      </c>
      <c r="H22" s="138" t="str">
        <f t="shared" si="1"/>
        <v>GAS</v>
      </c>
      <c r="I22" s="143">
        <v>2.7170000000000001</v>
      </c>
      <c r="J22" s="132">
        <v>2.2160000000000002</v>
      </c>
      <c r="K22" s="138" t="str">
        <f t="shared" si="2"/>
        <v>GAS</v>
      </c>
      <c r="L22" s="145">
        <v>2.6972499999999999</v>
      </c>
      <c r="M22" s="137">
        <v>2.2296666666666662</v>
      </c>
      <c r="N22" s="1027" t="str">
        <f t="shared" si="3"/>
        <v>GAS</v>
      </c>
      <c r="O22" s="1025">
        <v>2.8820000000000001</v>
      </c>
      <c r="P22" s="1025">
        <v>2.4179166670000001</v>
      </c>
      <c r="Q22" s="1032" t="str">
        <f t="shared" si="4"/>
        <v>GAS</v>
      </c>
    </row>
    <row r="23" spans="2:17">
      <c r="B23" s="128" t="s">
        <v>29</v>
      </c>
      <c r="C23" s="144">
        <v>2.5470000000000002</v>
      </c>
      <c r="D23" s="140">
        <v>1.764</v>
      </c>
      <c r="E23" s="142" t="str">
        <f t="shared" si="0"/>
        <v>ALC</v>
      </c>
      <c r="F23" s="144">
        <v>2.7135833333333337</v>
      </c>
      <c r="G23" s="139">
        <v>1.9320833333333336</v>
      </c>
      <c r="H23" s="142" t="str">
        <f t="shared" si="1"/>
        <v>GAS</v>
      </c>
      <c r="I23" s="144">
        <v>2.7269999999999999</v>
      </c>
      <c r="J23" s="139">
        <v>2.2160000000000002</v>
      </c>
      <c r="K23" s="142" t="str">
        <f t="shared" si="2"/>
        <v>GAS</v>
      </c>
      <c r="L23" s="146">
        <v>2.7480833333333337</v>
      </c>
      <c r="M23" s="141">
        <v>2.2883333333333336</v>
      </c>
      <c r="N23" s="1028" t="str">
        <f t="shared" si="3"/>
        <v>GAS</v>
      </c>
      <c r="O23" s="1025">
        <v>2.8839166669999998</v>
      </c>
      <c r="P23" s="1025">
        <v>2.475333333</v>
      </c>
      <c r="Q23" s="1033" t="str">
        <f t="shared" si="4"/>
        <v>GAS</v>
      </c>
    </row>
    <row r="24" spans="2:17" ht="24">
      <c r="B24" s="269" t="s">
        <v>64</v>
      </c>
      <c r="C24" s="312">
        <v>2.4449999999999998</v>
      </c>
      <c r="D24" s="313">
        <v>1.3680000000000001</v>
      </c>
      <c r="E24" s="314" t="str">
        <f t="shared" si="0"/>
        <v>ALC</v>
      </c>
      <c r="F24" s="315">
        <v>2.5134324927101552</v>
      </c>
      <c r="G24" s="313">
        <v>1.5878756081650507</v>
      </c>
      <c r="H24" s="314" t="str">
        <f t="shared" si="1"/>
        <v>ALC</v>
      </c>
      <c r="I24" s="312">
        <v>2.7120000000000002</v>
      </c>
      <c r="J24" s="313">
        <v>1.9370000000000001</v>
      </c>
      <c r="K24" s="314" t="str">
        <f t="shared" si="2"/>
        <v>GAS</v>
      </c>
      <c r="L24" s="316">
        <v>2.7174999999999998</v>
      </c>
      <c r="M24" s="317">
        <v>1.8755833333333334</v>
      </c>
      <c r="N24" s="1029" t="str">
        <f t="shared" si="3"/>
        <v>ALC</v>
      </c>
      <c r="O24" s="1026"/>
      <c r="P24" s="1026"/>
      <c r="Q24" s="1034" t="str">
        <f t="shared" si="4"/>
        <v>ALC</v>
      </c>
    </row>
    <row r="25" spans="2:17">
      <c r="B25" s="127" t="s">
        <v>31</v>
      </c>
      <c r="C25" s="143">
        <v>2.6219999999999999</v>
      </c>
      <c r="D25" s="133">
        <v>1.835</v>
      </c>
      <c r="E25" s="138" t="str">
        <f t="shared" si="0"/>
        <v>ALC</v>
      </c>
      <c r="F25" s="143">
        <v>2.5159999999999996</v>
      </c>
      <c r="G25" s="132">
        <v>2.0347499999999998</v>
      </c>
      <c r="H25" s="138" t="str">
        <f t="shared" si="1"/>
        <v>GAS</v>
      </c>
      <c r="I25" s="143">
        <v>2.8690000000000002</v>
      </c>
      <c r="J25" s="132">
        <v>2.3769999999999998</v>
      </c>
      <c r="K25" s="138" t="str">
        <f t="shared" si="2"/>
        <v>GAS</v>
      </c>
      <c r="L25" s="145">
        <v>2.8314166666666671</v>
      </c>
      <c r="M25" s="137">
        <v>2.4612500000000002</v>
      </c>
      <c r="N25" s="1027" t="str">
        <f t="shared" si="3"/>
        <v>GAS</v>
      </c>
      <c r="O25" s="1025">
        <v>2.8908333329999998</v>
      </c>
      <c r="P25" s="1025">
        <v>2.4859166670000001</v>
      </c>
      <c r="Q25" s="1032" t="str">
        <f t="shared" si="4"/>
        <v>GAS</v>
      </c>
    </row>
    <row r="26" spans="2:17">
      <c r="B26" s="127" t="s">
        <v>32</v>
      </c>
      <c r="C26" s="143">
        <v>2.3780000000000001</v>
      </c>
      <c r="D26" s="133">
        <v>1.621</v>
      </c>
      <c r="E26" s="138" t="str">
        <f t="shared" si="0"/>
        <v>ALC</v>
      </c>
      <c r="F26" s="143">
        <v>2.6863333333333337</v>
      </c>
      <c r="G26" s="132">
        <v>1.8471666666666664</v>
      </c>
      <c r="H26" s="138" t="str">
        <f t="shared" si="1"/>
        <v>ALC</v>
      </c>
      <c r="I26" s="143">
        <v>2.7890000000000001</v>
      </c>
      <c r="J26" s="132">
        <v>2.1520000000000001</v>
      </c>
      <c r="K26" s="138" t="str">
        <f t="shared" si="2"/>
        <v>GAS</v>
      </c>
      <c r="L26" s="145">
        <v>2.8113333333333337</v>
      </c>
      <c r="M26" s="137">
        <v>2.1283333333333334</v>
      </c>
      <c r="N26" s="1027" t="str">
        <f t="shared" si="3"/>
        <v>GAS</v>
      </c>
      <c r="O26" s="1025">
        <v>2.8908333329999998</v>
      </c>
      <c r="P26" s="1025">
        <v>2.0922499999999999</v>
      </c>
      <c r="Q26" s="1032" t="str">
        <f t="shared" si="4"/>
        <v>GAS</v>
      </c>
    </row>
    <row r="27" spans="2:17">
      <c r="B27" s="127" t="s">
        <v>33</v>
      </c>
      <c r="C27" s="143">
        <v>2.544</v>
      </c>
      <c r="D27" s="133">
        <v>1.6830000000000001</v>
      </c>
      <c r="E27" s="138" t="str">
        <f t="shared" si="0"/>
        <v>ALC</v>
      </c>
      <c r="F27" s="143">
        <v>2.6486666666666667</v>
      </c>
      <c r="G27" s="132">
        <v>1.8722500000000002</v>
      </c>
      <c r="H27" s="138" t="str">
        <f t="shared" si="1"/>
        <v>GAS</v>
      </c>
      <c r="I27" s="143">
        <v>2.835</v>
      </c>
      <c r="J27" s="132">
        <v>2.242</v>
      </c>
      <c r="K27" s="138" t="str">
        <f t="shared" si="2"/>
        <v>GAS</v>
      </c>
      <c r="L27" s="145">
        <v>2.8529999999999998</v>
      </c>
      <c r="M27" s="137">
        <v>2.233916666666667</v>
      </c>
      <c r="N27" s="1027" t="str">
        <f t="shared" si="3"/>
        <v>GAS</v>
      </c>
      <c r="O27" s="1025">
        <v>2.997416667</v>
      </c>
      <c r="P27" s="1025">
        <v>2.2856666670000001</v>
      </c>
      <c r="Q27" s="1032" t="str">
        <f t="shared" si="4"/>
        <v>GAS</v>
      </c>
    </row>
    <row r="28" spans="2:17">
      <c r="B28" s="128" t="s">
        <v>34</v>
      </c>
      <c r="C28" s="144">
        <v>2.3839999999999999</v>
      </c>
      <c r="D28" s="140">
        <v>1.3360000000000001</v>
      </c>
      <c r="E28" s="142" t="str">
        <f t="shared" si="0"/>
        <v>ALC</v>
      </c>
      <c r="F28" s="144">
        <v>2.4630000000000001</v>
      </c>
      <c r="G28" s="139">
        <v>1.5242500000000001</v>
      </c>
      <c r="H28" s="142" t="str">
        <f t="shared" si="1"/>
        <v>ALC</v>
      </c>
      <c r="I28" s="144">
        <v>2.6419999999999999</v>
      </c>
      <c r="J28" s="139">
        <v>1.865</v>
      </c>
      <c r="K28" s="142" t="str">
        <f t="shared" si="2"/>
        <v>GAS</v>
      </c>
      <c r="L28" s="146">
        <v>2.6368333333333331</v>
      </c>
      <c r="M28" s="141">
        <v>1.8059166666666666</v>
      </c>
      <c r="N28" s="1028" t="str">
        <f t="shared" si="3"/>
        <v>ALC</v>
      </c>
      <c r="O28" s="1025">
        <v>2.7345833329999998</v>
      </c>
      <c r="P28" s="1025">
        <v>1.82975</v>
      </c>
      <c r="Q28" s="1033" t="str">
        <f t="shared" si="4"/>
        <v>ALC</v>
      </c>
    </row>
    <row r="29" spans="2:17" ht="14.25">
      <c r="B29" s="269" t="s">
        <v>69</v>
      </c>
      <c r="C29" s="312">
        <v>2.5430000000000001</v>
      </c>
      <c r="D29" s="313">
        <v>1.5760000000000001</v>
      </c>
      <c r="E29" s="314" t="str">
        <f t="shared" si="0"/>
        <v>ALC</v>
      </c>
      <c r="F29" s="315">
        <v>2.5712808655002433</v>
      </c>
      <c r="G29" s="313">
        <v>1.7616421297652314</v>
      </c>
      <c r="H29" s="314" t="str">
        <f t="shared" si="1"/>
        <v>ALC</v>
      </c>
      <c r="I29" s="312">
        <v>2.7210000000000001</v>
      </c>
      <c r="J29" s="313">
        <v>2.1110000000000002</v>
      </c>
      <c r="K29" s="314" t="str">
        <f t="shared" si="2"/>
        <v>GAS</v>
      </c>
      <c r="L29" s="316">
        <v>2.7249999999999996</v>
      </c>
      <c r="M29" s="317">
        <v>2.076916666666667</v>
      </c>
      <c r="N29" s="1029" t="str">
        <f t="shared" si="3"/>
        <v>GAS</v>
      </c>
      <c r="O29" s="1026"/>
      <c r="P29" s="1026"/>
      <c r="Q29" s="1034" t="str">
        <f t="shared" si="4"/>
        <v>ALC</v>
      </c>
    </row>
    <row r="30" spans="2:17">
      <c r="B30" s="127" t="s">
        <v>36</v>
      </c>
      <c r="C30" s="143">
        <v>2.4449999999999998</v>
      </c>
      <c r="D30" s="133">
        <v>1.4570000000000001</v>
      </c>
      <c r="E30" s="138" t="str">
        <f t="shared" si="0"/>
        <v>ALC</v>
      </c>
      <c r="F30" s="143">
        <v>2.5300833333333332</v>
      </c>
      <c r="G30" s="132">
        <v>1.6275833333333332</v>
      </c>
      <c r="H30" s="138" t="str">
        <f t="shared" si="1"/>
        <v>ALC</v>
      </c>
      <c r="I30" s="143">
        <v>2.6779999999999999</v>
      </c>
      <c r="J30" s="132">
        <v>1.966</v>
      </c>
      <c r="K30" s="138" t="str">
        <f t="shared" si="2"/>
        <v>GAS</v>
      </c>
      <c r="L30" s="145">
        <v>2.6858333333333331</v>
      </c>
      <c r="M30" s="137">
        <v>1.9435833333333334</v>
      </c>
      <c r="N30" s="1027" t="str">
        <f t="shared" si="3"/>
        <v>GAS</v>
      </c>
      <c r="O30" s="1025">
        <v>2.8374999999999999</v>
      </c>
      <c r="P30" s="1025">
        <v>1.9472499999999999</v>
      </c>
      <c r="Q30" s="1032" t="str">
        <f t="shared" si="4"/>
        <v>ALC</v>
      </c>
    </row>
    <row r="31" spans="2:17" ht="24">
      <c r="B31" s="127" t="s">
        <v>37</v>
      </c>
      <c r="C31" s="143">
        <v>2.5390000000000001</v>
      </c>
      <c r="D31" s="133">
        <v>1.724</v>
      </c>
      <c r="E31" s="138" t="str">
        <f t="shared" si="0"/>
        <v>ALC</v>
      </c>
      <c r="F31" s="143">
        <v>2.5775000000000001</v>
      </c>
      <c r="G31" s="132">
        <v>2.0104166666666665</v>
      </c>
      <c r="H31" s="138" t="str">
        <f t="shared" si="1"/>
        <v>GAS</v>
      </c>
      <c r="I31" s="143">
        <v>2.7549999999999999</v>
      </c>
      <c r="J31" s="132">
        <v>2.37</v>
      </c>
      <c r="K31" s="138" t="str">
        <f t="shared" si="2"/>
        <v>GAS</v>
      </c>
      <c r="L31" s="145">
        <v>2.7589999999999999</v>
      </c>
      <c r="M31" s="137">
        <v>2.4025833333333333</v>
      </c>
      <c r="N31" s="1027" t="str">
        <f t="shared" si="3"/>
        <v>GAS</v>
      </c>
      <c r="O31" s="1025">
        <v>2.8669166669999999</v>
      </c>
      <c r="P31" s="1025">
        <v>2.4274166670000001</v>
      </c>
      <c r="Q31" s="1032" t="str">
        <f t="shared" si="4"/>
        <v>GAS</v>
      </c>
    </row>
    <row r="32" spans="2:17" ht="24">
      <c r="B32" s="128" t="s">
        <v>38</v>
      </c>
      <c r="C32" s="144">
        <v>2.536</v>
      </c>
      <c r="D32" s="140">
        <v>1.784</v>
      </c>
      <c r="E32" s="142" t="str">
        <f t="shared" si="0"/>
        <v>GAS</v>
      </c>
      <c r="F32" s="144">
        <v>2.6023333333333327</v>
      </c>
      <c r="G32" s="139">
        <v>1.9595000000000002</v>
      </c>
      <c r="H32" s="142" t="str">
        <f t="shared" si="1"/>
        <v>GAS</v>
      </c>
      <c r="I32" s="144">
        <v>2.7250000000000001</v>
      </c>
      <c r="J32" s="139">
        <v>2.3420000000000001</v>
      </c>
      <c r="K32" s="142" t="str">
        <f t="shared" si="2"/>
        <v>GAS</v>
      </c>
      <c r="L32" s="146">
        <v>2.7202499999999996</v>
      </c>
      <c r="M32" s="141">
        <v>2.3840833333333333</v>
      </c>
      <c r="N32" s="1028" t="str">
        <f t="shared" si="3"/>
        <v>GAS</v>
      </c>
      <c r="O32" s="1025">
        <v>2.848833333</v>
      </c>
      <c r="P32" s="1025">
        <v>2.4038333330000001</v>
      </c>
      <c r="Q32" s="1033" t="str">
        <f t="shared" si="4"/>
        <v>GAS</v>
      </c>
    </row>
    <row r="33" spans="2:17" ht="24">
      <c r="B33" s="274" t="s">
        <v>73</v>
      </c>
      <c r="C33" s="318">
        <v>2.6440000000000001</v>
      </c>
      <c r="D33" s="319">
        <v>1.6359999999999999</v>
      </c>
      <c r="E33" s="320" t="str">
        <f t="shared" si="0"/>
        <v>ALC</v>
      </c>
      <c r="F33" s="803">
        <v>2.6584764554225933</v>
      </c>
      <c r="G33" s="319">
        <v>1.7825589085074673</v>
      </c>
      <c r="H33" s="320" t="str">
        <f t="shared" si="1"/>
        <v>ALC</v>
      </c>
      <c r="I33" s="318">
        <v>2.831</v>
      </c>
      <c r="J33" s="319">
        <v>2.0699999999999998</v>
      </c>
      <c r="K33" s="320" t="str">
        <f t="shared" si="2"/>
        <v>GAS</v>
      </c>
      <c r="L33" s="321">
        <v>2.8191666666666673</v>
      </c>
      <c r="M33" s="322">
        <v>2.0015833333333335</v>
      </c>
      <c r="N33" s="1030" t="str">
        <f t="shared" si="3"/>
        <v>GAS</v>
      </c>
      <c r="O33" s="1026"/>
      <c r="P33" s="1026"/>
      <c r="Q33" s="1035" t="str">
        <f t="shared" si="4"/>
        <v>ALC</v>
      </c>
    </row>
    <row r="34" spans="2:17" ht="24">
      <c r="B34" s="127" t="s">
        <v>40</v>
      </c>
      <c r="C34" s="143">
        <v>2.68</v>
      </c>
      <c r="D34" s="133">
        <v>1.8420000000000001</v>
      </c>
      <c r="E34" s="138" t="str">
        <f t="shared" si="0"/>
        <v>ALC</v>
      </c>
      <c r="F34" s="143">
        <v>2.6487499999999997</v>
      </c>
      <c r="G34" s="132">
        <v>1.8249166666666665</v>
      </c>
      <c r="H34" s="138" t="str">
        <f t="shared" si="1"/>
        <v>ALC</v>
      </c>
      <c r="I34" s="143">
        <v>2.8319999999999999</v>
      </c>
      <c r="J34" s="132">
        <v>2.2050000000000001</v>
      </c>
      <c r="K34" s="138" t="str">
        <f t="shared" si="2"/>
        <v>GAS</v>
      </c>
      <c r="L34" s="145">
        <v>2.8358333333333334</v>
      </c>
      <c r="M34" s="137">
        <v>2.2640833333333332</v>
      </c>
      <c r="N34" s="1027" t="str">
        <f t="shared" si="3"/>
        <v>GAS</v>
      </c>
      <c r="O34" s="1025">
        <v>2.9816666669999998</v>
      </c>
      <c r="P34" s="1025">
        <v>2.27725</v>
      </c>
      <c r="Q34" s="1032" t="str">
        <f t="shared" si="4"/>
        <v>GAS</v>
      </c>
    </row>
    <row r="35" spans="2:17">
      <c r="B35" s="127" t="s">
        <v>41</v>
      </c>
      <c r="C35" s="143">
        <v>2.5760000000000001</v>
      </c>
      <c r="D35" s="133">
        <v>1.542</v>
      </c>
      <c r="E35" s="138" t="str">
        <f t="shared" si="0"/>
        <v>ALC</v>
      </c>
      <c r="F35" s="143">
        <v>2.7718333333333334</v>
      </c>
      <c r="G35" s="132">
        <v>1.7083333333333333</v>
      </c>
      <c r="H35" s="138" t="str">
        <f t="shared" si="1"/>
        <v>ALC</v>
      </c>
      <c r="I35" s="143">
        <v>2.8490000000000002</v>
      </c>
      <c r="J35" s="132">
        <v>1.9730000000000001</v>
      </c>
      <c r="K35" s="138" t="str">
        <f t="shared" si="2"/>
        <v>ALC</v>
      </c>
      <c r="L35" s="145">
        <v>2.7670833333333338</v>
      </c>
      <c r="M35" s="137">
        <v>1.8966666666666667</v>
      </c>
      <c r="N35" s="1027" t="str">
        <f t="shared" si="3"/>
        <v>ALC</v>
      </c>
      <c r="O35" s="1025">
        <v>2.8952499999999999</v>
      </c>
      <c r="P35" s="1025">
        <v>1.9535</v>
      </c>
      <c r="Q35" s="1032" t="str">
        <f t="shared" si="4"/>
        <v>ALC</v>
      </c>
    </row>
    <row r="36" spans="2:17">
      <c r="B36" s="127" t="s">
        <v>42</v>
      </c>
      <c r="C36" s="143">
        <v>2.6890000000000001</v>
      </c>
      <c r="D36" s="133">
        <v>1.389</v>
      </c>
      <c r="E36" s="138" t="str">
        <f t="shared" si="0"/>
        <v>ALC</v>
      </c>
      <c r="F36" s="143">
        <v>2.5549166666666667</v>
      </c>
      <c r="G36" s="132">
        <v>1.6000833333333333</v>
      </c>
      <c r="H36" s="138" t="str">
        <f t="shared" si="1"/>
        <v>ALC</v>
      </c>
      <c r="I36" s="143">
        <v>2.8919999999999999</v>
      </c>
      <c r="J36" s="132">
        <v>1.9590000000000001</v>
      </c>
      <c r="K36" s="138" t="str">
        <f t="shared" si="2"/>
        <v>ALC</v>
      </c>
      <c r="L36" s="145">
        <v>2.9700833333333336</v>
      </c>
      <c r="M36" s="137">
        <v>1.9824166666666665</v>
      </c>
      <c r="N36" s="1027" t="str">
        <f t="shared" si="3"/>
        <v>ALC</v>
      </c>
      <c r="O36" s="1025">
        <v>3.0175833330000001</v>
      </c>
      <c r="P36" s="1025">
        <v>1.9820833330000001</v>
      </c>
      <c r="Q36" s="1032" t="str">
        <f t="shared" si="4"/>
        <v>ALC</v>
      </c>
    </row>
    <row r="37" spans="2:17" ht="24">
      <c r="B37" s="128" t="s">
        <v>43</v>
      </c>
      <c r="C37" s="144">
        <v>2.62</v>
      </c>
      <c r="D37" s="140">
        <v>1.6970000000000001</v>
      </c>
      <c r="E37" s="142" t="str">
        <f t="shared" si="0"/>
        <v>ALC</v>
      </c>
      <c r="F37" s="144">
        <v>2.7139166666666665</v>
      </c>
      <c r="G37" s="139">
        <v>2.0145833333333334</v>
      </c>
      <c r="H37" s="142" t="str">
        <f t="shared" si="1"/>
        <v>GAS</v>
      </c>
      <c r="I37" s="144">
        <v>2.7290000000000001</v>
      </c>
      <c r="J37" s="139">
        <v>2.081</v>
      </c>
      <c r="K37" s="142" t="str">
        <f t="shared" si="2"/>
        <v>GAS</v>
      </c>
      <c r="L37" s="146">
        <v>2.7807499999999998</v>
      </c>
      <c r="M37" s="141">
        <v>2.13225</v>
      </c>
      <c r="N37" s="1028" t="str">
        <f t="shared" si="3"/>
        <v>GAS</v>
      </c>
      <c r="O37" s="1025">
        <v>3.0001666669999998</v>
      </c>
      <c r="P37" s="1025">
        <v>2.1578333330000001</v>
      </c>
      <c r="Q37" s="1033" t="str">
        <f t="shared" si="4"/>
        <v>GAS</v>
      </c>
    </row>
    <row r="38" spans="2:17" s="1" customFormat="1">
      <c r="B38" s="129"/>
      <c r="C38" s="129"/>
      <c r="D38" s="129"/>
      <c r="E38" s="129"/>
      <c r="F38" s="129"/>
      <c r="G38" s="129"/>
      <c r="H38" s="129"/>
      <c r="I38" s="129"/>
      <c r="J38" s="129"/>
      <c r="K38" s="129"/>
      <c r="L38" s="129"/>
      <c r="M38" s="45"/>
      <c r="N38" s="46"/>
    </row>
    <row r="39" spans="2:17" s="1" customFormat="1">
      <c r="B39" s="44" t="s">
        <v>408</v>
      </c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5"/>
      <c r="N39" s="46"/>
    </row>
    <row r="40" spans="2:17" s="1" customFormat="1">
      <c r="B40" s="44" t="s">
        <v>409</v>
      </c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5"/>
      <c r="N40" s="46"/>
    </row>
    <row r="41" spans="2:17" s="1" customFormat="1">
      <c r="B41" s="44" t="s">
        <v>410</v>
      </c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5"/>
      <c r="N41" s="46"/>
    </row>
    <row r="42" spans="2:17" s="1" customFormat="1">
      <c r="B42" s="4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6"/>
    </row>
    <row r="43" spans="2:17" s="1" customFormat="1">
      <c r="B43" s="4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6"/>
    </row>
    <row r="44" spans="2:17" s="1" customFormat="1">
      <c r="B44" s="4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6"/>
    </row>
    <row r="45" spans="2:17" s="1" customFormat="1">
      <c r="B45" s="4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6"/>
    </row>
    <row r="46" spans="2:17" s="1" customFormat="1">
      <c r="B46" s="4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6"/>
    </row>
    <row r="47" spans="2:17" s="1" customFormat="1">
      <c r="B47" s="4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6"/>
    </row>
    <row r="48" spans="2:17" s="1" customFormat="1"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6"/>
    </row>
    <row r="49" spans="2:14" s="1" customFormat="1">
      <c r="B49" s="4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6"/>
    </row>
    <row r="50" spans="2:14" s="1" customFormat="1"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6"/>
    </row>
    <row r="51" spans="2:14" s="1" customFormat="1"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6"/>
    </row>
    <row r="52" spans="2:14" s="1" customFormat="1">
      <c r="B52" s="4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6"/>
    </row>
    <row r="53" spans="2:14" s="1" customFormat="1">
      <c r="B53" s="4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6"/>
    </row>
    <row r="54" spans="2:14" s="1" customFormat="1">
      <c r="B54" s="4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6"/>
    </row>
    <row r="55" spans="2:14" s="1" customFormat="1">
      <c r="B55" s="4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6"/>
    </row>
    <row r="56" spans="2:14" s="1" customFormat="1">
      <c r="B56" s="4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6"/>
    </row>
    <row r="57" spans="2:14" s="1" customFormat="1">
      <c r="B57" s="4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6"/>
    </row>
    <row r="58" spans="2:14" s="1" customFormat="1">
      <c r="B58" s="4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6"/>
    </row>
    <row r="59" spans="2:14" s="1" customFormat="1">
      <c r="B59" s="4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6"/>
    </row>
    <row r="60" spans="2:14" s="1" customFormat="1">
      <c r="B60" s="4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6"/>
    </row>
    <row r="61" spans="2:14" s="1" customFormat="1">
      <c r="B61" s="4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6"/>
    </row>
    <row r="62" spans="2:14" s="1" customFormat="1"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6"/>
    </row>
    <row r="63" spans="2:14" s="1" customFormat="1">
      <c r="B63" s="4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6"/>
    </row>
    <row r="64" spans="2:14" s="1" customFormat="1">
      <c r="B64" s="4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6"/>
    </row>
    <row r="65" spans="2:14" s="1" customFormat="1">
      <c r="B65" s="4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6"/>
    </row>
    <row r="66" spans="2:14" s="1" customFormat="1">
      <c r="B66" s="4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6"/>
    </row>
    <row r="67" spans="2:14" s="1" customFormat="1"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6"/>
    </row>
    <row r="68" spans="2:14" s="1" customFormat="1"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6"/>
    </row>
    <row r="69" spans="2:14" s="1" customFormat="1"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6"/>
    </row>
    <row r="70" spans="2:14" s="1" customFormat="1"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6"/>
    </row>
    <row r="71" spans="2:14" s="1" customFormat="1"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6"/>
    </row>
    <row r="72" spans="2:14" s="1" customFormat="1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6"/>
    </row>
    <row r="73" spans="2:14" s="1" customFormat="1">
      <c r="B73" s="4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6"/>
    </row>
    <row r="74" spans="2:14" s="1" customFormat="1"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6"/>
    </row>
    <row r="75" spans="2:14" s="1" customFormat="1"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6"/>
    </row>
    <row r="76" spans="2:14" s="1" customFormat="1"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6"/>
    </row>
    <row r="77" spans="2:14" s="1" customFormat="1"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6"/>
    </row>
    <row r="78" spans="2:14" s="1" customFormat="1"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6"/>
    </row>
    <row r="79" spans="2:14" s="1" customFormat="1"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6"/>
    </row>
    <row r="80" spans="2:14" s="1" customFormat="1"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6"/>
    </row>
    <row r="81" spans="2:14" s="1" customFormat="1"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6"/>
    </row>
    <row r="82" spans="2:14" s="1" customFormat="1"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6"/>
    </row>
    <row r="83" spans="2:14" s="1" customFormat="1"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6"/>
    </row>
    <row r="84" spans="2:14" s="1" customFormat="1"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6"/>
    </row>
    <row r="85" spans="2:14" s="1" customFormat="1">
      <c r="B85" s="4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6"/>
    </row>
    <row r="86" spans="2:14" s="1" customFormat="1">
      <c r="B86" s="4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6"/>
    </row>
    <row r="87" spans="2:14" s="1" customFormat="1">
      <c r="B87" s="4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6"/>
    </row>
    <row r="88" spans="2:14" s="1" customFormat="1">
      <c r="B88" s="4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6"/>
    </row>
    <row r="89" spans="2:14" s="1" customFormat="1">
      <c r="B89" s="4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6"/>
    </row>
    <row r="90" spans="2:14" s="1" customFormat="1">
      <c r="B90" s="4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6"/>
    </row>
    <row r="91" spans="2:14" s="1" customFormat="1"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6"/>
    </row>
    <row r="92" spans="2:14" s="1" customFormat="1"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6"/>
    </row>
    <row r="93" spans="2:14" s="1" customFormat="1"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6"/>
    </row>
    <row r="94" spans="2:14" s="1" customFormat="1"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6"/>
    </row>
    <row r="95" spans="2:14" s="1" customFormat="1">
      <c r="B95" s="4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6"/>
    </row>
    <row r="96" spans="2:14" s="1" customFormat="1">
      <c r="B96" s="4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6"/>
    </row>
    <row r="97" spans="2:14" s="1" customFormat="1"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6"/>
    </row>
    <row r="98" spans="2:14" s="1" customFormat="1">
      <c r="B98" s="4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6"/>
    </row>
    <row r="99" spans="2:14" s="1" customFormat="1">
      <c r="B99" s="4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6"/>
    </row>
    <row r="100" spans="2:14" s="1" customFormat="1">
      <c r="B100" s="4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6"/>
    </row>
    <row r="101" spans="2:14" s="1" customFormat="1">
      <c r="B101" s="4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6"/>
    </row>
    <row r="102" spans="2:14" s="1" customFormat="1">
      <c r="B102" s="4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6"/>
    </row>
    <row r="103" spans="2:14" s="1" customFormat="1">
      <c r="B103" s="4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6"/>
    </row>
    <row r="104" spans="2:14" s="1" customFormat="1">
      <c r="B104" s="4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6"/>
    </row>
    <row r="105" spans="2:14" s="1" customFormat="1">
      <c r="B105" s="4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6"/>
    </row>
    <row r="106" spans="2:14" s="1" customFormat="1">
      <c r="B106" s="4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6"/>
    </row>
    <row r="107" spans="2:14" s="1" customFormat="1">
      <c r="B107" s="4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6"/>
    </row>
    <row r="108" spans="2:14" s="1" customFormat="1">
      <c r="B108" s="4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6"/>
    </row>
    <row r="109" spans="2:14" s="1" customFormat="1">
      <c r="B109" s="4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6"/>
    </row>
    <row r="110" spans="2:14" s="1" customFormat="1"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6"/>
    </row>
    <row r="111" spans="2:14" s="1" customFormat="1">
      <c r="B111" s="4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6"/>
    </row>
    <row r="112" spans="2:14" s="1" customFormat="1">
      <c r="B112" s="4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6"/>
    </row>
    <row r="113" spans="2:14" s="1" customFormat="1">
      <c r="B113" s="4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6"/>
    </row>
    <row r="114" spans="2:14" s="1" customFormat="1">
      <c r="B114" s="4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6"/>
    </row>
    <row r="115" spans="2:14" s="1" customFormat="1">
      <c r="B115" s="4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6"/>
    </row>
    <row r="116" spans="2:14" s="1" customFormat="1">
      <c r="B116" s="4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6"/>
    </row>
    <row r="117" spans="2:14" s="1" customFormat="1">
      <c r="B117" s="4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6"/>
    </row>
    <row r="118" spans="2:14" s="1" customFormat="1">
      <c r="B118" s="4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6"/>
    </row>
    <row r="119" spans="2:14" s="1" customFormat="1">
      <c r="B119" s="4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6"/>
    </row>
    <row r="120" spans="2:14" s="1" customFormat="1">
      <c r="B120" s="4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6"/>
    </row>
    <row r="121" spans="2:14" s="1" customFormat="1">
      <c r="B121" s="4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6"/>
    </row>
    <row r="122" spans="2:14" s="1" customFormat="1">
      <c r="B122" s="4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6"/>
    </row>
    <row r="123" spans="2:14" s="1" customFormat="1">
      <c r="B123" s="4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6"/>
    </row>
    <row r="124" spans="2:14" s="1" customFormat="1">
      <c r="B124" s="4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6"/>
    </row>
    <row r="125" spans="2:14" s="1" customFormat="1">
      <c r="B125" s="4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6"/>
    </row>
    <row r="126" spans="2:14" s="1" customFormat="1">
      <c r="B126" s="4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6"/>
    </row>
    <row r="127" spans="2:14" s="1" customFormat="1"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6"/>
    </row>
    <row r="128" spans="2:14" s="1" customFormat="1">
      <c r="B128" s="4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6"/>
    </row>
    <row r="129" spans="2:14" s="1" customFormat="1">
      <c r="B129" s="4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6"/>
    </row>
    <row r="130" spans="2:14" s="1" customFormat="1">
      <c r="B130" s="4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6"/>
    </row>
    <row r="131" spans="2:14" s="1" customFormat="1"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6"/>
    </row>
    <row r="132" spans="2:14" s="1" customFormat="1">
      <c r="B132" s="4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6"/>
    </row>
    <row r="133" spans="2:14" s="1" customFormat="1">
      <c r="B133" s="4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6"/>
    </row>
    <row r="134" spans="2:14" s="1" customFormat="1">
      <c r="B134" s="4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6"/>
    </row>
    <row r="135" spans="2:14" s="1" customFormat="1">
      <c r="B135" s="4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6"/>
    </row>
    <row r="136" spans="2:14" s="1" customFormat="1">
      <c r="B136" s="4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6"/>
    </row>
    <row r="137" spans="2:14" s="1" customFormat="1">
      <c r="B137" s="4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6"/>
    </row>
    <row r="138" spans="2:14" s="1" customFormat="1">
      <c r="B138" s="4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6"/>
    </row>
    <row r="139" spans="2:14" s="1" customFormat="1">
      <c r="B139" s="4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6"/>
    </row>
    <row r="140" spans="2:14" s="1" customFormat="1">
      <c r="B140" s="4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6"/>
    </row>
    <row r="141" spans="2:14" s="1" customFormat="1">
      <c r="B141" s="4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6"/>
    </row>
    <row r="142" spans="2:14" s="1" customFormat="1">
      <c r="B142" s="4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6"/>
    </row>
    <row r="143" spans="2:14" s="1" customFormat="1">
      <c r="B143" s="4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6"/>
    </row>
    <row r="144" spans="2:14" s="1" customFormat="1">
      <c r="B144" s="4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6"/>
    </row>
    <row r="145" spans="2:14" s="1" customFormat="1">
      <c r="B145" s="4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6"/>
    </row>
    <row r="146" spans="2:14" s="1" customFormat="1">
      <c r="B146" s="4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6"/>
    </row>
    <row r="147" spans="2:14" s="1" customFormat="1">
      <c r="B147" s="4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6"/>
    </row>
    <row r="148" spans="2:14" s="1" customFormat="1">
      <c r="B148" s="4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6"/>
    </row>
    <row r="149" spans="2:14" s="1" customFormat="1">
      <c r="B149" s="4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6"/>
    </row>
    <row r="150" spans="2:14" s="1" customFormat="1">
      <c r="B150" s="4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6"/>
    </row>
    <row r="151" spans="2:14" s="1" customFormat="1"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6"/>
    </row>
    <row r="152" spans="2:14" s="1" customFormat="1">
      <c r="B152" s="4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6"/>
    </row>
    <row r="153" spans="2:14" s="1" customFormat="1">
      <c r="B153" s="4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6"/>
    </row>
    <row r="154" spans="2:14" s="1" customFormat="1">
      <c r="B154" s="4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6"/>
    </row>
    <row r="155" spans="2:14" s="1" customFormat="1">
      <c r="B155" s="4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6"/>
    </row>
    <row r="156" spans="2:14" s="1" customFormat="1">
      <c r="B156" s="4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6"/>
    </row>
    <row r="157" spans="2:14" s="1" customFormat="1">
      <c r="B157" s="4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6"/>
    </row>
    <row r="158" spans="2:14" s="1" customFormat="1">
      <c r="B158" s="4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6"/>
    </row>
    <row r="159" spans="2:14" s="1" customFormat="1">
      <c r="B159" s="4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6"/>
    </row>
    <row r="160" spans="2:14" s="1" customFormat="1">
      <c r="B160" s="4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6"/>
    </row>
    <row r="161" spans="2:14" s="1" customFormat="1">
      <c r="B161" s="4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6"/>
    </row>
    <row r="162" spans="2:14" s="1" customFormat="1">
      <c r="B162" s="4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6"/>
    </row>
    <row r="163" spans="2:14" s="1" customFormat="1">
      <c r="B163" s="4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6"/>
    </row>
    <row r="164" spans="2:14" s="1" customFormat="1">
      <c r="B164" s="4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6"/>
    </row>
    <row r="165" spans="2:14" s="1" customFormat="1">
      <c r="B165" s="4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6"/>
    </row>
    <row r="166" spans="2:14" s="1" customFormat="1">
      <c r="B166" s="4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6"/>
    </row>
    <row r="167" spans="2:14" s="1" customFormat="1">
      <c r="B167" s="4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6"/>
    </row>
    <row r="168" spans="2:14" s="1" customFormat="1">
      <c r="B168" s="4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6"/>
    </row>
    <row r="169" spans="2:14" s="1" customFormat="1">
      <c r="B169" s="4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6"/>
    </row>
    <row r="170" spans="2:14" s="1" customFormat="1"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6"/>
    </row>
    <row r="171" spans="2:14" s="1" customFormat="1"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6"/>
    </row>
    <row r="172" spans="2:14" s="1" customFormat="1">
      <c r="B172" s="4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6"/>
    </row>
    <row r="173" spans="2:14" s="1" customFormat="1">
      <c r="B173" s="4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6"/>
    </row>
    <row r="174" spans="2:14" s="1" customFormat="1">
      <c r="B174" s="4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6"/>
    </row>
    <row r="175" spans="2:14" s="1" customFormat="1">
      <c r="B175" s="4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6"/>
    </row>
    <row r="176" spans="2:14" s="1" customFormat="1"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6"/>
    </row>
    <row r="177" spans="2:14" s="1" customFormat="1">
      <c r="B177" s="4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6"/>
    </row>
    <row r="178" spans="2:14" s="1" customFormat="1">
      <c r="B178" s="4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6"/>
    </row>
    <row r="179" spans="2:14" s="1" customFormat="1">
      <c r="B179" s="4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6"/>
    </row>
    <row r="180" spans="2:14" s="1" customFormat="1">
      <c r="B180" s="4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6"/>
    </row>
    <row r="181" spans="2:14" s="1" customFormat="1">
      <c r="B181" s="4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6"/>
    </row>
    <row r="182" spans="2:14" s="1" customFormat="1">
      <c r="B182" s="4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6"/>
    </row>
    <row r="183" spans="2:14" s="1" customFormat="1">
      <c r="B183" s="4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6"/>
    </row>
    <row r="184" spans="2:14" s="1" customFormat="1"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6"/>
    </row>
    <row r="185" spans="2:14" s="1" customFormat="1">
      <c r="B185" s="4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6"/>
    </row>
    <row r="186" spans="2:14" s="1" customFormat="1">
      <c r="B186" s="4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6"/>
    </row>
    <row r="187" spans="2:14" s="1" customFormat="1">
      <c r="B187" s="4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6"/>
    </row>
    <row r="188" spans="2:14" s="1" customFormat="1"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6"/>
    </row>
    <row r="189" spans="2:14" s="1" customFormat="1">
      <c r="B189" s="4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6"/>
    </row>
    <row r="190" spans="2:14" s="1" customFormat="1">
      <c r="B190" s="4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6"/>
    </row>
    <row r="191" spans="2:14" s="1" customFormat="1">
      <c r="B191" s="4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6"/>
    </row>
    <row r="192" spans="2:14" s="1" customFormat="1">
      <c r="B192" s="4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6"/>
    </row>
  </sheetData>
  <mergeCells count="6">
    <mergeCell ref="B2:B4"/>
    <mergeCell ref="O2:Q3"/>
    <mergeCell ref="L2:N3"/>
    <mergeCell ref="I2:K3"/>
    <mergeCell ref="F2:H3"/>
    <mergeCell ref="C2:E3"/>
  </mergeCells>
  <pageMargins left="0.511811024" right="0.511811024" top="0.78740157499999996" bottom="0.78740157499999996" header="0.31496062000000002" footer="0.31496062000000002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9" tint="0.39997558519241921"/>
  </sheetPr>
  <dimension ref="A1:AR37"/>
  <sheetViews>
    <sheetView workbookViewId="0">
      <selection activeCell="E32" sqref="E32"/>
    </sheetView>
  </sheetViews>
  <sheetFormatPr defaultColWidth="8.85546875" defaultRowHeight="15"/>
  <cols>
    <col min="1" max="6" width="12.85546875" style="45" customWidth="1"/>
    <col min="7" max="44" width="8.85546875" style="1"/>
  </cols>
  <sheetData>
    <row r="1" spans="1:11">
      <c r="A1" s="1170" t="s">
        <v>406</v>
      </c>
      <c r="B1" s="1177" t="s">
        <v>411</v>
      </c>
      <c r="C1" s="1173"/>
      <c r="D1" s="1173"/>
      <c r="E1" s="1173"/>
      <c r="F1" s="1174"/>
    </row>
    <row r="2" spans="1:11" ht="15.75" thickBot="1">
      <c r="A2" s="1171"/>
      <c r="B2" s="1181"/>
      <c r="C2" s="1182"/>
      <c r="D2" s="1182"/>
      <c r="E2" s="1182"/>
      <c r="F2" s="1183"/>
    </row>
    <row r="3" spans="1:11" ht="15.75" thickBot="1">
      <c r="A3" s="1180"/>
      <c r="B3" s="307">
        <v>2009</v>
      </c>
      <c r="C3" s="323">
        <v>2010</v>
      </c>
      <c r="D3" s="307">
        <v>2011</v>
      </c>
      <c r="E3" s="323">
        <v>2012</v>
      </c>
      <c r="F3" s="323">
        <v>2013</v>
      </c>
      <c r="H3"/>
    </row>
    <row r="4" spans="1:11" ht="15.75" thickBot="1">
      <c r="A4" s="268" t="s">
        <v>11</v>
      </c>
      <c r="B4" s="282">
        <f>B5+B13+B23+B28+B32</f>
        <v>1618643</v>
      </c>
      <c r="C4" s="282">
        <f>C5+C13+C23+C28+C32</f>
        <v>1625953</v>
      </c>
      <c r="D4" s="282">
        <f>D5+D13+D23+D28+D32</f>
        <v>1668058.2631578948</v>
      </c>
      <c r="E4" s="930">
        <f>E5+E13+E23+E28+E32</f>
        <v>1694035.6315789472</v>
      </c>
      <c r="F4" s="282">
        <f>F5+F13+F23+F28+F32</f>
        <v>1720013</v>
      </c>
      <c r="I4" s="1">
        <f>(0.8/0.95)*50000</f>
        <v>42105.26315789474</v>
      </c>
    </row>
    <row r="5" spans="1:11">
      <c r="A5" s="324" t="s">
        <v>46</v>
      </c>
      <c r="B5" s="280">
        <f>SUM(B6:B12)</f>
        <v>164</v>
      </c>
      <c r="C5" s="280">
        <f>SUM(C6:C12)</f>
        <v>237</v>
      </c>
      <c r="D5" s="280">
        <f>SUM(D6:D12)</f>
        <v>657.47663618691058</v>
      </c>
      <c r="E5" s="931">
        <f>SUM(E6:E12)</f>
        <v>1236.2383180934553</v>
      </c>
      <c r="F5" s="280">
        <f>SUM(F6:F12)</f>
        <v>1815</v>
      </c>
      <c r="I5" s="2"/>
      <c r="J5" s="2"/>
    </row>
    <row r="6" spans="1:11" ht="15.75" thickBot="1">
      <c r="A6" s="130" t="s">
        <v>13</v>
      </c>
      <c r="B6" s="32">
        <v>0</v>
      </c>
      <c r="C6" s="30">
        <v>0</v>
      </c>
      <c r="D6" s="151">
        <f>C6+$I$4*I6</f>
        <v>0</v>
      </c>
      <c r="E6" s="932">
        <f t="shared" ref="E6:E12" si="0">(D6+F6)/2</f>
        <v>4</v>
      </c>
      <c r="F6" s="31">
        <f>ONSV_AUX_2013!B3+ONSV_AUX_2013!B9+ONSV_AUX_2013!B10</f>
        <v>8</v>
      </c>
      <c r="H6" s="2">
        <f>C6-B6</f>
        <v>0</v>
      </c>
      <c r="I6" s="1">
        <f>H6/SUM($H$6:$H$36)</f>
        <v>0</v>
      </c>
    </row>
    <row r="7" spans="1:11" ht="15.75" thickBot="1">
      <c r="A7" s="130" t="s">
        <v>14</v>
      </c>
      <c r="B7" s="32">
        <v>0</v>
      </c>
      <c r="C7" s="30">
        <v>0</v>
      </c>
      <c r="D7" s="151">
        <f t="shared" ref="D7:D12" si="1">C7+$I$4*I7</f>
        <v>0</v>
      </c>
      <c r="E7" s="932">
        <f t="shared" si="0"/>
        <v>3</v>
      </c>
      <c r="F7" s="31">
        <f>ONSV_AUX_2013!D3+ONSV_AUX_2013!D9+ONSV_AUX_2013!D10</f>
        <v>6</v>
      </c>
      <c r="H7" s="2">
        <f t="shared" ref="H7:H36" si="2">C7-B7</f>
        <v>0</v>
      </c>
      <c r="I7" s="1">
        <f t="shared" ref="I7:I36" si="3">H7/SUM($H$6:$H$36)</f>
        <v>0</v>
      </c>
      <c r="J7" s="2"/>
    </row>
    <row r="8" spans="1:11" ht="15.75" thickBot="1">
      <c r="A8" s="130" t="s">
        <v>15</v>
      </c>
      <c r="B8" s="32">
        <v>164</v>
      </c>
      <c r="C8" s="30">
        <v>177</v>
      </c>
      <c r="D8" s="151">
        <f t="shared" si="1"/>
        <v>251.8794009647923</v>
      </c>
      <c r="E8" s="932">
        <f t="shared" si="0"/>
        <v>756.43970048239612</v>
      </c>
      <c r="F8" s="31">
        <f>ONSV_AUX_2013!E3+ONSV_AUX_2013!E9+ONSV_AUX_2013!E10</f>
        <v>1261</v>
      </c>
      <c r="H8" s="2">
        <f t="shared" si="2"/>
        <v>13</v>
      </c>
      <c r="I8" s="1">
        <f t="shared" si="3"/>
        <v>1.7783857729138167E-3</v>
      </c>
    </row>
    <row r="9" spans="1:11" ht="15.75" thickBot="1">
      <c r="A9" s="130" t="s">
        <v>16</v>
      </c>
      <c r="B9" s="32">
        <v>0</v>
      </c>
      <c r="C9" s="30">
        <v>60</v>
      </c>
      <c r="D9" s="151">
        <f t="shared" si="1"/>
        <v>405.59723522211823</v>
      </c>
      <c r="E9" s="932">
        <f t="shared" si="0"/>
        <v>313.29861761105911</v>
      </c>
      <c r="F9" s="31">
        <f>ONSV_AUX_2013!O3+ONSV_AUX_2013!O9+ONSV_AUX_2013!O10</f>
        <v>221</v>
      </c>
      <c r="H9" s="2">
        <f t="shared" si="2"/>
        <v>60</v>
      </c>
      <c r="I9" s="1">
        <f t="shared" si="3"/>
        <v>8.2079343365253077E-3</v>
      </c>
      <c r="K9" s="2"/>
    </row>
    <row r="10" spans="1:11" ht="15.75" thickBot="1">
      <c r="A10" s="130" t="s">
        <v>17</v>
      </c>
      <c r="B10" s="32">
        <v>0</v>
      </c>
      <c r="C10" s="30">
        <v>0</v>
      </c>
      <c r="D10" s="151">
        <f t="shared" si="1"/>
        <v>0</v>
      </c>
      <c r="E10" s="932">
        <f t="shared" si="0"/>
        <v>49.5</v>
      </c>
      <c r="F10" s="31">
        <f>ONSV_AUX_2013!W3+ONSV_AUX_2013!W9+ONSV_AUX_2013!W10</f>
        <v>99</v>
      </c>
      <c r="H10" s="2">
        <f t="shared" si="2"/>
        <v>0</v>
      </c>
      <c r="I10" s="1">
        <f t="shared" si="3"/>
        <v>0</v>
      </c>
    </row>
    <row r="11" spans="1:11" ht="15.75" thickBot="1">
      <c r="A11" s="130" t="s">
        <v>18</v>
      </c>
      <c r="B11" s="32">
        <v>0</v>
      </c>
      <c r="C11" s="30">
        <v>0</v>
      </c>
      <c r="D11" s="151">
        <f t="shared" si="1"/>
        <v>0</v>
      </c>
      <c r="E11" s="932">
        <f t="shared" si="0"/>
        <v>13</v>
      </c>
      <c r="F11" s="31">
        <f>ONSV_AUX_2013!X3+ONSV_AUX_2013!X9+ONSV_AUX_2013!X10</f>
        <v>26</v>
      </c>
      <c r="H11" s="2">
        <f t="shared" si="2"/>
        <v>0</v>
      </c>
      <c r="I11" s="1">
        <f t="shared" si="3"/>
        <v>0</v>
      </c>
    </row>
    <row r="12" spans="1:11" ht="15.75" thickBot="1">
      <c r="A12" s="131" t="s">
        <v>19</v>
      </c>
      <c r="B12" s="34">
        <v>0</v>
      </c>
      <c r="C12" s="35">
        <v>0</v>
      </c>
      <c r="D12" s="151">
        <f t="shared" si="1"/>
        <v>0</v>
      </c>
      <c r="E12" s="932">
        <f t="shared" si="0"/>
        <v>97</v>
      </c>
      <c r="F12" s="36">
        <f>ONSV_AUX_2013!AB3+ONSV_AUX_2013!AB9+ONSV_AUX_2013!AB10</f>
        <v>194</v>
      </c>
      <c r="H12" s="2">
        <f t="shared" si="2"/>
        <v>0</v>
      </c>
      <c r="I12" s="1">
        <f t="shared" si="3"/>
        <v>0</v>
      </c>
    </row>
    <row r="13" spans="1:11" ht="25.5">
      <c r="A13" s="324" t="s">
        <v>54</v>
      </c>
      <c r="B13" s="280">
        <f>SUM(B14:B22)</f>
        <v>257395</v>
      </c>
      <c r="C13" s="280">
        <f>SUM(C14:C22)</f>
        <v>258022</v>
      </c>
      <c r="D13" s="280">
        <f>SUM(D14:D22)</f>
        <v>261633.49110807112</v>
      </c>
      <c r="E13" s="931">
        <f>SUM(E14:E22)</f>
        <v>245165.74555403556</v>
      </c>
      <c r="F13" s="280">
        <f>SUM(F14:F22)</f>
        <v>228698</v>
      </c>
      <c r="H13" s="2"/>
      <c r="I13" s="1">
        <f t="shared" si="3"/>
        <v>0</v>
      </c>
    </row>
    <row r="14" spans="1:11" ht="15.75" thickBot="1">
      <c r="A14" s="130" t="s">
        <v>21</v>
      </c>
      <c r="B14" s="32">
        <v>18443</v>
      </c>
      <c r="C14" s="149">
        <v>18459</v>
      </c>
      <c r="D14" s="151">
        <f>C14+$I$4*I14</f>
        <v>18551.159262725898</v>
      </c>
      <c r="E14" s="932">
        <f t="shared" ref="E14:E22" si="4">(D14+F14)/2</f>
        <v>18352.579631362947</v>
      </c>
      <c r="F14" s="31">
        <f>ONSV_AUX_2013!C3+ONSV_AUX_2013!C9+ONSV_AUX_2013!C10</f>
        <v>18154</v>
      </c>
      <c r="H14" s="2">
        <f t="shared" si="2"/>
        <v>16</v>
      </c>
      <c r="I14" s="1">
        <f t="shared" si="3"/>
        <v>2.188782489740082E-3</v>
      </c>
    </row>
    <row r="15" spans="1:11" ht="15.75" thickBot="1">
      <c r="A15" s="130" t="s">
        <v>22</v>
      </c>
      <c r="B15" s="32">
        <v>68804</v>
      </c>
      <c r="C15" s="149">
        <v>68866</v>
      </c>
      <c r="D15" s="151">
        <f t="shared" ref="D15:D22" si="5">C15+$I$4*I15</f>
        <v>69223.11714306286</v>
      </c>
      <c r="E15" s="932">
        <f t="shared" si="4"/>
        <v>58122.55857153143</v>
      </c>
      <c r="F15" s="31">
        <f>ONSV_AUX_2013!F3+ONSV_AUX_2013!F9+ONSV_AUX_2013!F10</f>
        <v>47022</v>
      </c>
      <c r="H15" s="2">
        <f t="shared" si="2"/>
        <v>62</v>
      </c>
      <c r="I15" s="1">
        <f t="shared" si="3"/>
        <v>8.4815321477428179E-3</v>
      </c>
    </row>
    <row r="16" spans="1:11" ht="15.75" thickBot="1">
      <c r="A16" s="130" t="s">
        <v>23</v>
      </c>
      <c r="B16" s="32">
        <v>46748</v>
      </c>
      <c r="C16" s="149">
        <v>47027</v>
      </c>
      <c r="D16" s="151">
        <f t="shared" si="5"/>
        <v>48634.027143782849</v>
      </c>
      <c r="E16" s="932">
        <f t="shared" si="4"/>
        <v>41928.013571891424</v>
      </c>
      <c r="F16" s="31">
        <f>ONSV_AUX_2013!G3+ONSV_AUX_2013!G9+ONSV_AUX_2013!G10</f>
        <v>35222</v>
      </c>
      <c r="H16" s="2">
        <f t="shared" si="2"/>
        <v>279</v>
      </c>
      <c r="I16" s="1">
        <f t="shared" si="3"/>
        <v>3.8166894664842681E-2</v>
      </c>
    </row>
    <row r="17" spans="1:9" ht="15.75" thickBot="1">
      <c r="A17" s="130" t="s">
        <v>24</v>
      </c>
      <c r="B17" s="32">
        <v>0</v>
      </c>
      <c r="C17" s="149">
        <v>0</v>
      </c>
      <c r="D17" s="151">
        <f t="shared" si="5"/>
        <v>0</v>
      </c>
      <c r="E17" s="932">
        <f t="shared" si="4"/>
        <v>84.5</v>
      </c>
      <c r="F17" s="31">
        <f>ONSV_AUX_2013!K3+ONSV_AUX_2013!K9+ONSV_AUX_2013!K10</f>
        <v>169</v>
      </c>
      <c r="H17" s="2">
        <f t="shared" si="2"/>
        <v>0</v>
      </c>
      <c r="I17" s="1">
        <f t="shared" si="3"/>
        <v>0</v>
      </c>
    </row>
    <row r="18" spans="1:9" ht="15.75" thickBot="1">
      <c r="A18" s="130" t="s">
        <v>25</v>
      </c>
      <c r="B18" s="32">
        <v>17661</v>
      </c>
      <c r="C18" s="149">
        <v>17661</v>
      </c>
      <c r="D18" s="151">
        <f t="shared" si="5"/>
        <v>17661</v>
      </c>
      <c r="E18" s="932">
        <f t="shared" si="4"/>
        <v>19263</v>
      </c>
      <c r="F18" s="31">
        <f>ONSV_AUX_2013!P3+ONSV_AUX_2013!P9+ONSV_AUX_2013!P10</f>
        <v>20865</v>
      </c>
      <c r="H18" s="2">
        <f t="shared" si="2"/>
        <v>0</v>
      </c>
      <c r="I18" s="1">
        <f t="shared" si="3"/>
        <v>0</v>
      </c>
    </row>
    <row r="19" spans="1:9" ht="15.75" thickBot="1">
      <c r="A19" s="130" t="s">
        <v>26</v>
      </c>
      <c r="B19" s="32">
        <v>46189</v>
      </c>
      <c r="C19" s="149">
        <v>46364</v>
      </c>
      <c r="D19" s="151">
        <f t="shared" si="5"/>
        <v>47371.991936064514</v>
      </c>
      <c r="E19" s="932">
        <f t="shared" si="4"/>
        <v>45547.995968032257</v>
      </c>
      <c r="F19" s="31">
        <f>ONSV_AUX_2013!R3+ONSV_AUX_2013!R9+ONSV_AUX_2013!R10</f>
        <v>43724</v>
      </c>
      <c r="H19" s="2">
        <f t="shared" si="2"/>
        <v>175</v>
      </c>
      <c r="I19" s="1">
        <f t="shared" si="3"/>
        <v>2.3939808481532147E-2</v>
      </c>
    </row>
    <row r="20" spans="1:9" ht="15.75" thickBot="1">
      <c r="A20" s="130" t="s">
        <v>27</v>
      </c>
      <c r="B20" s="32">
        <v>218</v>
      </c>
      <c r="C20" s="149">
        <v>218</v>
      </c>
      <c r="D20" s="151">
        <f t="shared" si="5"/>
        <v>218</v>
      </c>
      <c r="E20" s="932">
        <f t="shared" si="4"/>
        <v>370</v>
      </c>
      <c r="F20" s="31">
        <f>ONSV_AUX_2013!S3+ONSV_AUX_2013!S9+ONSV_AUX_2013!S10</f>
        <v>522</v>
      </c>
      <c r="H20" s="2">
        <f t="shared" si="2"/>
        <v>0</v>
      </c>
      <c r="I20" s="1">
        <f t="shared" si="3"/>
        <v>0</v>
      </c>
    </row>
    <row r="21" spans="1:9" ht="26.25" thickBot="1">
      <c r="A21" s="130" t="s">
        <v>28</v>
      </c>
      <c r="B21" s="32">
        <v>38358</v>
      </c>
      <c r="C21" s="149">
        <v>38453</v>
      </c>
      <c r="D21" s="151">
        <f>C21+$I$4*I21</f>
        <v>39000.195622435022</v>
      </c>
      <c r="E21" s="932">
        <f t="shared" si="4"/>
        <v>41361.097811217507</v>
      </c>
      <c r="F21" s="31">
        <f>ONSV_AUX_2013!U3+ONSV_AUX_2013!U9+ONSV_AUX_2013!U10</f>
        <v>43722</v>
      </c>
      <c r="H21" s="2">
        <f t="shared" si="2"/>
        <v>95</v>
      </c>
      <c r="I21" s="1">
        <f t="shared" si="3"/>
        <v>1.2995896032831737E-2</v>
      </c>
    </row>
    <row r="22" spans="1:9" ht="15.75" thickBot="1">
      <c r="A22" s="131" t="s">
        <v>29</v>
      </c>
      <c r="B22" s="34">
        <v>20974</v>
      </c>
      <c r="C22" s="150">
        <v>20974</v>
      </c>
      <c r="D22" s="151">
        <f t="shared" si="5"/>
        <v>20974</v>
      </c>
      <c r="E22" s="932">
        <f t="shared" si="4"/>
        <v>20136</v>
      </c>
      <c r="F22" s="36">
        <f>ONSV_AUX_2013!AA3+ONSV_AUX_2013!AA9+ONSV_AUX_2013!AA10</f>
        <v>19298</v>
      </c>
      <c r="H22" s="2">
        <f t="shared" si="2"/>
        <v>0</v>
      </c>
      <c r="I22" s="1">
        <f t="shared" si="3"/>
        <v>0</v>
      </c>
    </row>
    <row r="23" spans="1:9" ht="25.5">
      <c r="A23" s="324" t="s">
        <v>64</v>
      </c>
      <c r="B23" s="280">
        <f>SUM(B24:B27)</f>
        <v>1215735</v>
      </c>
      <c r="C23" s="280">
        <f>SUM(C24:C27)</f>
        <v>1221449</v>
      </c>
      <c r="D23" s="280">
        <f>SUM(D24:D27)</f>
        <v>1254361.3767009864</v>
      </c>
      <c r="E23" s="931">
        <f>SUM(E24:E27)</f>
        <v>1271505.6883504931</v>
      </c>
      <c r="F23" s="280">
        <f>SUM(F24:F27)</f>
        <v>1288650</v>
      </c>
      <c r="H23" s="2"/>
      <c r="I23" s="1">
        <f t="shared" si="3"/>
        <v>0</v>
      </c>
    </row>
    <row r="24" spans="1:9" ht="15.75" thickBot="1">
      <c r="A24" s="130" t="s">
        <v>31</v>
      </c>
      <c r="B24" s="32">
        <v>37469</v>
      </c>
      <c r="C24" s="149">
        <v>37469</v>
      </c>
      <c r="D24" s="151">
        <f>C24+$I$4*I24</f>
        <v>37469</v>
      </c>
      <c r="E24" s="932">
        <f t="shared" ref="E24:E27" si="6">(D24+F24)/2</f>
        <v>32622.5</v>
      </c>
      <c r="F24" s="31">
        <f>ONSV_AUX_2013!I3+ONSV_AUX_2013!I9+ONSV_AUX_2013!I10</f>
        <v>27776</v>
      </c>
      <c r="H24" s="2">
        <f t="shared" si="2"/>
        <v>0</v>
      </c>
      <c r="I24" s="1">
        <f t="shared" si="3"/>
        <v>0</v>
      </c>
    </row>
    <row r="25" spans="1:9" ht="15.75" thickBot="1">
      <c r="A25" s="130" t="s">
        <v>32</v>
      </c>
      <c r="B25" s="32">
        <v>63513</v>
      </c>
      <c r="C25" s="149">
        <v>63513</v>
      </c>
      <c r="D25" s="151">
        <f t="shared" ref="D25:D27" si="7">C25+$I$4*I25</f>
        <v>63513</v>
      </c>
      <c r="E25" s="932">
        <f t="shared" si="6"/>
        <v>49219</v>
      </c>
      <c r="F25" s="31">
        <f>ONSV_AUX_2013!N3+ONSV_AUX_2013!N9+ONSV_AUX_2013!N10</f>
        <v>34925</v>
      </c>
      <c r="H25" s="2">
        <f t="shared" si="2"/>
        <v>0</v>
      </c>
      <c r="I25" s="1">
        <f t="shared" si="3"/>
        <v>0</v>
      </c>
    </row>
    <row r="26" spans="1:9" ht="15.75" thickBot="1">
      <c r="A26" s="130" t="s">
        <v>33</v>
      </c>
      <c r="B26" s="32">
        <v>732013</v>
      </c>
      <c r="C26" s="149">
        <v>737571</v>
      </c>
      <c r="D26" s="151">
        <f t="shared" si="7"/>
        <v>769584.82388940884</v>
      </c>
      <c r="E26" s="932">
        <f t="shared" si="6"/>
        <v>850850.41194470436</v>
      </c>
      <c r="F26" s="31">
        <f>ONSV_AUX_2013!T3+ONSV_AUX_2013!T9+ONSV_AUX_2013!T10</f>
        <v>932116</v>
      </c>
      <c r="H26" s="2">
        <f t="shared" si="2"/>
        <v>5558</v>
      </c>
      <c r="I26" s="1">
        <f t="shared" si="3"/>
        <v>0.76032831737346096</v>
      </c>
    </row>
    <row r="27" spans="1:9" ht="15.75" thickBot="1">
      <c r="A27" s="131" t="s">
        <v>34</v>
      </c>
      <c r="B27" s="34">
        <v>382740</v>
      </c>
      <c r="C27" s="150">
        <v>382896</v>
      </c>
      <c r="D27" s="151">
        <f t="shared" si="7"/>
        <v>383794.55281157751</v>
      </c>
      <c r="E27" s="932">
        <f t="shared" si="6"/>
        <v>338813.77640578873</v>
      </c>
      <c r="F27" s="36">
        <f>ONSV_AUX_2013!Z3+ONSV_AUX_2013!Z9+ONSV_AUX_2013!Z10</f>
        <v>293833</v>
      </c>
      <c r="H27" s="2">
        <f t="shared" si="2"/>
        <v>156</v>
      </c>
      <c r="I27" s="1">
        <f t="shared" si="3"/>
        <v>2.13406292749658E-2</v>
      </c>
    </row>
    <row r="28" spans="1:9">
      <c r="A28" s="324" t="s">
        <v>69</v>
      </c>
      <c r="B28" s="280">
        <f>SUM(B29:B31)</f>
        <v>136778</v>
      </c>
      <c r="C28" s="280">
        <f>SUM(C29:C31)</f>
        <v>137637</v>
      </c>
      <c r="D28" s="280">
        <f>SUM(D29:D31)</f>
        <v>142584.80041759665</v>
      </c>
      <c r="E28" s="931">
        <f>SUM(E29:E31)</f>
        <v>165297.40020879832</v>
      </c>
      <c r="F28" s="280">
        <f>SUM(F29:F31)</f>
        <v>188010</v>
      </c>
      <c r="H28" s="2"/>
      <c r="I28" s="1">
        <f t="shared" si="3"/>
        <v>0</v>
      </c>
    </row>
    <row r="29" spans="1:9" ht="15.75" thickBot="1">
      <c r="A29" s="130" t="s">
        <v>36</v>
      </c>
      <c r="B29" s="32">
        <v>27364</v>
      </c>
      <c r="C29" s="149">
        <v>27371</v>
      </c>
      <c r="D29" s="151">
        <f>C29+$I$4*I29</f>
        <v>27411.319677442581</v>
      </c>
      <c r="E29" s="932">
        <f t="shared" ref="E29:E31" si="8">(D29+F29)/2</f>
        <v>30547.659838721291</v>
      </c>
      <c r="F29" s="31">
        <f>ONSV_AUX_2013!Q3+ONSV_AUX_2013!Q9+ONSV_AUX_2013!Q10</f>
        <v>33684</v>
      </c>
      <c r="H29" s="2">
        <f t="shared" si="2"/>
        <v>7</v>
      </c>
      <c r="I29" s="1">
        <f t="shared" si="3"/>
        <v>9.575923392612859E-4</v>
      </c>
    </row>
    <row r="30" spans="1:9" ht="26.25" thickBot="1">
      <c r="A30" s="130" t="s">
        <v>37</v>
      </c>
      <c r="B30" s="32">
        <v>40118</v>
      </c>
      <c r="C30" s="149">
        <v>40594</v>
      </c>
      <c r="D30" s="151">
        <f t="shared" ref="D30:D31" si="9">C30+$I$4*I30</f>
        <v>43335.738066095473</v>
      </c>
      <c r="E30" s="932">
        <f t="shared" si="8"/>
        <v>51313.36903304774</v>
      </c>
      <c r="F30" s="31">
        <f>ONSV_AUX_2013!V3+ONSV_AUX_2013!V9+ONSV_AUX_2013!V10</f>
        <v>59291</v>
      </c>
      <c r="H30" s="2">
        <f t="shared" si="2"/>
        <v>476</v>
      </c>
      <c r="I30" s="1">
        <f t="shared" si="3"/>
        <v>6.5116279069767441E-2</v>
      </c>
    </row>
    <row r="31" spans="1:9" ht="26.25" thickBot="1">
      <c r="A31" s="131" t="s">
        <v>38</v>
      </c>
      <c r="B31" s="34">
        <v>69296</v>
      </c>
      <c r="C31" s="150">
        <v>69672</v>
      </c>
      <c r="D31" s="151">
        <f t="shared" si="9"/>
        <v>71837.742674058609</v>
      </c>
      <c r="E31" s="932">
        <f t="shared" si="8"/>
        <v>83436.371337029297</v>
      </c>
      <c r="F31" s="36">
        <f>ONSV_AUX_2013!Y3+ONSV_AUX_2013!Y9+ONSV_AUX_2013!Y10</f>
        <v>95035</v>
      </c>
      <c r="H31" s="2">
        <f t="shared" si="2"/>
        <v>376</v>
      </c>
      <c r="I31" s="1">
        <f t="shared" si="3"/>
        <v>5.1436388508891928E-2</v>
      </c>
    </row>
    <row r="32" spans="1:9" ht="25.5">
      <c r="A32" s="325" t="s">
        <v>73</v>
      </c>
      <c r="B32" s="280">
        <f>SUM(B33:B36)</f>
        <v>8571</v>
      </c>
      <c r="C32" s="280">
        <f>SUM(C33:C36)</f>
        <v>8608</v>
      </c>
      <c r="D32" s="280">
        <f>SUM(D33:D36)</f>
        <v>8821.1182950536386</v>
      </c>
      <c r="E32" s="931">
        <f>SUM(E33:E36)</f>
        <v>10830.559147526819</v>
      </c>
      <c r="F32" s="280">
        <f>SUM(F33:F36)</f>
        <v>12840</v>
      </c>
      <c r="H32" s="2"/>
      <c r="I32" s="1">
        <f t="shared" si="3"/>
        <v>0</v>
      </c>
    </row>
    <row r="33" spans="1:9" ht="26.25" thickBot="1">
      <c r="A33" s="130" t="s">
        <v>40</v>
      </c>
      <c r="B33" s="32">
        <v>389</v>
      </c>
      <c r="C33" s="149">
        <v>425</v>
      </c>
      <c r="D33" s="151">
        <f>C33+$I$4*I33</f>
        <v>632.35834113327098</v>
      </c>
      <c r="E33" s="932">
        <f t="shared" ref="E33:E35" si="10">(D33+F33)/2</f>
        <v>1272.1791705666355</v>
      </c>
      <c r="F33" s="31">
        <f>ONSV_AUX_2013!H3+ONSV_AUX_2013!H9+ONSV_AUX_2013!H10</f>
        <v>1912</v>
      </c>
      <c r="H33" s="2">
        <f t="shared" si="2"/>
        <v>36</v>
      </c>
      <c r="I33" s="1">
        <f t="shared" si="3"/>
        <v>4.9247606019151846E-3</v>
      </c>
    </row>
    <row r="34" spans="1:9" ht="15.75" thickBot="1">
      <c r="A34" s="130" t="s">
        <v>41</v>
      </c>
      <c r="B34" s="32">
        <v>498</v>
      </c>
      <c r="C34" s="149">
        <v>499</v>
      </c>
      <c r="D34" s="151">
        <f t="shared" ref="D34:D36" si="11">C34+$I$4*I34</f>
        <v>504.75995392036862</v>
      </c>
      <c r="E34" s="932">
        <f t="shared" si="10"/>
        <v>1965.8799769601842</v>
      </c>
      <c r="F34" s="31">
        <f>ONSV_AUX_2013!J3+ONSV_AUX_2013!J9+ONSV_AUX_2013!J10</f>
        <v>3427</v>
      </c>
      <c r="H34" s="2">
        <f t="shared" si="2"/>
        <v>1</v>
      </c>
      <c r="I34" s="1">
        <f t="shared" si="3"/>
        <v>1.3679890560875513E-4</v>
      </c>
    </row>
    <row r="35" spans="1:9" ht="15.75" thickBot="1">
      <c r="A35" s="130" t="s">
        <v>42</v>
      </c>
      <c r="B35" s="32">
        <v>1659</v>
      </c>
      <c r="C35" s="149">
        <v>1659</v>
      </c>
      <c r="D35" s="151">
        <f t="shared" si="11"/>
        <v>1659</v>
      </c>
      <c r="E35" s="932">
        <f t="shared" si="10"/>
        <v>1607.5</v>
      </c>
      <c r="F35" s="31">
        <f>ONSV_AUX_2013!L3+ONSV_AUX_2013!L9+ONSV_AUX_2013!L10</f>
        <v>1556</v>
      </c>
      <c r="H35" s="2">
        <f t="shared" si="2"/>
        <v>0</v>
      </c>
      <c r="I35" s="1">
        <f t="shared" si="3"/>
        <v>0</v>
      </c>
    </row>
    <row r="36" spans="1:9" ht="26.25" thickBot="1">
      <c r="A36" s="131" t="s">
        <v>43</v>
      </c>
      <c r="B36" s="34">
        <v>6025</v>
      </c>
      <c r="C36" s="150">
        <v>6025</v>
      </c>
      <c r="D36" s="151">
        <f t="shared" si="11"/>
        <v>6025</v>
      </c>
      <c r="E36" s="932">
        <f>(D36+F36)/2</f>
        <v>5985</v>
      </c>
      <c r="F36" s="36">
        <f>ONSV_AUX_2013!M3+ONSV_AUX_2013!M9+ONSV_AUX_2013!M10</f>
        <v>5945</v>
      </c>
      <c r="H36" s="2">
        <f t="shared" si="2"/>
        <v>0</v>
      </c>
      <c r="I36" s="1">
        <f t="shared" si="3"/>
        <v>0</v>
      </c>
    </row>
    <row r="37" spans="1:9">
      <c r="A37" s="1179" t="s">
        <v>412</v>
      </c>
      <c r="B37" s="1179"/>
      <c r="C37" s="1179"/>
      <c r="D37" s="1179"/>
      <c r="E37" s="1179"/>
      <c r="F37" s="1179"/>
      <c r="G37" s="1" t="s">
        <v>413</v>
      </c>
    </row>
  </sheetData>
  <mergeCells count="3">
    <mergeCell ref="A37:F37"/>
    <mergeCell ref="A1:A3"/>
    <mergeCell ref="B1:F2"/>
  </mergeCells>
  <pageMargins left="0.511811024" right="0.511811024" top="0.78740157499999996" bottom="0.78740157499999996" header="0.31496062000000002" footer="0.31496062000000002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1" tint="0.14999847407452621"/>
  </sheetPr>
  <dimension ref="A1:AY24"/>
  <sheetViews>
    <sheetView workbookViewId="0">
      <selection activeCell="D8" sqref="D8"/>
    </sheetView>
  </sheetViews>
  <sheetFormatPr defaultColWidth="8.85546875" defaultRowHeight="15"/>
  <cols>
    <col min="1" max="5" width="12.85546875" style="45" customWidth="1"/>
    <col min="6" max="6" width="9.28515625" style="1" bestFit="1" customWidth="1"/>
    <col min="7" max="51" width="8.85546875" style="1"/>
  </cols>
  <sheetData>
    <row r="1" spans="1:6" ht="15" customHeight="1">
      <c r="A1" s="1184" t="s">
        <v>414</v>
      </c>
      <c r="B1" s="1177" t="s">
        <v>415</v>
      </c>
      <c r="C1" s="1173"/>
      <c r="D1" s="1173"/>
      <c r="E1" s="1173"/>
      <c r="F1" s="1174"/>
    </row>
    <row r="2" spans="1:6" ht="15.75" thickBot="1">
      <c r="A2" s="1185"/>
      <c r="B2" s="1178"/>
      <c r="C2" s="1175"/>
      <c r="D2" s="1175"/>
      <c r="E2" s="1175"/>
      <c r="F2" s="1176"/>
    </row>
    <row r="3" spans="1:6" ht="15.75" thickBot="1">
      <c r="A3" s="1180"/>
      <c r="B3" s="307">
        <v>2009</v>
      </c>
      <c r="C3" s="323">
        <v>2010</v>
      </c>
      <c r="D3" s="307">
        <v>2011</v>
      </c>
      <c r="E3" s="323">
        <v>2012</v>
      </c>
      <c r="F3" s="470">
        <v>2013</v>
      </c>
    </row>
    <row r="4" spans="1:6" ht="15.75" thickBot="1">
      <c r="A4" s="1186" t="s">
        <v>97</v>
      </c>
      <c r="B4" s="1187"/>
      <c r="C4" s="1187"/>
      <c r="D4" s="1187"/>
      <c r="E4" s="1187"/>
      <c r="F4" s="1188"/>
    </row>
    <row r="5" spans="1:6">
      <c r="A5" s="190" t="s">
        <v>416</v>
      </c>
      <c r="B5" s="191">
        <f>SUMPRODUCT(LEV!B4:B21,LEV!L4:L21)/LEV!B22</f>
        <v>10.873910083282011</v>
      </c>
      <c r="C5" s="191">
        <f>SUMPRODUCT(LEV!D4:D21,LEV!L4:L21)/LEV!D22</f>
        <v>10.882804714239988</v>
      </c>
      <c r="D5" s="191">
        <f>SUMPRODUCT(LEV!F4:F21,LEV!L4:L21)/LEV!F22</f>
        <v>10.882804714239988</v>
      </c>
      <c r="E5" s="191">
        <f>SUMPRODUCT(LEV!H4:H21,LEV!L4:L21)/LEV!H22</f>
        <v>10.882804714239988</v>
      </c>
      <c r="F5" s="471" t="e">
        <f>SUMPRODUCT(LEV!J4:J21,LEV!L4:L21)/LEV!J22</f>
        <v>#DIV/0!</v>
      </c>
    </row>
    <row r="6" spans="1:6" ht="25.5">
      <c r="A6" s="130" t="s">
        <v>417</v>
      </c>
      <c r="B6" s="191">
        <f>SUMPRODUCT(LEV!B26:B37,LEV!L26:L37)/LEV!B38</f>
        <v>9.6704814112158743</v>
      </c>
      <c r="C6" s="191">
        <f>SUMPRODUCT(LEV!D26:D37,LEV!L26:L37)/LEV!D38</f>
        <v>9.5739924198611241</v>
      </c>
      <c r="D6" s="191">
        <f>SUMPRODUCT(LEV!F26:F37,LEV!L26:L37)/LEV!F38</f>
        <v>9.5739924198611241</v>
      </c>
      <c r="E6" s="191">
        <f>SUMPRODUCT(LEV!H26:H37,LEV!L26:L37)/LEV!H38</f>
        <v>9.5739924198611241</v>
      </c>
      <c r="F6" s="472" t="e">
        <f>SUMPRODUCT(LEV!J26:J37,LEV!L26:L37)/LEV!J38</f>
        <v>#DIV/0!</v>
      </c>
    </row>
    <row r="7" spans="1:6">
      <c r="A7" s="130" t="s">
        <v>106</v>
      </c>
      <c r="B7" s="191">
        <f>MOT!$M4</f>
        <v>40</v>
      </c>
      <c r="C7" s="191">
        <f>MOT!$M4</f>
        <v>40</v>
      </c>
      <c r="D7" s="191">
        <f>MOT!$M4</f>
        <v>40</v>
      </c>
      <c r="E7" s="191">
        <f>MOT!$M4</f>
        <v>40</v>
      </c>
      <c r="F7" s="472">
        <f>MOT!$M4</f>
        <v>40</v>
      </c>
    </row>
    <row r="8" spans="1:6">
      <c r="A8" s="130" t="s">
        <v>107</v>
      </c>
      <c r="B8" s="191">
        <f>MOT!$M5</f>
        <v>30</v>
      </c>
      <c r="C8" s="191">
        <f>MOT!$M5</f>
        <v>30</v>
      </c>
      <c r="D8" s="191">
        <f>MOT!$M5</f>
        <v>30</v>
      </c>
      <c r="E8" s="191">
        <f>MOT!$M5</f>
        <v>30</v>
      </c>
      <c r="F8" s="472">
        <f>MOT!$M5</f>
        <v>30</v>
      </c>
    </row>
    <row r="9" spans="1:6">
      <c r="A9" s="130" t="s">
        <v>108</v>
      </c>
      <c r="B9" s="191">
        <f>MOT!$M6</f>
        <v>20</v>
      </c>
      <c r="C9" s="191">
        <f>MOT!$M6</f>
        <v>20</v>
      </c>
      <c r="D9" s="191">
        <f>MOT!$M6</f>
        <v>20</v>
      </c>
      <c r="E9" s="191">
        <f>MOT!$M6</f>
        <v>20</v>
      </c>
      <c r="F9" s="472">
        <f>MOT!$M6</f>
        <v>20</v>
      </c>
    </row>
    <row r="10" spans="1:6" ht="15.75" thickBot="1">
      <c r="A10" s="130" t="s">
        <v>109</v>
      </c>
      <c r="B10" s="191">
        <f>MOT!$M7</f>
        <v>10</v>
      </c>
      <c r="C10" s="191">
        <f>MOT!$M7</f>
        <v>10</v>
      </c>
      <c r="D10" s="191">
        <f>MOT!$M7</f>
        <v>10</v>
      </c>
      <c r="E10" s="191">
        <f>MOT!$M7</f>
        <v>10</v>
      </c>
      <c r="F10" s="472">
        <f>MOT!$M7</f>
        <v>10</v>
      </c>
    </row>
    <row r="11" spans="1:6" ht="15.75" thickBot="1">
      <c r="A11" s="1186" t="s">
        <v>98</v>
      </c>
      <c r="B11" s="1187"/>
      <c r="C11" s="1187"/>
      <c r="D11" s="1187"/>
      <c r="E11" s="1187"/>
      <c r="F11" s="1188"/>
    </row>
    <row r="12" spans="1:6">
      <c r="A12" s="190" t="s">
        <v>416</v>
      </c>
      <c r="B12" s="191">
        <f>SUMPRODUCT(LEV!B67:B75,LEV!L67:L75)/LEV!B76</f>
        <v>6.9529177686967403</v>
      </c>
      <c r="C12" s="192">
        <f>SUMPRODUCT(LEV!D67:D75,LEV!L67:L75)/LEV!D76</f>
        <v>6.9832080720026219</v>
      </c>
      <c r="D12" s="193">
        <f>SUMPRODUCT(LEV!F67:F75,LEV!L67:L75)/LEV!F76</f>
        <v>6.9832080720026219</v>
      </c>
      <c r="E12" s="193">
        <f>SUMPRODUCT(LEV!H67:H75,LEV!L67:L75)/LEV!H76</f>
        <v>6.9832080720026219</v>
      </c>
      <c r="F12" s="194" t="e">
        <f>SUMPRODUCT(LEV!J67:J75,LEV!L67:L75)/LEV!J76</f>
        <v>#DIV/0!</v>
      </c>
    </row>
    <row r="13" spans="1:6" ht="26.25" thickBot="1">
      <c r="A13" s="130" t="s">
        <v>417</v>
      </c>
      <c r="B13" s="195">
        <f>SUMPRODUCT(LEV!B81:B87,LEV!L81:L87)/LEV!B88</f>
        <v>6.7155969699253779</v>
      </c>
      <c r="C13" s="196">
        <f>SUMPRODUCT(LEV!D81:D87,LEV!L81:L87)/LEV!D88</f>
        <v>6.5893194706994329</v>
      </c>
      <c r="D13" s="197">
        <f>SUMPRODUCT(LEV!F81:F87,LEV!L81:L87)/LEV!F88</f>
        <v>6.5893194706994329</v>
      </c>
      <c r="E13" s="197">
        <f>SUMPRODUCT(LEV!H81:H87,LEV!L81:L87)/LEV!H88</f>
        <v>6.5893194706994329</v>
      </c>
      <c r="F13" s="198" t="e">
        <f>SUMPRODUCT(LEV!J81:J87,LEV!L81:L87)/LEV!J88</f>
        <v>#DIV/0!</v>
      </c>
    </row>
    <row r="14" spans="1:6" ht="15.75" thickBot="1">
      <c r="A14" s="1186" t="s">
        <v>99</v>
      </c>
      <c r="B14" s="1187"/>
      <c r="C14" s="1187"/>
      <c r="D14" s="1187"/>
      <c r="E14" s="1187"/>
      <c r="F14" s="1188"/>
    </row>
    <row r="15" spans="1:6">
      <c r="A15" s="190" t="s">
        <v>416</v>
      </c>
      <c r="B15" s="191">
        <f>SUMPRODUCT(LEV!B93:B98,LEV!L93:L98)/LEV!B99</f>
        <v>10</v>
      </c>
      <c r="C15" s="192">
        <f>SUMPRODUCT(LEV!D93:D98,LEV!L93:L98)/LEV!D99</f>
        <v>10</v>
      </c>
      <c r="D15" s="193">
        <f>SUMPRODUCT(LEV!F93:F98,LEV!L93:L98)/LEV!F99</f>
        <v>10</v>
      </c>
      <c r="E15" s="193">
        <f>SUMPRODUCT(LEV!H93:H98,LEV!L93:L98)/LEV!H99</f>
        <v>10</v>
      </c>
      <c r="F15" s="194" t="e">
        <f>SUMPRODUCT(LEV!J93:J98,LEV!L93:L98)/LEV!J99</f>
        <v>#DIV/0!</v>
      </c>
    </row>
    <row r="16" spans="1:6" ht="25.5">
      <c r="A16" s="130" t="s">
        <v>417</v>
      </c>
      <c r="B16" s="195">
        <f>SUMPRODUCT(LEV!B103:B112,LEV!L103:L112)/LEV!B113</f>
        <v>9.1000000000000014</v>
      </c>
      <c r="C16" s="196">
        <f>SUMPRODUCT(LEV!D103:D112,LEV!L103:L112)/LEV!D113</f>
        <v>9.1000000000000014</v>
      </c>
      <c r="D16" s="197">
        <f>SUMPRODUCT(LEV!F103:F112,LEV!L103:L112)/LEV!F113</f>
        <v>9.1000000000000014</v>
      </c>
      <c r="E16" s="197">
        <f>SUMPRODUCT(LEV!H103:H112,LEV!L103:L112)/LEV!H113</f>
        <v>9.1000000000000014</v>
      </c>
      <c r="F16" s="198" t="e">
        <f>SUMPRODUCT(LEV!J103:J112,LEV!L103:L112)/LEV!J113</f>
        <v>#DIV/0!</v>
      </c>
    </row>
    <row r="17" spans="1:6">
      <c r="A17" s="130" t="s">
        <v>418</v>
      </c>
      <c r="B17" s="195">
        <f>CAM!$M16</f>
        <v>6.8564856955967928</v>
      </c>
      <c r="C17" s="195">
        <f>CAM!$M16</f>
        <v>6.8564856955967928</v>
      </c>
      <c r="D17" s="195">
        <f>CAM!$M16</f>
        <v>6.8564856955967928</v>
      </c>
      <c r="E17" s="195">
        <f>CAM!$M16</f>
        <v>6.8564856955967928</v>
      </c>
      <c r="F17" s="473">
        <f>CAM!$M16</f>
        <v>6.8564856955967928</v>
      </c>
    </row>
    <row r="18" spans="1:6" ht="25.5">
      <c r="A18" s="130" t="s">
        <v>419</v>
      </c>
      <c r="B18" s="195">
        <f>CAM!$M17</f>
        <v>5.6090714932482975</v>
      </c>
      <c r="C18" s="195">
        <f>CAM!$M17</f>
        <v>5.6090714932482975</v>
      </c>
      <c r="D18" s="195">
        <f>CAM!$M17</f>
        <v>5.6090714932482975</v>
      </c>
      <c r="E18" s="195">
        <f>CAM!$M17</f>
        <v>5.6090714932482975</v>
      </c>
      <c r="F18" s="473">
        <f>CAM!$M17</f>
        <v>5.6090714932482975</v>
      </c>
    </row>
    <row r="19" spans="1:6" ht="25.5">
      <c r="A19" s="130" t="s">
        <v>420</v>
      </c>
      <c r="B19" s="195">
        <f>CAM!$M18</f>
        <v>3.1488447684000027</v>
      </c>
      <c r="C19" s="195">
        <f>CAM!$M18</f>
        <v>3.1488447684000027</v>
      </c>
      <c r="D19" s="195">
        <f>CAM!$M18</f>
        <v>3.1488447684000027</v>
      </c>
      <c r="E19" s="195">
        <f>CAM!$M18</f>
        <v>3.1488447684000027</v>
      </c>
      <c r="F19" s="473">
        <f>CAM!$M18</f>
        <v>3.1488447684000027</v>
      </c>
    </row>
    <row r="20" spans="1:6">
      <c r="A20" s="130" t="s">
        <v>421</v>
      </c>
      <c r="B20" s="195">
        <f>ONI!$M18</f>
        <v>4.7</v>
      </c>
      <c r="C20" s="195">
        <f>ONI!$M18</f>
        <v>4.7</v>
      </c>
      <c r="D20" s="195">
        <f>ONI!$M18</f>
        <v>4.7</v>
      </c>
      <c r="E20" s="195">
        <f>ONI!$M18</f>
        <v>4.7</v>
      </c>
      <c r="F20" s="473">
        <f>ONI!$M18</f>
        <v>4.7</v>
      </c>
    </row>
    <row r="21" spans="1:6" ht="25.5">
      <c r="A21" s="130" t="s">
        <v>422</v>
      </c>
      <c r="B21" s="195">
        <f>ONI!$M19</f>
        <v>3</v>
      </c>
      <c r="C21" s="195">
        <f>ONI!$M19</f>
        <v>3</v>
      </c>
      <c r="D21" s="195">
        <f>ONI!$M19</f>
        <v>3</v>
      </c>
      <c r="E21" s="195">
        <f>ONI!$M19</f>
        <v>3</v>
      </c>
      <c r="F21" s="473">
        <f>ONI!$M19</f>
        <v>3</v>
      </c>
    </row>
    <row r="22" spans="1:6" ht="15.75" thickBot="1">
      <c r="A22" s="130" t="s">
        <v>423</v>
      </c>
      <c r="B22" s="195">
        <f>ONI!$M20</f>
        <v>2.3569174140963063</v>
      </c>
      <c r="C22" s="195">
        <f>ONI!$M20</f>
        <v>2.3569174140963063</v>
      </c>
      <c r="D22" s="195">
        <f>ONI!$M20</f>
        <v>2.3569174140963063</v>
      </c>
      <c r="E22" s="195">
        <f>ONI!$M20</f>
        <v>2.3569174140963063</v>
      </c>
      <c r="F22" s="473">
        <f>ONI!$M20</f>
        <v>2.3569174140963063</v>
      </c>
    </row>
    <row r="23" spans="1:6" ht="15.75" thickBot="1">
      <c r="A23" s="1186" t="s">
        <v>100</v>
      </c>
      <c r="B23" s="1187"/>
      <c r="C23" s="1187"/>
      <c r="D23" s="1187"/>
      <c r="E23" s="1187"/>
      <c r="F23" s="1188"/>
    </row>
    <row r="24" spans="1:6" ht="15.75" thickBot="1">
      <c r="A24" s="190" t="s">
        <v>416</v>
      </c>
      <c r="B24" s="474">
        <v>13.8</v>
      </c>
      <c r="C24" s="474">
        <v>13.8</v>
      </c>
      <c r="D24" s="474">
        <v>13.8</v>
      </c>
      <c r="E24" s="474">
        <v>13.8</v>
      </c>
      <c r="F24" s="475">
        <v>13.8</v>
      </c>
    </row>
  </sheetData>
  <mergeCells count="6">
    <mergeCell ref="A1:A3"/>
    <mergeCell ref="A23:F23"/>
    <mergeCell ref="A14:F14"/>
    <mergeCell ref="A11:F11"/>
    <mergeCell ref="A4:F4"/>
    <mergeCell ref="B1:F2"/>
  </mergeCells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theme="9" tint="-0.249977111117893"/>
  </sheetPr>
  <dimension ref="A1:AY210"/>
  <sheetViews>
    <sheetView topLeftCell="A163" zoomScale="90" zoomScaleNormal="90" zoomScalePageLayoutView="90" workbookViewId="0">
      <pane xSplit="1" topLeftCell="B114" activePane="topRight" state="frozen"/>
      <selection pane="topRight" activeCell="B204" sqref="B204"/>
      <selection activeCell="A37" sqref="A37"/>
    </sheetView>
  </sheetViews>
  <sheetFormatPr defaultColWidth="8.85546875" defaultRowHeight="15"/>
  <cols>
    <col min="1" max="1" width="17.42578125" customWidth="1"/>
    <col min="2" max="2" width="15.28515625" style="272" bestFit="1" customWidth="1"/>
    <col min="3" max="3" width="10.140625" style="272" customWidth="1"/>
    <col min="4" max="4" width="8.85546875" style="272"/>
    <col min="5" max="6" width="11.85546875" style="272" customWidth="1"/>
    <col min="7" max="7" width="8.85546875" style="272"/>
    <col min="8" max="8" width="12.42578125" style="272" customWidth="1"/>
    <col min="9" max="9" width="10.42578125" style="272" customWidth="1"/>
    <col min="10" max="10" width="11.28515625" style="272" customWidth="1"/>
    <col min="11" max="11" width="12" style="272" customWidth="1"/>
    <col min="12" max="12" width="10.7109375" style="272" bestFit="1" customWidth="1"/>
    <col min="13" max="13" width="11.140625" style="272" bestFit="1" customWidth="1"/>
    <col min="14" max="14" width="10.7109375" style="272" customWidth="1"/>
    <col min="15" max="15" width="8.85546875" style="272"/>
    <col min="16" max="16" width="11.7109375" style="272" customWidth="1"/>
    <col min="17" max="17" width="14.42578125" style="272" bestFit="1" customWidth="1"/>
    <col min="18" max="18" width="10.42578125" style="272" bestFit="1" customWidth="1"/>
    <col min="19" max="19" width="8.85546875" style="1"/>
    <col min="20" max="21" width="10.140625" style="1" bestFit="1" customWidth="1"/>
    <col min="22" max="23" width="8.85546875" style="1"/>
    <col min="24" max="25" width="10.140625" style="1" bestFit="1" customWidth="1"/>
    <col min="26" max="27" width="8.85546875" style="1"/>
    <col min="28" max="31" width="8.85546875" style="562"/>
    <col min="32" max="32" width="13.42578125" style="772" bestFit="1" customWidth="1"/>
    <col min="33" max="33" width="9.42578125" style="780" bestFit="1" customWidth="1"/>
    <col min="34" max="34" width="8.85546875" style="3"/>
    <col min="35" max="35" width="8.85546875" style="1"/>
    <col min="36" max="36" width="12" style="780" bestFit="1" customWidth="1"/>
    <col min="37" max="37" width="17.7109375" style="780" bestFit="1" customWidth="1"/>
    <col min="38" max="39" width="8.85546875" style="1"/>
    <col min="40" max="40" width="22" style="1" bestFit="1" customWidth="1"/>
    <col min="41" max="51" width="8.85546875" style="1"/>
  </cols>
  <sheetData>
    <row r="1" spans="1:45" ht="15.75" customHeight="1" thickBot="1">
      <c r="A1" s="1051" t="s">
        <v>424</v>
      </c>
      <c r="B1" s="1054">
        <v>2004</v>
      </c>
      <c r="C1" s="1055"/>
      <c r="D1" s="1055"/>
      <c r="E1" s="1055"/>
      <c r="F1" s="1055"/>
      <c r="G1" s="1055"/>
      <c r="H1" s="1055"/>
      <c r="I1" s="1055"/>
      <c r="J1" s="1055"/>
      <c r="K1" s="1055"/>
      <c r="L1" s="1055"/>
      <c r="M1" s="1055"/>
      <c r="N1" s="1055"/>
      <c r="O1" s="1055"/>
      <c r="P1" s="1055"/>
      <c r="Q1" s="1055"/>
      <c r="R1" s="1078"/>
    </row>
    <row r="2" spans="1:45">
      <c r="A2" s="1052"/>
      <c r="B2" s="1060" t="s">
        <v>97</v>
      </c>
      <c r="C2" s="1061"/>
      <c r="D2" s="1061"/>
      <c r="E2" s="1061"/>
      <c r="F2" s="1061"/>
      <c r="G2" s="1061"/>
      <c r="H2" s="1061" t="s">
        <v>98</v>
      </c>
      <c r="I2" s="1061"/>
      <c r="J2" s="1061" t="s">
        <v>99</v>
      </c>
      <c r="K2" s="1061"/>
      <c r="L2" s="1061"/>
      <c r="M2" s="1061"/>
      <c r="N2" s="1061"/>
      <c r="O2" s="1061"/>
      <c r="P2" s="1061"/>
      <c r="Q2" s="1061"/>
      <c r="R2" s="289" t="s">
        <v>100</v>
      </c>
      <c r="AN2" s="1" t="s">
        <v>370</v>
      </c>
    </row>
    <row r="3" spans="1:45" ht="15.75" thickBot="1">
      <c r="A3" s="1052"/>
      <c r="B3" s="1062" t="s">
        <v>101</v>
      </c>
      <c r="C3" s="1064" t="s">
        <v>102</v>
      </c>
      <c r="D3" s="1064" t="s">
        <v>103</v>
      </c>
      <c r="E3" s="1064"/>
      <c r="F3" s="1064"/>
      <c r="G3" s="1064"/>
      <c r="H3" s="1062" t="s">
        <v>101</v>
      </c>
      <c r="I3" s="1064" t="s">
        <v>102</v>
      </c>
      <c r="J3" s="1064" t="s">
        <v>104</v>
      </c>
      <c r="K3" s="1064"/>
      <c r="L3" s="1064"/>
      <c r="M3" s="1064" t="s">
        <v>105</v>
      </c>
      <c r="N3" s="1064"/>
      <c r="O3" s="1064"/>
      <c r="P3" s="1062" t="s">
        <v>101</v>
      </c>
      <c r="Q3" s="1064" t="s">
        <v>102</v>
      </c>
      <c r="R3" s="1062" t="s">
        <v>101</v>
      </c>
      <c r="T3" s="1189" t="s">
        <v>425</v>
      </c>
      <c r="U3" s="1189"/>
      <c r="V3" s="1189"/>
      <c r="W3" s="1189"/>
      <c r="X3" s="1189" t="s">
        <v>426</v>
      </c>
      <c r="Y3" s="1189"/>
      <c r="Z3" s="1189"/>
      <c r="AA3" s="1189"/>
      <c r="AB3" s="1190" t="s">
        <v>427</v>
      </c>
      <c r="AC3" s="1190"/>
      <c r="AD3" s="1190"/>
      <c r="AE3" s="1190"/>
      <c r="AN3" s="1" t="s">
        <v>326</v>
      </c>
      <c r="AO3" s="1" t="s">
        <v>240</v>
      </c>
      <c r="AP3" s="1" t="s">
        <v>240</v>
      </c>
      <c r="AQ3" s="1" t="s">
        <v>240</v>
      </c>
      <c r="AR3" s="1" t="s">
        <v>240</v>
      </c>
      <c r="AS3" s="1" t="s">
        <v>240</v>
      </c>
    </row>
    <row r="4" spans="1:45" ht="15.75" thickBot="1">
      <c r="A4" s="1053"/>
      <c r="B4" s="1063"/>
      <c r="C4" s="1065"/>
      <c r="D4" s="290" t="s">
        <v>106</v>
      </c>
      <c r="E4" s="290" t="s">
        <v>107</v>
      </c>
      <c r="F4" s="290" t="s">
        <v>108</v>
      </c>
      <c r="G4" s="290" t="s">
        <v>109</v>
      </c>
      <c r="H4" s="1063"/>
      <c r="I4" s="1065"/>
      <c r="J4" s="290" t="s">
        <v>110</v>
      </c>
      <c r="K4" s="290" t="s">
        <v>111</v>
      </c>
      <c r="L4" s="290" t="s">
        <v>112</v>
      </c>
      <c r="M4" s="290" t="s">
        <v>113</v>
      </c>
      <c r="N4" s="290" t="s">
        <v>114</v>
      </c>
      <c r="O4" s="290" t="s">
        <v>115</v>
      </c>
      <c r="P4" s="1063"/>
      <c r="Q4" s="1065"/>
      <c r="R4" s="1063"/>
      <c r="T4" s="1" t="s">
        <v>428</v>
      </c>
      <c r="U4" s="1" t="s">
        <v>429</v>
      </c>
      <c r="V4" s="1" t="s">
        <v>293</v>
      </c>
      <c r="W4" s="1" t="s">
        <v>296</v>
      </c>
      <c r="X4" s="1" t="s">
        <v>428</v>
      </c>
      <c r="Y4" s="1" t="s">
        <v>429</v>
      </c>
      <c r="Z4" s="1" t="s">
        <v>293</v>
      </c>
      <c r="AA4" s="1" t="s">
        <v>296</v>
      </c>
      <c r="AB4" s="562" t="s">
        <v>428</v>
      </c>
      <c r="AC4" s="562" t="s">
        <v>429</v>
      </c>
      <c r="AD4" s="562" t="s">
        <v>293</v>
      </c>
      <c r="AE4" s="562" t="s">
        <v>296</v>
      </c>
      <c r="AF4" s="773" t="s">
        <v>430</v>
      </c>
      <c r="AG4" s="54" t="s">
        <v>431</v>
      </c>
      <c r="AN4" s="1" t="s">
        <v>371</v>
      </c>
      <c r="AO4" s="1">
        <v>0.75254660585955735</v>
      </c>
      <c r="AP4" s="1">
        <v>0.72074059372710753</v>
      </c>
      <c r="AQ4" s="1">
        <v>0.67327364269293122</v>
      </c>
      <c r="AR4" s="1">
        <v>0.61610413666866481</v>
      </c>
      <c r="AS4" s="1">
        <v>0.55841674615396064</v>
      </c>
    </row>
    <row r="5" spans="1:45" ht="15.75" thickBot="1">
      <c r="A5" s="164" t="s">
        <v>11</v>
      </c>
      <c r="B5" s="291">
        <f>B6+B14+B24+B29+B33</f>
        <v>22219721.45656294</v>
      </c>
      <c r="C5" s="291">
        <f t="shared" ref="C5:R5" si="0">C6+C14+C24+C29+C33</f>
        <v>3010433.1205483554</v>
      </c>
      <c r="D5" s="291">
        <f t="shared" si="0"/>
        <v>2064240</v>
      </c>
      <c r="E5" s="291">
        <f t="shared" si="0"/>
        <v>11177554.03955172</v>
      </c>
      <c r="F5" s="291">
        <f t="shared" si="0"/>
        <v>360143.17997586826</v>
      </c>
      <c r="G5" s="291">
        <f t="shared" si="0"/>
        <v>159942.7804724125</v>
      </c>
      <c r="H5" s="291">
        <f t="shared" si="0"/>
        <v>9232222.8999438491</v>
      </c>
      <c r="I5" s="291">
        <f t="shared" si="0"/>
        <v>1054112.6801824092</v>
      </c>
      <c r="J5" s="291">
        <f t="shared" si="0"/>
        <v>1207235.3388579909</v>
      </c>
      <c r="K5" s="291">
        <f t="shared" si="0"/>
        <v>769035.66114200919</v>
      </c>
      <c r="L5" s="291">
        <f t="shared" si="0"/>
        <v>351223</v>
      </c>
      <c r="M5" s="291">
        <f t="shared" si="0"/>
        <v>240590</v>
      </c>
      <c r="N5" s="291">
        <f t="shared" si="0"/>
        <v>335007.80505115283</v>
      </c>
      <c r="O5" s="291">
        <f t="shared" si="0"/>
        <v>76457.194948847173</v>
      </c>
      <c r="P5" s="291">
        <f t="shared" si="0"/>
        <v>40197.04437643339</v>
      </c>
      <c r="Q5" s="291">
        <f t="shared" si="0"/>
        <v>1481271.619373556</v>
      </c>
      <c r="R5" s="291">
        <f t="shared" si="0"/>
        <v>1618643</v>
      </c>
      <c r="T5" s="2">
        <f>B5+C5+H5+I5+P5+Q5+R5</f>
        <v>38656601.820987545</v>
      </c>
      <c r="U5" s="2">
        <f>D5+E5+F5+G5</f>
        <v>13761880.000000002</v>
      </c>
      <c r="V5" s="2">
        <f>J5+K5+L5</f>
        <v>2327494</v>
      </c>
      <c r="W5" s="2">
        <f>M5+N5+O5</f>
        <v>652055</v>
      </c>
      <c r="X5" s="2">
        <f>DEN!C3+DEN!F3+DEN!G3+DEN!L3</f>
        <v>38684062</v>
      </c>
      <c r="Y5" s="2">
        <f>DEN!I3+DEN!J3</f>
        <v>13761880</v>
      </c>
      <c r="Z5" s="2">
        <f>DEN!D3+DEN!E3</f>
        <v>2327494</v>
      </c>
      <c r="AA5" s="2">
        <f>DEN!H3+DEN!K3</f>
        <v>652055</v>
      </c>
      <c r="AB5" s="562" t="str">
        <f>IF(T5=X5,"OK","ERRO")</f>
        <v>ERRO</v>
      </c>
      <c r="AC5" s="562" t="str">
        <f t="shared" ref="AC5:AC37" si="1">IF(U5=Y5,"OK","ERRO")</f>
        <v>OK</v>
      </c>
      <c r="AD5" s="562" t="str">
        <f t="shared" ref="AD5:AD37" si="2">IF(V5=Z5,"OK","ERRO")</f>
        <v>OK</v>
      </c>
      <c r="AE5" s="562" t="str">
        <f t="shared" ref="AE5:AE37" si="3">IF(W5=AA5,"OK","ERRO")</f>
        <v>OK</v>
      </c>
      <c r="AF5" s="774">
        <f>COMB_CORR!G3/FRO_TOT!T5</f>
        <v>426.44721013862943</v>
      </c>
      <c r="AG5" s="778"/>
      <c r="AJ5" s="719"/>
      <c r="AN5" s="1" t="s">
        <v>372</v>
      </c>
      <c r="AO5" s="1">
        <v>8.6845497017608811E-2</v>
      </c>
      <c r="AP5" s="1">
        <v>8.3926963627034307E-2</v>
      </c>
      <c r="AQ5" s="1">
        <v>7.9220393425304958E-2</v>
      </c>
      <c r="AR5" s="1">
        <v>7.3856849531284144E-2</v>
      </c>
      <c r="AS5" s="1">
        <v>7.0980068039645336E-2</v>
      </c>
    </row>
    <row r="6" spans="1:45">
      <c r="A6" s="269" t="s">
        <v>46</v>
      </c>
      <c r="B6" s="291">
        <f t="shared" ref="B6:R6" si="4">SUM(B7:B13)</f>
        <v>740480.63942832686</v>
      </c>
      <c r="C6" s="291">
        <f t="shared" si="4"/>
        <v>119550.32496953331</v>
      </c>
      <c r="D6" s="291">
        <f t="shared" si="4"/>
        <v>220956</v>
      </c>
      <c r="E6" s="291">
        <f t="shared" si="4"/>
        <v>759713.45603323216</v>
      </c>
      <c r="F6" s="291">
        <f t="shared" si="4"/>
        <v>24478.672292024403</v>
      </c>
      <c r="G6" s="291">
        <f t="shared" si="4"/>
        <v>10870.871674743477</v>
      </c>
      <c r="H6" s="291">
        <f t="shared" si="4"/>
        <v>121209.86822803694</v>
      </c>
      <c r="I6" s="291">
        <f t="shared" si="4"/>
        <v>19634.90769296162</v>
      </c>
      <c r="J6" s="291">
        <f t="shared" si="4"/>
        <v>60056.446623910975</v>
      </c>
      <c r="K6" s="291">
        <f t="shared" si="4"/>
        <v>38256.553376089018</v>
      </c>
      <c r="L6" s="291">
        <f t="shared" si="4"/>
        <v>12203</v>
      </c>
      <c r="M6" s="291">
        <f t="shared" si="4"/>
        <v>9008</v>
      </c>
      <c r="N6" s="291">
        <f t="shared" si="4"/>
        <v>17544.661325409154</v>
      </c>
      <c r="O6" s="291">
        <f t="shared" si="4"/>
        <v>4003.338674590846</v>
      </c>
      <c r="P6" s="291">
        <f t="shared" si="4"/>
        <v>2691.506323988775</v>
      </c>
      <c r="Q6" s="291">
        <f t="shared" si="4"/>
        <v>127623.46820797569</v>
      </c>
      <c r="R6" s="291">
        <f t="shared" si="4"/>
        <v>164</v>
      </c>
      <c r="T6" s="2">
        <f t="shared" ref="T6:T37" si="5">B6+C6+H6+I6+P6+Q6+R6</f>
        <v>1131354.7148508232</v>
      </c>
      <c r="U6" s="2">
        <f t="shared" ref="U6:U37" si="6">D6+E6+F6+G6</f>
        <v>1016019</v>
      </c>
      <c r="V6" s="2">
        <f t="shared" ref="V6:V37" si="7">J6+K6+L6</f>
        <v>110516</v>
      </c>
      <c r="W6" s="2">
        <f t="shared" ref="W6:W37" si="8">M6+N6+O6</f>
        <v>30556</v>
      </c>
      <c r="X6" s="2">
        <f>DEN!C4+DEN!F4+DEN!G4+DEN!L4</f>
        <v>1130245</v>
      </c>
      <c r="Y6" s="2">
        <f>DEN!I4+DEN!J4</f>
        <v>1016019</v>
      </c>
      <c r="Z6" s="2">
        <f>DEN!D4+DEN!E4</f>
        <v>110516</v>
      </c>
      <c r="AA6" s="2">
        <f>DEN!H4+DEN!K4</f>
        <v>30556</v>
      </c>
      <c r="AB6" s="562" t="str">
        <f t="shared" ref="AB6:AB37" si="9">IF(T6=X6,"OK","ERRO")</f>
        <v>ERRO</v>
      </c>
      <c r="AC6" s="562" t="str">
        <f t="shared" si="1"/>
        <v>OK</v>
      </c>
      <c r="AD6" s="562" t="str">
        <f t="shared" si="2"/>
        <v>OK</v>
      </c>
      <c r="AE6" s="562" t="str">
        <f t="shared" si="3"/>
        <v>OK</v>
      </c>
      <c r="AF6" s="774"/>
      <c r="AG6" s="778"/>
      <c r="AJ6" s="776" t="s">
        <v>432</v>
      </c>
      <c r="AK6" s="777" t="s">
        <v>433</v>
      </c>
      <c r="AN6" s="1" t="s">
        <v>373</v>
      </c>
      <c r="AO6" s="1">
        <v>1.6478161819120537E-2</v>
      </c>
      <c r="AP6" s="1">
        <v>5.261892237572597E-2</v>
      </c>
      <c r="AQ6" s="1">
        <v>0.10608590469360742</v>
      </c>
      <c r="AR6" s="1">
        <v>0.16901871955000375</v>
      </c>
      <c r="AS6" s="1">
        <v>0.22980993693075244</v>
      </c>
    </row>
    <row r="7" spans="1:45">
      <c r="A7" s="127" t="s">
        <v>13</v>
      </c>
      <c r="B7" s="291">
        <f>DIST_GAS_LEV!E13-AK7</f>
        <v>36383.389178644124</v>
      </c>
      <c r="C7" s="291">
        <f>DIST_GAS_LEV!Z13</f>
        <v>5489.8271472655015</v>
      </c>
      <c r="D7" s="291">
        <f>DIST_GAS_MOT!B14</f>
        <v>10088</v>
      </c>
      <c r="E7" s="291">
        <f>DIST_GAS_MOT!C14</f>
        <v>43245.515020845742</v>
      </c>
      <c r="F7" s="291">
        <f>DIST_GAS_MOT!D14</f>
        <v>1393.5905896366885</v>
      </c>
      <c r="G7" s="291">
        <f>DIST_GAS_MOT!E14</f>
        <v>618.89438951756995</v>
      </c>
      <c r="H7" s="291">
        <f>DIST_ALC_LEV!D13</f>
        <v>5514.3319265375021</v>
      </c>
      <c r="I7" s="291">
        <f>DIST_ALC_LEV!U13</f>
        <v>823.9254339805583</v>
      </c>
      <c r="J7" s="291">
        <f>DIST_DSL_CAM!B20</f>
        <v>2759.9775134430506</v>
      </c>
      <c r="K7" s="291">
        <f>DIST_DSL_CAM!C20</f>
        <v>1758.0224865569496</v>
      </c>
      <c r="L7" s="291">
        <f>DIST_DSL_CAM!D20</f>
        <v>350</v>
      </c>
      <c r="M7" s="291">
        <f>DIST_DSL_ONI!B20</f>
        <v>147</v>
      </c>
      <c r="N7" s="291">
        <f>DIST_DSL_ONI!C20</f>
        <v>415.20446096654274</v>
      </c>
      <c r="O7" s="291">
        <f>DIST_DSL_ONI!D20</f>
        <v>94.795539033457246</v>
      </c>
      <c r="P7" s="291">
        <f>DIST_DSL_LEV!B13</f>
        <v>184.19392574934886</v>
      </c>
      <c r="Q7" s="291">
        <f>DIST_DSL_LEV!C13</f>
        <v>8347.7842250690774</v>
      </c>
      <c r="R7" s="291">
        <f>GNV!B6</f>
        <v>0</v>
      </c>
      <c r="T7" s="2">
        <f t="shared" si="5"/>
        <v>56743.451837246117</v>
      </c>
      <c r="U7" s="2">
        <f t="shared" si="6"/>
        <v>55346</v>
      </c>
      <c r="V7" s="2">
        <f t="shared" si="7"/>
        <v>4868</v>
      </c>
      <c r="W7" s="2">
        <f t="shared" si="8"/>
        <v>656.99999999999989</v>
      </c>
      <c r="X7" s="2">
        <f>DEN!C5+DEN!F5+DEN!G5+DEN!L5</f>
        <v>56660</v>
      </c>
      <c r="Y7" s="2">
        <f>DEN!I5+DEN!J5</f>
        <v>55346</v>
      </c>
      <c r="Z7" s="2">
        <f>DEN!D5+DEN!E5</f>
        <v>4868</v>
      </c>
      <c r="AA7" s="2">
        <f>DEN!H5+DEN!K5</f>
        <v>657</v>
      </c>
      <c r="AB7" s="562" t="str">
        <f t="shared" si="9"/>
        <v>ERRO</v>
      </c>
      <c r="AC7" s="562" t="str">
        <f t="shared" si="1"/>
        <v>OK</v>
      </c>
      <c r="AD7" s="562" t="str">
        <f t="shared" si="2"/>
        <v>OK</v>
      </c>
      <c r="AE7" s="562" t="str">
        <f t="shared" si="3"/>
        <v>OK</v>
      </c>
      <c r="AF7" s="774">
        <f>COMB_CORR!G5/FRO_TOT!X7</f>
        <v>211.12255117510804</v>
      </c>
      <c r="AG7" s="781">
        <f>AF7/$AF$5</f>
        <v>0.49507312078903348</v>
      </c>
      <c r="AH7" s="3">
        <v>0.48253706120102802</v>
      </c>
      <c r="AI7" s="757"/>
      <c r="AJ7" s="742">
        <f t="shared" ref="AJ7:AJ69" si="10">T7-X7</f>
        <v>83.451837246117066</v>
      </c>
      <c r="AK7" s="783">
        <v>-1256.4381805788871</v>
      </c>
      <c r="AL7" s="726">
        <f>AJ7/AK7</f>
        <v>-6.6419373858622913E-2</v>
      </c>
      <c r="AN7" s="1" t="s">
        <v>374</v>
      </c>
      <c r="AO7" s="1">
        <v>3.1294862835282043E-3</v>
      </c>
      <c r="AP7" s="1">
        <v>7.275668849281265E-3</v>
      </c>
      <c r="AQ7" s="1">
        <v>1.3154339474265274E-2</v>
      </c>
      <c r="AR7" s="1">
        <v>2.0871017360612022E-2</v>
      </c>
      <c r="AS7" s="1">
        <v>2.855135555007161E-2</v>
      </c>
    </row>
    <row r="8" spans="1:45">
      <c r="A8" s="127" t="s">
        <v>14</v>
      </c>
      <c r="B8" s="291">
        <f>DIST_GAS_LEV!E14-AK8</f>
        <v>39977.776260744031</v>
      </c>
      <c r="C8" s="291">
        <f>DIST_GAS_LEV!Z14</f>
        <v>6874.2840401362973</v>
      </c>
      <c r="D8" s="291">
        <f>DIST_GAS_MOT!B15</f>
        <v>5518</v>
      </c>
      <c r="E8" s="291">
        <f>DIST_GAS_MOT!C15</f>
        <v>25918.051554910617</v>
      </c>
      <c r="F8" s="291">
        <f>DIST_GAS_MOT!D15</f>
        <v>835.30789850252938</v>
      </c>
      <c r="G8" s="291">
        <f>DIST_GAS_MOT!E15</f>
        <v>370.64054658685529</v>
      </c>
      <c r="H8" s="291">
        <f>DIST_ALC_LEV!D14</f>
        <v>2809.4755780298451</v>
      </c>
      <c r="I8" s="291">
        <f>DIST_ALC_LEV!U14</f>
        <v>476.1074547967537</v>
      </c>
      <c r="J8" s="291">
        <f>DIST_DSL_CAM!B21</f>
        <v>1755.7883959044368</v>
      </c>
      <c r="K8" s="291">
        <f>DIST_DSL_CAM!C21</f>
        <v>1118.2116040955632</v>
      </c>
      <c r="L8" s="291">
        <f>DIST_DSL_CAM!D21</f>
        <v>184</v>
      </c>
      <c r="M8" s="291">
        <f>DIST_DSL_ONI!B21</f>
        <v>267</v>
      </c>
      <c r="N8" s="291">
        <f>DIST_DSL_ONI!C21</f>
        <v>430.11864406779659</v>
      </c>
      <c r="O8" s="291">
        <f>DIST_DSL_ONI!D21</f>
        <v>97.881355932203391</v>
      </c>
      <c r="P8" s="291">
        <f>DIST_DSL_LEV!B14</f>
        <v>103.02295457549457</v>
      </c>
      <c r="Q8" s="291">
        <f>DIST_DSL_LEV!C14</f>
        <v>5223.8007380073805</v>
      </c>
      <c r="R8" s="291">
        <f>GNV!B7</f>
        <v>0</v>
      </c>
      <c r="T8" s="2">
        <f t="shared" si="5"/>
        <v>55464.4670262898</v>
      </c>
      <c r="U8" s="2">
        <f t="shared" si="6"/>
        <v>32642</v>
      </c>
      <c r="V8" s="2">
        <f t="shared" si="7"/>
        <v>3058</v>
      </c>
      <c r="W8" s="2">
        <f t="shared" si="8"/>
        <v>795</v>
      </c>
      <c r="X8" s="2">
        <f>DEN!C6+DEN!F6+DEN!G6+DEN!L6</f>
        <v>55424</v>
      </c>
      <c r="Y8" s="2">
        <f>DEN!I6+DEN!J6</f>
        <v>32642</v>
      </c>
      <c r="Z8" s="2">
        <f>DEN!D6+DEN!E6</f>
        <v>3058</v>
      </c>
      <c r="AA8" s="2">
        <f>DEN!H6+DEN!K6</f>
        <v>795</v>
      </c>
      <c r="AB8" s="562" t="str">
        <f t="shared" si="9"/>
        <v>ERRO</v>
      </c>
      <c r="AC8" s="562" t="str">
        <f t="shared" si="1"/>
        <v>OK</v>
      </c>
      <c r="AD8" s="562" t="str">
        <f t="shared" si="2"/>
        <v>OK</v>
      </c>
      <c r="AE8" s="562" t="str">
        <f t="shared" si="3"/>
        <v>OK</v>
      </c>
      <c r="AF8" s="774">
        <f>COMB_CORR!G6/FRO_TOT!X8</f>
        <v>149.83004792011826</v>
      </c>
      <c r="AG8" s="781">
        <f t="shared" ref="AG8:AG36" si="11">AF8/$AF$5</f>
        <v>0.35134488949150711</v>
      </c>
      <c r="AH8" s="3">
        <v>0.34322554753380113</v>
      </c>
      <c r="AI8" s="757"/>
      <c r="AJ8" s="742">
        <f t="shared" si="10"/>
        <v>40.467026289799833</v>
      </c>
      <c r="AK8" s="783">
        <v>-645.61277871336642</v>
      </c>
      <c r="AN8" s="1" t="s">
        <v>375</v>
      </c>
      <c r="AO8" s="1">
        <v>8.8597882953959817E-2</v>
      </c>
      <c r="AP8" s="1">
        <v>8.2795693719685162E-2</v>
      </c>
      <c r="AQ8" s="1">
        <v>7.5763290275832243E-2</v>
      </c>
      <c r="AR8" s="1">
        <v>6.8170363845928186E-2</v>
      </c>
      <c r="AS8" s="1">
        <v>6.0979558011574786E-2</v>
      </c>
    </row>
    <row r="9" spans="1:45">
      <c r="A9" s="127" t="s">
        <v>15</v>
      </c>
      <c r="B9" s="291">
        <f>DIST_GAS_LEV!E15-AK9</f>
        <v>201209.47573445342</v>
      </c>
      <c r="C9" s="291">
        <f>DIST_GAS_LEV!Z15</f>
        <v>36472.939184123723</v>
      </c>
      <c r="D9" s="291">
        <f>DIST_GAS_MOT!B16</f>
        <v>23859</v>
      </c>
      <c r="E9" s="291">
        <f>DIST_GAS_MOT!C16</f>
        <v>93352.13188646792</v>
      </c>
      <c r="F9" s="291">
        <f>DIST_GAS_MOT!D16</f>
        <v>3007.9374624997859</v>
      </c>
      <c r="G9" s="291">
        <f>DIST_GAS_MOT!E16</f>
        <v>1335.9306510322917</v>
      </c>
      <c r="H9" s="291">
        <f>DIST_ALC_LEV!D15</f>
        <v>26258.00812079135</v>
      </c>
      <c r="I9" s="291">
        <f>DIST_ALC_LEV!U15</f>
        <v>4573.1030412877317</v>
      </c>
      <c r="J9" s="291">
        <f>DIST_DSL_CAM!B22</f>
        <v>9023.4641521703779</v>
      </c>
      <c r="K9" s="291">
        <f>DIST_DSL_CAM!C22</f>
        <v>5748.5358478296212</v>
      </c>
      <c r="L9" s="291">
        <f>DIST_DSL_CAM!D22</f>
        <v>1872</v>
      </c>
      <c r="M9" s="291">
        <f>DIST_DSL_ONI!B22</f>
        <v>2258</v>
      </c>
      <c r="N9" s="291">
        <f>DIST_DSL_ONI!C22</f>
        <v>4665.5308612151221</v>
      </c>
      <c r="O9" s="291">
        <f>DIST_DSL_ONI!D22</f>
        <v>1064.4691387848773</v>
      </c>
      <c r="P9" s="291">
        <f>DIST_DSL_LEV!B15</f>
        <v>403.33759908125307</v>
      </c>
      <c r="Q9" s="291">
        <f>DIST_DSL_LEV!C15</f>
        <v>21500.303510223381</v>
      </c>
      <c r="R9" s="291">
        <f>GNV!B8</f>
        <v>164</v>
      </c>
      <c r="T9" s="2">
        <f t="shared" si="5"/>
        <v>290581.16718996089</v>
      </c>
      <c r="U9" s="2">
        <f t="shared" si="6"/>
        <v>121555</v>
      </c>
      <c r="V9" s="2">
        <f t="shared" si="7"/>
        <v>16644</v>
      </c>
      <c r="W9" s="2">
        <f t="shared" si="8"/>
        <v>7987.9999999999991</v>
      </c>
      <c r="X9" s="2">
        <f>DEN!C7+DEN!F7+DEN!G7+DEN!L7</f>
        <v>290362</v>
      </c>
      <c r="Y9" s="2">
        <f>DEN!I7+DEN!J7</f>
        <v>121555</v>
      </c>
      <c r="Z9" s="2">
        <f>DEN!D7+DEN!E7</f>
        <v>16644</v>
      </c>
      <c r="AA9" s="2">
        <f>DEN!H7+DEN!K7</f>
        <v>7988</v>
      </c>
      <c r="AB9" s="562" t="str">
        <f t="shared" si="9"/>
        <v>ERRO</v>
      </c>
      <c r="AC9" s="562" t="str">
        <f t="shared" si="1"/>
        <v>OK</v>
      </c>
      <c r="AD9" s="562" t="str">
        <f t="shared" si="2"/>
        <v>OK</v>
      </c>
      <c r="AE9" s="562" t="str">
        <f t="shared" si="3"/>
        <v>OK</v>
      </c>
      <c r="AF9" s="774">
        <f>COMB_CORR!G7/FRO_TOT!X9</f>
        <v>274.37694593680732</v>
      </c>
      <c r="AG9" s="781">
        <f t="shared" si="11"/>
        <v>0.64340190160374799</v>
      </c>
      <c r="AH9" s="3">
        <v>0.63567134297953187</v>
      </c>
      <c r="AI9" s="757"/>
      <c r="AJ9" s="742">
        <f t="shared" si="10"/>
        <v>219.16718996089185</v>
      </c>
      <c r="AK9" s="783">
        <v>-4265.3300235010684</v>
      </c>
      <c r="AN9" s="1" t="s">
        <v>376</v>
      </c>
      <c r="AO9" s="1">
        <v>9.2321191102864523E-3</v>
      </c>
      <c r="AP9" s="1">
        <v>8.5606038602911508E-3</v>
      </c>
      <c r="AQ9" s="1">
        <v>7.8326499944306929E-3</v>
      </c>
      <c r="AR9" s="1">
        <v>7.0476370667887167E-3</v>
      </c>
      <c r="AS9" s="1">
        <v>6.3042320608713747E-3</v>
      </c>
    </row>
    <row r="10" spans="1:45">
      <c r="A10" s="127" t="s">
        <v>16</v>
      </c>
      <c r="B10" s="291">
        <f>DIST_GAS_LEV!E16-AK10</f>
        <v>272415.78756231331</v>
      </c>
      <c r="C10" s="291">
        <f>DIST_GAS_LEV!Z16</f>
        <v>36459.132801747925</v>
      </c>
      <c r="D10" s="291">
        <f>DIST_GAS_MOT!B17</f>
        <v>66769</v>
      </c>
      <c r="E10" s="291">
        <f>DIST_GAS_MOT!C17</f>
        <v>264601.21464691026</v>
      </c>
      <c r="F10" s="291">
        <f>DIST_GAS_MOT!D17</f>
        <v>8525.5559815554516</v>
      </c>
      <c r="G10" s="291">
        <f>DIST_GAS_MOT!E17</f>
        <v>3786.2293715342948</v>
      </c>
      <c r="H10" s="291">
        <f>DIST_ALC_LEV!D16</f>
        <v>22075.792895083512</v>
      </c>
      <c r="I10" s="291">
        <f>DIST_ALC_LEV!U16</f>
        <v>2970.1991472187078</v>
      </c>
      <c r="J10" s="291">
        <f>DIST_DSL_CAM!B23</f>
        <v>22051.208384862726</v>
      </c>
      <c r="K10" s="291">
        <f>DIST_DSL_CAM!C23</f>
        <v>14046.791615137274</v>
      </c>
      <c r="L10" s="291">
        <f>DIST_DSL_CAM!D23</f>
        <v>3360</v>
      </c>
      <c r="M10" s="291">
        <f>DIST_DSL_ONI!B23</f>
        <v>4216</v>
      </c>
      <c r="N10" s="291">
        <f>DIST_DSL_ONI!C23</f>
        <v>7181.178222033177</v>
      </c>
      <c r="O10" s="291">
        <f>DIST_DSL_ONI!D23</f>
        <v>1638.8217779668225</v>
      </c>
      <c r="P10" s="291">
        <f>DIST_DSL_LEV!B16</f>
        <v>1005.0049197510644</v>
      </c>
      <c r="Q10" s="291">
        <f>DIST_DSL_LEV!C16</f>
        <v>40976.876383842704</v>
      </c>
      <c r="R10" s="291">
        <f>GNV!B9</f>
        <v>0</v>
      </c>
      <c r="T10" s="2">
        <f t="shared" si="5"/>
        <v>375902.79370995727</v>
      </c>
      <c r="U10" s="2">
        <f t="shared" si="6"/>
        <v>343682</v>
      </c>
      <c r="V10" s="2">
        <f t="shared" si="7"/>
        <v>39458</v>
      </c>
      <c r="W10" s="2">
        <f t="shared" si="8"/>
        <v>13036</v>
      </c>
      <c r="X10" s="2">
        <f>DEN!C8+DEN!F8+DEN!G8+DEN!L8</f>
        <v>375248</v>
      </c>
      <c r="Y10" s="2">
        <f>DEN!I8+DEN!J8</f>
        <v>343682</v>
      </c>
      <c r="Z10" s="2">
        <f>DEN!D8+DEN!E8</f>
        <v>39458</v>
      </c>
      <c r="AA10" s="2">
        <f>DEN!H8+DEN!K8</f>
        <v>13036</v>
      </c>
      <c r="AB10" s="562" t="str">
        <f t="shared" si="9"/>
        <v>ERRO</v>
      </c>
      <c r="AC10" s="562" t="str">
        <f t="shared" si="1"/>
        <v>OK</v>
      </c>
      <c r="AD10" s="562" t="str">
        <f t="shared" si="2"/>
        <v>OK</v>
      </c>
      <c r="AE10" s="562" t="str">
        <f t="shared" si="3"/>
        <v>OK</v>
      </c>
      <c r="AF10" s="774">
        <f>COMB_CORR!G8/FRO_TOT!X10</f>
        <v>123.20317154465431</v>
      </c>
      <c r="AG10" s="781">
        <f t="shared" si="11"/>
        <v>0.28890603248313768</v>
      </c>
      <c r="AH10" s="3">
        <v>0.28410082583854662</v>
      </c>
      <c r="AI10" s="757"/>
      <c r="AJ10" s="742">
        <f t="shared" si="10"/>
        <v>654.79370995727368</v>
      </c>
      <c r="AK10" s="783">
        <v>-11598.163550811121</v>
      </c>
      <c r="AN10" s="1" t="s">
        <v>377</v>
      </c>
      <c r="AO10" s="1">
        <v>1.0766495363871383E-3</v>
      </c>
      <c r="AP10" s="1">
        <v>1.2849350110098869E-3</v>
      </c>
      <c r="AQ10" s="1">
        <v>1.400887389396118E-3</v>
      </c>
      <c r="AR10" s="1">
        <v>1.7042723765376422E-3</v>
      </c>
      <c r="AS10" s="1">
        <v>1.250281544998573E-3</v>
      </c>
    </row>
    <row r="11" spans="1:45">
      <c r="A11" s="127" t="s">
        <v>17</v>
      </c>
      <c r="B11" s="291">
        <f>DIST_GAS_LEV!E17-AK11</f>
        <v>90702.943518100437</v>
      </c>
      <c r="C11" s="291">
        <f>DIST_GAS_LEV!Z17</f>
        <v>15787.596437744085</v>
      </c>
      <c r="D11" s="291">
        <f>DIST_GAS_MOT!B18</f>
        <v>56474</v>
      </c>
      <c r="E11" s="291">
        <f>DIST_GAS_MOT!C18</f>
        <v>185052.25851536734</v>
      </c>
      <c r="F11" s="291">
        <f>DIST_GAS_MOT!D18</f>
        <v>5962.6592291636789</v>
      </c>
      <c r="G11" s="291">
        <f>DIST_GAS_MOT!E18</f>
        <v>2648.0822554689867</v>
      </c>
      <c r="H11" s="291">
        <f>DIST_ALC_LEV!D17</f>
        <v>31933.47636866886</v>
      </c>
      <c r="I11" s="291">
        <f>DIST_ALC_LEV!U17</f>
        <v>5483.4329740341955</v>
      </c>
      <c r="J11" s="291">
        <f>DIST_DSL_CAM!B24</f>
        <v>12168.229599420665</v>
      </c>
      <c r="K11" s="291">
        <f>DIST_DSL_CAM!C24</f>
        <v>7751.7704005793348</v>
      </c>
      <c r="L11" s="291">
        <f>DIST_DSL_CAM!D24</f>
        <v>3626</v>
      </c>
      <c r="M11" s="291">
        <f>DIST_DSL_ONI!B24</f>
        <v>612</v>
      </c>
      <c r="N11" s="291">
        <f>DIST_DSL_ONI!C24</f>
        <v>2457.0992046881538</v>
      </c>
      <c r="O11" s="291">
        <f>DIST_DSL_ONI!D24</f>
        <v>560.90079531184597</v>
      </c>
      <c r="P11" s="291">
        <f>DIST_DSL_LEV!B17</f>
        <v>470.6125350778006</v>
      </c>
      <c r="Q11" s="291">
        <f>DIST_DSL_LEV!C17</f>
        <v>24271.742398620081</v>
      </c>
      <c r="R11" s="291">
        <f>GNV!B10</f>
        <v>0</v>
      </c>
      <c r="T11" s="2">
        <f t="shared" si="5"/>
        <v>168649.80423224546</v>
      </c>
      <c r="U11" s="2">
        <f t="shared" si="6"/>
        <v>250137.00000000003</v>
      </c>
      <c r="V11" s="2">
        <f t="shared" si="7"/>
        <v>23546</v>
      </c>
      <c r="W11" s="2">
        <f t="shared" si="8"/>
        <v>3630</v>
      </c>
      <c r="X11" s="2">
        <f>DEN!C9+DEN!F9+DEN!G9+DEN!L9</f>
        <v>168539</v>
      </c>
      <c r="Y11" s="2">
        <f>DEN!I9+DEN!J9</f>
        <v>250137</v>
      </c>
      <c r="Z11" s="2">
        <f>DEN!D9+DEN!E9</f>
        <v>23546</v>
      </c>
      <c r="AA11" s="2">
        <f>DEN!H9+DEN!K9</f>
        <v>3630</v>
      </c>
      <c r="AB11" s="562" t="str">
        <f t="shared" si="9"/>
        <v>ERRO</v>
      </c>
      <c r="AC11" s="562" t="str">
        <f t="shared" si="1"/>
        <v>OK</v>
      </c>
      <c r="AD11" s="562" t="str">
        <f t="shared" si="2"/>
        <v>OK</v>
      </c>
      <c r="AE11" s="562" t="str">
        <f t="shared" si="3"/>
        <v>OK</v>
      </c>
      <c r="AF11" s="774">
        <f>COMB_CORR!G9/FRO_TOT!X11</f>
        <v>339.60365817284884</v>
      </c>
      <c r="AG11" s="781">
        <f t="shared" si="11"/>
        <v>0.7963556803723737</v>
      </c>
      <c r="AH11" s="3">
        <v>0.769805329110548</v>
      </c>
      <c r="AI11" s="757"/>
      <c r="AJ11" s="742">
        <f t="shared" si="10"/>
        <v>110.80423224545666</v>
      </c>
      <c r="AK11" s="783">
        <v>-1478.2430498505128</v>
      </c>
      <c r="AN11" s="1" t="s">
        <v>378</v>
      </c>
      <c r="AO11" s="1">
        <v>4.2093597419551737E-2</v>
      </c>
      <c r="AP11" s="1">
        <v>4.2796618829864706E-2</v>
      </c>
      <c r="AQ11" s="1">
        <v>4.3268892054232067E-2</v>
      </c>
      <c r="AR11" s="1">
        <v>4.3227003600180773E-2</v>
      </c>
      <c r="AS11" s="1">
        <v>4.3707821708125191E-2</v>
      </c>
    </row>
    <row r="12" spans="1:45">
      <c r="A12" s="127" t="s">
        <v>18</v>
      </c>
      <c r="B12" s="291">
        <f>DIST_GAS_LEV!E18-AK12</f>
        <v>32076.432397731878</v>
      </c>
      <c r="C12" s="291">
        <f>DIST_GAS_LEV!Z18</f>
        <v>6719.0041826571087</v>
      </c>
      <c r="D12" s="291">
        <f>DIST_GAS_MOT!B19</f>
        <v>10217</v>
      </c>
      <c r="E12" s="291">
        <f>DIST_GAS_MOT!C19</f>
        <v>38493.162055959729</v>
      </c>
      <c r="F12" s="291">
        <f>DIST_GAS_MOT!D19</f>
        <v>1240.2999037353827</v>
      </c>
      <c r="G12" s="291">
        <f>DIST_GAS_MOT!E19</f>
        <v>550.53804030489061</v>
      </c>
      <c r="H12" s="291">
        <f>DIST_ALC_LEV!D18</f>
        <v>996.0010250264354</v>
      </c>
      <c r="I12" s="291">
        <f>DIST_ALC_LEV!U18</f>
        <v>206.54968753893897</v>
      </c>
      <c r="J12" s="291">
        <f>DIST_DSL_CAM!B25</f>
        <v>1742.4590341833969</v>
      </c>
      <c r="K12" s="291">
        <f>DIST_DSL_CAM!C25</f>
        <v>1109.5409658166034</v>
      </c>
      <c r="L12" s="291">
        <f>DIST_DSL_CAM!D25</f>
        <v>256</v>
      </c>
      <c r="M12" s="291">
        <f>DIST_DSL_ONI!B25</f>
        <v>352</v>
      </c>
      <c r="N12" s="291">
        <f>DIST_DSL_ONI!C25</f>
        <v>469.00763358778624</v>
      </c>
      <c r="O12" s="291">
        <f>DIST_DSL_ONI!D25</f>
        <v>106.99236641221374</v>
      </c>
      <c r="P12" s="291">
        <f>DIST_DSL_LEV!B18</f>
        <v>110.17371567946611</v>
      </c>
      <c r="Q12" s="291">
        <f>DIST_DSL_LEV!C18</f>
        <v>6826.4014949279226</v>
      </c>
      <c r="R12" s="291">
        <f>GNV!B11</f>
        <v>0</v>
      </c>
      <c r="T12" s="2">
        <f t="shared" si="5"/>
        <v>46934.562503561756</v>
      </c>
      <c r="U12" s="2">
        <f t="shared" si="6"/>
        <v>50501</v>
      </c>
      <c r="V12" s="2">
        <f t="shared" si="7"/>
        <v>3108</v>
      </c>
      <c r="W12" s="2">
        <f t="shared" si="8"/>
        <v>928</v>
      </c>
      <c r="X12" s="2">
        <f>DEN!C10+DEN!F10+DEN!G10+DEN!L10</f>
        <v>46878</v>
      </c>
      <c r="Y12" s="2">
        <f>DEN!I10+DEN!J10</f>
        <v>50501</v>
      </c>
      <c r="Z12" s="2">
        <f>DEN!D10+DEN!E10</f>
        <v>3108</v>
      </c>
      <c r="AA12" s="2">
        <f>DEN!H10+DEN!K10</f>
        <v>928</v>
      </c>
      <c r="AB12" s="562" t="str">
        <f t="shared" si="9"/>
        <v>ERRO</v>
      </c>
      <c r="AC12" s="562" t="str">
        <f t="shared" si="1"/>
        <v>OK</v>
      </c>
      <c r="AD12" s="562" t="str">
        <f t="shared" si="2"/>
        <v>OK</v>
      </c>
      <c r="AE12" s="562" t="str">
        <f t="shared" si="3"/>
        <v>OK</v>
      </c>
      <c r="AF12" s="774">
        <f>COMB_CORR!G10/FRO_TOT!X12</f>
        <v>62.08782615090697</v>
      </c>
      <c r="AG12" s="781">
        <f t="shared" si="11"/>
        <v>0.14559322859850218</v>
      </c>
      <c r="AH12" s="3">
        <v>0.14112723400898089</v>
      </c>
      <c r="AI12" s="757"/>
      <c r="AJ12" s="742">
        <f t="shared" si="10"/>
        <v>56.562503561755875</v>
      </c>
      <c r="AK12" s="783">
        <v>-779.43079845893953</v>
      </c>
      <c r="AN12" s="1" t="s">
        <v>347</v>
      </c>
      <c r="AO12" s="1">
        <v>0.99999999999999989</v>
      </c>
      <c r="AP12" s="1">
        <v>1</v>
      </c>
      <c r="AQ12" s="1">
        <v>1</v>
      </c>
      <c r="AR12" s="1">
        <v>1</v>
      </c>
      <c r="AS12" s="1">
        <v>1</v>
      </c>
    </row>
    <row r="13" spans="1:45" ht="15.75" thickBot="1">
      <c r="A13" s="128" t="s">
        <v>19</v>
      </c>
      <c r="B13" s="291">
        <f>DIST_GAS_LEV!E19-AK13</f>
        <v>67714.834776339543</v>
      </c>
      <c r="C13" s="291">
        <f>DIST_GAS_LEV!Z19</f>
        <v>11747.541175858671</v>
      </c>
      <c r="D13" s="291">
        <f>DIST_GAS_MOT!B20</f>
        <v>48031</v>
      </c>
      <c r="E13" s="291">
        <f>DIST_GAS_MOT!C20</f>
        <v>109051.12235277052</v>
      </c>
      <c r="F13" s="291">
        <f>DIST_GAS_MOT!D20</f>
        <v>3513.3212269308874</v>
      </c>
      <c r="G13" s="291">
        <f>DIST_GAS_MOT!E20</f>
        <v>1560.5564202985875</v>
      </c>
      <c r="H13" s="291">
        <f>DIST_ALC_LEV!D19</f>
        <v>31622.78231389945</v>
      </c>
      <c r="I13" s="291">
        <f>DIST_ALC_LEV!U19</f>
        <v>5101.5899541047329</v>
      </c>
      <c r="J13" s="291">
        <f>DIST_DSL_CAM!B26</f>
        <v>10555.319543926325</v>
      </c>
      <c r="K13" s="291">
        <f>DIST_DSL_CAM!C26</f>
        <v>6723.6804560736737</v>
      </c>
      <c r="L13" s="291">
        <f>DIST_DSL_CAM!D26</f>
        <v>2555</v>
      </c>
      <c r="M13" s="291">
        <f>DIST_DSL_ONI!B26</f>
        <v>1156</v>
      </c>
      <c r="N13" s="291">
        <f>DIST_DSL_ONI!C26</f>
        <v>1926.5222988505748</v>
      </c>
      <c r="O13" s="291">
        <f>DIST_DSL_ONI!D26</f>
        <v>439.47770114942523</v>
      </c>
      <c r="P13" s="291">
        <f>DIST_DSL_LEV!B19</f>
        <v>415.16067407434753</v>
      </c>
      <c r="Q13" s="291">
        <f>DIST_DSL_LEV!C19</f>
        <v>20476.559457285122</v>
      </c>
      <c r="R13" s="291">
        <f>GNV!B12</f>
        <v>0</v>
      </c>
      <c r="T13" s="2">
        <f t="shared" si="5"/>
        <v>137078.46835156187</v>
      </c>
      <c r="U13" s="2">
        <f t="shared" si="6"/>
        <v>162156</v>
      </c>
      <c r="V13" s="2">
        <f t="shared" si="7"/>
        <v>19834</v>
      </c>
      <c r="W13" s="2">
        <f t="shared" si="8"/>
        <v>3522</v>
      </c>
      <c r="X13" s="2">
        <f>DEN!C11+DEN!F11+DEN!G11+DEN!L11</f>
        <v>137134</v>
      </c>
      <c r="Y13" s="2">
        <f>DEN!I11+DEN!J11</f>
        <v>162156</v>
      </c>
      <c r="Z13" s="2">
        <f>DEN!D11+DEN!E11</f>
        <v>19834</v>
      </c>
      <c r="AA13" s="2">
        <f>DEN!H11+DEN!K11</f>
        <v>3522</v>
      </c>
      <c r="AB13" s="562" t="str">
        <f t="shared" si="9"/>
        <v>ERRO</v>
      </c>
      <c r="AC13" s="562" t="str">
        <f t="shared" si="1"/>
        <v>OK</v>
      </c>
      <c r="AD13" s="562" t="str">
        <f t="shared" si="2"/>
        <v>OK</v>
      </c>
      <c r="AE13" s="562" t="str">
        <f t="shared" si="3"/>
        <v>OK</v>
      </c>
      <c r="AF13" s="774">
        <f>COMB_CORR!G11/FRO_TOT!X13</f>
        <v>508.76239886044237</v>
      </c>
      <c r="AG13" s="781">
        <f t="shared" si="11"/>
        <v>1.1930255064748903</v>
      </c>
      <c r="AH13" s="3">
        <v>1.1919512208298073</v>
      </c>
      <c r="AI13" s="757"/>
      <c r="AJ13" s="742">
        <f t="shared" si="10"/>
        <v>-55.531648438132834</v>
      </c>
      <c r="AK13" s="783">
        <v>1351.4956175250118</v>
      </c>
      <c r="AN13" s="727" t="s">
        <v>434</v>
      </c>
      <c r="AO13" s="728">
        <f>AO6+AO7</f>
        <v>1.9607648102648742E-2</v>
      </c>
      <c r="AP13" s="728">
        <f t="shared" ref="AP13:AS13" si="12">AP6+AP7</f>
        <v>5.9894591225007232E-2</v>
      </c>
      <c r="AQ13" s="728">
        <f t="shared" si="12"/>
        <v>0.11924024416787268</v>
      </c>
      <c r="AR13" s="728">
        <f t="shared" si="12"/>
        <v>0.18988973691061578</v>
      </c>
      <c r="AS13" s="728">
        <f t="shared" si="12"/>
        <v>0.25836129248082407</v>
      </c>
    </row>
    <row r="14" spans="1:45">
      <c r="A14" s="269" t="s">
        <v>54</v>
      </c>
      <c r="B14" s="291">
        <f t="shared" ref="B14:R14" si="13">SUM(B15:B23)</f>
        <v>1960390.7882660876</v>
      </c>
      <c r="C14" s="291">
        <f t="shared" si="13"/>
        <v>355678.64919864031</v>
      </c>
      <c r="D14" s="291">
        <f t="shared" si="13"/>
        <v>347299</v>
      </c>
      <c r="E14" s="291">
        <f t="shared" si="13"/>
        <v>2461485.0198110593</v>
      </c>
      <c r="F14" s="291">
        <f t="shared" si="13"/>
        <v>79309.859558761047</v>
      </c>
      <c r="G14" s="291">
        <f t="shared" si="13"/>
        <v>35222.120630179576</v>
      </c>
      <c r="H14" s="291">
        <f t="shared" si="13"/>
        <v>1256343.9611467996</v>
      </c>
      <c r="I14" s="291">
        <f t="shared" si="13"/>
        <v>159297.71980580065</v>
      </c>
      <c r="J14" s="291">
        <f t="shared" si="13"/>
        <v>173739.99817345967</v>
      </c>
      <c r="K14" s="291">
        <f t="shared" si="13"/>
        <v>110677.00182654033</v>
      </c>
      <c r="L14" s="291">
        <f t="shared" si="13"/>
        <v>27356</v>
      </c>
      <c r="M14" s="291">
        <f t="shared" si="13"/>
        <v>44708</v>
      </c>
      <c r="N14" s="291">
        <f t="shared" si="13"/>
        <v>54726.780084869708</v>
      </c>
      <c r="O14" s="291">
        <f t="shared" si="13"/>
        <v>12490.219915130292</v>
      </c>
      <c r="P14" s="291">
        <f t="shared" si="13"/>
        <v>7098.8144733488489</v>
      </c>
      <c r="Q14" s="291">
        <f t="shared" si="13"/>
        <v>281231.54849233397</v>
      </c>
      <c r="R14" s="291">
        <f t="shared" si="13"/>
        <v>257395</v>
      </c>
      <c r="T14" s="2">
        <f t="shared" si="5"/>
        <v>4277436.4813830107</v>
      </c>
      <c r="U14" s="2">
        <f t="shared" si="6"/>
        <v>2923316</v>
      </c>
      <c r="V14" s="2">
        <f t="shared" si="7"/>
        <v>311773</v>
      </c>
      <c r="W14" s="2">
        <f t="shared" si="8"/>
        <v>111925</v>
      </c>
      <c r="X14" s="2">
        <f>DEN!C12+DEN!F12+DEN!G12+DEN!L12</f>
        <v>4295058</v>
      </c>
      <c r="Y14" s="2">
        <f>DEN!I12+DEN!J12</f>
        <v>2923316</v>
      </c>
      <c r="Z14" s="2">
        <f>DEN!D12+DEN!E12</f>
        <v>311773</v>
      </c>
      <c r="AA14" s="2">
        <f>DEN!H12+DEN!K12</f>
        <v>111925</v>
      </c>
      <c r="AB14" s="562" t="str">
        <f t="shared" si="9"/>
        <v>ERRO</v>
      </c>
      <c r="AC14" s="562" t="str">
        <f t="shared" si="1"/>
        <v>OK</v>
      </c>
      <c r="AD14" s="562" t="str">
        <f t="shared" si="2"/>
        <v>OK</v>
      </c>
      <c r="AE14" s="562" t="str">
        <f t="shared" si="3"/>
        <v>OK</v>
      </c>
      <c r="AF14" s="774"/>
      <c r="AG14" s="781"/>
      <c r="AI14" s="757"/>
      <c r="AJ14" s="742"/>
      <c r="AK14" s="783"/>
      <c r="AN14" s="727" t="s">
        <v>435</v>
      </c>
      <c r="AO14" s="728">
        <f>AO8+AO9</f>
        <v>9.7830002064246274E-2</v>
      </c>
      <c r="AP14" s="728">
        <f t="shared" ref="AP14:AS14" si="14">AP8+AP9</f>
        <v>9.135629757997632E-2</v>
      </c>
      <c r="AQ14" s="728">
        <f t="shared" si="14"/>
        <v>8.3595940270262931E-2</v>
      </c>
      <c r="AR14" s="728">
        <f t="shared" si="14"/>
        <v>7.5218000912716909E-2</v>
      </c>
      <c r="AS14" s="728">
        <f t="shared" si="14"/>
        <v>6.7283790072446156E-2</v>
      </c>
    </row>
    <row r="15" spans="1:45">
      <c r="A15" s="127" t="s">
        <v>21</v>
      </c>
      <c r="B15" s="291">
        <f>DIST_GAS_LEV!E21-AK15</f>
        <v>115405.58370939313</v>
      </c>
      <c r="C15" s="291">
        <f>DIST_GAS_LEV!Z21</f>
        <v>16065.689121378455</v>
      </c>
      <c r="D15" s="291">
        <f>DIST_GAS_MOT!B22</f>
        <v>15632</v>
      </c>
      <c r="E15" s="291">
        <f>DIST_GAS_MOT!C22</f>
        <v>93842.645045225916</v>
      </c>
      <c r="F15" s="291">
        <f>DIST_GAS_MOT!D22</f>
        <v>3023.4997411133181</v>
      </c>
      <c r="G15" s="291">
        <f>DIST_GAS_MOT!E22</f>
        <v>1342.8552136607632</v>
      </c>
      <c r="H15" s="291">
        <f>DIST_ALC_LEV!D21</f>
        <v>48630.810209883057</v>
      </c>
      <c r="I15" s="291">
        <f>DIST_ALC_LEV!U21</f>
        <v>6514.5941100913415</v>
      </c>
      <c r="J15" s="291">
        <f>DIST_DSL_CAM!B28</f>
        <v>8264.5712419012361</v>
      </c>
      <c r="K15" s="291">
        <f>DIST_DSL_CAM!C28</f>
        <v>5264.4287580987639</v>
      </c>
      <c r="L15" s="291">
        <f>DIST_DSL_CAM!D28</f>
        <v>1300</v>
      </c>
      <c r="M15" s="291">
        <f>DIST_DSL_ONI!B28</f>
        <v>3770</v>
      </c>
      <c r="N15" s="291">
        <f>DIST_DSL_ONI!C28</f>
        <v>3200.296470588235</v>
      </c>
      <c r="O15" s="291">
        <f>DIST_DSL_ONI!D28</f>
        <v>730.70352941176475</v>
      </c>
      <c r="P15" s="291">
        <f>DIST_DSL_LEV!B21</f>
        <v>342.23136811285605</v>
      </c>
      <c r="Q15" s="291">
        <f>DIST_DSL_LEV!C21</f>
        <v>13537.658832081413</v>
      </c>
      <c r="R15" s="291">
        <f>GNV!B14</f>
        <v>18443</v>
      </c>
      <c r="T15" s="2">
        <f t="shared" si="5"/>
        <v>218939.56735094023</v>
      </c>
      <c r="U15" s="2">
        <f t="shared" si="6"/>
        <v>113841</v>
      </c>
      <c r="V15" s="2">
        <f t="shared" si="7"/>
        <v>14829</v>
      </c>
      <c r="W15" s="2">
        <f t="shared" si="8"/>
        <v>7701</v>
      </c>
      <c r="X15" s="2">
        <f>DEN!C13+DEN!F13+DEN!G13+DEN!L13</f>
        <v>218157</v>
      </c>
      <c r="Y15" s="2">
        <f>DEN!I13+DEN!J13</f>
        <v>113841</v>
      </c>
      <c r="Z15" s="2">
        <f>DEN!D13+DEN!E13</f>
        <v>14829</v>
      </c>
      <c r="AA15" s="2">
        <f>DEN!H13+DEN!K13</f>
        <v>7701</v>
      </c>
      <c r="AB15" s="562" t="str">
        <f t="shared" si="9"/>
        <v>ERRO</v>
      </c>
      <c r="AC15" s="562" t="str">
        <f t="shared" si="1"/>
        <v>OK</v>
      </c>
      <c r="AD15" s="562" t="str">
        <f t="shared" si="2"/>
        <v>OK</v>
      </c>
      <c r="AE15" s="562" t="str">
        <f t="shared" si="3"/>
        <v>OK</v>
      </c>
      <c r="AF15" s="774">
        <f>COMB_CORR!G13/FRO_TOT!X14</f>
        <v>24.354399333473555</v>
      </c>
      <c r="AG15" s="781">
        <f t="shared" si="11"/>
        <v>5.7109998035997069E-2</v>
      </c>
      <c r="AH15" s="3">
        <v>5.6574974925079714E-2</v>
      </c>
      <c r="AI15" s="757"/>
      <c r="AJ15" s="742">
        <f t="shared" si="10"/>
        <v>782.56735094022588</v>
      </c>
      <c r="AK15" s="783">
        <v>-16490.58800293252</v>
      </c>
    </row>
    <row r="16" spans="1:45">
      <c r="A16" s="127" t="s">
        <v>22</v>
      </c>
      <c r="B16" s="291">
        <f>DIST_GAS_LEV!E22-AK16</f>
        <v>278737.2781705684</v>
      </c>
      <c r="C16" s="291">
        <f>DIST_GAS_LEV!Z22</f>
        <v>102597.2114232944</v>
      </c>
      <c r="D16" s="291">
        <f>DIST_GAS_MOT!B23</f>
        <v>70554</v>
      </c>
      <c r="E16" s="291">
        <f>DIST_GAS_MOT!C23</f>
        <v>513111.13483820745</v>
      </c>
      <c r="F16" s="291">
        <f>DIST_GAS_MOT!D23</f>
        <v>16532.729824583199</v>
      </c>
      <c r="G16" s="291">
        <f>DIST_GAS_MOT!E23</f>
        <v>7342.135337209399</v>
      </c>
      <c r="H16" s="291">
        <f>DIST_ALC_LEV!D22</f>
        <v>532740.77536268812</v>
      </c>
      <c r="I16" s="291">
        <f>DIST_ALC_LEV!U22</f>
        <v>71311.672658469164</v>
      </c>
      <c r="J16" s="291">
        <f>DIST_DSL_CAM!B29</f>
        <v>45798.917571026737</v>
      </c>
      <c r="K16" s="291">
        <f>DIST_DSL_CAM!C29</f>
        <v>29175.082428973266</v>
      </c>
      <c r="L16" s="291">
        <f>DIST_DSL_CAM!D29</f>
        <v>9711</v>
      </c>
      <c r="M16" s="291">
        <f>DIST_DSL_ONI!B29</f>
        <v>13523</v>
      </c>
      <c r="N16" s="291">
        <f>DIST_DSL_ONI!C29</f>
        <v>19149.674494514464</v>
      </c>
      <c r="O16" s="291">
        <f>DIST_DSL_ONI!D29</f>
        <v>4370.3255054855381</v>
      </c>
      <c r="P16" s="291">
        <f>DIST_DSL_LEV!B22</f>
        <v>1672.7134092999102</v>
      </c>
      <c r="Q16" s="291">
        <f>DIST_DSL_LEV!C22</f>
        <v>73501.395508707617</v>
      </c>
      <c r="R16" s="291">
        <f>GNV!B15</f>
        <v>68804</v>
      </c>
      <c r="T16" s="2">
        <f t="shared" si="5"/>
        <v>1129365.0465330277</v>
      </c>
      <c r="U16" s="2">
        <f t="shared" si="6"/>
        <v>607540</v>
      </c>
      <c r="V16" s="2">
        <f t="shared" si="7"/>
        <v>84685</v>
      </c>
      <c r="W16" s="2">
        <f t="shared" si="8"/>
        <v>37043</v>
      </c>
      <c r="X16" s="2">
        <f>DEN!C14+DEN!F14+DEN!G14+DEN!L14</f>
        <v>1145535</v>
      </c>
      <c r="Y16" s="2">
        <f>DEN!I14+DEN!J14</f>
        <v>607540</v>
      </c>
      <c r="Z16" s="2">
        <f>DEN!D14+DEN!E14</f>
        <v>84685</v>
      </c>
      <c r="AA16" s="2">
        <f>DEN!H14+DEN!K14</f>
        <v>37043</v>
      </c>
      <c r="AB16" s="562" t="str">
        <f t="shared" si="9"/>
        <v>ERRO</v>
      </c>
      <c r="AC16" s="562" t="str">
        <f t="shared" si="1"/>
        <v>OK</v>
      </c>
      <c r="AD16" s="562" t="str">
        <f t="shared" si="2"/>
        <v>OK</v>
      </c>
      <c r="AE16" s="562" t="str">
        <f t="shared" si="3"/>
        <v>OK</v>
      </c>
      <c r="AF16" s="774">
        <f>COMB_CORR!G14/FRO_TOT!X15</f>
        <v>2482.7594533186216</v>
      </c>
      <c r="AG16" s="781">
        <f t="shared" si="11"/>
        <v>5.8219620020764733</v>
      </c>
      <c r="AH16" s="3">
        <v>5.7825165673866792</v>
      </c>
      <c r="AI16" s="757"/>
      <c r="AJ16" s="742">
        <f t="shared" si="10"/>
        <v>-16169.953466972336</v>
      </c>
      <c r="AK16" s="783">
        <v>323922.52048706403</v>
      </c>
    </row>
    <row r="17" spans="1:37">
      <c r="A17" s="127" t="s">
        <v>23</v>
      </c>
      <c r="B17" s="291">
        <f>DIST_GAS_LEV!E23-AK17</f>
        <v>419551.28718955815</v>
      </c>
      <c r="C17" s="291">
        <f>DIST_GAS_LEV!Z23</f>
        <v>55807.838074793581</v>
      </c>
      <c r="D17" s="291">
        <f>DIST_GAS_MOT!B24</f>
        <v>59745</v>
      </c>
      <c r="E17" s="291">
        <f>DIST_GAS_MOT!C24</f>
        <v>511523.12741590699</v>
      </c>
      <c r="F17" s="291">
        <f>DIST_GAS_MOT!D24</f>
        <v>16481.356255411731</v>
      </c>
      <c r="G17" s="291">
        <f>DIST_GAS_MOT!E24</f>
        <v>7319.5163286813276</v>
      </c>
      <c r="H17" s="291">
        <f>DIST_ALC_LEV!D23</f>
        <v>121480.64404536999</v>
      </c>
      <c r="I17" s="291">
        <f>DIST_ALC_LEV!U23</f>
        <v>14980.224484098318</v>
      </c>
      <c r="J17" s="291">
        <f>DIST_DSL_CAM!B30</f>
        <v>27047.969940117731</v>
      </c>
      <c r="K17" s="291">
        <f>DIST_DSL_CAM!C30</f>
        <v>17230.030059882272</v>
      </c>
      <c r="L17" s="291">
        <f>DIST_DSL_CAM!D30</f>
        <v>4139</v>
      </c>
      <c r="M17" s="291">
        <f>DIST_DSL_ONI!B30</f>
        <v>6034</v>
      </c>
      <c r="N17" s="291">
        <f>DIST_DSL_ONI!C30</f>
        <v>7364.5230919912601</v>
      </c>
      <c r="O17" s="291">
        <f>DIST_DSL_ONI!D30</f>
        <v>1680.4769080087394</v>
      </c>
      <c r="P17" s="291">
        <f>DIST_DSL_LEV!B23</f>
        <v>1581.1627711737437</v>
      </c>
      <c r="Q17" s="291">
        <f>DIST_DSL_LEV!C23</f>
        <v>58513.566540236199</v>
      </c>
      <c r="R17" s="291">
        <f>GNV!B16</f>
        <v>46748</v>
      </c>
      <c r="T17" s="2">
        <f t="shared" si="5"/>
        <v>718662.72310523002</v>
      </c>
      <c r="U17" s="2">
        <f t="shared" si="6"/>
        <v>595069.00000000012</v>
      </c>
      <c r="V17" s="2">
        <f t="shared" si="7"/>
        <v>48417</v>
      </c>
      <c r="W17" s="2">
        <f t="shared" si="8"/>
        <v>15079</v>
      </c>
      <c r="X17" s="2">
        <f>DEN!C15+DEN!F15+DEN!G15+DEN!L15</f>
        <v>717269</v>
      </c>
      <c r="Y17" s="2">
        <f>DEN!I15+DEN!J15</f>
        <v>595069</v>
      </c>
      <c r="Z17" s="2">
        <f>DEN!D15+DEN!E15</f>
        <v>48417</v>
      </c>
      <c r="AA17" s="2">
        <f>DEN!H15+DEN!K15</f>
        <v>15079</v>
      </c>
      <c r="AB17" s="562" t="str">
        <f t="shared" si="9"/>
        <v>ERRO</v>
      </c>
      <c r="AC17" s="562" t="str">
        <f t="shared" si="1"/>
        <v>OK</v>
      </c>
      <c r="AD17" s="562" t="str">
        <f t="shared" si="2"/>
        <v>OK</v>
      </c>
      <c r="AE17" s="562" t="str">
        <f t="shared" si="3"/>
        <v>OK</v>
      </c>
      <c r="AF17" s="774">
        <f>COMB_CORR!G15/FRO_TOT!X16</f>
        <v>152.54067504234945</v>
      </c>
      <c r="AG17" s="781">
        <f t="shared" si="11"/>
        <v>0.35770119118087684</v>
      </c>
      <c r="AH17" s="3">
        <v>0.35404607630632523</v>
      </c>
      <c r="AI17" s="757"/>
      <c r="AJ17" s="742">
        <f t="shared" si="10"/>
        <v>1393.7231052300194</v>
      </c>
      <c r="AK17" s="783">
        <v>-30205.574808109319</v>
      </c>
    </row>
    <row r="18" spans="1:37">
      <c r="A18" s="127" t="s">
        <v>24</v>
      </c>
      <c r="B18" s="291">
        <f>DIST_GAS_LEV!E24-AK18</f>
        <v>161972.3537173777</v>
      </c>
      <c r="C18" s="291">
        <f>DIST_GAS_LEV!Z24</f>
        <v>27934.481779087662</v>
      </c>
      <c r="D18" s="291">
        <f>DIST_GAS_MOT!B25</f>
        <v>49801</v>
      </c>
      <c r="E18" s="291">
        <f>DIST_GAS_MOT!C25</f>
        <v>252303.16262839318</v>
      </c>
      <c r="F18" s="291">
        <f>DIST_GAS_MOT!D25</f>
        <v>8129.2181235323287</v>
      </c>
      <c r="G18" s="291">
        <f>DIST_GAS_MOT!E25</f>
        <v>3610.6192480744758</v>
      </c>
      <c r="H18" s="291">
        <f>DIST_ALC_LEV!D24</f>
        <v>40131.650818249524</v>
      </c>
      <c r="I18" s="291">
        <f>DIST_ALC_LEV!U24</f>
        <v>6820.6407454345663</v>
      </c>
      <c r="J18" s="291">
        <f>DIST_DSL_CAM!B31</f>
        <v>12739.075330685764</v>
      </c>
      <c r="K18" s="291">
        <f>DIST_DSL_CAM!C31</f>
        <v>8114.9246693142377</v>
      </c>
      <c r="L18" s="291">
        <f>DIST_DSL_CAM!D31</f>
        <v>1013</v>
      </c>
      <c r="M18" s="291">
        <f>DIST_DSL_ONI!B31</f>
        <v>2850</v>
      </c>
      <c r="N18" s="291">
        <f>DIST_DSL_ONI!C31</f>
        <v>3420.9983735028836</v>
      </c>
      <c r="O18" s="291">
        <f>DIST_DSL_ONI!D31</f>
        <v>781.00162649711672</v>
      </c>
      <c r="P18" s="291">
        <f>DIST_DSL_LEV!B24</f>
        <v>406.24625663331886</v>
      </c>
      <c r="Q18" s="291">
        <f>DIST_DSL_LEV!C24</f>
        <v>20484.664485703361</v>
      </c>
      <c r="R18" s="291">
        <f>GNV!B17</f>
        <v>0</v>
      </c>
      <c r="T18" s="2">
        <f t="shared" si="5"/>
        <v>257750.03780248613</v>
      </c>
      <c r="U18" s="2">
        <f t="shared" si="6"/>
        <v>313843.99999999994</v>
      </c>
      <c r="V18" s="2">
        <f t="shared" si="7"/>
        <v>21867</v>
      </c>
      <c r="W18" s="2">
        <f t="shared" si="8"/>
        <v>7052</v>
      </c>
      <c r="X18" s="2">
        <f>DEN!C16+DEN!F16+DEN!G16+DEN!L16</f>
        <v>257551</v>
      </c>
      <c r="Y18" s="2">
        <f>DEN!I16+DEN!J16</f>
        <v>313844</v>
      </c>
      <c r="Z18" s="2">
        <f>DEN!D16+DEN!E16</f>
        <v>21867</v>
      </c>
      <c r="AA18" s="2">
        <f>DEN!H16+DEN!K16</f>
        <v>7052</v>
      </c>
      <c r="AB18" s="562" t="str">
        <f t="shared" si="9"/>
        <v>ERRO</v>
      </c>
      <c r="AC18" s="562" t="str">
        <f t="shared" si="1"/>
        <v>OK</v>
      </c>
      <c r="AD18" s="562" t="str">
        <f t="shared" si="2"/>
        <v>OK</v>
      </c>
      <c r="AE18" s="562" t="str">
        <f t="shared" si="3"/>
        <v>OK</v>
      </c>
      <c r="AF18" s="774">
        <f>COMB_CORR!G16/FRO_TOT!X17</f>
        <v>199.04648875701739</v>
      </c>
      <c r="AG18" s="781">
        <f t="shared" si="11"/>
        <v>0.46675528418232909</v>
      </c>
      <c r="AH18" s="3">
        <v>0.46371299088860662</v>
      </c>
      <c r="AI18" s="757"/>
      <c r="AJ18" s="742">
        <f t="shared" si="10"/>
        <v>199.03780248612748</v>
      </c>
      <c r="AK18" s="783">
        <v>-2842.6485789581784</v>
      </c>
    </row>
    <row r="19" spans="1:37">
      <c r="A19" s="127" t="s">
        <v>25</v>
      </c>
      <c r="B19" s="291">
        <f>DIST_GAS_LEV!E25-AK19</f>
        <v>188421.15475170349</v>
      </c>
      <c r="C19" s="291">
        <f>DIST_GAS_LEV!Z25</f>
        <v>26054.862124364328</v>
      </c>
      <c r="D19" s="291">
        <f>DIST_GAS_MOT!B26</f>
        <v>27313</v>
      </c>
      <c r="E19" s="291">
        <f>DIST_GAS_MOT!C26</f>
        <v>183170.18069809413</v>
      </c>
      <c r="F19" s="291">
        <f>DIST_GAS_MOT!D26</f>
        <v>5901.9079897625625</v>
      </c>
      <c r="G19" s="291">
        <f>DIST_GAS_MOT!E26</f>
        <v>2620.9113121433015</v>
      </c>
      <c r="H19" s="291">
        <f>DIST_ALC_LEV!D25</f>
        <v>64963.661525583942</v>
      </c>
      <c r="I19" s="291">
        <f>DIST_ALC_LEV!U25</f>
        <v>7671.3148955819252</v>
      </c>
      <c r="J19" s="291">
        <f>DIST_DSL_CAM!B32</f>
        <v>11744.17670136109</v>
      </c>
      <c r="K19" s="291">
        <f>DIST_DSL_CAM!C32</f>
        <v>7481.8232986389112</v>
      </c>
      <c r="L19" s="291">
        <f>DIST_DSL_CAM!D32</f>
        <v>1430</v>
      </c>
      <c r="M19" s="291">
        <f>DIST_DSL_ONI!B32</f>
        <v>2405</v>
      </c>
      <c r="N19" s="291">
        <f>DIST_DSL_ONI!C32</f>
        <v>3123.1645856980704</v>
      </c>
      <c r="O19" s="291">
        <f>DIST_DSL_ONI!D32</f>
        <v>712.83541430192963</v>
      </c>
      <c r="P19" s="291">
        <f>DIST_DSL_LEV!B25</f>
        <v>545.62754951375939</v>
      </c>
      <c r="Q19" s="291">
        <f>DIST_DSL_LEV!C25</f>
        <v>19943.589891553082</v>
      </c>
      <c r="R19" s="291">
        <f>GNV!B18</f>
        <v>17661</v>
      </c>
      <c r="T19" s="2">
        <f t="shared" si="5"/>
        <v>325261.21073830058</v>
      </c>
      <c r="U19" s="2">
        <f t="shared" si="6"/>
        <v>219005.99999999997</v>
      </c>
      <c r="V19" s="2">
        <f t="shared" si="7"/>
        <v>20656</v>
      </c>
      <c r="W19" s="2">
        <f t="shared" si="8"/>
        <v>6241</v>
      </c>
      <c r="X19" s="2">
        <f>DEN!C17+DEN!F17+DEN!G17+DEN!L17</f>
        <v>325258</v>
      </c>
      <c r="Y19" s="2">
        <f>DEN!I17+DEN!J17</f>
        <v>219006</v>
      </c>
      <c r="Z19" s="2">
        <f>DEN!D17+DEN!E17</f>
        <v>20656</v>
      </c>
      <c r="AA19" s="2">
        <f>DEN!H17+DEN!K17</f>
        <v>6241</v>
      </c>
      <c r="AB19" s="562" t="str">
        <f t="shared" si="9"/>
        <v>ERRO</v>
      </c>
      <c r="AC19" s="562" t="str">
        <f t="shared" si="1"/>
        <v>OK</v>
      </c>
      <c r="AD19" s="562" t="str">
        <f t="shared" si="2"/>
        <v>OK</v>
      </c>
      <c r="AE19" s="562" t="str">
        <f t="shared" si="3"/>
        <v>OK</v>
      </c>
      <c r="AF19" s="774">
        <f>COMB_CORR!G17/FRO_TOT!X18</f>
        <v>439.03149661847192</v>
      </c>
      <c r="AG19" s="781">
        <f t="shared" si="11"/>
        <v>1.029509599736276</v>
      </c>
      <c r="AH19" s="3">
        <v>0.9968719184006497</v>
      </c>
      <c r="AI19" s="757"/>
      <c r="AJ19" s="742">
        <f t="shared" si="10"/>
        <v>3.2107383005786687</v>
      </c>
      <c r="AK19" s="783">
        <v>-69.682427405845374</v>
      </c>
    </row>
    <row r="20" spans="1:37">
      <c r="A20" s="127" t="s">
        <v>26</v>
      </c>
      <c r="B20" s="291">
        <f>DIST_GAS_LEV!E26-AK20</f>
        <v>343873.60770404723</v>
      </c>
      <c r="C20" s="291">
        <f>DIST_GAS_LEV!Z26</f>
        <v>64039.73649984684</v>
      </c>
      <c r="D20" s="291">
        <f>DIST_GAS_MOT!B27</f>
        <v>41546</v>
      </c>
      <c r="E20" s="291">
        <f>DIST_GAS_MOT!C27</f>
        <v>422847.27706376853</v>
      </c>
      <c r="F20" s="291">
        <f>DIST_GAS_MOT!D27</f>
        <v>13624.262883868032</v>
      </c>
      <c r="G20" s="291">
        <f>DIST_GAS_MOT!E27</f>
        <v>6050.4600523634408</v>
      </c>
      <c r="H20" s="291">
        <f>DIST_ALC_LEV!D26</f>
        <v>336966.8277478849</v>
      </c>
      <c r="I20" s="291">
        <f>DIST_ALC_LEV!U26</f>
        <v>38708.711358052795</v>
      </c>
      <c r="J20" s="291">
        <f>DIST_DSL_CAM!B33</f>
        <v>37393.362802727483</v>
      </c>
      <c r="K20" s="291">
        <f>DIST_DSL_CAM!C33</f>
        <v>23820.637197272514</v>
      </c>
      <c r="L20" s="291">
        <f>DIST_DSL_CAM!D33</f>
        <v>6296</v>
      </c>
      <c r="M20" s="291">
        <f>DIST_DSL_ONI!B33</f>
        <v>9022</v>
      </c>
      <c r="N20" s="291">
        <f>DIST_DSL_ONI!C33</f>
        <v>9660.4454185520353</v>
      </c>
      <c r="O20" s="291">
        <f>DIST_DSL_ONI!D33</f>
        <v>2204.5545814479638</v>
      </c>
      <c r="P20" s="291">
        <f>DIST_DSL_LEV!B26</f>
        <v>1196.8718600450452</v>
      </c>
      <c r="Q20" s="291">
        <f>DIST_DSL_LEV!C26</f>
        <v>43880.606822691785</v>
      </c>
      <c r="R20" s="291">
        <f>GNV!B19</f>
        <v>46189</v>
      </c>
      <c r="T20" s="2">
        <f t="shared" si="5"/>
        <v>874855.36199256848</v>
      </c>
      <c r="U20" s="2">
        <f t="shared" si="6"/>
        <v>484068</v>
      </c>
      <c r="V20" s="2">
        <f t="shared" si="7"/>
        <v>67510</v>
      </c>
      <c r="W20" s="2">
        <f t="shared" si="8"/>
        <v>20887</v>
      </c>
      <c r="X20" s="2">
        <f>DEN!C18+DEN!F18+DEN!G18+DEN!L18</f>
        <v>879637</v>
      </c>
      <c r="Y20" s="2">
        <f>DEN!I18+DEN!J18</f>
        <v>484068</v>
      </c>
      <c r="Z20" s="2">
        <f>DEN!D18+DEN!E18</f>
        <v>67510</v>
      </c>
      <c r="AA20" s="2">
        <f>DEN!H18+DEN!K18</f>
        <v>20887</v>
      </c>
      <c r="AB20" s="562" t="str">
        <f t="shared" si="9"/>
        <v>ERRO</v>
      </c>
      <c r="AC20" s="562" t="str">
        <f t="shared" si="1"/>
        <v>OK</v>
      </c>
      <c r="AD20" s="562" t="str">
        <f t="shared" si="2"/>
        <v>OK</v>
      </c>
      <c r="AE20" s="562" t="str">
        <f t="shared" si="3"/>
        <v>OK</v>
      </c>
      <c r="AF20" s="774">
        <f>COMB_CORR!G18/FRO_TOT!X19</f>
        <v>1124.6424824663429</v>
      </c>
      <c r="AG20" s="781">
        <f t="shared" si="11"/>
        <v>2.6372372845416066</v>
      </c>
      <c r="AH20" s="3">
        <v>2.6218099638665939</v>
      </c>
      <c r="AI20" s="757"/>
      <c r="AJ20" s="742">
        <f t="shared" si="10"/>
        <v>-4781.6380074315239</v>
      </c>
      <c r="AK20" s="783">
        <v>112805.00771818275</v>
      </c>
    </row>
    <row r="21" spans="1:37">
      <c r="A21" s="127" t="s">
        <v>27</v>
      </c>
      <c r="B21" s="291">
        <f>DIST_GAS_LEV!E27-AK21</f>
        <v>138563.22187220512</v>
      </c>
      <c r="C21" s="291">
        <f>DIST_GAS_LEV!Z27</f>
        <v>18167.087062628772</v>
      </c>
      <c r="D21" s="291">
        <f>DIST_GAS_MOT!B28</f>
        <v>37178</v>
      </c>
      <c r="E21" s="291">
        <f>DIST_GAS_MOT!C28</f>
        <v>195714.46759315915</v>
      </c>
      <c r="F21" s="291">
        <f>DIST_GAS_MOT!D28</f>
        <v>6306.0086785371923</v>
      </c>
      <c r="G21" s="291">
        <f>DIST_GAS_MOT!E28</f>
        <v>2800.5237283036572</v>
      </c>
      <c r="H21" s="291">
        <f>DIST_ALC_LEV!D27</f>
        <v>17160.704817513142</v>
      </c>
      <c r="I21" s="291">
        <f>DIST_ALC_LEV!U27</f>
        <v>2390.4206437620992</v>
      </c>
      <c r="J21" s="291">
        <f>DIST_DSL_CAM!B34</f>
        <v>9530.7965494484779</v>
      </c>
      <c r="K21" s="291">
        <f>DIST_DSL_CAM!C34</f>
        <v>6071.203450551523</v>
      </c>
      <c r="L21" s="291">
        <f>DIST_DSL_CAM!D34</f>
        <v>1021</v>
      </c>
      <c r="M21" s="291">
        <f>DIST_DSL_ONI!B34</f>
        <v>1602</v>
      </c>
      <c r="N21" s="291">
        <f>DIST_DSL_ONI!C34</f>
        <v>2422.9380530973453</v>
      </c>
      <c r="O21" s="291">
        <f>DIST_DSL_ONI!D34</f>
        <v>553.06194690265488</v>
      </c>
      <c r="P21" s="291">
        <f>DIST_DSL_LEV!B27</f>
        <v>530.53304487761011</v>
      </c>
      <c r="Q21" s="291">
        <f>DIST_DSL_LEV!C27</f>
        <v>21917.944274549776</v>
      </c>
      <c r="R21" s="291">
        <f>GNV!B20</f>
        <v>218</v>
      </c>
      <c r="T21" s="2">
        <f t="shared" si="5"/>
        <v>198947.91171553652</v>
      </c>
      <c r="U21" s="2">
        <f t="shared" si="6"/>
        <v>241999</v>
      </c>
      <c r="V21" s="2">
        <f t="shared" si="7"/>
        <v>16623</v>
      </c>
      <c r="W21" s="2">
        <f t="shared" si="8"/>
        <v>4578</v>
      </c>
      <c r="X21" s="2">
        <f>DEN!C19+DEN!F19+DEN!G19+DEN!L19</f>
        <v>198325</v>
      </c>
      <c r="Y21" s="2">
        <f>DEN!I19+DEN!J19</f>
        <v>241999</v>
      </c>
      <c r="Z21" s="2">
        <f>DEN!D19+DEN!E19</f>
        <v>16623</v>
      </c>
      <c r="AA21" s="2">
        <f>DEN!H19+DEN!K19</f>
        <v>4578</v>
      </c>
      <c r="AB21" s="562" t="str">
        <f t="shared" si="9"/>
        <v>ERRO</v>
      </c>
      <c r="AC21" s="562" t="str">
        <f t="shared" si="1"/>
        <v>OK</v>
      </c>
      <c r="AD21" s="562" t="str">
        <f t="shared" si="2"/>
        <v>OK</v>
      </c>
      <c r="AE21" s="562" t="str">
        <f t="shared" si="3"/>
        <v>OK</v>
      </c>
      <c r="AF21" s="774">
        <f>COMB_CORR!G19/FRO_TOT!X20</f>
        <v>37.670467154652314</v>
      </c>
      <c r="AG21" s="781">
        <f t="shared" si="11"/>
        <v>8.8335592915255334E-2</v>
      </c>
      <c r="AH21" s="3">
        <v>8.8115038531007314E-2</v>
      </c>
      <c r="AI21" s="757"/>
      <c r="AJ21" s="742">
        <f t="shared" si="10"/>
        <v>622.91171553652384</v>
      </c>
      <c r="AK21" s="783">
        <v>-10784.735228092351</v>
      </c>
    </row>
    <row r="22" spans="1:37" ht="25.5">
      <c r="A22" s="127" t="s">
        <v>28</v>
      </c>
      <c r="B22" s="291">
        <f>DIST_GAS_LEV!E28-AK22</f>
        <v>185004.25890307303</v>
      </c>
      <c r="C22" s="291">
        <f>DIST_GAS_LEV!Z28</f>
        <v>30127.638929067209</v>
      </c>
      <c r="D22" s="291">
        <f>DIST_GAS_MOT!B29</f>
        <v>28462</v>
      </c>
      <c r="E22" s="291">
        <f>DIST_GAS_MOT!C29</f>
        <v>191973.57174965317</v>
      </c>
      <c r="F22" s="291">
        <f>DIST_GAS_MOT!D29</f>
        <v>6185.3931555065519</v>
      </c>
      <c r="G22" s="291">
        <f>DIST_GAS_MOT!E29</f>
        <v>2747.035094840277</v>
      </c>
      <c r="H22" s="291">
        <f>DIST_ALC_LEV!D28</f>
        <v>66425.369311285613</v>
      </c>
      <c r="I22" s="291">
        <f>DIST_ALC_LEV!U28</f>
        <v>8078.2764146851205</v>
      </c>
      <c r="J22" s="291">
        <f>DIST_DSL_CAM!B35</f>
        <v>12480.814665193033</v>
      </c>
      <c r="K22" s="291">
        <f>DIST_DSL_CAM!C35</f>
        <v>7951.1853348069671</v>
      </c>
      <c r="L22" s="291">
        <f>DIST_DSL_CAM!D35</f>
        <v>1463</v>
      </c>
      <c r="M22" s="291">
        <f>DIST_DSL_ONI!B35</f>
        <v>3213</v>
      </c>
      <c r="N22" s="291">
        <f>DIST_DSL_ONI!C35</f>
        <v>3227.947432128653</v>
      </c>
      <c r="O22" s="291">
        <f>DIST_DSL_ONI!D35</f>
        <v>737.05256787134704</v>
      </c>
      <c r="P22" s="291">
        <f>DIST_DSL_LEV!B28</f>
        <v>562.10214406624732</v>
      </c>
      <c r="Q22" s="291">
        <f>DIST_DSL_LEV!C28</f>
        <v>21446.111086125478</v>
      </c>
      <c r="R22" s="291">
        <f>GNV!B21</f>
        <v>38358</v>
      </c>
      <c r="T22" s="2">
        <f t="shared" si="5"/>
        <v>350001.75678830274</v>
      </c>
      <c r="U22" s="2">
        <f t="shared" si="6"/>
        <v>229368</v>
      </c>
      <c r="V22" s="2">
        <f t="shared" si="7"/>
        <v>21895</v>
      </c>
      <c r="W22" s="2">
        <f t="shared" si="8"/>
        <v>7178</v>
      </c>
      <c r="X22" s="2">
        <f>DEN!C20+DEN!F20+DEN!G20+DEN!L20</f>
        <v>350181</v>
      </c>
      <c r="Y22" s="2">
        <f>DEN!I20+DEN!J20</f>
        <v>229368</v>
      </c>
      <c r="Z22" s="2">
        <f>DEN!D20+DEN!E20</f>
        <v>21895</v>
      </c>
      <c r="AA22" s="2">
        <f>DEN!H20+DEN!K20</f>
        <v>7178</v>
      </c>
      <c r="AB22" s="562" t="str">
        <f t="shared" si="9"/>
        <v>ERRO</v>
      </c>
      <c r="AC22" s="562" t="str">
        <f t="shared" si="1"/>
        <v>OK</v>
      </c>
      <c r="AD22" s="562" t="str">
        <f t="shared" si="2"/>
        <v>OK</v>
      </c>
      <c r="AE22" s="562" t="str">
        <f t="shared" si="3"/>
        <v>OK</v>
      </c>
      <c r="AF22" s="774">
        <f>COMB_CORR!G20/FRO_TOT!X21</f>
        <v>496.44586728652189</v>
      </c>
      <c r="AG22" s="781">
        <f t="shared" si="11"/>
        <v>1.1641437802468853</v>
      </c>
      <c r="AH22" s="3">
        <v>1.1430086350805746</v>
      </c>
      <c r="AI22" s="757"/>
      <c r="AJ22" s="742">
        <f t="shared" si="10"/>
        <v>-179.24321169726318</v>
      </c>
      <c r="AK22" s="783">
        <v>3605.8385332804755</v>
      </c>
    </row>
    <row r="23" spans="1:37" ht="15.75" thickBot="1">
      <c r="A23" s="128" t="s">
        <v>29</v>
      </c>
      <c r="B23" s="291">
        <f>DIST_GAS_LEV!E29-AK23</f>
        <v>128862.04224816168</v>
      </c>
      <c r="C23" s="291">
        <f>DIST_GAS_LEV!Z29</f>
        <v>14884.104184179047</v>
      </c>
      <c r="D23" s="291">
        <f>DIST_GAS_MOT!B30</f>
        <v>17068</v>
      </c>
      <c r="E23" s="291">
        <f>DIST_GAS_MOT!C30</f>
        <v>96999.452778650942</v>
      </c>
      <c r="F23" s="291">
        <f>DIST_GAS_MOT!D30</f>
        <v>3125.4829064461233</v>
      </c>
      <c r="G23" s="291">
        <f>DIST_GAS_MOT!E30</f>
        <v>1388.0643149029343</v>
      </c>
      <c r="H23" s="291">
        <f>DIST_ALC_LEV!D29</f>
        <v>27843.517308341026</v>
      </c>
      <c r="I23" s="291">
        <f>DIST_ALC_LEV!U29</f>
        <v>2821.8644956253102</v>
      </c>
      <c r="J23" s="291">
        <f>DIST_DSL_CAM!B36</f>
        <v>8740.3133709981157</v>
      </c>
      <c r="K23" s="291">
        <f>DIST_DSL_CAM!C36</f>
        <v>5567.6866290018834</v>
      </c>
      <c r="L23" s="291">
        <f>DIST_DSL_CAM!D36</f>
        <v>983</v>
      </c>
      <c r="M23" s="291">
        <f>DIST_DSL_ONI!B36</f>
        <v>2289</v>
      </c>
      <c r="N23" s="291">
        <f>DIST_DSL_ONI!C36</f>
        <v>3156.7921647967628</v>
      </c>
      <c r="O23" s="291">
        <f>DIST_DSL_ONI!D36</f>
        <v>720.20783520323698</v>
      </c>
      <c r="P23" s="291">
        <f>DIST_DSL_LEV!B29</f>
        <v>261.32606962635822</v>
      </c>
      <c r="Q23" s="291">
        <f>DIST_DSL_LEV!C29</f>
        <v>8006.0110506852297</v>
      </c>
      <c r="R23" s="291">
        <f>GNV!B22</f>
        <v>20974</v>
      </c>
      <c r="T23" s="2">
        <f t="shared" si="5"/>
        <v>203652.86535661863</v>
      </c>
      <c r="U23" s="2">
        <f t="shared" si="6"/>
        <v>118581</v>
      </c>
      <c r="V23" s="2">
        <f t="shared" si="7"/>
        <v>15291</v>
      </c>
      <c r="W23" s="2">
        <f t="shared" si="8"/>
        <v>6166</v>
      </c>
      <c r="X23" s="2">
        <f>DEN!C21+DEN!F21+DEN!G21+DEN!L21</f>
        <v>203145</v>
      </c>
      <c r="Y23" s="2">
        <f>DEN!I21+DEN!J21</f>
        <v>118581</v>
      </c>
      <c r="Z23" s="2">
        <f>DEN!D21+DEN!E21</f>
        <v>15291</v>
      </c>
      <c r="AA23" s="2">
        <f>DEN!H21+DEN!K21</f>
        <v>6166</v>
      </c>
      <c r="AB23" s="562" t="str">
        <f t="shared" si="9"/>
        <v>ERRO</v>
      </c>
      <c r="AC23" s="562" t="str">
        <f t="shared" si="1"/>
        <v>OK</v>
      </c>
      <c r="AD23" s="562" t="str">
        <f t="shared" si="2"/>
        <v>OK</v>
      </c>
      <c r="AE23" s="562" t="str">
        <f t="shared" si="3"/>
        <v>OK</v>
      </c>
      <c r="AF23" s="774">
        <f>COMB_CORR!G21/FRO_TOT!X22</f>
        <v>150.04012585578218</v>
      </c>
      <c r="AG23" s="781">
        <f t="shared" si="11"/>
        <v>0.35183751303474853</v>
      </c>
      <c r="AH23" s="3">
        <v>0.34825931115283809</v>
      </c>
      <c r="AI23" s="757"/>
      <c r="AJ23" s="742">
        <f t="shared" si="10"/>
        <v>507.86535661862581</v>
      </c>
      <c r="AK23" s="783">
        <v>-9481.7270961681206</v>
      </c>
    </row>
    <row r="24" spans="1:37">
      <c r="A24" s="269" t="s">
        <v>64</v>
      </c>
      <c r="B24" s="291">
        <f t="shared" ref="B24:R24" si="15">SUM(B25:B28)</f>
        <v>11842141.584430523</v>
      </c>
      <c r="C24" s="291">
        <f t="shared" si="15"/>
        <v>1633173.4690364748</v>
      </c>
      <c r="D24" s="291">
        <f t="shared" si="15"/>
        <v>741803</v>
      </c>
      <c r="E24" s="291">
        <f t="shared" si="15"/>
        <v>4856266.3763953783</v>
      </c>
      <c r="F24" s="291">
        <f t="shared" si="15"/>
        <v>156469.30553423578</v>
      </c>
      <c r="G24" s="291">
        <f t="shared" si="15"/>
        <v>69489.318070386027</v>
      </c>
      <c r="H24" s="291">
        <f t="shared" si="15"/>
        <v>5903208.9786798172</v>
      </c>
      <c r="I24" s="291">
        <f t="shared" si="15"/>
        <v>642376.29711538053</v>
      </c>
      <c r="J24" s="291">
        <f t="shared" si="15"/>
        <v>569633.75435047888</v>
      </c>
      <c r="K24" s="291">
        <f t="shared" si="15"/>
        <v>362869.24564952112</v>
      </c>
      <c r="L24" s="291">
        <f t="shared" si="15"/>
        <v>149078</v>
      </c>
      <c r="M24" s="291">
        <f t="shared" si="15"/>
        <v>138141</v>
      </c>
      <c r="N24" s="291">
        <f t="shared" si="15"/>
        <v>175235.7069292636</v>
      </c>
      <c r="O24" s="291">
        <f t="shared" si="15"/>
        <v>39994.293070736385</v>
      </c>
      <c r="P24" s="291">
        <f t="shared" si="15"/>
        <v>15609.184166827408</v>
      </c>
      <c r="Q24" s="291">
        <f t="shared" si="15"/>
        <v>544523.05470254575</v>
      </c>
      <c r="R24" s="291">
        <f t="shared" si="15"/>
        <v>1215735</v>
      </c>
      <c r="T24" s="2">
        <f t="shared" si="5"/>
        <v>21796767.56813157</v>
      </c>
      <c r="U24" s="2">
        <f t="shared" si="6"/>
        <v>5824028</v>
      </c>
      <c r="V24" s="2">
        <f t="shared" si="7"/>
        <v>1081581</v>
      </c>
      <c r="W24" s="2">
        <f t="shared" si="8"/>
        <v>353371</v>
      </c>
      <c r="X24" s="2">
        <f>DEN!C22+DEN!F22+DEN!G22+DEN!L22</f>
        <v>21811345</v>
      </c>
      <c r="Y24" s="2">
        <f>DEN!I22+DEN!J22</f>
        <v>5824028</v>
      </c>
      <c r="Z24" s="2">
        <f>DEN!D22+DEN!E22</f>
        <v>1081581</v>
      </c>
      <c r="AA24" s="2">
        <f>DEN!H22+DEN!K22</f>
        <v>353371</v>
      </c>
      <c r="AB24" s="562" t="str">
        <f t="shared" si="9"/>
        <v>ERRO</v>
      </c>
      <c r="AC24" s="562" t="str">
        <f t="shared" si="1"/>
        <v>OK</v>
      </c>
      <c r="AD24" s="562" t="str">
        <f t="shared" si="2"/>
        <v>OK</v>
      </c>
      <c r="AE24" s="562" t="str">
        <f t="shared" si="3"/>
        <v>OK</v>
      </c>
      <c r="AF24" s="774"/>
      <c r="AG24" s="781"/>
      <c r="AI24" s="757"/>
      <c r="AJ24" s="742"/>
      <c r="AK24" s="783"/>
    </row>
    <row r="25" spans="1:37">
      <c r="A25" s="127" t="s">
        <v>31</v>
      </c>
      <c r="B25" s="291">
        <f>DIST_GAS_LEV!E31-AK25</f>
        <v>443207.08270894759</v>
      </c>
      <c r="C25" s="291">
        <f>DIST_GAS_LEV!Z31</f>
        <v>63188.524208003873</v>
      </c>
      <c r="D25" s="291">
        <f>DIST_GAS_MOT!B32</f>
        <v>50039</v>
      </c>
      <c r="E25" s="291">
        <f>DIST_GAS_MOT!C32</f>
        <v>234029.09061047513</v>
      </c>
      <c r="F25" s="291">
        <f>DIST_GAS_MOT!D32</f>
        <v>7540.1775584279076</v>
      </c>
      <c r="G25" s="291">
        <f>DIST_GAS_MOT!E32</f>
        <v>3348.7318310969499</v>
      </c>
      <c r="H25" s="291">
        <f>DIST_ALC_LEV!D31</f>
        <v>102724.92114849272</v>
      </c>
      <c r="I25" s="291">
        <f>DIST_ALC_LEV!U31</f>
        <v>13217.724811316273</v>
      </c>
      <c r="J25" s="291">
        <f>DIST_DSL_CAM!B38</f>
        <v>31147.504805091488</v>
      </c>
      <c r="K25" s="291">
        <f>DIST_DSL_CAM!C38</f>
        <v>19841.495194908512</v>
      </c>
      <c r="L25" s="291">
        <f>DIST_DSL_CAM!D38</f>
        <v>11557</v>
      </c>
      <c r="M25" s="291">
        <f>DIST_DSL_ONI!B38</f>
        <v>4470</v>
      </c>
      <c r="N25" s="291">
        <f>DIST_DSL_ONI!C38</f>
        <v>9436.2526299969941</v>
      </c>
      <c r="O25" s="291">
        <f>DIST_DSL_ONI!D38</f>
        <v>2153.7473700030059</v>
      </c>
      <c r="P25" s="291">
        <f>DIST_DSL_LEV!B31</f>
        <v>994.18981512986284</v>
      </c>
      <c r="Q25" s="291">
        <f>DIST_DSL_LEV!C31</f>
        <v>38925.663373070107</v>
      </c>
      <c r="R25" s="291">
        <f>GNV!B24</f>
        <v>37469</v>
      </c>
      <c r="T25" s="2">
        <f t="shared" si="5"/>
        <v>699727.10606496036</v>
      </c>
      <c r="U25" s="2">
        <f t="shared" si="6"/>
        <v>294957</v>
      </c>
      <c r="V25" s="2">
        <f t="shared" si="7"/>
        <v>62546</v>
      </c>
      <c r="W25" s="2">
        <f t="shared" si="8"/>
        <v>16060</v>
      </c>
      <c r="X25" s="2">
        <f>DEN!C23+DEN!F23+DEN!G23+DEN!L23</f>
        <v>698827</v>
      </c>
      <c r="Y25" s="2">
        <f>DEN!I23+DEN!J23</f>
        <v>294957</v>
      </c>
      <c r="Z25" s="2">
        <f>DEN!D23+DEN!E23</f>
        <v>62546</v>
      </c>
      <c r="AA25" s="2">
        <f>DEN!H23+DEN!K23</f>
        <v>16060</v>
      </c>
      <c r="AB25" s="562" t="str">
        <f t="shared" si="9"/>
        <v>ERRO</v>
      </c>
      <c r="AC25" s="562" t="str">
        <f t="shared" si="1"/>
        <v>OK</v>
      </c>
      <c r="AD25" s="562" t="str">
        <f t="shared" si="2"/>
        <v>OK</v>
      </c>
      <c r="AE25" s="562" t="str">
        <f t="shared" si="3"/>
        <v>OK</v>
      </c>
      <c r="AF25" s="774">
        <f>COMB_CORR!G23/FRO_TOT!X25</f>
        <v>247.52817798294939</v>
      </c>
      <c r="AG25" s="781">
        <f t="shared" si="11"/>
        <v>0.58044271857818686</v>
      </c>
      <c r="AH25" s="3">
        <v>0.57419517980900914</v>
      </c>
      <c r="AI25" s="757"/>
      <c r="AJ25" s="742">
        <f t="shared" si="10"/>
        <v>900.10606496036053</v>
      </c>
      <c r="AK25" s="783">
        <v>-17890.11204935261</v>
      </c>
    </row>
    <row r="26" spans="1:37">
      <c r="A26" s="127" t="s">
        <v>32</v>
      </c>
      <c r="B26" s="291">
        <f>DIST_GAS_LEV!E32-AK26</f>
        <v>2728455.8686507992</v>
      </c>
      <c r="C26" s="291">
        <f>DIST_GAS_LEV!Z32</f>
        <v>354740.94198300433</v>
      </c>
      <c r="D26" s="291">
        <f>DIST_GAS_MOT!B33</f>
        <v>141217</v>
      </c>
      <c r="E26" s="291">
        <f>DIST_GAS_MOT!C33</f>
        <v>1373273.8133212344</v>
      </c>
      <c r="F26" s="291">
        <f>DIST_GAS_MOT!D33</f>
        <v>44246.733729546679</v>
      </c>
      <c r="G26" s="291">
        <f>DIST_GAS_MOT!E33</f>
        <v>19650.452949218845</v>
      </c>
      <c r="H26" s="291">
        <f>DIST_ALC_LEV!D32</f>
        <v>649913.87315382296</v>
      </c>
      <c r="I26" s="291">
        <f>DIST_ALC_LEV!U32</f>
        <v>78912.260621619105</v>
      </c>
      <c r="J26" s="291">
        <f>DIST_DSL_CAM!B39</f>
        <v>142056.9375792685</v>
      </c>
      <c r="K26" s="291">
        <f>DIST_DSL_CAM!C39</f>
        <v>90493.062420731498</v>
      </c>
      <c r="L26" s="291">
        <f>DIST_DSL_CAM!D39</f>
        <v>36302</v>
      </c>
      <c r="M26" s="291">
        <f>DIST_DSL_ONI!B39</f>
        <v>25800</v>
      </c>
      <c r="N26" s="291">
        <f>DIST_DSL_ONI!C39</f>
        <v>41567.477042227547</v>
      </c>
      <c r="O26" s="291">
        <f>DIST_DSL_ONI!D39</f>
        <v>9486.5229577724513</v>
      </c>
      <c r="P26" s="291">
        <f>DIST_DSL_LEV!B32</f>
        <v>3847.831765362052</v>
      </c>
      <c r="Q26" s="291">
        <f>DIST_DSL_LEV!C32</f>
        <v>144608.382198582</v>
      </c>
      <c r="R26" s="291">
        <f>GNV!B25</f>
        <v>63513</v>
      </c>
      <c r="T26" s="2">
        <f t="shared" si="5"/>
        <v>4023992.1583731896</v>
      </c>
      <c r="U26" s="2">
        <f t="shared" si="6"/>
        <v>1578388</v>
      </c>
      <c r="V26" s="2">
        <f t="shared" si="7"/>
        <v>268852</v>
      </c>
      <c r="W26" s="2">
        <f t="shared" si="8"/>
        <v>76854</v>
      </c>
      <c r="X26" s="2">
        <f>DEN!C24+DEN!F24+DEN!G24+DEN!L24</f>
        <v>4019517</v>
      </c>
      <c r="Y26" s="2">
        <f>DEN!I24+DEN!J24</f>
        <v>1578388</v>
      </c>
      <c r="Z26" s="2">
        <f>DEN!D24+DEN!E24</f>
        <v>268852</v>
      </c>
      <c r="AA26" s="2">
        <f>DEN!H24+DEN!K24</f>
        <v>76854</v>
      </c>
      <c r="AB26" s="562" t="str">
        <f t="shared" si="9"/>
        <v>ERRO</v>
      </c>
      <c r="AC26" s="562" t="str">
        <f t="shared" si="1"/>
        <v>OK</v>
      </c>
      <c r="AD26" s="562" t="str">
        <f t="shared" si="2"/>
        <v>OK</v>
      </c>
      <c r="AE26" s="562" t="str">
        <f t="shared" si="3"/>
        <v>OK</v>
      </c>
      <c r="AF26" s="774">
        <f>COMB_CORR!G24/FRO_TOT!X26</f>
        <v>299.90097363905181</v>
      </c>
      <c r="AG26" s="781">
        <f t="shared" si="11"/>
        <v>0.70325462685418916</v>
      </c>
      <c r="AH26" s="3">
        <v>0.69898061786296994</v>
      </c>
      <c r="AI26" s="757"/>
      <c r="AJ26" s="742">
        <f t="shared" si="10"/>
        <v>4475.1583731896244</v>
      </c>
      <c r="AK26" s="783">
        <v>-96292.887326706666</v>
      </c>
    </row>
    <row r="27" spans="1:37">
      <c r="A27" s="127" t="s">
        <v>33</v>
      </c>
      <c r="B27" s="291">
        <f>DIST_GAS_LEV!E33-AK27</f>
        <v>1642548.7969189992</v>
      </c>
      <c r="C27" s="291">
        <f>DIST_GAS_LEV!Z33</f>
        <v>237999.79686649004</v>
      </c>
      <c r="D27" s="291">
        <f>DIST_GAS_MOT!B34</f>
        <v>91134</v>
      </c>
      <c r="E27" s="291">
        <f>DIST_GAS_MOT!C34</f>
        <v>456247.29973735049</v>
      </c>
      <c r="F27" s="291">
        <f>DIST_GAS_MOT!D34</f>
        <v>14700.335397598397</v>
      </c>
      <c r="G27" s="291">
        <f>DIST_GAS_MOT!E34</f>
        <v>6528.3648650510831</v>
      </c>
      <c r="H27" s="291">
        <f>DIST_ALC_LEV!D33</f>
        <v>520710.60357158002</v>
      </c>
      <c r="I27" s="291">
        <f>DIST_ALC_LEV!U33</f>
        <v>49992.530045952226</v>
      </c>
      <c r="J27" s="291">
        <f>DIST_DSL_CAM!B40</f>
        <v>62008.737987574554</v>
      </c>
      <c r="K27" s="291">
        <f>DIST_DSL_CAM!C40</f>
        <v>39501.262012425446</v>
      </c>
      <c r="L27" s="291">
        <f>DIST_DSL_CAM!D40</f>
        <v>9011</v>
      </c>
      <c r="M27" s="291">
        <f>DIST_DSL_ONI!B40</f>
        <v>27552</v>
      </c>
      <c r="N27" s="291">
        <f>DIST_DSL_ONI!C40</f>
        <v>27335.982130615605</v>
      </c>
      <c r="O27" s="291">
        <f>DIST_DSL_ONI!D40</f>
        <v>6239.0178693843973</v>
      </c>
      <c r="P27" s="291">
        <f>DIST_DSL_LEV!B33</f>
        <v>1574.4805873409662</v>
      </c>
      <c r="Q27" s="291">
        <f>DIST_DSL_LEV!C33</f>
        <v>46905.644602906264</v>
      </c>
      <c r="R27" s="291">
        <f>GNV!B26</f>
        <v>732013</v>
      </c>
      <c r="T27" s="2">
        <f t="shared" si="5"/>
        <v>3231744.8525932687</v>
      </c>
      <c r="U27" s="2">
        <f t="shared" si="6"/>
        <v>568610.00000000012</v>
      </c>
      <c r="V27" s="2">
        <f t="shared" si="7"/>
        <v>110521</v>
      </c>
      <c r="W27" s="2">
        <f t="shared" si="8"/>
        <v>61127.000000000007</v>
      </c>
      <c r="X27" s="2">
        <f>DEN!C25+DEN!F25+DEN!G25+DEN!L25</f>
        <v>3228407</v>
      </c>
      <c r="Y27" s="2">
        <f>DEN!I25+DEN!J25</f>
        <v>568610</v>
      </c>
      <c r="Z27" s="2">
        <f>DEN!D25+DEN!E25</f>
        <v>110521</v>
      </c>
      <c r="AA27" s="2">
        <f>DEN!H25+DEN!K25</f>
        <v>61127</v>
      </c>
      <c r="AB27" s="562" t="str">
        <f t="shared" si="9"/>
        <v>ERRO</v>
      </c>
      <c r="AC27" s="562" t="str">
        <f t="shared" si="1"/>
        <v>OK</v>
      </c>
      <c r="AD27" s="562" t="str">
        <f t="shared" si="2"/>
        <v>OK</v>
      </c>
      <c r="AE27" s="562" t="str">
        <f t="shared" si="3"/>
        <v>OK</v>
      </c>
      <c r="AF27" s="774">
        <f>COMB_CORR!G25/FRO_TOT!X27</f>
        <v>270.58498864290124</v>
      </c>
      <c r="AG27" s="781">
        <f t="shared" si="11"/>
        <v>0.63450992809857865</v>
      </c>
      <c r="AH27" s="3">
        <v>0.63954801443125664</v>
      </c>
      <c r="AI27" s="757"/>
      <c r="AJ27" s="742">
        <f t="shared" si="10"/>
        <v>3337.8525932687335</v>
      </c>
      <c r="AK27" s="783">
        <v>-102503.50732588163</v>
      </c>
    </row>
    <row r="28" spans="1:37" ht="15.75" thickBot="1">
      <c r="A28" s="128" t="s">
        <v>34</v>
      </c>
      <c r="B28" s="291">
        <f>DIST_GAS_LEV!E34-AK28</f>
        <v>7027929.8361517768</v>
      </c>
      <c r="C28" s="291">
        <f>DIST_GAS_LEV!Z34</f>
        <v>977244.20597897668</v>
      </c>
      <c r="D28" s="291">
        <f>DIST_GAS_MOT!B35</f>
        <v>459413</v>
      </c>
      <c r="E28" s="291">
        <f>DIST_GAS_MOT!C35</f>
        <v>2792716.1727263182</v>
      </c>
      <c r="F28" s="291">
        <f>DIST_GAS_MOT!D35</f>
        <v>89982.058848662811</v>
      </c>
      <c r="G28" s="291">
        <f>DIST_GAS_MOT!E35</f>
        <v>39961.768425019152</v>
      </c>
      <c r="H28" s="291">
        <f>DIST_ALC_LEV!D34</f>
        <v>4629859.5808059219</v>
      </c>
      <c r="I28" s="291">
        <f>DIST_ALC_LEV!U34</f>
        <v>500253.78163649293</v>
      </c>
      <c r="J28" s="291">
        <f>DIST_DSL_CAM!B41</f>
        <v>334420.57397854433</v>
      </c>
      <c r="K28" s="291">
        <f>DIST_DSL_CAM!C41</f>
        <v>213033.4260214557</v>
      </c>
      <c r="L28" s="291">
        <f>DIST_DSL_CAM!D41</f>
        <v>92208</v>
      </c>
      <c r="M28" s="291">
        <f>DIST_DSL_ONI!B41</f>
        <v>80319</v>
      </c>
      <c r="N28" s="291">
        <f>DIST_DSL_ONI!C41</f>
        <v>96895.99512642347</v>
      </c>
      <c r="O28" s="291">
        <f>DIST_DSL_ONI!D41</f>
        <v>22115.00487357653</v>
      </c>
      <c r="P28" s="291">
        <f>DIST_DSL_LEV!B34</f>
        <v>9192.681998994527</v>
      </c>
      <c r="Q28" s="291">
        <f>DIST_DSL_LEV!C34</f>
        <v>314083.36452798737</v>
      </c>
      <c r="R28" s="291">
        <f>GNV!B27</f>
        <v>382740</v>
      </c>
      <c r="T28" s="2">
        <f t="shared" si="5"/>
        <v>13841303.45110015</v>
      </c>
      <c r="U28" s="2">
        <f t="shared" si="6"/>
        <v>3382073</v>
      </c>
      <c r="V28" s="2">
        <f t="shared" si="7"/>
        <v>639662</v>
      </c>
      <c r="W28" s="2">
        <f t="shared" si="8"/>
        <v>199330</v>
      </c>
      <c r="X28" s="2">
        <f>DEN!C26+DEN!F26+DEN!G26+DEN!L26</f>
        <v>13864594</v>
      </c>
      <c r="Y28" s="2">
        <f>DEN!I26+DEN!J26</f>
        <v>3382073</v>
      </c>
      <c r="Z28" s="2">
        <f>DEN!D26+DEN!E26</f>
        <v>639662</v>
      </c>
      <c r="AA28" s="2">
        <f>DEN!H26+DEN!K26</f>
        <v>199330</v>
      </c>
      <c r="AB28" s="562" t="str">
        <f t="shared" si="9"/>
        <v>ERRO</v>
      </c>
      <c r="AC28" s="562" t="str">
        <f t="shared" si="1"/>
        <v>OK</v>
      </c>
      <c r="AD28" s="562" t="str">
        <f t="shared" si="2"/>
        <v>OK</v>
      </c>
      <c r="AE28" s="562" t="str">
        <f t="shared" si="3"/>
        <v>OK</v>
      </c>
      <c r="AF28" s="774">
        <f>COMB_CORR!G26/FRO_TOT!X28</f>
        <v>621.53602500188163</v>
      </c>
      <c r="AG28" s="781">
        <f t="shared" si="11"/>
        <v>1.4574747125202969</v>
      </c>
      <c r="AH28" s="3">
        <v>1.4676844497404591</v>
      </c>
      <c r="AI28" s="757"/>
      <c r="AJ28" s="742">
        <f t="shared" si="10"/>
        <v>-23290.548899849877</v>
      </c>
      <c r="AK28" s="783">
        <v>697606.04817226343</v>
      </c>
    </row>
    <row r="29" spans="1:37">
      <c r="A29" s="269" t="s">
        <v>69</v>
      </c>
      <c r="B29" s="291">
        <f t="shared" ref="B29:R29" si="16">SUM(B30:B32)</f>
        <v>5919025.0612545237</v>
      </c>
      <c r="C29" s="291">
        <f t="shared" si="16"/>
        <v>660742.97494751622</v>
      </c>
      <c r="D29" s="291">
        <f t="shared" si="16"/>
        <v>448424</v>
      </c>
      <c r="E29" s="291">
        <f t="shared" si="16"/>
        <v>2008171.5499133971</v>
      </c>
      <c r="F29" s="291">
        <f t="shared" si="16"/>
        <v>64703.463424070796</v>
      </c>
      <c r="G29" s="291">
        <f t="shared" si="16"/>
        <v>28735.986662532203</v>
      </c>
      <c r="H29" s="291">
        <f t="shared" si="16"/>
        <v>1158177.6038466466</v>
      </c>
      <c r="I29" s="291">
        <f t="shared" si="16"/>
        <v>125018.51096607593</v>
      </c>
      <c r="J29" s="291">
        <f t="shared" si="16"/>
        <v>295783.2677367779</v>
      </c>
      <c r="K29" s="291">
        <f t="shared" si="16"/>
        <v>188420.73226322216</v>
      </c>
      <c r="L29" s="291">
        <f t="shared" si="16"/>
        <v>122205</v>
      </c>
      <c r="M29" s="291">
        <f t="shared" si="16"/>
        <v>35431</v>
      </c>
      <c r="N29" s="291">
        <f t="shared" si="16"/>
        <v>58949.906671984128</v>
      </c>
      <c r="O29" s="291">
        <f t="shared" si="16"/>
        <v>13454.093328015875</v>
      </c>
      <c r="P29" s="291">
        <f t="shared" si="16"/>
        <v>9557.4941904787884</v>
      </c>
      <c r="Q29" s="291">
        <f t="shared" si="16"/>
        <v>309033.16343287344</v>
      </c>
      <c r="R29" s="291">
        <f t="shared" si="16"/>
        <v>136778</v>
      </c>
      <c r="T29" s="2">
        <f t="shared" si="5"/>
        <v>8318332.8086381145</v>
      </c>
      <c r="U29" s="2">
        <f t="shared" si="6"/>
        <v>2550035</v>
      </c>
      <c r="V29" s="2">
        <f t="shared" si="7"/>
        <v>606409</v>
      </c>
      <c r="W29" s="2">
        <f t="shared" si="8"/>
        <v>107835</v>
      </c>
      <c r="X29" s="2">
        <f>DEN!C27+DEN!F27+DEN!G27+DEN!L27</f>
        <v>8311113</v>
      </c>
      <c r="Y29" s="2">
        <f>DEN!I27+DEN!J27</f>
        <v>2550035</v>
      </c>
      <c r="Z29" s="2">
        <f>DEN!D27+DEN!E27</f>
        <v>606409</v>
      </c>
      <c r="AA29" s="2">
        <f>DEN!H27+DEN!K27</f>
        <v>107835</v>
      </c>
      <c r="AB29" s="562" t="str">
        <f t="shared" si="9"/>
        <v>ERRO</v>
      </c>
      <c r="AC29" s="562" t="str">
        <f t="shared" si="1"/>
        <v>OK</v>
      </c>
      <c r="AD29" s="562" t="str">
        <f t="shared" si="2"/>
        <v>OK</v>
      </c>
      <c r="AE29" s="562" t="str">
        <f t="shared" si="3"/>
        <v>OK</v>
      </c>
      <c r="AF29" s="774"/>
      <c r="AG29" s="781"/>
      <c r="AI29" s="757"/>
      <c r="AJ29" s="742"/>
      <c r="AK29" s="783"/>
    </row>
    <row r="30" spans="1:37">
      <c r="A30" s="127" t="s">
        <v>36</v>
      </c>
      <c r="B30" s="291">
        <f>DIST_GAS_LEV!E36-AK30</f>
        <v>1995706.5050275663</v>
      </c>
      <c r="C30" s="291">
        <f>DIST_GAS_LEV!Z36</f>
        <v>243028.70267704298</v>
      </c>
      <c r="D30" s="291">
        <f>DIST_GAS_MOT!B37</f>
        <v>180107</v>
      </c>
      <c r="E30" s="291">
        <f>DIST_GAS_MOT!C37</f>
        <v>729335.95452388772</v>
      </c>
      <c r="F30" s="291">
        <f>DIST_GAS_MOT!D37</f>
        <v>23499.483046826525</v>
      </c>
      <c r="G30" s="291">
        <f>DIST_GAS_MOT!E37</f>
        <v>10436.562429285741</v>
      </c>
      <c r="H30" s="291">
        <f>DIST_ALC_LEV!D36</f>
        <v>729545.71995099192</v>
      </c>
      <c r="I30" s="291">
        <f>DIST_ALC_LEV!U36</f>
        <v>81499.682817594818</v>
      </c>
      <c r="J30" s="291">
        <f>DIST_DSL_CAM!B43</f>
        <v>122745.75609283191</v>
      </c>
      <c r="K30" s="291">
        <f>DIST_DSL_CAM!C43</f>
        <v>78192.243907168086</v>
      </c>
      <c r="L30" s="291">
        <f>DIST_DSL_CAM!D43</f>
        <v>54864</v>
      </c>
      <c r="M30" s="291">
        <f>DIST_DSL_ONI!B43</f>
        <v>13277</v>
      </c>
      <c r="N30" s="291">
        <f>DIST_DSL_ONI!C43</f>
        <v>23740.019209456965</v>
      </c>
      <c r="O30" s="291">
        <f>DIST_DSL_ONI!D43</f>
        <v>5417.9807905430371</v>
      </c>
      <c r="P30" s="291">
        <f>DIST_DSL_LEV!B36</f>
        <v>3766.1966912710409</v>
      </c>
      <c r="Q30" s="291">
        <f>DIST_DSL_LEV!C36</f>
        <v>131248.92910897505</v>
      </c>
      <c r="R30" s="291">
        <f>GNV!B29</f>
        <v>27364</v>
      </c>
      <c r="T30" s="2">
        <f t="shared" si="5"/>
        <v>3212159.7362734415</v>
      </c>
      <c r="U30" s="2">
        <f t="shared" si="6"/>
        <v>943379</v>
      </c>
      <c r="V30" s="2">
        <f t="shared" si="7"/>
        <v>255802</v>
      </c>
      <c r="W30" s="2">
        <f t="shared" si="8"/>
        <v>42435</v>
      </c>
      <c r="X30" s="2">
        <f>DEN!C28+DEN!F28+DEN!G28+DEN!L28</f>
        <v>3210571</v>
      </c>
      <c r="Y30" s="2">
        <f>DEN!I28+DEN!J28</f>
        <v>943379</v>
      </c>
      <c r="Z30" s="2">
        <f>DEN!D28+DEN!E28</f>
        <v>255802</v>
      </c>
      <c r="AA30" s="2">
        <f>DEN!H28+DEN!K28</f>
        <v>42435</v>
      </c>
      <c r="AB30" s="562" t="str">
        <f t="shared" si="9"/>
        <v>ERRO</v>
      </c>
      <c r="AC30" s="562" t="str">
        <f t="shared" si="1"/>
        <v>OK</v>
      </c>
      <c r="AD30" s="562" t="str">
        <f t="shared" si="2"/>
        <v>OK</v>
      </c>
      <c r="AE30" s="562" t="str">
        <f t="shared" si="3"/>
        <v>OK</v>
      </c>
      <c r="AF30" s="774">
        <f>COMB_CORR!G28/FRO_TOT!X30</f>
        <v>371.911330026359</v>
      </c>
      <c r="AG30" s="781">
        <f t="shared" si="11"/>
        <v>0.87211575356644511</v>
      </c>
      <c r="AH30" s="3">
        <v>0.87369908374944139</v>
      </c>
      <c r="AI30" s="757"/>
      <c r="AJ30" s="742">
        <f t="shared" si="10"/>
        <v>1588.7362734414637</v>
      </c>
      <c r="AK30" s="783">
        <v>-41091.102567204274</v>
      </c>
    </row>
    <row r="31" spans="1:37">
      <c r="A31" s="127" t="s">
        <v>37</v>
      </c>
      <c r="B31" s="291">
        <f>DIST_GAS_LEV!E37-AK31</f>
        <v>2487671.9761366523</v>
      </c>
      <c r="C31" s="291">
        <f>DIST_GAS_LEV!Z37</f>
        <v>255351.99035603812</v>
      </c>
      <c r="D31" s="291">
        <f>DIST_GAS_MOT!B38</f>
        <v>117998</v>
      </c>
      <c r="E31" s="291">
        <f>DIST_GAS_MOT!C38</f>
        <v>710702.66808473726</v>
      </c>
      <c r="F31" s="291">
        <f>DIST_GAS_MOT!D38</f>
        <v>22898.73047877018</v>
      </c>
      <c r="G31" s="291">
        <f>DIST_GAS_MOT!E38</f>
        <v>10169.60143649261</v>
      </c>
      <c r="H31" s="291">
        <f>DIST_ALC_LEV!D37</f>
        <v>174917.09127565927</v>
      </c>
      <c r="I31" s="291">
        <f>DIST_ALC_LEV!U37</f>
        <v>17113.364156726297</v>
      </c>
      <c r="J31" s="291">
        <f>DIST_DSL_CAM!B44</f>
        <v>103283.28517368427</v>
      </c>
      <c r="K31" s="291">
        <f>DIST_DSL_CAM!C44</f>
        <v>65793.714826315743</v>
      </c>
      <c r="L31" s="291">
        <f>DIST_DSL_CAM!D44</f>
        <v>35652</v>
      </c>
      <c r="M31" s="291">
        <f>DIST_DSL_ONI!B44</f>
        <v>14359</v>
      </c>
      <c r="N31" s="291">
        <f>DIST_DSL_ONI!C44</f>
        <v>23551.409707039791</v>
      </c>
      <c r="O31" s="291">
        <f>DIST_DSL_ONI!D44</f>
        <v>5375.5902929602098</v>
      </c>
      <c r="P31" s="291">
        <f>DIST_DSL_LEV!B37</f>
        <v>3527.5171224523333</v>
      </c>
      <c r="Q31" s="291">
        <f>DIST_DSL_LEV!C37</f>
        <v>105922.67451035876</v>
      </c>
      <c r="R31" s="291">
        <f>GNV!B30</f>
        <v>40118</v>
      </c>
      <c r="T31" s="2">
        <f t="shared" si="5"/>
        <v>3084622.6135578873</v>
      </c>
      <c r="U31" s="2">
        <f t="shared" si="6"/>
        <v>861769.00000000012</v>
      </c>
      <c r="V31" s="2">
        <f t="shared" si="7"/>
        <v>204729</v>
      </c>
      <c r="W31" s="2">
        <f t="shared" si="8"/>
        <v>43286</v>
      </c>
      <c r="X31" s="2">
        <f>DEN!C29+DEN!F29+DEN!G29+DEN!L29</f>
        <v>3080925</v>
      </c>
      <c r="Y31" s="2">
        <f>DEN!I29+DEN!J29</f>
        <v>861769</v>
      </c>
      <c r="Z31" s="2">
        <f>DEN!D29+DEN!E29</f>
        <v>204729</v>
      </c>
      <c r="AA31" s="2">
        <f>DEN!H29+DEN!K29</f>
        <v>43286</v>
      </c>
      <c r="AB31" s="562" t="str">
        <f t="shared" si="9"/>
        <v>ERRO</v>
      </c>
      <c r="AC31" s="562" t="str">
        <f t="shared" si="1"/>
        <v>OK</v>
      </c>
      <c r="AD31" s="562" t="str">
        <f t="shared" si="2"/>
        <v>OK</v>
      </c>
      <c r="AE31" s="562" t="str">
        <f t="shared" si="3"/>
        <v>OK</v>
      </c>
      <c r="AF31" s="774">
        <f>COMB_CORR!G29/FRO_TOT!X31</f>
        <v>130.92566947890964</v>
      </c>
      <c r="AG31" s="781">
        <f t="shared" si="11"/>
        <v>0.30701495136138501</v>
      </c>
      <c r="AH31" s="3">
        <v>0.30896440526465169</v>
      </c>
      <c r="AI31" s="757"/>
      <c r="AJ31" s="742">
        <f t="shared" si="10"/>
        <v>3697.6135578872636</v>
      </c>
      <c r="AK31" s="783">
        <v>-109048.59661654988</v>
      </c>
    </row>
    <row r="32" spans="1:37" ht="15.75" thickBot="1">
      <c r="A32" s="128" t="s">
        <v>38</v>
      </c>
      <c r="B32" s="291">
        <f>DIST_GAS_LEV!E38-AK32</f>
        <v>1435646.5800903051</v>
      </c>
      <c r="C32" s="291">
        <f>DIST_GAS_LEV!Z38</f>
        <v>162362.28191443509</v>
      </c>
      <c r="D32" s="291">
        <f>DIST_GAS_MOT!B39</f>
        <v>150319</v>
      </c>
      <c r="E32" s="291">
        <f>DIST_GAS_MOT!C39</f>
        <v>568132.92730477208</v>
      </c>
      <c r="F32" s="291">
        <f>DIST_GAS_MOT!D39</f>
        <v>18305.249898474096</v>
      </c>
      <c r="G32" s="291">
        <f>DIST_GAS_MOT!E39</f>
        <v>8129.8227967538514</v>
      </c>
      <c r="H32" s="291">
        <f>DIST_ALC_LEV!D38</f>
        <v>253714.79261999542</v>
      </c>
      <c r="I32" s="291">
        <f>DIST_ALC_LEV!U38</f>
        <v>26405.463991754827</v>
      </c>
      <c r="J32" s="291">
        <f>DIST_DSL_CAM!B45</f>
        <v>69754.226470261667</v>
      </c>
      <c r="K32" s="291">
        <f>DIST_DSL_CAM!C45</f>
        <v>44434.773529738333</v>
      </c>
      <c r="L32" s="291">
        <f>DIST_DSL_CAM!D45</f>
        <v>31689</v>
      </c>
      <c r="M32" s="291">
        <f>DIST_DSL_ONI!B45</f>
        <v>7795</v>
      </c>
      <c r="N32" s="291">
        <f>DIST_DSL_ONI!C45</f>
        <v>11658.477755487373</v>
      </c>
      <c r="O32" s="291">
        <f>DIST_DSL_ONI!D45</f>
        <v>2660.5222445126269</v>
      </c>
      <c r="P32" s="291">
        <f>DIST_DSL_LEV!B38</f>
        <v>2263.7803767554151</v>
      </c>
      <c r="Q32" s="291">
        <f>DIST_DSL_LEV!C38</f>
        <v>71861.559813539629</v>
      </c>
      <c r="R32" s="291">
        <f>GNV!B31</f>
        <v>69296</v>
      </c>
      <c r="T32" s="2">
        <f t="shared" si="5"/>
        <v>2021550.4588067855</v>
      </c>
      <c r="U32" s="2">
        <f t="shared" si="6"/>
        <v>744887</v>
      </c>
      <c r="V32" s="2">
        <f t="shared" si="7"/>
        <v>145878</v>
      </c>
      <c r="W32" s="2">
        <f t="shared" si="8"/>
        <v>22114</v>
      </c>
      <c r="X32" s="2">
        <f>DEN!C30+DEN!F30+DEN!G30+DEN!L30</f>
        <v>2019617</v>
      </c>
      <c r="Y32" s="2">
        <f>DEN!I30+DEN!J30</f>
        <v>744887</v>
      </c>
      <c r="Z32" s="2">
        <f>DEN!D30+DEN!E30</f>
        <v>145878</v>
      </c>
      <c r="AA32" s="2">
        <f>DEN!H30+DEN!K30</f>
        <v>22114</v>
      </c>
      <c r="AB32" s="562" t="str">
        <f t="shared" si="9"/>
        <v>ERRO</v>
      </c>
      <c r="AC32" s="562" t="str">
        <f t="shared" si="1"/>
        <v>OK</v>
      </c>
      <c r="AD32" s="562" t="str">
        <f t="shared" si="2"/>
        <v>OK</v>
      </c>
      <c r="AE32" s="562" t="str">
        <f t="shared" si="3"/>
        <v>OK</v>
      </c>
      <c r="AF32" s="774">
        <f>COMB_CORR!G30/FRO_TOT!X32</f>
        <v>247.11381525014249</v>
      </c>
      <c r="AG32" s="781">
        <f t="shared" si="11"/>
        <v>0.57947105614739691</v>
      </c>
      <c r="AH32" s="3">
        <v>0.57757083101419771</v>
      </c>
      <c r="AI32" s="757"/>
      <c r="AJ32" s="742">
        <f t="shared" si="10"/>
        <v>1933.458806785522</v>
      </c>
      <c r="AK32" s="783">
        <v>-44809.924719238887</v>
      </c>
    </row>
    <row r="33" spans="1:37" ht="25.5">
      <c r="A33" s="274" t="s">
        <v>73</v>
      </c>
      <c r="B33" s="291">
        <f t="shared" ref="B33:R33" si="17">SUM(B34:B37)</f>
        <v>1757683.3831834784</v>
      </c>
      <c r="C33" s="291">
        <f t="shared" si="17"/>
        <v>241287.70239619073</v>
      </c>
      <c r="D33" s="291">
        <f t="shared" si="17"/>
        <v>305758</v>
      </c>
      <c r="E33" s="291">
        <f t="shared" si="17"/>
        <v>1091917.6373986527</v>
      </c>
      <c r="F33" s="291">
        <f t="shared" si="17"/>
        <v>35181.879166776271</v>
      </c>
      <c r="G33" s="291">
        <f t="shared" si="17"/>
        <v>15624.483434571202</v>
      </c>
      <c r="H33" s="291">
        <f t="shared" si="17"/>
        <v>793282.4880425483</v>
      </c>
      <c r="I33" s="291">
        <f t="shared" si="17"/>
        <v>107785.24460219042</v>
      </c>
      <c r="J33" s="291">
        <f t="shared" si="17"/>
        <v>108021.87197336344</v>
      </c>
      <c r="K33" s="291">
        <f t="shared" si="17"/>
        <v>68812.128026636565</v>
      </c>
      <c r="L33" s="291">
        <f t="shared" si="17"/>
        <v>40381</v>
      </c>
      <c r="M33" s="291">
        <f t="shared" si="17"/>
        <v>13302</v>
      </c>
      <c r="N33" s="291">
        <f t="shared" si="17"/>
        <v>28550.750039626237</v>
      </c>
      <c r="O33" s="291">
        <f t="shared" si="17"/>
        <v>6515.2499603737688</v>
      </c>
      <c r="P33" s="291">
        <f t="shared" si="17"/>
        <v>5240.0452217895654</v>
      </c>
      <c r="Q33" s="291">
        <f t="shared" si="17"/>
        <v>218860.38453782696</v>
      </c>
      <c r="R33" s="291">
        <f t="shared" si="17"/>
        <v>8571</v>
      </c>
      <c r="T33" s="2">
        <f t="shared" si="5"/>
        <v>3132710.2479840242</v>
      </c>
      <c r="U33" s="2">
        <f t="shared" si="6"/>
        <v>1448482.0000000002</v>
      </c>
      <c r="V33" s="2">
        <f t="shared" si="7"/>
        <v>217215</v>
      </c>
      <c r="W33" s="2">
        <f t="shared" si="8"/>
        <v>48368</v>
      </c>
      <c r="X33" s="2">
        <f>DEN!C31+DEN!F31+DEN!G31+DEN!L31</f>
        <v>3136301</v>
      </c>
      <c r="Y33" s="2">
        <f>DEN!I31+DEN!J31</f>
        <v>1448482</v>
      </c>
      <c r="Z33" s="2">
        <f>DEN!D31+DEN!E31</f>
        <v>217215</v>
      </c>
      <c r="AA33" s="2">
        <f>DEN!H31+DEN!K31</f>
        <v>48368</v>
      </c>
      <c r="AB33" s="562" t="str">
        <f t="shared" si="9"/>
        <v>ERRO</v>
      </c>
      <c r="AC33" s="562" t="str">
        <f t="shared" si="1"/>
        <v>OK</v>
      </c>
      <c r="AD33" s="562" t="str">
        <f t="shared" si="2"/>
        <v>OK</v>
      </c>
      <c r="AE33" s="562" t="str">
        <f t="shared" si="3"/>
        <v>OK</v>
      </c>
      <c r="AF33" s="774"/>
      <c r="AG33" s="781"/>
      <c r="AI33" s="757"/>
      <c r="AJ33" s="742"/>
      <c r="AK33" s="783"/>
    </row>
    <row r="34" spans="1:37">
      <c r="A34" s="127" t="s">
        <v>40</v>
      </c>
      <c r="B34" s="291">
        <f>DIST_GAS_LEV!E40-AK34</f>
        <v>716345.69081133592</v>
      </c>
      <c r="C34" s="291">
        <f>DIST_GAS_LEV!Z40</f>
        <v>69089.754643463617</v>
      </c>
      <c r="D34" s="291">
        <f>DIST_GAS_MOT!B41</f>
        <v>9595</v>
      </c>
      <c r="E34" s="291">
        <f>DIST_GAS_MOT!C41</f>
        <v>101347.3433883915</v>
      </c>
      <c r="F34" s="291">
        <f>DIST_GAS_MOT!D41</f>
        <v>3265.3327161881589</v>
      </c>
      <c r="G34" s="291">
        <f>DIST_GAS_MOT!E41</f>
        <v>1450.3238954203421</v>
      </c>
      <c r="H34" s="291">
        <f>DIST_ALC_LEV!D40</f>
        <v>116181.5736045837</v>
      </c>
      <c r="I34" s="291">
        <f>DIST_ALC_LEV!U40</f>
        <v>10813.216655540011</v>
      </c>
      <c r="J34" s="291">
        <f>DIST_DSL_CAM!B47</f>
        <v>10882.635865749193</v>
      </c>
      <c r="K34" s="291">
        <f>DIST_DSL_CAM!C47</f>
        <v>6932.3641342508081</v>
      </c>
      <c r="L34" s="291">
        <f>DIST_DSL_CAM!D47</f>
        <v>1856</v>
      </c>
      <c r="M34" s="291">
        <f>DIST_DSL_ONI!B47</f>
        <v>4607</v>
      </c>
      <c r="N34" s="291">
        <f>DIST_DSL_ONI!C47</f>
        <v>6545.4862681744744</v>
      </c>
      <c r="O34" s="291">
        <f>DIST_DSL_ONI!D47</f>
        <v>1493.5137318255249</v>
      </c>
      <c r="P34" s="291">
        <f>DIST_DSL_LEV!B40</f>
        <v>905.53089488803437</v>
      </c>
      <c r="Q34" s="291">
        <f>DIST_DSL_LEV!C40</f>
        <v>25728.355733064484</v>
      </c>
      <c r="R34" s="291">
        <f>GNV!B33</f>
        <v>389</v>
      </c>
      <c r="T34" s="2">
        <f t="shared" si="5"/>
        <v>939453.12234287581</v>
      </c>
      <c r="U34" s="2">
        <f t="shared" si="6"/>
        <v>115658</v>
      </c>
      <c r="V34" s="2">
        <f t="shared" si="7"/>
        <v>19671</v>
      </c>
      <c r="W34" s="2">
        <f t="shared" si="8"/>
        <v>12646</v>
      </c>
      <c r="X34" s="2">
        <f>DEN!C32+DEN!F32+DEN!G32+DEN!L32</f>
        <v>938773</v>
      </c>
      <c r="Y34" s="2">
        <f>DEN!I32+DEN!J32</f>
        <v>115658</v>
      </c>
      <c r="Z34" s="2">
        <f>DEN!D32+DEN!E32</f>
        <v>19671</v>
      </c>
      <c r="AA34" s="2">
        <f>DEN!H32+DEN!K32</f>
        <v>12646</v>
      </c>
      <c r="AB34" s="562" t="str">
        <f t="shared" si="9"/>
        <v>ERRO</v>
      </c>
      <c r="AC34" s="562" t="str">
        <f t="shared" si="1"/>
        <v>OK</v>
      </c>
      <c r="AD34" s="562" t="str">
        <f t="shared" si="2"/>
        <v>OK</v>
      </c>
      <c r="AE34" s="562" t="str">
        <f t="shared" si="3"/>
        <v>OK</v>
      </c>
      <c r="AF34" s="774">
        <f>COMB_CORR!G32/FRO_TOT!X34</f>
        <v>255.18212606002078</v>
      </c>
      <c r="AG34" s="781">
        <f t="shared" si="11"/>
        <v>0.59839089104854548</v>
      </c>
      <c r="AH34" s="3">
        <v>0.60055840223600798</v>
      </c>
      <c r="AI34" s="757"/>
      <c r="AJ34" s="742">
        <f t="shared" si="10"/>
        <v>680.12234287580941</v>
      </c>
      <c r="AK34" s="783">
        <v>-18834.744415014167</v>
      </c>
    </row>
    <row r="35" spans="1:37">
      <c r="A35" s="127" t="s">
        <v>41</v>
      </c>
      <c r="B35" s="291">
        <f>DIST_GAS_LEV!E41-AK35</f>
        <v>625884.72378289886</v>
      </c>
      <c r="C35" s="291">
        <f>DIST_GAS_LEV!Z41</f>
        <v>101107.43211918446</v>
      </c>
      <c r="D35" s="291">
        <f>DIST_GAS_MOT!B42</f>
        <v>138677</v>
      </c>
      <c r="E35" s="291">
        <f>DIST_GAS_MOT!C42</f>
        <v>484114.59179375076</v>
      </c>
      <c r="F35" s="291">
        <f>DIST_GAS_MOT!D42</f>
        <v>15598.376150502048</v>
      </c>
      <c r="G35" s="291">
        <f>DIST_GAS_MOT!E42</f>
        <v>6927.0320557472105</v>
      </c>
      <c r="H35" s="291">
        <f>DIST_ALC_LEV!D41</f>
        <v>376842.23616088682</v>
      </c>
      <c r="I35" s="291">
        <f>DIST_ALC_LEV!U41</f>
        <v>51275.696578406845</v>
      </c>
      <c r="J35" s="291">
        <f>DIST_DSL_CAM!B48</f>
        <v>46840.442756619057</v>
      </c>
      <c r="K35" s="291">
        <f>DIST_DSL_CAM!C48</f>
        <v>29838.557243380939</v>
      </c>
      <c r="L35" s="291">
        <f>DIST_DSL_CAM!D48</f>
        <v>15123</v>
      </c>
      <c r="M35" s="291">
        <f>DIST_DSL_ONI!B48</f>
        <v>4972</v>
      </c>
      <c r="N35" s="291">
        <f>DIST_DSL_ONI!C48</f>
        <v>12264.264851881506</v>
      </c>
      <c r="O35" s="291">
        <f>DIST_DSL_ONI!D48</f>
        <v>2798.7351481184946</v>
      </c>
      <c r="P35" s="291">
        <f>DIST_DSL_LEV!B41</f>
        <v>1974.6161233155808</v>
      </c>
      <c r="Q35" s="291">
        <f>DIST_DSL_LEV!C41</f>
        <v>84183.518119092216</v>
      </c>
      <c r="R35" s="291">
        <f>GNV!B34</f>
        <v>498</v>
      </c>
      <c r="T35" s="2">
        <f t="shared" si="5"/>
        <v>1241766.2228837847</v>
      </c>
      <c r="U35" s="2">
        <f t="shared" si="6"/>
        <v>645317</v>
      </c>
      <c r="V35" s="2">
        <f t="shared" si="7"/>
        <v>91802</v>
      </c>
      <c r="W35" s="2">
        <f t="shared" si="8"/>
        <v>20035</v>
      </c>
      <c r="X35" s="2">
        <f>DEN!C33+DEN!F33+DEN!G33+DEN!L33</f>
        <v>1244229</v>
      </c>
      <c r="Y35" s="2">
        <f>DEN!I33+DEN!J33</f>
        <v>645317</v>
      </c>
      <c r="Z35" s="2">
        <f>DEN!D33+DEN!E33</f>
        <v>91802</v>
      </c>
      <c r="AA35" s="2">
        <f>DEN!H33+DEN!K33</f>
        <v>20035</v>
      </c>
      <c r="AB35" s="562" t="str">
        <f t="shared" si="9"/>
        <v>ERRO</v>
      </c>
      <c r="AC35" s="562" t="str">
        <f t="shared" si="1"/>
        <v>OK</v>
      </c>
      <c r="AD35" s="562" t="str">
        <f t="shared" si="2"/>
        <v>OK</v>
      </c>
      <c r="AE35" s="562" t="str">
        <f t="shared" si="3"/>
        <v>OK</v>
      </c>
      <c r="AF35" s="774">
        <f>COMB_CORR!G33/FRO_TOT!X35</f>
        <v>622.34647063232728</v>
      </c>
      <c r="AG35" s="781">
        <f t="shared" si="11"/>
        <v>1.4593751719703241</v>
      </c>
      <c r="AH35" s="3">
        <v>1.4463520283449758</v>
      </c>
      <c r="AI35" s="757"/>
      <c r="AJ35" s="742">
        <f t="shared" si="10"/>
        <v>-2462.7771162153222</v>
      </c>
      <c r="AK35" s="783">
        <v>50202.776883122278</v>
      </c>
    </row>
    <row r="36" spans="1:37">
      <c r="A36" s="127" t="s">
        <v>42</v>
      </c>
      <c r="B36" s="291">
        <f>DIST_GAS_LEV!E42-AK36</f>
        <v>140056.19479380775</v>
      </c>
      <c r="C36" s="291">
        <f>DIST_GAS_LEV!Z42</f>
        <v>29781.415962193496</v>
      </c>
      <c r="D36" s="291">
        <f>DIST_GAS_MOT!B43</f>
        <v>100641</v>
      </c>
      <c r="E36" s="291">
        <f>DIST_GAS_MOT!C43</f>
        <v>301242.21934061468</v>
      </c>
      <c r="F36" s="291">
        <f>DIST_GAS_MOT!D43</f>
        <v>9705.985321207374</v>
      </c>
      <c r="G36" s="291">
        <f>DIST_GAS_MOT!E43</f>
        <v>4310.7953381779153</v>
      </c>
      <c r="H36" s="291">
        <f>DIST_ALC_LEV!D42</f>
        <v>193967.41569543912</v>
      </c>
      <c r="I36" s="291">
        <f>DIST_ALC_LEV!U42</f>
        <v>31295.420150200687</v>
      </c>
      <c r="J36" s="291">
        <f>DIST_DSL_CAM!B49</f>
        <v>27942.701620674554</v>
      </c>
      <c r="K36" s="291">
        <f>DIST_DSL_CAM!C49</f>
        <v>17800.298379325446</v>
      </c>
      <c r="L36" s="291">
        <f>DIST_DSL_CAM!D49</f>
        <v>15476</v>
      </c>
      <c r="M36" s="291">
        <f>DIST_DSL_ONI!B49</f>
        <v>1896</v>
      </c>
      <c r="N36" s="291">
        <f>DIST_DSL_ONI!C49</f>
        <v>5056.749322346308</v>
      </c>
      <c r="O36" s="291">
        <f>DIST_DSL_ONI!D49</f>
        <v>1154.2506776536918</v>
      </c>
      <c r="P36" s="291">
        <f>DIST_DSL_LEV!B42</f>
        <v>1292.8435567322131</v>
      </c>
      <c r="Q36" s="291">
        <f>DIST_DSL_LEV!C42</f>
        <v>64158.453211810149</v>
      </c>
      <c r="R36" s="291">
        <f>GNV!B35</f>
        <v>1659</v>
      </c>
      <c r="T36" s="2">
        <f t="shared" si="5"/>
        <v>462210.74337018345</v>
      </c>
      <c r="U36" s="2">
        <f t="shared" si="6"/>
        <v>415900</v>
      </c>
      <c r="V36" s="2">
        <f t="shared" si="7"/>
        <v>61219</v>
      </c>
      <c r="W36" s="2">
        <f t="shared" si="8"/>
        <v>8107</v>
      </c>
      <c r="X36" s="2">
        <f>DEN!C34+DEN!F34+DEN!G34+DEN!L34</f>
        <v>464034</v>
      </c>
      <c r="Y36" s="2">
        <f>DEN!I34+DEN!J34</f>
        <v>415900</v>
      </c>
      <c r="Z36" s="2">
        <f>DEN!D34+DEN!E34</f>
        <v>61219</v>
      </c>
      <c r="AA36" s="2">
        <f>DEN!H34+DEN!K34</f>
        <v>8107</v>
      </c>
      <c r="AB36" s="562" t="str">
        <f t="shared" si="9"/>
        <v>ERRO</v>
      </c>
      <c r="AC36" s="562" t="str">
        <f t="shared" si="1"/>
        <v>OK</v>
      </c>
      <c r="AD36" s="562" t="str">
        <f t="shared" si="2"/>
        <v>OK</v>
      </c>
      <c r="AE36" s="562" t="str">
        <f t="shared" si="3"/>
        <v>OK</v>
      </c>
      <c r="AF36" s="774">
        <f>COMB_CORR!G34/FRO_TOT!X36</f>
        <v>849.67201780596724</v>
      </c>
      <c r="AG36" s="781">
        <f t="shared" si="11"/>
        <v>1.9924436075681113</v>
      </c>
      <c r="AH36" s="3">
        <v>1.95344811699607</v>
      </c>
      <c r="AI36" s="757"/>
      <c r="AJ36" s="742">
        <f t="shared" si="10"/>
        <v>-1823.2566298165475</v>
      </c>
      <c r="AK36" s="783">
        <v>29981.148954805103</v>
      </c>
    </row>
    <row r="37" spans="1:37" ht="26.25" thickBot="1">
      <c r="A37" s="128" t="s">
        <v>43</v>
      </c>
      <c r="B37" s="291">
        <f>DIST_GAS_LEV!E43-AK37</f>
        <v>275396.77379543579</v>
      </c>
      <c r="C37" s="291">
        <f>DIST_GAS_LEV!Z43</f>
        <v>41309.099671349177</v>
      </c>
      <c r="D37" s="291">
        <f>DIST_GAS_MOT!B44</f>
        <v>56845</v>
      </c>
      <c r="E37" s="291">
        <f>DIST_GAS_MOT!C44</f>
        <v>205213.48287589557</v>
      </c>
      <c r="F37" s="291">
        <f>DIST_GAS_MOT!D44</f>
        <v>6612.1849788786922</v>
      </c>
      <c r="G37" s="291">
        <f>DIST_GAS_MOT!E44</f>
        <v>2936.3321452257351</v>
      </c>
      <c r="H37" s="291">
        <f>DIST_ALC_LEV!D43</f>
        <v>106291.26258163866</v>
      </c>
      <c r="I37" s="291">
        <f>DIST_ALC_LEV!U43</f>
        <v>14400.911218042882</v>
      </c>
      <c r="J37" s="291">
        <f>DIST_DSL_CAM!B50</f>
        <v>22356.091730320633</v>
      </c>
      <c r="K37" s="291">
        <f>DIST_DSL_CAM!C50</f>
        <v>14240.908269679367</v>
      </c>
      <c r="L37" s="291">
        <f>DIST_DSL_CAM!D50</f>
        <v>7926</v>
      </c>
      <c r="M37" s="291">
        <f>DIST_DSL_ONI!B50</f>
        <v>1827</v>
      </c>
      <c r="N37" s="291">
        <f>DIST_DSL_ONI!C50</f>
        <v>4684.249597223944</v>
      </c>
      <c r="O37" s="291">
        <f>DIST_DSL_ONI!D50</f>
        <v>1068.7504027760565</v>
      </c>
      <c r="P37" s="291">
        <f>DIST_DSL_LEV!B43</f>
        <v>1067.0546468537373</v>
      </c>
      <c r="Q37" s="291">
        <f>DIST_DSL_LEV!C43</f>
        <v>44790.057473860121</v>
      </c>
      <c r="R37" s="291">
        <f>GNV!B36</f>
        <v>6025</v>
      </c>
      <c r="T37" s="2">
        <f t="shared" si="5"/>
        <v>489280.15938718035</v>
      </c>
      <c r="U37" s="2">
        <f t="shared" si="6"/>
        <v>271607</v>
      </c>
      <c r="V37" s="2">
        <f t="shared" si="7"/>
        <v>44523</v>
      </c>
      <c r="W37" s="2">
        <f t="shared" si="8"/>
        <v>7580</v>
      </c>
      <c r="X37" s="2">
        <f>DEN!C35+DEN!F35+DEN!G35+DEN!L35</f>
        <v>489265</v>
      </c>
      <c r="Y37" s="2">
        <f>DEN!I35+DEN!J35</f>
        <v>271607</v>
      </c>
      <c r="Z37" s="2">
        <f>DEN!D35+DEN!E35</f>
        <v>44523</v>
      </c>
      <c r="AA37" s="2">
        <f>DEN!H35+DEN!K35</f>
        <v>7580</v>
      </c>
      <c r="AB37" s="562" t="str">
        <f t="shared" si="9"/>
        <v>ERRO</v>
      </c>
      <c r="AC37" s="562" t="str">
        <f t="shared" si="1"/>
        <v>OK</v>
      </c>
      <c r="AD37" s="562" t="str">
        <f t="shared" si="2"/>
        <v>OK</v>
      </c>
      <c r="AE37" s="562" t="str">
        <f t="shared" si="3"/>
        <v>OK</v>
      </c>
      <c r="AF37" s="774">
        <f>COMB_CORR!G35/FRO_TOT!X37</f>
        <v>425.44216882557618</v>
      </c>
      <c r="AG37" s="782">
        <f>AF37/$AF$5</f>
        <v>0.99764322221095891</v>
      </c>
      <c r="AH37" s="3">
        <v>0.99141538036573496</v>
      </c>
      <c r="AI37" s="757"/>
      <c r="AJ37" s="779">
        <f t="shared" si="10"/>
        <v>15.159387180348858</v>
      </c>
      <c r="AK37" s="784">
        <v>-325.21061914111488</v>
      </c>
    </row>
    <row r="38" spans="1:37" s="1" customFormat="1" ht="15.75" thickBot="1"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AB38" s="562"/>
      <c r="AC38" s="562"/>
      <c r="AD38" s="562"/>
      <c r="AE38" s="562"/>
      <c r="AF38" s="772"/>
      <c r="AG38" s="780"/>
      <c r="AH38" s="3"/>
      <c r="AJ38" s="719">
        <f>SUM(AJ7:AJ37)</f>
        <v>-27460.17901245848</v>
      </c>
      <c r="AK38" s="719">
        <f>SUM(AK7:AK37)</f>
        <v>698780.57620357361</v>
      </c>
    </row>
    <row r="39" spans="1:37" ht="15.75" customHeight="1" thickBot="1">
      <c r="A39" s="1051" t="s">
        <v>436</v>
      </c>
      <c r="B39" s="1054">
        <v>2005</v>
      </c>
      <c r="C39" s="1055"/>
      <c r="D39" s="1055"/>
      <c r="E39" s="1055"/>
      <c r="F39" s="1055"/>
      <c r="G39" s="1055"/>
      <c r="H39" s="1055"/>
      <c r="I39" s="1055"/>
      <c r="J39" s="1055"/>
      <c r="K39" s="1055"/>
      <c r="L39" s="1055"/>
      <c r="M39" s="1055"/>
      <c r="N39" s="1055"/>
      <c r="O39" s="1055"/>
      <c r="P39" s="1055"/>
      <c r="Q39" s="1055"/>
      <c r="R39" s="1078"/>
      <c r="AJ39" s="719"/>
    </row>
    <row r="40" spans="1:37">
      <c r="A40" s="1052"/>
      <c r="B40" s="1060" t="s">
        <v>97</v>
      </c>
      <c r="C40" s="1061"/>
      <c r="D40" s="1061"/>
      <c r="E40" s="1061"/>
      <c r="F40" s="1061"/>
      <c r="G40" s="1061"/>
      <c r="H40" s="1061" t="s">
        <v>98</v>
      </c>
      <c r="I40" s="1061"/>
      <c r="J40" s="1061" t="s">
        <v>99</v>
      </c>
      <c r="K40" s="1061"/>
      <c r="L40" s="1061"/>
      <c r="M40" s="1061"/>
      <c r="N40" s="1061"/>
      <c r="O40" s="1061"/>
      <c r="P40" s="1061"/>
      <c r="Q40" s="1061"/>
      <c r="R40" s="289" t="s">
        <v>100</v>
      </c>
      <c r="AJ40" s="719"/>
    </row>
    <row r="41" spans="1:37" ht="15.75" thickBot="1">
      <c r="A41" s="1052"/>
      <c r="B41" s="1062" t="s">
        <v>101</v>
      </c>
      <c r="C41" s="1064" t="s">
        <v>102</v>
      </c>
      <c r="D41" s="1064" t="s">
        <v>103</v>
      </c>
      <c r="E41" s="1064"/>
      <c r="F41" s="1064"/>
      <c r="G41" s="1064"/>
      <c r="H41" s="1062" t="s">
        <v>101</v>
      </c>
      <c r="I41" s="1064" t="s">
        <v>102</v>
      </c>
      <c r="J41" s="1064" t="s">
        <v>104</v>
      </c>
      <c r="K41" s="1064"/>
      <c r="L41" s="1064"/>
      <c r="M41" s="1064" t="s">
        <v>105</v>
      </c>
      <c r="N41" s="1064"/>
      <c r="O41" s="1064"/>
      <c r="P41" s="1062" t="s">
        <v>101</v>
      </c>
      <c r="Q41" s="1064" t="s">
        <v>102</v>
      </c>
      <c r="R41" s="1062" t="s">
        <v>101</v>
      </c>
      <c r="T41" s="1189" t="s">
        <v>425</v>
      </c>
      <c r="U41" s="1189"/>
      <c r="V41" s="1189"/>
      <c r="W41" s="1189"/>
      <c r="X41" s="1189" t="s">
        <v>426</v>
      </c>
      <c r="Y41" s="1189"/>
      <c r="Z41" s="1189"/>
      <c r="AA41" s="1189"/>
      <c r="AB41" s="1190" t="s">
        <v>427</v>
      </c>
      <c r="AC41" s="1190"/>
      <c r="AD41" s="1190"/>
      <c r="AE41" s="1190"/>
      <c r="AJ41" s="719"/>
    </row>
    <row r="42" spans="1:37" ht="15.75" thickBot="1">
      <c r="A42" s="1053"/>
      <c r="B42" s="1063"/>
      <c r="C42" s="1065"/>
      <c r="D42" s="290" t="s">
        <v>106</v>
      </c>
      <c r="E42" s="290" t="s">
        <v>107</v>
      </c>
      <c r="F42" s="290" t="s">
        <v>108</v>
      </c>
      <c r="G42" s="290" t="s">
        <v>109</v>
      </c>
      <c r="H42" s="1063"/>
      <c r="I42" s="1065"/>
      <c r="J42" s="290" t="s">
        <v>110</v>
      </c>
      <c r="K42" s="290" t="s">
        <v>111</v>
      </c>
      <c r="L42" s="290" t="s">
        <v>112</v>
      </c>
      <c r="M42" s="290" t="s">
        <v>113</v>
      </c>
      <c r="N42" s="290" t="s">
        <v>114</v>
      </c>
      <c r="O42" s="290" t="s">
        <v>115</v>
      </c>
      <c r="P42" s="1063"/>
      <c r="Q42" s="1065"/>
      <c r="R42" s="1063"/>
      <c r="T42" s="1" t="s">
        <v>428</v>
      </c>
      <c r="U42" s="1" t="s">
        <v>429</v>
      </c>
      <c r="V42" s="1" t="s">
        <v>293</v>
      </c>
      <c r="W42" s="1" t="s">
        <v>296</v>
      </c>
      <c r="X42" s="1" t="s">
        <v>428</v>
      </c>
      <c r="Y42" s="1" t="s">
        <v>429</v>
      </c>
      <c r="Z42" s="1" t="s">
        <v>293</v>
      </c>
      <c r="AA42" s="1" t="s">
        <v>296</v>
      </c>
      <c r="AB42" s="562" t="s">
        <v>428</v>
      </c>
      <c r="AC42" s="562" t="s">
        <v>429</v>
      </c>
      <c r="AD42" s="562" t="s">
        <v>293</v>
      </c>
      <c r="AE42" s="562" t="s">
        <v>296</v>
      </c>
      <c r="AF42" s="773" t="s">
        <v>430</v>
      </c>
      <c r="AG42" s="54" t="s">
        <v>431</v>
      </c>
      <c r="AJ42" s="719"/>
    </row>
    <row r="43" spans="1:37" ht="15.75" thickBot="1">
      <c r="A43" s="164" t="s">
        <v>11</v>
      </c>
      <c r="B43" s="291">
        <f>B44+B52+B62+B67+B71</f>
        <v>25110043.09597009</v>
      </c>
      <c r="C43" s="291">
        <f t="shared" ref="C43:R43" si="18">C44+C52+C62+C67+C71</f>
        <v>3421119.7458038898</v>
      </c>
      <c r="D43" s="291">
        <f t="shared" si="18"/>
        <v>2287533</v>
      </c>
      <c r="E43" s="291">
        <f t="shared" si="18"/>
        <v>12540744.394068826</v>
      </c>
      <c r="F43" s="291">
        <f t="shared" si="18"/>
        <v>404065.54725034337</v>
      </c>
      <c r="G43" s="291">
        <f t="shared" si="18"/>
        <v>179449.05868082982</v>
      </c>
      <c r="H43" s="291">
        <f t="shared" si="18"/>
        <v>8894633.9617409203</v>
      </c>
      <c r="I43" s="291">
        <f t="shared" si="18"/>
        <v>1033502.3627787787</v>
      </c>
      <c r="J43" s="291">
        <f t="shared" si="18"/>
        <v>1270096.4382720909</v>
      </c>
      <c r="K43" s="291">
        <f t="shared" si="18"/>
        <v>809079.56172790902</v>
      </c>
      <c r="L43" s="291">
        <f t="shared" si="18"/>
        <v>387589</v>
      </c>
      <c r="M43" s="291">
        <f t="shared" si="18"/>
        <v>258974</v>
      </c>
      <c r="N43" s="291">
        <f t="shared" si="18"/>
        <v>355704.38285010488</v>
      </c>
      <c r="O43" s="291">
        <f t="shared" si="18"/>
        <v>81180.617149895144</v>
      </c>
      <c r="P43" s="291">
        <f t="shared" si="18"/>
        <v>43534.002215589549</v>
      </c>
      <c r="Q43" s="291">
        <f t="shared" si="18"/>
        <v>1640029.7677088473</v>
      </c>
      <c r="R43" s="291">
        <f t="shared" si="18"/>
        <v>1625953</v>
      </c>
      <c r="T43" s="2">
        <f>B43+C43+H43+I43+P43+Q43+R43</f>
        <v>41768815.936218105</v>
      </c>
      <c r="U43" s="2">
        <f>D43+E43+F43+G43</f>
        <v>15411792</v>
      </c>
      <c r="V43" s="2">
        <f>J43+K43+L43</f>
        <v>2466765</v>
      </c>
      <c r="W43" s="2">
        <f>M43+N43+O43</f>
        <v>695859.00000000012</v>
      </c>
      <c r="X43" s="2">
        <f>DEN!C39+DEN!F39+DEN!G39+DEN!L39</f>
        <v>41779291</v>
      </c>
      <c r="Y43" s="2">
        <f>DEN!I39+DEN!J39</f>
        <v>15411792</v>
      </c>
      <c r="Z43" s="2">
        <f>DEN!D39+DEN!E39</f>
        <v>2466765</v>
      </c>
      <c r="AA43" s="2">
        <f>DEN!H39+DEN!K39</f>
        <v>695859</v>
      </c>
      <c r="AB43" s="562" t="str">
        <f>IF(T43=X43,"OK","ERRO")</f>
        <v>ERRO</v>
      </c>
      <c r="AC43" s="562" t="str">
        <f>IF(U43=Y43,"OK","ERRO")</f>
        <v>OK</v>
      </c>
      <c r="AD43" s="562" t="str">
        <f>IF(V43=Z43,"OK","ERRO")</f>
        <v>OK</v>
      </c>
      <c r="AE43" s="562" t="str">
        <f>IF(W43=AA43,"OK","ERRO")</f>
        <v>OK</v>
      </c>
      <c r="AF43" s="774">
        <f>COMB_CORR!H3/FRO_TOT!T43</f>
        <v>387.32244707880056</v>
      </c>
      <c r="AG43" s="778"/>
      <c r="AJ43" s="719"/>
    </row>
    <row r="44" spans="1:37">
      <c r="A44" s="269" t="s">
        <v>46</v>
      </c>
      <c r="B44" s="291">
        <f t="shared" ref="B44:R44" si="19">SUM(B45:B51)</f>
        <v>857543.7554766885</v>
      </c>
      <c r="C44" s="291">
        <f t="shared" si="19"/>
        <v>139100.83358360382</v>
      </c>
      <c r="D44" s="291">
        <f t="shared" si="19"/>
        <v>244901</v>
      </c>
      <c r="E44" s="291">
        <f t="shared" si="19"/>
        <v>893218.4353454489</v>
      </c>
      <c r="F44" s="291">
        <f t="shared" si="19"/>
        <v>28780.345633988116</v>
      </c>
      <c r="G44" s="291">
        <f t="shared" si="19"/>
        <v>12781.219020562978</v>
      </c>
      <c r="H44" s="291">
        <f t="shared" si="19"/>
        <v>105091.43814111434</v>
      </c>
      <c r="I44" s="291">
        <f t="shared" si="19"/>
        <v>16809.554017441995</v>
      </c>
      <c r="J44" s="291">
        <f t="shared" si="19"/>
        <v>64212.800178778292</v>
      </c>
      <c r="K44" s="291">
        <f t="shared" si="19"/>
        <v>40904.1998212217</v>
      </c>
      <c r="L44" s="291">
        <f t="shared" si="19"/>
        <v>13307</v>
      </c>
      <c r="M44" s="291">
        <f t="shared" si="19"/>
        <v>9784</v>
      </c>
      <c r="N44" s="291">
        <f t="shared" si="19"/>
        <v>19337.552622300362</v>
      </c>
      <c r="O44" s="291">
        <f t="shared" si="19"/>
        <v>4412.4473776996329</v>
      </c>
      <c r="P44" s="291">
        <f t="shared" si="19"/>
        <v>3010.9609486888057</v>
      </c>
      <c r="Q44" s="291">
        <f t="shared" si="19"/>
        <v>143152.78941253858</v>
      </c>
      <c r="R44" s="291">
        <f t="shared" si="19"/>
        <v>237</v>
      </c>
      <c r="T44" s="2">
        <f t="shared" ref="T44:T75" si="20">B44+C44+H44+I44+P44+Q44+R44</f>
        <v>1264946.3315800761</v>
      </c>
      <c r="U44" s="2">
        <f t="shared" ref="U44:U75" si="21">D44+E44+F44+G44</f>
        <v>1179681</v>
      </c>
      <c r="V44" s="2">
        <f t="shared" ref="V44:V75" si="22">J44+K44+L44</f>
        <v>118424</v>
      </c>
      <c r="W44" s="2">
        <f t="shared" ref="W44:W75" si="23">M44+N44+O44</f>
        <v>33533.999999999993</v>
      </c>
      <c r="X44" s="2">
        <f>DEN!C40+DEN!F40+DEN!G40+DEN!L40</f>
        <v>1263449</v>
      </c>
      <c r="Y44" s="2">
        <f>DEN!I40+DEN!J40</f>
        <v>1179681</v>
      </c>
      <c r="Z44" s="2">
        <f>DEN!D40+DEN!E40</f>
        <v>118424</v>
      </c>
      <c r="AA44" s="2">
        <f>DEN!H40+DEN!K40</f>
        <v>33534</v>
      </c>
      <c r="AB44" s="562" t="str">
        <f t="shared" ref="AB44:AB75" si="24">IF(T44=X44,"OK","ERRO")</f>
        <v>ERRO</v>
      </c>
      <c r="AC44" s="562" t="str">
        <f t="shared" ref="AC44:AC75" si="25">IF(U44=Y44,"OK","ERRO")</f>
        <v>OK</v>
      </c>
      <c r="AD44" s="562" t="str">
        <f t="shared" ref="AD44:AD75" si="26">IF(V44=Z44,"OK","ERRO")</f>
        <v>OK</v>
      </c>
      <c r="AE44" s="562" t="str">
        <f t="shared" ref="AE44:AE75" si="27">IF(W44=AA44,"OK","ERRO")</f>
        <v>OK</v>
      </c>
      <c r="AF44" s="774"/>
      <c r="AG44" s="778"/>
      <c r="AJ44" s="776" t="s">
        <v>432</v>
      </c>
      <c r="AK44" s="777" t="s">
        <v>433</v>
      </c>
    </row>
    <row r="45" spans="1:37">
      <c r="A45" s="127" t="s">
        <v>13</v>
      </c>
      <c r="B45" s="291">
        <f>DIST_GAS_LEV!I13-AK45</f>
        <v>43017.55241354469</v>
      </c>
      <c r="C45" s="291">
        <f>DIST_GAS_LEV!AC13</f>
        <v>6381.0558608235497</v>
      </c>
      <c r="D45" s="291">
        <f>DIST_GAS_MOT!F14</f>
        <v>11429</v>
      </c>
      <c r="E45" s="291">
        <f>DIST_GAS_MOT!G14</f>
        <v>53634.07039904705</v>
      </c>
      <c r="F45" s="291">
        <f>DIST_GAS_MOT!H14</f>
        <v>1728.3627159023229</v>
      </c>
      <c r="G45" s="291">
        <f>DIST_GAS_MOT!I14</f>
        <v>767.56688505062539</v>
      </c>
      <c r="H45" s="291">
        <f>DIST_ALC_LEV!G13</f>
        <v>4569.1442855122268</v>
      </c>
      <c r="I45" s="291">
        <f>DIST_ALC_LEV!X13</f>
        <v>671.45871247891205</v>
      </c>
      <c r="J45" s="291">
        <f>DIST_DSL_CAM!E20</f>
        <v>2994.5572755417957</v>
      </c>
      <c r="K45" s="291">
        <f>DIST_DSL_CAM!F20</f>
        <v>1907.4427244582043</v>
      </c>
      <c r="L45" s="291">
        <f>DIST_DSL_CAM!G20</f>
        <v>392</v>
      </c>
      <c r="M45" s="291">
        <f>DIST_DSL_ONI!E20</f>
        <v>164</v>
      </c>
      <c r="N45" s="291">
        <f>DIST_DSL_ONI!F20</f>
        <v>425.7881040892193</v>
      </c>
      <c r="O45" s="291">
        <f>DIST_DSL_ONI!G20</f>
        <v>97.211895910780669</v>
      </c>
      <c r="P45" s="291">
        <f>DIST_DSL_LEV!E13</f>
        <v>209.04349681425566</v>
      </c>
      <c r="Q45" s="291">
        <f>DIST_DSL_LEV!F13</f>
        <v>9356.0634011554885</v>
      </c>
      <c r="R45" s="291">
        <f>GNV!C6</f>
        <v>0</v>
      </c>
      <c r="T45" s="2">
        <f t="shared" si="20"/>
        <v>64204.318170329127</v>
      </c>
      <c r="U45" s="2">
        <f t="shared" si="21"/>
        <v>67558.999999999985</v>
      </c>
      <c r="V45" s="2">
        <f t="shared" si="22"/>
        <v>5294</v>
      </c>
      <c r="W45" s="2">
        <f t="shared" si="23"/>
        <v>687</v>
      </c>
      <c r="X45" s="2">
        <f>DEN!C41+DEN!F41+DEN!G41+DEN!L41</f>
        <v>64095</v>
      </c>
      <c r="Y45" s="2">
        <f>DEN!I41+DEN!J41</f>
        <v>67559</v>
      </c>
      <c r="Z45" s="2">
        <f>DEN!D41+DEN!E41</f>
        <v>5294</v>
      </c>
      <c r="AA45" s="2">
        <f>DEN!H41+DEN!K41</f>
        <v>687</v>
      </c>
      <c r="AB45" s="562" t="str">
        <f t="shared" si="24"/>
        <v>ERRO</v>
      </c>
      <c r="AC45" s="562" t="str">
        <f t="shared" si="25"/>
        <v>OK</v>
      </c>
      <c r="AD45" s="562" t="str">
        <f t="shared" si="26"/>
        <v>OK</v>
      </c>
      <c r="AE45" s="562" t="str">
        <f t="shared" si="27"/>
        <v>OK</v>
      </c>
      <c r="AF45" s="774">
        <f>COMB_CORR!H5/FRO_TOT!T45</f>
        <v>158.70732533396384</v>
      </c>
      <c r="AG45" s="781">
        <f>AF45/$AF$43</f>
        <v>0.40975504138977753</v>
      </c>
      <c r="AH45" s="3">
        <v>0.40007073076800431</v>
      </c>
      <c r="AJ45" s="742">
        <f t="shared" si="10"/>
        <v>109.31817032912659</v>
      </c>
      <c r="AK45" s="783">
        <v>-1650.5204278106248</v>
      </c>
    </row>
    <row r="46" spans="1:37">
      <c r="A46" s="127" t="s">
        <v>14</v>
      </c>
      <c r="B46" s="291">
        <f>DIST_GAS_LEV!I14-AK46</f>
        <v>45883.012114541205</v>
      </c>
      <c r="C46" s="291">
        <f>DIST_GAS_LEV!AC14</f>
        <v>7967.3540826743756</v>
      </c>
      <c r="D46" s="291">
        <f>DIST_GAS_MOT!F15</f>
        <v>6303</v>
      </c>
      <c r="E46" s="291">
        <f>DIST_GAS_MOT!G15</f>
        <v>30602.105850817261</v>
      </c>
      <c r="F46" s="291">
        <f>DIST_GAS_MOT!H15</f>
        <v>986.26938347743715</v>
      </c>
      <c r="G46" s="291">
        <f>DIST_GAS_MOT!I15</f>
        <v>437.62476570530265</v>
      </c>
      <c r="H46" s="291">
        <f>DIST_ALC_LEV!G14</f>
        <v>2468.4304081168084</v>
      </c>
      <c r="I46" s="291">
        <f>DIST_ALC_LEV!X14</f>
        <v>422.41214213612233</v>
      </c>
      <c r="J46" s="291">
        <f>DIST_DSL_CAM!E21</f>
        <v>1857.8122866894198</v>
      </c>
      <c r="K46" s="291">
        <f>DIST_DSL_CAM!F21</f>
        <v>1183.1877133105802</v>
      </c>
      <c r="L46" s="291">
        <f>DIST_DSL_CAM!G21</f>
        <v>188</v>
      </c>
      <c r="M46" s="291">
        <f>DIST_DSL_ONI!E21</f>
        <v>296</v>
      </c>
      <c r="N46" s="291">
        <f>DIST_DSL_ONI!F21</f>
        <v>455.3718220338983</v>
      </c>
      <c r="O46" s="291">
        <f>DIST_DSL_ONI!G21</f>
        <v>103.6281779661017</v>
      </c>
      <c r="P46" s="291">
        <f>DIST_DSL_LEV!E14</f>
        <v>116.38313433493413</v>
      </c>
      <c r="Q46" s="291">
        <f>DIST_DSL_LEV!F14</f>
        <v>5967.5213015766521</v>
      </c>
      <c r="R46" s="291">
        <f>GNV!C7</f>
        <v>0</v>
      </c>
      <c r="T46" s="2">
        <f t="shared" si="20"/>
        <v>62825.113183380097</v>
      </c>
      <c r="U46" s="2">
        <f t="shared" si="21"/>
        <v>38329</v>
      </c>
      <c r="V46" s="2">
        <f t="shared" si="22"/>
        <v>3229</v>
      </c>
      <c r="W46" s="2">
        <f t="shared" si="23"/>
        <v>855</v>
      </c>
      <c r="X46" s="2">
        <f>DEN!C42+DEN!F42+DEN!G42+DEN!L42</f>
        <v>62772</v>
      </c>
      <c r="Y46" s="2">
        <f>DEN!I42+DEN!J42</f>
        <v>38329</v>
      </c>
      <c r="Z46" s="2">
        <f>DEN!D42+DEN!E42</f>
        <v>3229</v>
      </c>
      <c r="AA46" s="2">
        <f>DEN!H42+DEN!K42</f>
        <v>855</v>
      </c>
      <c r="AB46" s="562" t="str">
        <f t="shared" si="24"/>
        <v>ERRO</v>
      </c>
      <c r="AC46" s="562" t="str">
        <f t="shared" si="25"/>
        <v>OK</v>
      </c>
      <c r="AD46" s="562" t="str">
        <f t="shared" si="26"/>
        <v>OK</v>
      </c>
      <c r="AE46" s="562" t="str">
        <f t="shared" si="27"/>
        <v>OK</v>
      </c>
      <c r="AF46" s="774">
        <f>COMB_CORR!H6/FRO_TOT!T46</f>
        <v>114.82324442168161</v>
      </c>
      <c r="AG46" s="781">
        <f t="shared" ref="AG46:AG75" si="28">AF46/$AF$43</f>
        <v>0.29645388561309194</v>
      </c>
      <c r="AH46" s="3">
        <v>0.28928976052974442</v>
      </c>
      <c r="AJ46" s="742">
        <f t="shared" si="10"/>
        <v>53.113183380097325</v>
      </c>
      <c r="AK46" s="783">
        <v>-793.91676190681756</v>
      </c>
    </row>
    <row r="47" spans="1:37">
      <c r="A47" s="127" t="s">
        <v>15</v>
      </c>
      <c r="B47" s="291">
        <f>DIST_GAS_LEV!I15-AK47</f>
        <v>230996.94310997904</v>
      </c>
      <c r="C47" s="291">
        <f>DIST_GAS_LEV!AC15</f>
        <v>42691.269063680447</v>
      </c>
      <c r="D47" s="291">
        <f>DIST_GAS_MOT!F16</f>
        <v>26690</v>
      </c>
      <c r="E47" s="291">
        <f>DIST_GAS_MOT!G16</f>
        <v>108002.42346527695</v>
      </c>
      <c r="F47" s="291">
        <f>DIST_GAS_MOT!H16</f>
        <v>3479.9905370887836</v>
      </c>
      <c r="G47" s="291">
        <f>DIST_GAS_MOT!I16</f>
        <v>1545.5859976342722</v>
      </c>
      <c r="H47" s="291">
        <f>DIST_ALC_LEV!G15</f>
        <v>19864.145045820143</v>
      </c>
      <c r="I47" s="291">
        <f>DIST_ALC_LEV!X15</f>
        <v>3549.8885799608529</v>
      </c>
      <c r="J47" s="291">
        <f>DIST_DSL_CAM!E22</f>
        <v>9663.023248252317</v>
      </c>
      <c r="K47" s="291">
        <f>DIST_DSL_CAM!F22</f>
        <v>6155.976751747683</v>
      </c>
      <c r="L47" s="291">
        <f>DIST_DSL_CAM!G22</f>
        <v>1990</v>
      </c>
      <c r="M47" s="291">
        <f>DIST_DSL_ONI!E22</f>
        <v>2439</v>
      </c>
      <c r="N47" s="291">
        <f>DIST_DSL_ONI!F22</f>
        <v>4899.2145186616735</v>
      </c>
      <c r="O47" s="291">
        <f>DIST_DSL_ONI!G22</f>
        <v>1117.7854813383258</v>
      </c>
      <c r="P47" s="291">
        <f>DIST_DSL_LEV!E15</f>
        <v>444.13541417190146</v>
      </c>
      <c r="Q47" s="291">
        <f>DIST_DSL_LEV!F15</f>
        <v>24365.897175274793</v>
      </c>
      <c r="R47" s="291">
        <f>GNV!C8</f>
        <v>177</v>
      </c>
      <c r="T47" s="2">
        <f t="shared" si="20"/>
        <v>322089.27838888718</v>
      </c>
      <c r="U47" s="2">
        <f t="shared" si="21"/>
        <v>139718</v>
      </c>
      <c r="V47" s="2">
        <f t="shared" si="22"/>
        <v>17809</v>
      </c>
      <c r="W47" s="2">
        <f t="shared" si="23"/>
        <v>8456</v>
      </c>
      <c r="X47" s="2">
        <f>DEN!C43+DEN!F43+DEN!G43+DEN!L43</f>
        <v>321759</v>
      </c>
      <c r="Y47" s="2">
        <f>DEN!I43+DEN!J43</f>
        <v>139718</v>
      </c>
      <c r="Z47" s="2">
        <f>DEN!D43+DEN!E43</f>
        <v>17809</v>
      </c>
      <c r="AA47" s="2">
        <f>DEN!H43+DEN!K43</f>
        <v>8456</v>
      </c>
      <c r="AB47" s="562" t="str">
        <f t="shared" si="24"/>
        <v>ERRO</v>
      </c>
      <c r="AC47" s="562" t="str">
        <f t="shared" si="25"/>
        <v>OK</v>
      </c>
      <c r="AD47" s="562" t="str">
        <f t="shared" si="26"/>
        <v>OK</v>
      </c>
      <c r="AE47" s="562" t="str">
        <f t="shared" si="27"/>
        <v>OK</v>
      </c>
      <c r="AF47" s="774">
        <f>COMB_CORR!H7/FRO_TOT!T47</f>
        <v>182.84850701390451</v>
      </c>
      <c r="AG47" s="781">
        <f t="shared" si="28"/>
        <v>0.47208342401261361</v>
      </c>
      <c r="AH47" s="3">
        <v>0.46872876306277256</v>
      </c>
      <c r="AJ47" s="742">
        <f t="shared" si="10"/>
        <v>330.27838888717815</v>
      </c>
      <c r="AK47" s="783">
        <v>-6852.1440323868301</v>
      </c>
    </row>
    <row r="48" spans="1:37">
      <c r="A48" s="127" t="s">
        <v>16</v>
      </c>
      <c r="B48" s="291">
        <f>DIST_GAS_LEV!I16-AK48</f>
        <v>302584.98502309067</v>
      </c>
      <c r="C48" s="291">
        <f>DIST_GAS_LEV!AC16</f>
        <v>40963.052047188452</v>
      </c>
      <c r="D48" s="291">
        <f>DIST_GAS_MOT!F17</f>
        <v>74886</v>
      </c>
      <c r="E48" s="291">
        <f>DIST_GAS_MOT!G17</f>
        <v>317588.72753296152</v>
      </c>
      <c r="F48" s="291">
        <f>DIST_GAS_MOT!H17</f>
        <v>10232.834642525484</v>
      </c>
      <c r="G48" s="291">
        <f>DIST_GAS_MOT!I17</f>
        <v>4544.4378245129965</v>
      </c>
      <c r="H48" s="291">
        <f>DIST_ALC_LEV!G16</f>
        <v>24075.128221881889</v>
      </c>
      <c r="I48" s="291">
        <f>DIST_ALC_LEV!X16</f>
        <v>3262.1594075435341</v>
      </c>
      <c r="J48" s="291">
        <f>DIST_DSL_CAM!E23</f>
        <v>23654.743816472917</v>
      </c>
      <c r="K48" s="291">
        <f>DIST_DSL_CAM!F23</f>
        <v>15068.256183527083</v>
      </c>
      <c r="L48" s="291">
        <f>DIST_DSL_CAM!G23</f>
        <v>3802</v>
      </c>
      <c r="M48" s="291">
        <f>DIST_DSL_ONI!E23</f>
        <v>4604</v>
      </c>
      <c r="N48" s="291">
        <f>DIST_DSL_ONI!F23</f>
        <v>7907.437969658301</v>
      </c>
      <c r="O48" s="291">
        <f>DIST_DSL_ONI!G23</f>
        <v>1804.5620303416986</v>
      </c>
      <c r="P48" s="291">
        <f>DIST_DSL_LEV!E16</f>
        <v>1115.0559165847799</v>
      </c>
      <c r="Q48" s="291">
        <f>DIST_DSL_LEV!F16</f>
        <v>45920.394614233817</v>
      </c>
      <c r="R48" s="291">
        <f>GNV!C9</f>
        <v>60</v>
      </c>
      <c r="T48" s="2">
        <f t="shared" si="20"/>
        <v>417980.77523052314</v>
      </c>
      <c r="U48" s="2">
        <f t="shared" si="21"/>
        <v>407252</v>
      </c>
      <c r="V48" s="2">
        <f t="shared" si="22"/>
        <v>42525</v>
      </c>
      <c r="W48" s="2">
        <f t="shared" si="23"/>
        <v>14316</v>
      </c>
      <c r="X48" s="2">
        <f>DEN!C44+DEN!F44+DEN!G44+DEN!L44</f>
        <v>417247</v>
      </c>
      <c r="Y48" s="2">
        <f>DEN!I44+DEN!J44</f>
        <v>407252</v>
      </c>
      <c r="Z48" s="2">
        <f>DEN!D44+DEN!E44</f>
        <v>42525</v>
      </c>
      <c r="AA48" s="2">
        <f>DEN!H44+DEN!K44</f>
        <v>14316</v>
      </c>
      <c r="AB48" s="562" t="str">
        <f t="shared" si="24"/>
        <v>ERRO</v>
      </c>
      <c r="AC48" s="562" t="str">
        <f t="shared" si="25"/>
        <v>OK</v>
      </c>
      <c r="AD48" s="562" t="str">
        <f t="shared" si="26"/>
        <v>OK</v>
      </c>
      <c r="AE48" s="562" t="str">
        <f t="shared" si="27"/>
        <v>OK</v>
      </c>
      <c r="AF48" s="774">
        <f>COMB_CORR!H8/FRO_TOT!T48</f>
        <v>120.592555866295</v>
      </c>
      <c r="AG48" s="781">
        <f t="shared" si="28"/>
        <v>0.3113492563516736</v>
      </c>
      <c r="AH48" s="3">
        <v>0.30612820531285007</v>
      </c>
      <c r="AJ48" s="742">
        <f t="shared" si="10"/>
        <v>733.77523052314064</v>
      </c>
      <c r="AK48" s="783">
        <v>-12514.119957548159</v>
      </c>
    </row>
    <row r="49" spans="1:37">
      <c r="A49" s="127" t="s">
        <v>17</v>
      </c>
      <c r="B49" s="291">
        <f>DIST_GAS_LEV!I17-AK49</f>
        <v>117365.52336153944</v>
      </c>
      <c r="C49" s="291">
        <f>DIST_GAS_LEV!AC17</f>
        <v>19654.813691815041</v>
      </c>
      <c r="D49" s="291">
        <f>DIST_GAS_MOT!F18</f>
        <v>62952</v>
      </c>
      <c r="E49" s="291">
        <f>DIST_GAS_MOT!G18</f>
        <v>214231.50709813106</v>
      </c>
      <c r="F49" s="291">
        <f>DIST_GAS_MOT!H18</f>
        <v>6902.8580533116647</v>
      </c>
      <c r="G49" s="291">
        <f>DIST_GAS_MOT!I18</f>
        <v>3065.6348485572712</v>
      </c>
      <c r="H49" s="291">
        <f>DIST_ALC_LEV!G17</f>
        <v>24405.549465007323</v>
      </c>
      <c r="I49" s="291">
        <f>DIST_ALC_LEV!X17</f>
        <v>4075.584933384268</v>
      </c>
      <c r="J49" s="291">
        <f>DIST_DSL_CAM!E24</f>
        <v>13093.063917368601</v>
      </c>
      <c r="K49" s="291">
        <f>DIST_DSL_CAM!F24</f>
        <v>8340.9360826313987</v>
      </c>
      <c r="L49" s="291">
        <f>DIST_DSL_CAM!G24</f>
        <v>3888</v>
      </c>
      <c r="M49" s="291">
        <f>DIST_DSL_ONI!E24</f>
        <v>698</v>
      </c>
      <c r="N49" s="291">
        <f>DIST_DSL_ONI!F24</f>
        <v>2786.8292172457095</v>
      </c>
      <c r="O49" s="291">
        <f>DIST_DSL_ONI!G24</f>
        <v>636.17078275429049</v>
      </c>
      <c r="P49" s="291">
        <f>DIST_DSL_LEV!E17</f>
        <v>542.9351775978173</v>
      </c>
      <c r="Q49" s="291">
        <f>DIST_DSL_LEV!F17</f>
        <v>27285.203689924576</v>
      </c>
      <c r="R49" s="291">
        <f>GNV!C10</f>
        <v>0</v>
      </c>
      <c r="T49" s="2">
        <f t="shared" si="20"/>
        <v>193329.61031926848</v>
      </c>
      <c r="U49" s="2">
        <f t="shared" si="21"/>
        <v>287152</v>
      </c>
      <c r="V49" s="2">
        <f t="shared" si="22"/>
        <v>25322</v>
      </c>
      <c r="W49" s="2">
        <f t="shared" si="23"/>
        <v>4121</v>
      </c>
      <c r="X49" s="2">
        <f>DEN!C45+DEN!F45+DEN!G45+DEN!L45</f>
        <v>193090</v>
      </c>
      <c r="Y49" s="2">
        <f>DEN!I45+DEN!J45</f>
        <v>287152</v>
      </c>
      <c r="Z49" s="2">
        <f>DEN!D45+DEN!E45</f>
        <v>25322</v>
      </c>
      <c r="AA49" s="2">
        <f>DEN!H45+DEN!K45</f>
        <v>4121</v>
      </c>
      <c r="AB49" s="562" t="str">
        <f t="shared" si="24"/>
        <v>ERRO</v>
      </c>
      <c r="AC49" s="562" t="str">
        <f t="shared" si="25"/>
        <v>OK</v>
      </c>
      <c r="AD49" s="562" t="str">
        <f t="shared" si="26"/>
        <v>OK</v>
      </c>
      <c r="AE49" s="562" t="str">
        <f t="shared" si="27"/>
        <v>OK</v>
      </c>
      <c r="AF49" s="774">
        <f>COMB_CORR!H9/FRO_TOT!T49</f>
        <v>222.49731307828432</v>
      </c>
      <c r="AG49" s="781">
        <f t="shared" si="28"/>
        <v>0.57444982793113808</v>
      </c>
      <c r="AH49" s="3">
        <v>0.55644260210903995</v>
      </c>
      <c r="AJ49" s="742">
        <f t="shared" si="10"/>
        <v>239.61031926848227</v>
      </c>
      <c r="AK49" s="783">
        <v>-3269.5127230047074</v>
      </c>
    </row>
    <row r="50" spans="1:37">
      <c r="A50" s="127" t="s">
        <v>18</v>
      </c>
      <c r="B50" s="291">
        <f>DIST_GAS_LEV!I18-AK50</f>
        <v>36898.382966936697</v>
      </c>
      <c r="C50" s="291">
        <f>DIST_GAS_LEV!AC18</f>
        <v>7551.3152917697789</v>
      </c>
      <c r="D50" s="291">
        <f>DIST_GAS_MOT!F19</f>
        <v>10960</v>
      </c>
      <c r="E50" s="291">
        <f>DIST_GAS_MOT!G19</f>
        <v>44407.983650796152</v>
      </c>
      <c r="F50" s="291">
        <f>DIST_GAS_MOT!H19</f>
        <v>1430.8831726292865</v>
      </c>
      <c r="G50" s="291">
        <f>DIST_GAS_MOT!I19</f>
        <v>635.13317657455775</v>
      </c>
      <c r="H50" s="291">
        <f>DIST_ALC_LEV!G18</f>
        <v>1023.8305761464449</v>
      </c>
      <c r="I50" s="291">
        <f>DIST_ALC_LEV!X18</f>
        <v>207.17715501710501</v>
      </c>
      <c r="J50" s="291">
        <f>DIST_DSL_CAM!E25</f>
        <v>1863.42919153554</v>
      </c>
      <c r="K50" s="291">
        <f>DIST_DSL_CAM!F25</f>
        <v>1186.5708084644602</v>
      </c>
      <c r="L50" s="291">
        <f>DIST_DSL_CAM!G25</f>
        <v>297</v>
      </c>
      <c r="M50" s="291">
        <f>DIST_DSL_ONI!E25</f>
        <v>392</v>
      </c>
      <c r="N50" s="291">
        <f>DIST_DSL_ONI!F25</f>
        <v>490.17811704834605</v>
      </c>
      <c r="O50" s="291">
        <f>DIST_DSL_ONI!G25</f>
        <v>111.82188295165395</v>
      </c>
      <c r="P50" s="291">
        <f>DIST_DSL_LEV!E18</f>
        <v>126.31037111062179</v>
      </c>
      <c r="Q50" s="291">
        <f>DIST_DSL_LEV!F18</f>
        <v>7647.9337960491193</v>
      </c>
      <c r="R50" s="291">
        <f>GNV!C11</f>
        <v>0</v>
      </c>
      <c r="T50" s="2">
        <f t="shared" si="20"/>
        <v>53454.950157029765</v>
      </c>
      <c r="U50" s="2">
        <f t="shared" si="21"/>
        <v>57433.999999999993</v>
      </c>
      <c r="V50" s="2">
        <f t="shared" si="22"/>
        <v>3347</v>
      </c>
      <c r="W50" s="2">
        <f t="shared" si="23"/>
        <v>994</v>
      </c>
      <c r="X50" s="2">
        <f>DEN!C46+DEN!F46+DEN!G46+DEN!L46</f>
        <v>53382</v>
      </c>
      <c r="Y50" s="2">
        <f>DEN!I46+DEN!J46</f>
        <v>57434</v>
      </c>
      <c r="Z50" s="2">
        <f>DEN!D46+DEN!E46</f>
        <v>3347</v>
      </c>
      <c r="AA50" s="2">
        <f>DEN!H46+DEN!K46</f>
        <v>994</v>
      </c>
      <c r="AB50" s="562" t="str">
        <f t="shared" si="24"/>
        <v>ERRO</v>
      </c>
      <c r="AC50" s="562" t="str">
        <f t="shared" si="25"/>
        <v>OK</v>
      </c>
      <c r="AD50" s="562" t="str">
        <f t="shared" si="26"/>
        <v>OK</v>
      </c>
      <c r="AE50" s="562" t="str">
        <f t="shared" si="27"/>
        <v>OK</v>
      </c>
      <c r="AF50" s="774">
        <f>COMB_CORR!H10/FRO_TOT!T50</f>
        <v>55.338653001399038</v>
      </c>
      <c r="AG50" s="781">
        <f t="shared" si="28"/>
        <v>0.1428748925314427</v>
      </c>
      <c r="AH50" s="3">
        <v>0.1373926146007004</v>
      </c>
      <c r="AJ50" s="742">
        <f t="shared" si="10"/>
        <v>72.950157029765251</v>
      </c>
      <c r="AK50" s="783">
        <v>-902.46305878697603</v>
      </c>
    </row>
    <row r="51" spans="1:37" ht="15.75" thickBot="1">
      <c r="A51" s="128" t="s">
        <v>19</v>
      </c>
      <c r="B51" s="291">
        <f>DIST_GAS_LEV!I19-AK51</f>
        <v>80797.356487056764</v>
      </c>
      <c r="C51" s="291">
        <f>DIST_GAS_LEV!AC19</f>
        <v>13891.973545652183</v>
      </c>
      <c r="D51" s="291">
        <f>DIST_GAS_MOT!F20</f>
        <v>51681</v>
      </c>
      <c r="E51" s="291">
        <f>DIST_GAS_MOT!G20</f>
        <v>124751.61734841891</v>
      </c>
      <c r="F51" s="291">
        <f>DIST_GAS_MOT!H20</f>
        <v>4019.1471290531344</v>
      </c>
      <c r="G51" s="291">
        <f>DIST_GAS_MOT!I20</f>
        <v>1785.2355225279507</v>
      </c>
      <c r="H51" s="291">
        <f>DIST_ALC_LEV!G19</f>
        <v>28685.210138629507</v>
      </c>
      <c r="I51" s="291">
        <f>DIST_ALC_LEV!X19</f>
        <v>4620.8730869211995</v>
      </c>
      <c r="J51" s="291">
        <f>DIST_DSL_CAM!E26</f>
        <v>11086.170442917703</v>
      </c>
      <c r="K51" s="291">
        <f>DIST_DSL_CAM!F26</f>
        <v>7061.8295570822984</v>
      </c>
      <c r="L51" s="291">
        <f>DIST_DSL_CAM!G26</f>
        <v>2750</v>
      </c>
      <c r="M51" s="291">
        <f>DIST_DSL_ONI!E26</f>
        <v>1191</v>
      </c>
      <c r="N51" s="291">
        <f>DIST_DSL_ONI!F26</f>
        <v>2372.7328735632186</v>
      </c>
      <c r="O51" s="291">
        <f>DIST_DSL_ONI!G26</f>
        <v>541.26712643678161</v>
      </c>
      <c r="P51" s="291">
        <f>DIST_DSL_LEV!E19</f>
        <v>457.09743807449519</v>
      </c>
      <c r="Q51" s="291">
        <f>DIST_DSL_LEV!F19</f>
        <v>22609.77543432411</v>
      </c>
      <c r="R51" s="291">
        <f>GNV!C12</f>
        <v>0</v>
      </c>
      <c r="T51" s="2">
        <f t="shared" si="20"/>
        <v>151062.28613065826</v>
      </c>
      <c r="U51" s="2">
        <f t="shared" si="21"/>
        <v>182237</v>
      </c>
      <c r="V51" s="2">
        <f t="shared" si="22"/>
        <v>20898</v>
      </c>
      <c r="W51" s="2">
        <f t="shared" si="23"/>
        <v>4105</v>
      </c>
      <c r="X51" s="2">
        <f>DEN!C47+DEN!F47+DEN!G47+DEN!L47</f>
        <v>151104</v>
      </c>
      <c r="Y51" s="2">
        <f>DEN!I47+DEN!J47</f>
        <v>182237</v>
      </c>
      <c r="Z51" s="2">
        <f>DEN!D47+DEN!E47</f>
        <v>20898</v>
      </c>
      <c r="AA51" s="2">
        <f>DEN!H47+DEN!K47</f>
        <v>4105</v>
      </c>
      <c r="AB51" s="562" t="str">
        <f t="shared" si="24"/>
        <v>ERRO</v>
      </c>
      <c r="AC51" s="562" t="str">
        <f t="shared" si="25"/>
        <v>OK</v>
      </c>
      <c r="AD51" s="562" t="str">
        <f t="shared" si="26"/>
        <v>OK</v>
      </c>
      <c r="AE51" s="562" t="str">
        <f t="shared" si="27"/>
        <v>OK</v>
      </c>
      <c r="AF51" s="774">
        <f>COMB_CORR!H11/FRO_TOT!T51</f>
        <v>429.53496569822454</v>
      </c>
      <c r="AG51" s="781">
        <f t="shared" si="28"/>
        <v>1.1089854691815366</v>
      </c>
      <c r="AH51" s="3">
        <v>1.0916054573052072</v>
      </c>
      <c r="AJ51" s="742">
        <f t="shared" si="10"/>
        <v>-41.713869341736427</v>
      </c>
      <c r="AK51" s="783">
        <v>722.90474660127074</v>
      </c>
    </row>
    <row r="52" spans="1:37">
      <c r="A52" s="269" t="s">
        <v>54</v>
      </c>
      <c r="B52" s="291">
        <f t="shared" ref="B52:R52" si="29">SUM(B53:B61)</f>
        <v>2827497.3974807789</v>
      </c>
      <c r="C52" s="291">
        <f t="shared" si="29"/>
        <v>422823.66670560656</v>
      </c>
      <c r="D52" s="291">
        <f t="shared" si="29"/>
        <v>400179</v>
      </c>
      <c r="E52" s="291">
        <f t="shared" si="29"/>
        <v>2940986.0022435826</v>
      </c>
      <c r="F52" s="291">
        <f t="shared" si="29"/>
        <v>94759.541233201744</v>
      </c>
      <c r="G52" s="291">
        <f t="shared" si="29"/>
        <v>42083.456523215355</v>
      </c>
      <c r="H52" s="291">
        <f t="shared" si="29"/>
        <v>805896.81824161229</v>
      </c>
      <c r="I52" s="291">
        <f t="shared" si="29"/>
        <v>106218.7127018258</v>
      </c>
      <c r="J52" s="291">
        <f t="shared" si="29"/>
        <v>187136.25280111042</v>
      </c>
      <c r="K52" s="291">
        <f t="shared" si="29"/>
        <v>119210.74719888958</v>
      </c>
      <c r="L52" s="291">
        <f t="shared" si="29"/>
        <v>30902</v>
      </c>
      <c r="M52" s="291">
        <f t="shared" si="29"/>
        <v>49286</v>
      </c>
      <c r="N52" s="291">
        <f t="shared" si="29"/>
        <v>60100.380649062165</v>
      </c>
      <c r="O52" s="291">
        <f t="shared" si="29"/>
        <v>13716.619350937835</v>
      </c>
      <c r="P52" s="291">
        <f t="shared" si="29"/>
        <v>7812.3195927374572</v>
      </c>
      <c r="Q52" s="291">
        <f t="shared" si="29"/>
        <v>315628.67599533481</v>
      </c>
      <c r="R52" s="291">
        <f t="shared" si="29"/>
        <v>258022</v>
      </c>
      <c r="T52" s="2">
        <f t="shared" si="20"/>
        <v>4743899.5907178959</v>
      </c>
      <c r="U52" s="2">
        <f t="shared" si="21"/>
        <v>3478008</v>
      </c>
      <c r="V52" s="2">
        <f t="shared" si="22"/>
        <v>337249</v>
      </c>
      <c r="W52" s="2">
        <f t="shared" si="23"/>
        <v>123103</v>
      </c>
      <c r="X52" s="2">
        <f>DEN!C48+DEN!F48+DEN!G48+DEN!L48</f>
        <v>4740264</v>
      </c>
      <c r="Y52" s="2">
        <f>DEN!I48+DEN!J48</f>
        <v>3478008</v>
      </c>
      <c r="Z52" s="2">
        <f>DEN!D48+DEN!E48</f>
        <v>337249</v>
      </c>
      <c r="AA52" s="2">
        <f>DEN!H48+DEN!K48</f>
        <v>123103</v>
      </c>
      <c r="AB52" s="562" t="str">
        <f t="shared" si="24"/>
        <v>ERRO</v>
      </c>
      <c r="AC52" s="562" t="str">
        <f t="shared" si="25"/>
        <v>OK</v>
      </c>
      <c r="AD52" s="562" t="str">
        <f t="shared" si="26"/>
        <v>OK</v>
      </c>
      <c r="AE52" s="562" t="str">
        <f t="shared" si="27"/>
        <v>OK</v>
      </c>
      <c r="AF52" s="774"/>
      <c r="AG52" s="781"/>
      <c r="AJ52" s="742"/>
      <c r="AK52" s="783"/>
    </row>
    <row r="53" spans="1:37">
      <c r="A53" s="127" t="s">
        <v>21</v>
      </c>
      <c r="B53" s="291">
        <f>DIST_GAS_LEV!I21-AK53</f>
        <v>131577.09962609306</v>
      </c>
      <c r="C53" s="291">
        <f>DIST_GAS_LEV!AC21</f>
        <v>20122.723040716672</v>
      </c>
      <c r="D53" s="291">
        <f>DIST_GAS_MOT!F22</f>
        <v>17945</v>
      </c>
      <c r="E53" s="291">
        <f>DIST_GAS_MOT!G22</f>
        <v>111462.80587197261</v>
      </c>
      <c r="F53" s="291">
        <f>DIST_GAS_MOT!H22</f>
        <v>3591.200616044634</v>
      </c>
      <c r="G53" s="291">
        <f>DIST_GAS_MOT!I22</f>
        <v>1594.9935119827549</v>
      </c>
      <c r="H53" s="291">
        <f>DIST_ALC_LEV!G21</f>
        <v>48838.317961964822</v>
      </c>
      <c r="I53" s="291">
        <f>DIST_ALC_LEV!X21</f>
        <v>6236.629477422468</v>
      </c>
      <c r="J53" s="291">
        <f>DIST_DSL_CAM!E28</f>
        <v>8962.1941525562161</v>
      </c>
      <c r="K53" s="291">
        <f>DIST_DSL_CAM!F28</f>
        <v>5708.8058474437848</v>
      </c>
      <c r="L53" s="291">
        <f>DIST_DSL_CAM!G28</f>
        <v>1412</v>
      </c>
      <c r="M53" s="291">
        <f>DIST_DSL_ONI!E28</f>
        <v>4159</v>
      </c>
      <c r="N53" s="291">
        <f>DIST_DSL_ONI!F28</f>
        <v>3503.1482352941175</v>
      </c>
      <c r="O53" s="291">
        <f>DIST_DSL_ONI!G28</f>
        <v>799.85176470588237</v>
      </c>
      <c r="P53" s="291">
        <f>DIST_DSL_LEV!E21</f>
        <v>377.13571333510782</v>
      </c>
      <c r="Q53" s="291">
        <f>DIST_DSL_LEV!F21</f>
        <v>14907.979161618608</v>
      </c>
      <c r="R53" s="291">
        <f>GNV!C14</f>
        <v>18459</v>
      </c>
      <c r="T53" s="2">
        <f t="shared" si="20"/>
        <v>240518.88498115071</v>
      </c>
      <c r="U53" s="2">
        <f t="shared" si="21"/>
        <v>134594</v>
      </c>
      <c r="V53" s="2">
        <f t="shared" si="22"/>
        <v>16083</v>
      </c>
      <c r="W53" s="2">
        <f t="shared" si="23"/>
        <v>8462</v>
      </c>
      <c r="X53" s="2">
        <f>DEN!C49+DEN!F49+DEN!G49+DEN!L49</f>
        <v>240378</v>
      </c>
      <c r="Y53" s="2">
        <f>DEN!I49+DEN!J49</f>
        <v>134594</v>
      </c>
      <c r="Z53" s="2">
        <f>DEN!D49+DEN!E49</f>
        <v>16083</v>
      </c>
      <c r="AA53" s="2">
        <f>DEN!H49+DEN!K49</f>
        <v>8462</v>
      </c>
      <c r="AB53" s="562" t="str">
        <f t="shared" si="24"/>
        <v>ERRO</v>
      </c>
      <c r="AC53" s="562" t="str">
        <f t="shared" si="25"/>
        <v>OK</v>
      </c>
      <c r="AD53" s="562" t="str">
        <f t="shared" si="26"/>
        <v>OK</v>
      </c>
      <c r="AE53" s="562" t="str">
        <f t="shared" si="27"/>
        <v>OK</v>
      </c>
      <c r="AF53" s="774">
        <f>COMB_CORR!H13/FRO_TOT!T53</f>
        <v>339.56719790312388</v>
      </c>
      <c r="AG53" s="781">
        <f t="shared" si="28"/>
        <v>0.87670415299746129</v>
      </c>
      <c r="AH53" s="3">
        <v>0.86579927742702079</v>
      </c>
      <c r="AJ53" s="742">
        <f t="shared" si="10"/>
        <v>140.88498115070979</v>
      </c>
      <c r="AK53" s="783">
        <v>-2603.0452624928148</v>
      </c>
    </row>
    <row r="54" spans="1:37">
      <c r="A54" s="127" t="s">
        <v>22</v>
      </c>
      <c r="B54" s="291">
        <f>DIST_GAS_LEV!I22-AK54</f>
        <v>692027.32921357208</v>
      </c>
      <c r="C54" s="291">
        <f>DIST_GAS_LEV!AC22</f>
        <v>119394.96769457718</v>
      </c>
      <c r="D54" s="291">
        <f>DIST_GAS_MOT!F23</f>
        <v>83304</v>
      </c>
      <c r="E54" s="291">
        <f>DIST_GAS_MOT!G23</f>
        <v>613491.47590089531</v>
      </c>
      <c r="F54" s="291">
        <f>DIST_GAS_MOT!H23</f>
        <v>19767.04096268045</v>
      </c>
      <c r="G54" s="291">
        <f>DIST_GAS_MOT!I23</f>
        <v>8778.4831364242473</v>
      </c>
      <c r="H54" s="291">
        <f>DIST_ALC_LEV!G22</f>
        <v>261863.03098466143</v>
      </c>
      <c r="I54" s="291">
        <f>DIST_ALC_LEV!X22</f>
        <v>38154.785612505693</v>
      </c>
      <c r="J54" s="291">
        <f>DIST_DSL_CAM!E29</f>
        <v>49598.49165393263</v>
      </c>
      <c r="K54" s="291">
        <f>DIST_DSL_CAM!F29</f>
        <v>31595.508346067374</v>
      </c>
      <c r="L54" s="291">
        <f>DIST_DSL_CAM!G29</f>
        <v>11223</v>
      </c>
      <c r="M54" s="291">
        <f>DIST_DSL_ONI!E29</f>
        <v>15334</v>
      </c>
      <c r="N54" s="291">
        <f>DIST_DSL_ONI!F29</f>
        <v>21076.040559736455</v>
      </c>
      <c r="O54" s="291">
        <f>DIST_DSL_ONI!G29</f>
        <v>4809.9594402635475</v>
      </c>
      <c r="P54" s="291">
        <f>DIST_DSL_LEV!E22</f>
        <v>1840.2530160112087</v>
      </c>
      <c r="Q54" s="291">
        <f>DIST_DSL_LEV!F22</f>
        <v>82463.081404674609</v>
      </c>
      <c r="R54" s="291">
        <f>GNV!C15</f>
        <v>68866</v>
      </c>
      <c r="T54" s="2">
        <f t="shared" si="20"/>
        <v>1264609.4479260021</v>
      </c>
      <c r="U54" s="2">
        <f t="shared" si="21"/>
        <v>725341</v>
      </c>
      <c r="V54" s="2">
        <f t="shared" si="22"/>
        <v>92417</v>
      </c>
      <c r="W54" s="2">
        <f t="shared" si="23"/>
        <v>41220.000000000007</v>
      </c>
      <c r="X54" s="2">
        <f>DEN!C50+DEN!F50+DEN!G50+DEN!L50</f>
        <v>1264916</v>
      </c>
      <c r="Y54" s="2">
        <f>DEN!I50+DEN!J50</f>
        <v>725341</v>
      </c>
      <c r="Z54" s="2">
        <f>DEN!D50+DEN!E50</f>
        <v>92417</v>
      </c>
      <c r="AA54" s="2">
        <f>DEN!H50+DEN!K50</f>
        <v>41220</v>
      </c>
      <c r="AB54" s="562" t="str">
        <f t="shared" si="24"/>
        <v>ERRO</v>
      </c>
      <c r="AC54" s="562" t="str">
        <f t="shared" si="25"/>
        <v>OK</v>
      </c>
      <c r="AD54" s="562" t="str">
        <f t="shared" si="26"/>
        <v>OK</v>
      </c>
      <c r="AE54" s="562" t="str">
        <f t="shared" si="27"/>
        <v>OK</v>
      </c>
      <c r="AF54" s="774">
        <f>COMB_CORR!H14/FRO_TOT!T54</f>
        <v>422.93615148065902</v>
      </c>
      <c r="AG54" s="781">
        <f t="shared" si="28"/>
        <v>1.0919484648268085</v>
      </c>
      <c r="AH54" s="3">
        <v>1.0799761203206917</v>
      </c>
      <c r="AJ54" s="742">
        <f t="shared" si="10"/>
        <v>-306.55207399791107</v>
      </c>
      <c r="AK54" s="783">
        <v>5980.8366474888753</v>
      </c>
    </row>
    <row r="55" spans="1:37">
      <c r="A55" s="127" t="s">
        <v>23</v>
      </c>
      <c r="B55" s="291">
        <f>DIST_GAS_LEV!I23-AK55</f>
        <v>475350.19006174162</v>
      </c>
      <c r="C55" s="291">
        <f>DIST_GAS_LEV!AC23</f>
        <v>65114.276300904487</v>
      </c>
      <c r="D55" s="291">
        <f>DIST_GAS_MOT!F24</f>
        <v>69535</v>
      </c>
      <c r="E55" s="291">
        <f>DIST_GAS_MOT!G24</f>
        <v>609174.46755060786</v>
      </c>
      <c r="F55" s="291">
        <f>DIST_GAS_MOT!H24</f>
        <v>19627.697914896085</v>
      </c>
      <c r="G55" s="291">
        <f>DIST_GAS_MOT!I24</f>
        <v>8716.8345344961017</v>
      </c>
      <c r="H55" s="291">
        <f>DIST_ALC_LEV!G23</f>
        <v>119851.19339813381</v>
      </c>
      <c r="I55" s="291">
        <f>DIST_ALC_LEV!X23</f>
        <v>14861.167980446333</v>
      </c>
      <c r="J55" s="291">
        <f>DIST_DSL_CAM!E30</f>
        <v>29187.837113437043</v>
      </c>
      <c r="K55" s="291">
        <f>DIST_DSL_CAM!F30</f>
        <v>18593.162886562961</v>
      </c>
      <c r="L55" s="291">
        <f>DIST_DSL_CAM!G30</f>
        <v>4625</v>
      </c>
      <c r="M55" s="291">
        <f>DIST_DSL_ONI!E30</f>
        <v>6646</v>
      </c>
      <c r="N55" s="291">
        <f>DIST_DSL_ONI!F30</f>
        <v>8203.9728772696453</v>
      </c>
      <c r="O55" s="291">
        <f>DIST_DSL_ONI!G30</f>
        <v>1872.0271227303549</v>
      </c>
      <c r="P55" s="291">
        <f>DIST_DSL_LEV!E23</f>
        <v>1730.8617242869288</v>
      </c>
      <c r="Q55" s="291">
        <f>DIST_DSL_LEV!F23</f>
        <v>65349.470654957739</v>
      </c>
      <c r="R55" s="291">
        <f>GNV!C16</f>
        <v>47027</v>
      </c>
      <c r="T55" s="2">
        <f t="shared" si="20"/>
        <v>789284.16012047091</v>
      </c>
      <c r="U55" s="2">
        <f t="shared" si="21"/>
        <v>707054</v>
      </c>
      <c r="V55" s="2">
        <f t="shared" si="22"/>
        <v>52406</v>
      </c>
      <c r="W55" s="2">
        <f t="shared" si="23"/>
        <v>16722</v>
      </c>
      <c r="X55" s="2">
        <f>DEN!C51+DEN!F51+DEN!G51+DEN!L51</f>
        <v>788102</v>
      </c>
      <c r="Y55" s="2">
        <f>DEN!I51+DEN!J51</f>
        <v>707054</v>
      </c>
      <c r="Z55" s="2">
        <f>DEN!D51+DEN!E51</f>
        <v>52406</v>
      </c>
      <c r="AA55" s="2">
        <f>DEN!H51+DEN!K51</f>
        <v>16722</v>
      </c>
      <c r="AB55" s="562" t="str">
        <f t="shared" si="24"/>
        <v>ERRO</v>
      </c>
      <c r="AC55" s="562" t="str">
        <f t="shared" si="25"/>
        <v>OK</v>
      </c>
      <c r="AD55" s="562" t="str">
        <f t="shared" si="26"/>
        <v>OK</v>
      </c>
      <c r="AE55" s="562" t="str">
        <f t="shared" si="27"/>
        <v>OK</v>
      </c>
      <c r="AF55" s="774">
        <f>COMB_CORR!H15/FRO_TOT!T55</f>
        <v>214.16636477862122</v>
      </c>
      <c r="AG55" s="781">
        <f t="shared" si="28"/>
        <v>0.55294075103023699</v>
      </c>
      <c r="AH55" s="3">
        <v>0.54826045363270615</v>
      </c>
      <c r="AJ55" s="742">
        <f t="shared" si="10"/>
        <v>1182.160120470915</v>
      </c>
      <c r="AK55" s="783">
        <v>-23281.336727535469</v>
      </c>
    </row>
    <row r="56" spans="1:37">
      <c r="A56" s="127" t="s">
        <v>24</v>
      </c>
      <c r="B56" s="291">
        <f>DIST_GAS_LEV!I24-AK56</f>
        <v>201799.81213270719</v>
      </c>
      <c r="C56" s="291">
        <f>DIST_GAS_LEV!AC24</f>
        <v>36372.37381431309</v>
      </c>
      <c r="D56" s="291">
        <f>DIST_GAS_MOT!F25</f>
        <v>54856</v>
      </c>
      <c r="E56" s="291">
        <f>DIST_GAS_MOT!G25</f>
        <v>311909.63310766802</v>
      </c>
      <c r="F56" s="291">
        <f>DIST_GAS_MOT!H25</f>
        <v>10049.741017704668</v>
      </c>
      <c r="G56" s="291">
        <f>DIST_GAS_MOT!I25</f>
        <v>4463.6258746272943</v>
      </c>
      <c r="H56" s="291">
        <f>DIST_ALC_LEV!G24</f>
        <v>28696.629401332848</v>
      </c>
      <c r="I56" s="291">
        <f>DIST_ALC_LEV!X24</f>
        <v>4975.2769612752354</v>
      </c>
      <c r="J56" s="291">
        <f>DIST_DSL_CAM!E31</f>
        <v>14271.747240376499</v>
      </c>
      <c r="K56" s="291">
        <f>DIST_DSL_CAM!F31</f>
        <v>9091.2527596235032</v>
      </c>
      <c r="L56" s="291">
        <f>DIST_DSL_CAM!G31</f>
        <v>1261</v>
      </c>
      <c r="M56" s="291">
        <f>DIST_DSL_ONI!E31</f>
        <v>3161</v>
      </c>
      <c r="N56" s="291">
        <f>DIST_DSL_ONI!F31</f>
        <v>3679.8935383705457</v>
      </c>
      <c r="O56" s="291">
        <f>DIST_DSL_ONI!G31</f>
        <v>840.10646162945443</v>
      </c>
      <c r="P56" s="291">
        <f>DIST_DSL_LEV!E24</f>
        <v>464.0553075250109</v>
      </c>
      <c r="Q56" s="291">
        <f>DIST_DSL_LEV!F24</f>
        <v>24226.608505756893</v>
      </c>
      <c r="R56" s="291">
        <f>GNV!C17</f>
        <v>0</v>
      </c>
      <c r="T56" s="2">
        <f t="shared" si="20"/>
        <v>296534.7561229103</v>
      </c>
      <c r="U56" s="2">
        <f t="shared" si="21"/>
        <v>381279</v>
      </c>
      <c r="V56" s="2">
        <f t="shared" si="22"/>
        <v>24624</v>
      </c>
      <c r="W56" s="2">
        <f t="shared" si="23"/>
        <v>7681</v>
      </c>
      <c r="X56" s="2">
        <f>DEN!C52+DEN!F52+DEN!G52+DEN!L52</f>
        <v>296444</v>
      </c>
      <c r="Y56" s="2">
        <f>DEN!I52+DEN!J52</f>
        <v>381279</v>
      </c>
      <c r="Z56" s="2">
        <f>DEN!D52+DEN!E52</f>
        <v>24624</v>
      </c>
      <c r="AA56" s="2">
        <f>DEN!H52+DEN!K52</f>
        <v>7681</v>
      </c>
      <c r="AB56" s="562" t="str">
        <f t="shared" si="24"/>
        <v>ERRO</v>
      </c>
      <c r="AC56" s="562" t="str">
        <f t="shared" si="25"/>
        <v>OK</v>
      </c>
      <c r="AD56" s="562" t="str">
        <f t="shared" si="26"/>
        <v>OK</v>
      </c>
      <c r="AE56" s="562" t="str">
        <f t="shared" si="27"/>
        <v>OK</v>
      </c>
      <c r="AF56" s="774">
        <f>COMB_CORR!H16/FRO_TOT!T56</f>
        <v>320.14516508077628</v>
      </c>
      <c r="AG56" s="781">
        <f t="shared" si="28"/>
        <v>0.82655980177581312</v>
      </c>
      <c r="AH56" s="3">
        <v>0.79849306420522992</v>
      </c>
      <c r="AJ56" s="742">
        <f t="shared" si="10"/>
        <v>90.756122910301201</v>
      </c>
      <c r="AK56" s="783">
        <v>-1230.4377641819301</v>
      </c>
    </row>
    <row r="57" spans="1:37">
      <c r="A57" s="127" t="s">
        <v>25</v>
      </c>
      <c r="B57" s="291">
        <f>DIST_GAS_LEV!I25-AK57</f>
        <v>231181.53325472318</v>
      </c>
      <c r="C57" s="291">
        <f>DIST_GAS_LEV!AC25</f>
        <v>30674.202290822464</v>
      </c>
      <c r="D57" s="291">
        <f>DIST_GAS_MOT!F26</f>
        <v>31703</v>
      </c>
      <c r="E57" s="291">
        <f>DIST_GAS_MOT!G26</f>
        <v>218377.02345093997</v>
      </c>
      <c r="F57" s="291">
        <f>DIST_GAS_MOT!H26</f>
        <v>7036.3041329853286</v>
      </c>
      <c r="G57" s="291">
        <f>DIST_GAS_MOT!I26</f>
        <v>3124.6724160746917</v>
      </c>
      <c r="H57" s="291">
        <f>DIST_ALC_LEV!G25</f>
        <v>49954.248498614324</v>
      </c>
      <c r="I57" s="291">
        <f>DIST_ALC_LEV!X25</f>
        <v>5971.4120145617253</v>
      </c>
      <c r="J57" s="291">
        <f>DIST_DSL_CAM!E32</f>
        <v>12397.173939151322</v>
      </c>
      <c r="K57" s="291">
        <f>DIST_DSL_CAM!F32</f>
        <v>7897.8260608486789</v>
      </c>
      <c r="L57" s="291">
        <f>DIST_DSL_CAM!G32</f>
        <v>1549</v>
      </c>
      <c r="M57" s="291">
        <f>DIST_DSL_ONI!E32</f>
        <v>2686</v>
      </c>
      <c r="N57" s="291">
        <f>DIST_DSL_ONI!F32</f>
        <v>3437.4350575644562</v>
      </c>
      <c r="O57" s="291">
        <f>DIST_DSL_ONI!G32</f>
        <v>784.56494243554403</v>
      </c>
      <c r="P57" s="291">
        <f>DIST_DSL_LEV!E25</f>
        <v>599.09696796844048</v>
      </c>
      <c r="Q57" s="291">
        <f>DIST_DSL_LEV!F25</f>
        <v>22107.526614267237</v>
      </c>
      <c r="R57" s="291">
        <f>GNV!C18</f>
        <v>17661</v>
      </c>
      <c r="T57" s="2">
        <f t="shared" si="20"/>
        <v>358149.01964095741</v>
      </c>
      <c r="U57" s="2">
        <f t="shared" si="21"/>
        <v>260241</v>
      </c>
      <c r="V57" s="2">
        <f t="shared" si="22"/>
        <v>21844</v>
      </c>
      <c r="W57" s="2">
        <f t="shared" si="23"/>
        <v>6908.0000000000009</v>
      </c>
      <c r="X57" s="2">
        <f>DEN!C53+DEN!F53+DEN!G53+DEN!L53</f>
        <v>357696</v>
      </c>
      <c r="Y57" s="2">
        <f>DEN!I53+DEN!J53</f>
        <v>260241</v>
      </c>
      <c r="Z57" s="2">
        <f>DEN!D53+DEN!E53</f>
        <v>21844</v>
      </c>
      <c r="AA57" s="2">
        <f>DEN!H53+DEN!K53</f>
        <v>6908</v>
      </c>
      <c r="AB57" s="562" t="str">
        <f t="shared" si="24"/>
        <v>ERRO</v>
      </c>
      <c r="AC57" s="562" t="str">
        <f t="shared" si="25"/>
        <v>OK</v>
      </c>
      <c r="AD57" s="562" t="str">
        <f t="shared" si="26"/>
        <v>OK</v>
      </c>
      <c r="AE57" s="562" t="str">
        <f t="shared" si="27"/>
        <v>OK</v>
      </c>
      <c r="AF57" s="774">
        <f>COMB_CORR!H17/FRO_TOT!T57</f>
        <v>259.38227870998463</v>
      </c>
      <c r="AG57" s="781">
        <f t="shared" si="28"/>
        <v>0.66968047079701898</v>
      </c>
      <c r="AH57" s="3">
        <v>0.66187551239295594</v>
      </c>
      <c r="AJ57" s="742">
        <f t="shared" si="10"/>
        <v>453.01964095741278</v>
      </c>
      <c r="AK57" s="783">
        <v>-8349.355440395826</v>
      </c>
    </row>
    <row r="58" spans="1:37">
      <c r="A58" s="127" t="s">
        <v>26</v>
      </c>
      <c r="B58" s="291">
        <f>DIST_GAS_LEV!I26-AK58</f>
        <v>550104.01495190454</v>
      </c>
      <c r="C58" s="291">
        <f>DIST_GAS_LEV!AC26</f>
        <v>76720.724141110462</v>
      </c>
      <c r="D58" s="291">
        <f>DIST_GAS_MOT!F27</f>
        <v>48789</v>
      </c>
      <c r="E58" s="291">
        <f>DIST_GAS_MOT!G27</f>
        <v>504149.36050588154</v>
      </c>
      <c r="F58" s="291">
        <f>DIST_GAS_MOT!H27</f>
        <v>16243.839780550936</v>
      </c>
      <c r="G58" s="291">
        <f>DIST_GAS_MOT!I27</f>
        <v>7213.7997135675014</v>
      </c>
      <c r="H58" s="291">
        <f>DIST_ALC_LEV!G26</f>
        <v>211966.64000780735</v>
      </c>
      <c r="I58" s="291">
        <f>DIST_ALC_LEV!X26</f>
        <v>25808.781732188552</v>
      </c>
      <c r="J58" s="291">
        <f>DIST_DSL_CAM!E33</f>
        <v>39936.385139901242</v>
      </c>
      <c r="K58" s="291">
        <f>DIST_DSL_CAM!F33</f>
        <v>25440.614860098751</v>
      </c>
      <c r="L58" s="291">
        <f>DIST_DSL_CAM!G33</f>
        <v>6883</v>
      </c>
      <c r="M58" s="291">
        <f>DIST_DSL_ONI!E33</f>
        <v>9798</v>
      </c>
      <c r="N58" s="291">
        <f>DIST_DSL_ONI!F33</f>
        <v>10528.379242081448</v>
      </c>
      <c r="O58" s="291">
        <f>DIST_DSL_ONI!G33</f>
        <v>2402.620757918552</v>
      </c>
      <c r="P58" s="291">
        <f>DIST_DSL_LEV!E26</f>
        <v>1302.3465661456362</v>
      </c>
      <c r="Q58" s="291">
        <f>DIST_DSL_LEV!F26</f>
        <v>48920.825129882433</v>
      </c>
      <c r="R58" s="291">
        <f>GNV!C19</f>
        <v>46364</v>
      </c>
      <c r="T58" s="2">
        <f t="shared" si="20"/>
        <v>961187.33252903901</v>
      </c>
      <c r="U58" s="2">
        <f t="shared" si="21"/>
        <v>576395.99999999988</v>
      </c>
      <c r="V58" s="2">
        <f t="shared" si="22"/>
        <v>72260</v>
      </c>
      <c r="W58" s="2">
        <f t="shared" si="23"/>
        <v>22729</v>
      </c>
      <c r="X58" s="2">
        <f>DEN!C54+DEN!F54+DEN!G54+DEN!L54</f>
        <v>960804</v>
      </c>
      <c r="Y58" s="2">
        <f>DEN!I54+DEN!J54</f>
        <v>576396</v>
      </c>
      <c r="Z58" s="2">
        <f>DEN!D54+DEN!E54</f>
        <v>72260</v>
      </c>
      <c r="AA58" s="2">
        <f>DEN!H54+DEN!K54</f>
        <v>22729</v>
      </c>
      <c r="AB58" s="562" t="str">
        <f t="shared" si="24"/>
        <v>ERRO</v>
      </c>
      <c r="AC58" s="562" t="str">
        <f t="shared" si="25"/>
        <v>OK</v>
      </c>
      <c r="AD58" s="562" t="str">
        <f t="shared" si="26"/>
        <v>OK</v>
      </c>
      <c r="AE58" s="562" t="str">
        <f t="shared" si="27"/>
        <v>OK</v>
      </c>
      <c r="AF58" s="774">
        <f>COMB_CORR!H18/FRO_TOT!T58</f>
        <v>352.16938869165483</v>
      </c>
      <c r="AG58" s="781">
        <f t="shared" si="28"/>
        <v>0.90924084402473615</v>
      </c>
      <c r="AH58" s="3">
        <v>0.90083331936460886</v>
      </c>
      <c r="AJ58" s="742">
        <f t="shared" si="10"/>
        <v>383.33252903900575</v>
      </c>
      <c r="AK58" s="783">
        <v>-7587.1891569369473</v>
      </c>
    </row>
    <row r="59" spans="1:37">
      <c r="A59" s="127" t="s">
        <v>27</v>
      </c>
      <c r="B59" s="291">
        <f>DIST_GAS_LEV!I27-AK59</f>
        <v>162122.2686540802</v>
      </c>
      <c r="C59" s="291">
        <f>DIST_GAS_LEV!AC27</f>
        <v>21627.323315552472</v>
      </c>
      <c r="D59" s="291">
        <f>DIST_GAS_MOT!F28</f>
        <v>42156</v>
      </c>
      <c r="E59" s="291">
        <f>DIST_GAS_MOT!G28</f>
        <v>234664.15111209691</v>
      </c>
      <c r="F59" s="291">
        <f>DIST_GAS_MOT!H28</f>
        <v>7560.9851006547142</v>
      </c>
      <c r="G59" s="291">
        <f>DIST_GAS_MOT!I28</f>
        <v>3357.8637872483632</v>
      </c>
      <c r="H59" s="291">
        <f>DIST_ALC_LEV!G27</f>
        <v>12276.926114698332</v>
      </c>
      <c r="I59" s="291">
        <f>DIST_ALC_LEV!X27</f>
        <v>1666.353688090144</v>
      </c>
      <c r="J59" s="291">
        <f>DIST_DSL_CAM!E34</f>
        <v>10219.247242387102</v>
      </c>
      <c r="K59" s="291">
        <f>DIST_DSL_CAM!F34</f>
        <v>6509.7527576128978</v>
      </c>
      <c r="L59" s="291">
        <f>DIST_DSL_CAM!G34</f>
        <v>1167</v>
      </c>
      <c r="M59" s="291">
        <f>DIST_DSL_ONI!E34</f>
        <v>1738</v>
      </c>
      <c r="N59" s="291">
        <f>DIST_DSL_ONI!F34</f>
        <v>2622.4070796460178</v>
      </c>
      <c r="O59" s="291">
        <f>DIST_DSL_ONI!G34</f>
        <v>598.59292035398232</v>
      </c>
      <c r="P59" s="291">
        <f>DIST_DSL_LEV!E27</f>
        <v>594.9846608344443</v>
      </c>
      <c r="Q59" s="291">
        <f>DIST_DSL_LEV!F27</f>
        <v>24629.2453278967</v>
      </c>
      <c r="R59" s="291">
        <f>GNV!C20</f>
        <v>218</v>
      </c>
      <c r="T59" s="2">
        <f t="shared" si="20"/>
        <v>223135.10176115227</v>
      </c>
      <c r="U59" s="2">
        <f t="shared" si="21"/>
        <v>287739</v>
      </c>
      <c r="V59" s="2">
        <f t="shared" si="22"/>
        <v>17896</v>
      </c>
      <c r="W59" s="2">
        <f t="shared" si="23"/>
        <v>4959.0000000000009</v>
      </c>
      <c r="X59" s="2">
        <f>DEN!C55+DEN!F55+DEN!G55+DEN!L55</f>
        <v>222515</v>
      </c>
      <c r="Y59" s="2">
        <f>DEN!I55+DEN!J55</f>
        <v>287739</v>
      </c>
      <c r="Z59" s="2">
        <f>DEN!D55+DEN!E55</f>
        <v>17896</v>
      </c>
      <c r="AA59" s="2">
        <f>DEN!H55+DEN!K55</f>
        <v>4959</v>
      </c>
      <c r="AB59" s="562" t="str">
        <f t="shared" si="24"/>
        <v>ERRO</v>
      </c>
      <c r="AC59" s="562" t="str">
        <f t="shared" si="25"/>
        <v>OK</v>
      </c>
      <c r="AD59" s="562" t="str">
        <f t="shared" si="26"/>
        <v>OK</v>
      </c>
      <c r="AE59" s="562" t="str">
        <f t="shared" si="27"/>
        <v>OK</v>
      </c>
      <c r="AF59" s="774">
        <f>COMB_CORR!H19/FRO_TOT!T59</f>
        <v>92.595862113752816</v>
      </c>
      <c r="AG59" s="781">
        <f t="shared" si="28"/>
        <v>0.23906660409721678</v>
      </c>
      <c r="AH59" s="3">
        <v>0.23535813417183682</v>
      </c>
      <c r="AJ59" s="742">
        <f t="shared" si="10"/>
        <v>620.10176115226932</v>
      </c>
      <c r="AK59" s="783">
        <v>-10178.232261583558</v>
      </c>
    </row>
    <row r="60" spans="1:37" ht="25.5">
      <c r="A60" s="127" t="s">
        <v>28</v>
      </c>
      <c r="B60" s="291">
        <f>DIST_GAS_LEV!I28-AK60</f>
        <v>233519.49070627405</v>
      </c>
      <c r="C60" s="291">
        <f>DIST_GAS_LEV!AC28</f>
        <v>35247.344736301573</v>
      </c>
      <c r="D60" s="291">
        <f>DIST_GAS_MOT!F29</f>
        <v>31669</v>
      </c>
      <c r="E60" s="291">
        <f>DIST_GAS_MOT!G29</f>
        <v>221110.83058394471</v>
      </c>
      <c r="F60" s="291">
        <f>DIST_GAS_MOT!H29</f>
        <v>7124.1963445146512</v>
      </c>
      <c r="G60" s="291">
        <f>DIST_GAS_MOT!I29</f>
        <v>3163.9730715406472</v>
      </c>
      <c r="H60" s="291">
        <f>DIST_ALC_LEV!G28</f>
        <v>47841.200568594002</v>
      </c>
      <c r="I60" s="291">
        <f>DIST_ALC_LEV!X28</f>
        <v>6050.3695392874997</v>
      </c>
      <c r="J60" s="291">
        <f>DIST_DSL_CAM!E35</f>
        <v>13317.674301612104</v>
      </c>
      <c r="K60" s="291">
        <f>DIST_DSL_CAM!F35</f>
        <v>8484.3256983878964</v>
      </c>
      <c r="L60" s="291">
        <f>DIST_DSL_CAM!G35</f>
        <v>1646</v>
      </c>
      <c r="M60" s="291">
        <f>DIST_DSL_ONI!E35</f>
        <v>3356</v>
      </c>
      <c r="N60" s="291">
        <f>DIST_DSL_ONI!F35</f>
        <v>3564.9891060003461</v>
      </c>
      <c r="O60" s="291">
        <f>DIST_DSL_ONI!G35</f>
        <v>814.01089399965417</v>
      </c>
      <c r="P60" s="291">
        <f>DIST_DSL_LEV!E28</f>
        <v>615.81301444176165</v>
      </c>
      <c r="Q60" s="291">
        <f>DIST_DSL_LEV!F28</f>
        <v>24033.686814292309</v>
      </c>
      <c r="R60" s="291">
        <f>GNV!C21</f>
        <v>38453</v>
      </c>
      <c r="T60" s="2">
        <f t="shared" si="20"/>
        <v>385760.90537919122</v>
      </c>
      <c r="U60" s="2">
        <f t="shared" si="21"/>
        <v>263068</v>
      </c>
      <c r="V60" s="2">
        <f t="shared" si="22"/>
        <v>23448</v>
      </c>
      <c r="W60" s="2">
        <f t="shared" si="23"/>
        <v>7735.0000000000009</v>
      </c>
      <c r="X60" s="2">
        <f>DEN!C56+DEN!F56+DEN!G56+DEN!L56</f>
        <v>385131</v>
      </c>
      <c r="Y60" s="2">
        <f>DEN!I56+DEN!J56</f>
        <v>263068</v>
      </c>
      <c r="Z60" s="2">
        <f>DEN!D56+DEN!E56</f>
        <v>23448</v>
      </c>
      <c r="AA60" s="2">
        <f>DEN!H56+DEN!K56</f>
        <v>7735</v>
      </c>
      <c r="AB60" s="562" t="str">
        <f t="shared" si="24"/>
        <v>ERRO</v>
      </c>
      <c r="AC60" s="562" t="str">
        <f t="shared" si="25"/>
        <v>OK</v>
      </c>
      <c r="AD60" s="562" t="str">
        <f t="shared" si="26"/>
        <v>OK</v>
      </c>
      <c r="AE60" s="562" t="str">
        <f t="shared" si="27"/>
        <v>OK</v>
      </c>
      <c r="AF60" s="774">
        <f>COMB_CORR!H20/FRO_TOT!T60</f>
        <v>220.21834635885284</v>
      </c>
      <c r="AG60" s="781">
        <f t="shared" si="28"/>
        <v>0.56856592748431523</v>
      </c>
      <c r="AH60" s="3">
        <v>0.56309872075792144</v>
      </c>
      <c r="AJ60" s="742">
        <f t="shared" si="10"/>
        <v>629.90537919121562</v>
      </c>
      <c r="AK60" s="783">
        <v>-12124.307664401887</v>
      </c>
    </row>
    <row r="61" spans="1:37" ht="15.75" thickBot="1">
      <c r="A61" s="128" t="s">
        <v>29</v>
      </c>
      <c r="B61" s="291">
        <f>DIST_GAS_LEV!I29-AK61</f>
        <v>149815.65887968271</v>
      </c>
      <c r="C61" s="291">
        <f>DIST_GAS_LEV!AC29</f>
        <v>17549.731371308102</v>
      </c>
      <c r="D61" s="291">
        <f>DIST_GAS_MOT!F30</f>
        <v>20222</v>
      </c>
      <c r="E61" s="291">
        <f>DIST_GAS_MOT!G30</f>
        <v>116646.25415957597</v>
      </c>
      <c r="F61" s="291">
        <f>DIST_GAS_MOT!H30</f>
        <v>3758.5353631702746</v>
      </c>
      <c r="G61" s="291">
        <f>DIST_GAS_MOT!I30</f>
        <v>1669.2104772537587</v>
      </c>
      <c r="H61" s="291">
        <f>DIST_ALC_LEV!G29</f>
        <v>24608.631305805244</v>
      </c>
      <c r="I61" s="291">
        <f>DIST_ALC_LEV!X29</f>
        <v>2493.93569604817</v>
      </c>
      <c r="J61" s="291">
        <f>DIST_DSL_CAM!E36</f>
        <v>9245.5020177562546</v>
      </c>
      <c r="K61" s="291">
        <f>DIST_DSL_CAM!F36</f>
        <v>5889.4979822437444</v>
      </c>
      <c r="L61" s="291">
        <f>DIST_DSL_CAM!G36</f>
        <v>1136</v>
      </c>
      <c r="M61" s="291">
        <f>DIST_DSL_ONI!E36</f>
        <v>2408</v>
      </c>
      <c r="N61" s="291">
        <f>DIST_DSL_ONI!F36</f>
        <v>3484.1149530991356</v>
      </c>
      <c r="O61" s="291">
        <f>DIST_DSL_ONI!G36</f>
        <v>794.88504690086438</v>
      </c>
      <c r="P61" s="291">
        <f>DIST_DSL_LEV!E29</f>
        <v>287.77262218891752</v>
      </c>
      <c r="Q61" s="291">
        <f>DIST_DSL_LEV!F29</f>
        <v>8990.2523819882535</v>
      </c>
      <c r="R61" s="291">
        <f>GNV!C22</f>
        <v>20974</v>
      </c>
      <c r="T61" s="2">
        <f t="shared" si="20"/>
        <v>224719.98225702139</v>
      </c>
      <c r="U61" s="2">
        <f t="shared" si="21"/>
        <v>142296</v>
      </c>
      <c r="V61" s="2">
        <f t="shared" si="22"/>
        <v>16271</v>
      </c>
      <c r="W61" s="2">
        <f t="shared" si="23"/>
        <v>6687</v>
      </c>
      <c r="X61" s="2">
        <f>DEN!C57+DEN!F57+DEN!G57+DEN!L57</f>
        <v>224278</v>
      </c>
      <c r="Y61" s="2">
        <f>DEN!I57+DEN!J57</f>
        <v>142296</v>
      </c>
      <c r="Z61" s="2">
        <f>DEN!D57+DEN!E57</f>
        <v>16271</v>
      </c>
      <c r="AA61" s="2">
        <f>DEN!H57+DEN!K57</f>
        <v>6687</v>
      </c>
      <c r="AB61" s="562" t="str">
        <f t="shared" si="24"/>
        <v>ERRO</v>
      </c>
      <c r="AC61" s="562" t="str">
        <f t="shared" si="25"/>
        <v>OK</v>
      </c>
      <c r="AD61" s="562" t="str">
        <f t="shared" si="26"/>
        <v>OK</v>
      </c>
      <c r="AE61" s="562" t="str">
        <f t="shared" si="27"/>
        <v>OK</v>
      </c>
      <c r="AF61" s="774">
        <f>COMB_CORR!H21/FRO_TOT!T61</f>
        <v>187.35141725433715</v>
      </c>
      <c r="AG61" s="781">
        <f t="shared" si="28"/>
        <v>0.48370916446322204</v>
      </c>
      <c r="AH61" s="3">
        <v>0.47873424446126339</v>
      </c>
      <c r="AJ61" s="742">
        <f t="shared" si="10"/>
        <v>441.98225702138734</v>
      </c>
      <c r="AK61" s="783">
        <v>-8358.1306452943827</v>
      </c>
    </row>
    <row r="62" spans="1:37">
      <c r="A62" s="269" t="s">
        <v>64</v>
      </c>
      <c r="B62" s="291">
        <f t="shared" ref="B62:R62" si="30">SUM(B63:B66)</f>
        <v>13011401.49996407</v>
      </c>
      <c r="C62" s="291">
        <f t="shared" si="30"/>
        <v>1841996.3014454837</v>
      </c>
      <c r="D62" s="291">
        <f t="shared" si="30"/>
        <v>817332</v>
      </c>
      <c r="E62" s="291">
        <f t="shared" si="30"/>
        <v>5332502.4703025669</v>
      </c>
      <c r="F62" s="291">
        <f t="shared" si="30"/>
        <v>171813.65812794317</v>
      </c>
      <c r="G62" s="291">
        <f t="shared" si="30"/>
        <v>76303.871569489842</v>
      </c>
      <c r="H62" s="291">
        <f t="shared" si="30"/>
        <v>6032220.6321798842</v>
      </c>
      <c r="I62" s="291">
        <f t="shared" si="30"/>
        <v>670963.13288985274</v>
      </c>
      <c r="J62" s="291">
        <f t="shared" si="30"/>
        <v>595981.59960164153</v>
      </c>
      <c r="K62" s="291">
        <f t="shared" si="30"/>
        <v>379653.40039835835</v>
      </c>
      <c r="L62" s="291">
        <f t="shared" si="30"/>
        <v>166551</v>
      </c>
      <c r="M62" s="291">
        <f t="shared" si="30"/>
        <v>148200</v>
      </c>
      <c r="N62" s="291">
        <f t="shared" si="30"/>
        <v>184155.86024670454</v>
      </c>
      <c r="O62" s="291">
        <f t="shared" si="30"/>
        <v>42030.139753295472</v>
      </c>
      <c r="P62" s="291">
        <f t="shared" si="30"/>
        <v>16725.045849255566</v>
      </c>
      <c r="Q62" s="291">
        <f t="shared" si="30"/>
        <v>599704.0667859863</v>
      </c>
      <c r="R62" s="291">
        <f t="shared" si="30"/>
        <v>1221449</v>
      </c>
      <c r="T62" s="2">
        <f t="shared" si="20"/>
        <v>23394459.679114532</v>
      </c>
      <c r="U62" s="2">
        <f t="shared" si="21"/>
        <v>6397952</v>
      </c>
      <c r="V62" s="2">
        <f t="shared" si="22"/>
        <v>1142186</v>
      </c>
      <c r="W62" s="2">
        <f t="shared" si="23"/>
        <v>374386</v>
      </c>
      <c r="X62" s="2">
        <f>DEN!C58+DEN!F58+DEN!G58+DEN!L58</f>
        <v>23411642</v>
      </c>
      <c r="Y62" s="2">
        <f>DEN!I58+DEN!J58</f>
        <v>6397952</v>
      </c>
      <c r="Z62" s="2">
        <f>DEN!D58+DEN!E58</f>
        <v>1142186</v>
      </c>
      <c r="AA62" s="2">
        <f>DEN!H58+DEN!K58</f>
        <v>374386</v>
      </c>
      <c r="AB62" s="562" t="str">
        <f t="shared" si="24"/>
        <v>ERRO</v>
      </c>
      <c r="AC62" s="562" t="str">
        <f t="shared" si="25"/>
        <v>OK</v>
      </c>
      <c r="AD62" s="562" t="str">
        <f t="shared" si="26"/>
        <v>OK</v>
      </c>
      <c r="AE62" s="562" t="str">
        <f t="shared" si="27"/>
        <v>OK</v>
      </c>
      <c r="AF62" s="774"/>
      <c r="AG62" s="781"/>
      <c r="AJ62" s="742"/>
      <c r="AK62" s="783"/>
    </row>
    <row r="63" spans="1:37">
      <c r="A63" s="127" t="s">
        <v>31</v>
      </c>
      <c r="B63" s="291">
        <f>DIST_GAS_LEV!I31-AK63</f>
        <v>540661.79008314048</v>
      </c>
      <c r="C63" s="291">
        <f>DIST_GAS_LEV!AC31</f>
        <v>76265.2863545359</v>
      </c>
      <c r="D63" s="291">
        <f>DIST_GAS_MOT!F32</f>
        <v>56223</v>
      </c>
      <c r="E63" s="291">
        <f>DIST_GAS_MOT!G32</f>
        <v>262249.07090183452</v>
      </c>
      <c r="F63" s="291">
        <f>DIST_GAS_MOT!H32</f>
        <v>8449.3964146697981</v>
      </c>
      <c r="G63" s="291">
        <f>DIST_GAS_MOT!I32</f>
        <v>3752.5326834956559</v>
      </c>
      <c r="H63" s="291">
        <f>DIST_ALC_LEV!G31</f>
        <v>55318.957977776357</v>
      </c>
      <c r="I63" s="291">
        <f>DIST_ALC_LEV!X31</f>
        <v>7254.4179608245886</v>
      </c>
      <c r="J63" s="291">
        <f>DIST_DSL_CAM!E38</f>
        <v>32450.484423229911</v>
      </c>
      <c r="K63" s="291">
        <f>DIST_DSL_CAM!F38</f>
        <v>20671.515576770089</v>
      </c>
      <c r="L63" s="291">
        <f>DIST_DSL_CAM!G38</f>
        <v>12551</v>
      </c>
      <c r="M63" s="291">
        <f>DIST_DSL_ONI!E38</f>
        <v>4950</v>
      </c>
      <c r="N63" s="291">
        <f>DIST_DSL_ONI!F38</f>
        <v>9682.1325518485137</v>
      </c>
      <c r="O63" s="291">
        <f>DIST_DSL_ONI!G38</f>
        <v>2209.8674481514877</v>
      </c>
      <c r="P63" s="291">
        <f>DIST_DSL_LEV!E31</f>
        <v>1077.1957506332465</v>
      </c>
      <c r="Q63" s="291">
        <f>DIST_DSL_LEV!F31</f>
        <v>43134.616310169171</v>
      </c>
      <c r="R63" s="291">
        <f>GNV!C24</f>
        <v>37469</v>
      </c>
      <c r="T63" s="2">
        <f t="shared" si="20"/>
        <v>761181.26443707978</v>
      </c>
      <c r="U63" s="2">
        <f t="shared" si="21"/>
        <v>330674</v>
      </c>
      <c r="V63" s="2">
        <f t="shared" si="22"/>
        <v>65673</v>
      </c>
      <c r="W63" s="2">
        <f t="shared" si="23"/>
        <v>16842</v>
      </c>
      <c r="X63" s="2">
        <f>DEN!C59+DEN!F59+DEN!G59+DEN!L59</f>
        <v>760056</v>
      </c>
      <c r="Y63" s="2">
        <f>DEN!I59+DEN!J59</f>
        <v>330674</v>
      </c>
      <c r="Z63" s="2">
        <f>DEN!D59+DEN!E59</f>
        <v>65673</v>
      </c>
      <c r="AA63" s="2">
        <f>DEN!H59+DEN!K59</f>
        <v>16842</v>
      </c>
      <c r="AB63" s="562" t="str">
        <f t="shared" si="24"/>
        <v>ERRO</v>
      </c>
      <c r="AC63" s="562" t="str">
        <f t="shared" si="25"/>
        <v>OK</v>
      </c>
      <c r="AD63" s="562" t="str">
        <f t="shared" si="26"/>
        <v>OK</v>
      </c>
      <c r="AE63" s="562" t="str">
        <f t="shared" si="27"/>
        <v>OK</v>
      </c>
      <c r="AF63" s="774">
        <f>COMB_CORR!H23/FRO_TOT!T63</f>
        <v>120.91493285320914</v>
      </c>
      <c r="AG63" s="781">
        <f t="shared" si="28"/>
        <v>0.31218157833390187</v>
      </c>
      <c r="AH63" s="3">
        <v>0.31406611410518775</v>
      </c>
      <c r="AJ63" s="742">
        <f t="shared" si="10"/>
        <v>1125.2644370797789</v>
      </c>
      <c r="AK63" s="783">
        <v>-30847.074012304307</v>
      </c>
    </row>
    <row r="64" spans="1:37">
      <c r="A64" s="127" t="s">
        <v>32</v>
      </c>
      <c r="B64" s="291">
        <f>DIST_GAS_LEV!I32-AK64</f>
        <v>3198928.9576652236</v>
      </c>
      <c r="C64" s="291">
        <f>DIST_GAS_LEV!AC32</f>
        <v>412638.56022096332</v>
      </c>
      <c r="D64" s="291">
        <f>DIST_GAS_MOT!F33</f>
        <v>155587</v>
      </c>
      <c r="E64" s="291">
        <f>DIST_GAS_MOT!G33</f>
        <v>1522383.8580000876</v>
      </c>
      <c r="F64" s="291">
        <f>DIST_GAS_MOT!H33</f>
        <v>49051.043241099796</v>
      </c>
      <c r="G64" s="291">
        <f>DIST_GAS_MOT!I33</f>
        <v>21784.098758812626</v>
      </c>
      <c r="H64" s="291">
        <f>DIST_ALC_LEV!G32</f>
        <v>490934.91338167054</v>
      </c>
      <c r="I64" s="291">
        <f>DIST_ALC_LEV!X32</f>
        <v>60190.596806465728</v>
      </c>
      <c r="J64" s="291">
        <f>DIST_DSL_CAM!E39</f>
        <v>150270.03379837523</v>
      </c>
      <c r="K64" s="291">
        <f>DIST_DSL_CAM!F39</f>
        <v>95724.966201624789</v>
      </c>
      <c r="L64" s="291">
        <f>DIST_DSL_CAM!G39</f>
        <v>40788</v>
      </c>
      <c r="M64" s="291">
        <f>DIST_DSL_ONI!E39</f>
        <v>28261</v>
      </c>
      <c r="N64" s="291">
        <f>DIST_DSL_ONI!F39</f>
        <v>44427.714180342984</v>
      </c>
      <c r="O64" s="291">
        <f>DIST_DSL_ONI!G39</f>
        <v>10139.285819657016</v>
      </c>
      <c r="P64" s="291">
        <f>DIST_DSL_LEV!E32</f>
        <v>4185.9607139122254</v>
      </c>
      <c r="Q64" s="291">
        <f>DIST_DSL_LEV!F32</f>
        <v>159542.0920844565</v>
      </c>
      <c r="R64" s="291">
        <f>GNV!C25</f>
        <v>63513</v>
      </c>
      <c r="T64" s="2">
        <f t="shared" si="20"/>
        <v>4389934.0808726922</v>
      </c>
      <c r="U64" s="2">
        <f t="shared" si="21"/>
        <v>1748805.9999999998</v>
      </c>
      <c r="V64" s="2">
        <f t="shared" si="22"/>
        <v>286783</v>
      </c>
      <c r="W64" s="2">
        <f t="shared" si="23"/>
        <v>82828</v>
      </c>
      <c r="X64" s="2">
        <f>DEN!C60+DEN!F60+DEN!G60+DEN!L60</f>
        <v>4381771</v>
      </c>
      <c r="Y64" s="2">
        <f>DEN!I60+DEN!J60</f>
        <v>1748806</v>
      </c>
      <c r="Z64" s="2">
        <f>DEN!D60+DEN!E60</f>
        <v>286783</v>
      </c>
      <c r="AA64" s="2">
        <f>DEN!H60+DEN!K60</f>
        <v>82828</v>
      </c>
      <c r="AB64" s="562" t="str">
        <f t="shared" si="24"/>
        <v>ERRO</v>
      </c>
      <c r="AC64" s="562" t="str">
        <f t="shared" si="25"/>
        <v>OK</v>
      </c>
      <c r="AD64" s="562" t="str">
        <f t="shared" si="26"/>
        <v>OK</v>
      </c>
      <c r="AE64" s="562" t="str">
        <f t="shared" si="27"/>
        <v>OK</v>
      </c>
      <c r="AF64" s="774">
        <f>COMB_CORR!H24/FRO_TOT!T64</f>
        <v>204.90715929270371</v>
      </c>
      <c r="AG64" s="781">
        <f t="shared" si="28"/>
        <v>0.52903507358822255</v>
      </c>
      <c r="AH64" s="3">
        <v>0.52572213918083521</v>
      </c>
      <c r="AJ64" s="742">
        <f t="shared" si="10"/>
        <v>8163.0808726921678</v>
      </c>
      <c r="AK64" s="783">
        <v>-165755.26467294525</v>
      </c>
    </row>
    <row r="65" spans="1:37">
      <c r="A65" s="127" t="s">
        <v>33</v>
      </c>
      <c r="B65" s="291">
        <f>DIST_GAS_LEV!I33-AK65</f>
        <v>1858037.3578982516</v>
      </c>
      <c r="C65" s="291">
        <f>DIST_GAS_LEV!AC33</f>
        <v>268280.48209035513</v>
      </c>
      <c r="D65" s="291">
        <f>DIST_GAS_MOT!F34</f>
        <v>100430</v>
      </c>
      <c r="E65" s="291">
        <f>DIST_GAS_MOT!G34</f>
        <v>511166.94711733237</v>
      </c>
      <c r="F65" s="291">
        <f>DIST_GAS_MOT!H34</f>
        <v>16469.852141847256</v>
      </c>
      <c r="G65" s="291">
        <f>DIST_GAS_MOT!I34</f>
        <v>7314.2007408203599</v>
      </c>
      <c r="H65" s="291">
        <f>DIST_ALC_LEV!G33</f>
        <v>489843.93148123368</v>
      </c>
      <c r="I65" s="291">
        <f>DIST_ALC_LEV!X33</f>
        <v>48531.219427664451</v>
      </c>
      <c r="J65" s="291">
        <f>DIST_DSL_CAM!E40</f>
        <v>65085.656648232747</v>
      </c>
      <c r="K65" s="291">
        <f>DIST_DSL_CAM!F40</f>
        <v>41461.343351767253</v>
      </c>
      <c r="L65" s="291">
        <f>DIST_DSL_CAM!G40</f>
        <v>9899</v>
      </c>
      <c r="M65" s="291">
        <f>DIST_DSL_ONI!E40</f>
        <v>28677</v>
      </c>
      <c r="N65" s="291">
        <f>DIST_DSL_ONI!F40</f>
        <v>29218.358621635209</v>
      </c>
      <c r="O65" s="291">
        <f>DIST_DSL_ONI!G40</f>
        <v>6668.6413783647913</v>
      </c>
      <c r="P65" s="291">
        <f>DIST_DSL_LEV!E33</f>
        <v>1676.8427709874688</v>
      </c>
      <c r="Q65" s="291">
        <f>DIST_DSL_LEV!F33</f>
        <v>51741.014135673693</v>
      </c>
      <c r="R65" s="291">
        <f>GNV!C26</f>
        <v>737571</v>
      </c>
      <c r="T65" s="2">
        <f t="shared" si="20"/>
        <v>3455681.8478041664</v>
      </c>
      <c r="U65" s="2">
        <f t="shared" si="21"/>
        <v>635381</v>
      </c>
      <c r="V65" s="2">
        <f t="shared" si="22"/>
        <v>116446</v>
      </c>
      <c r="W65" s="2">
        <f t="shared" si="23"/>
        <v>64564</v>
      </c>
      <c r="X65" s="2">
        <f>DEN!C61+DEN!F61+DEN!G61+DEN!L61</f>
        <v>3451341</v>
      </c>
      <c r="Y65" s="2">
        <f>DEN!I61+DEN!J61</f>
        <v>635381</v>
      </c>
      <c r="Z65" s="2">
        <f>DEN!D61+DEN!E61</f>
        <v>116446</v>
      </c>
      <c r="AA65" s="2">
        <f>DEN!H61+DEN!K61</f>
        <v>64564</v>
      </c>
      <c r="AB65" s="562" t="str">
        <f t="shared" si="24"/>
        <v>ERRO</v>
      </c>
      <c r="AC65" s="562" t="str">
        <f t="shared" si="25"/>
        <v>OK</v>
      </c>
      <c r="AD65" s="562" t="str">
        <f t="shared" si="26"/>
        <v>OK</v>
      </c>
      <c r="AE65" s="562" t="str">
        <f t="shared" si="27"/>
        <v>OK</v>
      </c>
      <c r="AF65" s="774">
        <f>COMB_CORR!H25/FRO_TOT!T65</f>
        <v>231.82433267274095</v>
      </c>
      <c r="AG65" s="781">
        <f t="shared" si="28"/>
        <v>0.59853058974807216</v>
      </c>
      <c r="AH65" s="3">
        <v>0.60274464283957818</v>
      </c>
      <c r="AJ65" s="742">
        <f t="shared" si="10"/>
        <v>4340.8478041663766</v>
      </c>
      <c r="AK65" s="783">
        <v>-121060.74160983507</v>
      </c>
    </row>
    <row r="66" spans="1:37" ht="15.75" thickBot="1">
      <c r="A66" s="128" t="s">
        <v>34</v>
      </c>
      <c r="B66" s="291">
        <f>DIST_GAS_LEV!I34-AK66</f>
        <v>7413773.3943174528</v>
      </c>
      <c r="C66" s="291">
        <f>DIST_GAS_LEV!AC34</f>
        <v>1084811.9727796293</v>
      </c>
      <c r="D66" s="291">
        <f>DIST_GAS_MOT!F35</f>
        <v>505092</v>
      </c>
      <c r="E66" s="291">
        <f>DIST_GAS_MOT!G35</f>
        <v>3036702.5942833126</v>
      </c>
      <c r="F66" s="291">
        <f>DIST_GAS_MOT!H35</f>
        <v>97843.366330326331</v>
      </c>
      <c r="G66" s="291">
        <f>DIST_GAS_MOT!I35</f>
        <v>43453.039386361204</v>
      </c>
      <c r="H66" s="291">
        <f>DIST_ALC_LEV!G34</f>
        <v>4996122.8293392034</v>
      </c>
      <c r="I66" s="291">
        <f>DIST_ALC_LEV!X34</f>
        <v>554986.898694898</v>
      </c>
      <c r="J66" s="291">
        <f>DIST_DSL_CAM!E41</f>
        <v>348175.42473180371</v>
      </c>
      <c r="K66" s="291">
        <f>DIST_DSL_CAM!F41</f>
        <v>221795.57526819626</v>
      </c>
      <c r="L66" s="291">
        <f>DIST_DSL_CAM!G41</f>
        <v>103313</v>
      </c>
      <c r="M66" s="291">
        <f>DIST_DSL_ONI!E41</f>
        <v>86312</v>
      </c>
      <c r="N66" s="291">
        <f>DIST_DSL_ONI!F41</f>
        <v>100827.65489287782</v>
      </c>
      <c r="O66" s="291">
        <f>DIST_DSL_ONI!G41</f>
        <v>23012.345107122175</v>
      </c>
      <c r="P66" s="291">
        <f>DIST_DSL_LEV!E34</f>
        <v>9785.0466137226267</v>
      </c>
      <c r="Q66" s="291">
        <f>DIST_DSL_LEV!F34</f>
        <v>345286.34425568697</v>
      </c>
      <c r="R66" s="291">
        <f>GNV!C27</f>
        <v>382896</v>
      </c>
      <c r="T66" s="2">
        <f t="shared" si="20"/>
        <v>14787662.486000596</v>
      </c>
      <c r="U66" s="2">
        <f t="shared" si="21"/>
        <v>3683091.0000000005</v>
      </c>
      <c r="V66" s="2">
        <f t="shared" si="22"/>
        <v>673284</v>
      </c>
      <c r="W66" s="2">
        <f t="shared" si="23"/>
        <v>210152</v>
      </c>
      <c r="X66" s="2">
        <f>DEN!C62+DEN!F62+DEN!G62+DEN!L62</f>
        <v>14818474</v>
      </c>
      <c r="Y66" s="2">
        <f>DEN!I62+DEN!J62</f>
        <v>3683091</v>
      </c>
      <c r="Z66" s="2">
        <f>DEN!D62+DEN!E62</f>
        <v>673284</v>
      </c>
      <c r="AA66" s="2">
        <f>DEN!H62+DEN!K62</f>
        <v>210152</v>
      </c>
      <c r="AB66" s="562" t="str">
        <f t="shared" si="24"/>
        <v>ERRO</v>
      </c>
      <c r="AC66" s="562" t="str">
        <f t="shared" si="25"/>
        <v>OK</v>
      </c>
      <c r="AD66" s="562" t="str">
        <f t="shared" si="26"/>
        <v>OK</v>
      </c>
      <c r="AE66" s="562" t="str">
        <f t="shared" si="27"/>
        <v>OK</v>
      </c>
      <c r="AF66" s="774">
        <f>COMB_CORR!H26/FRO_TOT!T66</f>
        <v>607.76320347600904</v>
      </c>
      <c r="AG66" s="781">
        <f t="shared" si="28"/>
        <v>1.5691401519839099</v>
      </c>
      <c r="AH66" s="3">
        <v>1.578674778206768</v>
      </c>
      <c r="AJ66" s="742">
        <f t="shared" si="10"/>
        <v>-30811.513999404386</v>
      </c>
      <c r="AK66" s="783">
        <v>921487.67150146514</v>
      </c>
    </row>
    <row r="67" spans="1:37">
      <c r="A67" s="269" t="s">
        <v>69</v>
      </c>
      <c r="B67" s="291">
        <f t="shared" ref="B67:R67" si="31">SUM(B68:B70)</f>
        <v>6471242.9682418341</v>
      </c>
      <c r="C67" s="291">
        <f t="shared" si="31"/>
        <v>742440.86753041646</v>
      </c>
      <c r="D67" s="291">
        <f t="shared" si="31"/>
        <v>491388</v>
      </c>
      <c r="E67" s="291">
        <f t="shared" si="31"/>
        <v>2156731.1261325283</v>
      </c>
      <c r="F67" s="291">
        <f t="shared" si="31"/>
        <v>69490.068363254715</v>
      </c>
      <c r="G67" s="291">
        <f t="shared" si="31"/>
        <v>30861.805504217155</v>
      </c>
      <c r="H67" s="291">
        <f t="shared" si="31"/>
        <v>1116166.6657228158</v>
      </c>
      <c r="I67" s="291">
        <f t="shared" si="31"/>
        <v>123275.66523307347</v>
      </c>
      <c r="J67" s="291">
        <f t="shared" si="31"/>
        <v>308731.77577491512</v>
      </c>
      <c r="K67" s="291">
        <f t="shared" si="31"/>
        <v>196669.22422508488</v>
      </c>
      <c r="L67" s="291">
        <f t="shared" si="31"/>
        <v>132347</v>
      </c>
      <c r="M67" s="291">
        <f t="shared" si="31"/>
        <v>37606</v>
      </c>
      <c r="N67" s="291">
        <f t="shared" si="31"/>
        <v>61693.695522096008</v>
      </c>
      <c r="O67" s="291">
        <f t="shared" si="31"/>
        <v>14080.30447790399</v>
      </c>
      <c r="P67" s="291">
        <f t="shared" si="31"/>
        <v>10239.156505734412</v>
      </c>
      <c r="Q67" s="291">
        <f t="shared" si="31"/>
        <v>339216.17314313777</v>
      </c>
      <c r="R67" s="291">
        <f t="shared" si="31"/>
        <v>137637</v>
      </c>
      <c r="T67" s="2">
        <f t="shared" si="20"/>
        <v>8940218.4963770118</v>
      </c>
      <c r="U67" s="2">
        <f t="shared" si="21"/>
        <v>2748471.0000000005</v>
      </c>
      <c r="V67" s="2">
        <f t="shared" si="22"/>
        <v>637748</v>
      </c>
      <c r="W67" s="2">
        <f t="shared" si="23"/>
        <v>113380</v>
      </c>
      <c r="X67" s="2">
        <f>DEN!C63+DEN!F63+DEN!G63+DEN!L63</f>
        <v>8933315</v>
      </c>
      <c r="Y67" s="2">
        <f>DEN!I63+DEN!J63</f>
        <v>2748471</v>
      </c>
      <c r="Z67" s="2">
        <f>DEN!D63+DEN!E63</f>
        <v>637748</v>
      </c>
      <c r="AA67" s="2">
        <f>DEN!H63+DEN!K63</f>
        <v>113380</v>
      </c>
      <c r="AB67" s="562" t="str">
        <f t="shared" si="24"/>
        <v>ERRO</v>
      </c>
      <c r="AC67" s="562" t="str">
        <f t="shared" si="25"/>
        <v>OK</v>
      </c>
      <c r="AD67" s="562" t="str">
        <f t="shared" si="26"/>
        <v>OK</v>
      </c>
      <c r="AE67" s="562" t="str">
        <f t="shared" si="27"/>
        <v>OK</v>
      </c>
      <c r="AF67" s="774">
        <f>COMB_CORR!H27/FRO_TOT!T67</f>
        <v>225.50064474685723</v>
      </c>
      <c r="AG67" s="781">
        <f t="shared" si="28"/>
        <v>0.58220391420014761</v>
      </c>
      <c r="AH67" s="3">
        <v>0.58359673297085202</v>
      </c>
      <c r="AJ67" s="742">
        <f t="shared" si="10"/>
        <v>6903.4963770117611</v>
      </c>
      <c r="AK67" s="783">
        <v>-178302.37624358758</v>
      </c>
    </row>
    <row r="68" spans="1:37">
      <c r="A68" s="127" t="s">
        <v>36</v>
      </c>
      <c r="B68" s="291">
        <f>DIST_GAS_LEV!I36-AK68</f>
        <v>2071885.9615984997</v>
      </c>
      <c r="C68" s="291">
        <f>DIST_GAS_LEV!AC36</f>
        <v>264923.4249928412</v>
      </c>
      <c r="D68" s="291">
        <f>DIST_GAS_MOT!F37</f>
        <v>195721</v>
      </c>
      <c r="E68" s="291">
        <f>DIST_GAS_MOT!G37</f>
        <v>788197.14004971797</v>
      </c>
      <c r="F68" s="291">
        <f>DIST_GAS_MOT!H37</f>
        <v>25396.012928290165</v>
      </c>
      <c r="G68" s="291">
        <f>DIST_GAS_MOT!I37</f>
        <v>11278.847021991882</v>
      </c>
      <c r="H68" s="291">
        <f>DIST_ALC_LEV!G36</f>
        <v>845845.78734615888</v>
      </c>
      <c r="I68" s="291">
        <f>DIST_ALC_LEV!X36</f>
        <v>95085.590233080424</v>
      </c>
      <c r="J68" s="291">
        <f>DIST_DSL_CAM!E43</f>
        <v>127446.35325779993</v>
      </c>
      <c r="K68" s="291">
        <f>DIST_DSL_CAM!F43</f>
        <v>81186.646742200071</v>
      </c>
      <c r="L68" s="291">
        <f>DIST_DSL_CAM!G43</f>
        <v>59272</v>
      </c>
      <c r="M68" s="291">
        <f>DIST_DSL_ONI!E43</f>
        <v>14315</v>
      </c>
      <c r="N68" s="291">
        <f>DIST_DSL_ONI!F43</f>
        <v>25114.364240857038</v>
      </c>
      <c r="O68" s="291">
        <f>DIST_DSL_ONI!G43</f>
        <v>5731.6357591429633</v>
      </c>
      <c r="P68" s="291">
        <f>DIST_DSL_LEV!E36</f>
        <v>4042.1284084843305</v>
      </c>
      <c r="Q68" s="291">
        <f>DIST_DSL_LEV!F36</f>
        <v>143016.68537631282</v>
      </c>
      <c r="R68" s="291">
        <f>GNV!C29</f>
        <v>27371</v>
      </c>
      <c r="T68" s="2">
        <f t="shared" si="20"/>
        <v>3452170.5779553773</v>
      </c>
      <c r="U68" s="2">
        <f t="shared" si="21"/>
        <v>1020593</v>
      </c>
      <c r="V68" s="2">
        <f t="shared" si="22"/>
        <v>267905</v>
      </c>
      <c r="W68" s="2">
        <f t="shared" si="23"/>
        <v>45161</v>
      </c>
      <c r="X68" s="2">
        <f>DEN!C64+DEN!F64+DEN!G64+DEN!L64</f>
        <v>3453325</v>
      </c>
      <c r="Y68" s="2">
        <f>DEN!I64+DEN!J64</f>
        <v>1020593</v>
      </c>
      <c r="Z68" s="2">
        <f>DEN!D64+DEN!E64</f>
        <v>267905</v>
      </c>
      <c r="AA68" s="2">
        <f>DEN!H64+DEN!K64</f>
        <v>45161</v>
      </c>
      <c r="AB68" s="562" t="str">
        <f t="shared" si="24"/>
        <v>ERRO</v>
      </c>
      <c r="AC68" s="562" t="str">
        <f t="shared" si="25"/>
        <v>OK</v>
      </c>
      <c r="AD68" s="562" t="str">
        <f t="shared" si="26"/>
        <v>OK</v>
      </c>
      <c r="AE68" s="562" t="str">
        <f t="shared" si="27"/>
        <v>OK</v>
      </c>
      <c r="AF68" s="774">
        <f>COMB_CORR!H28/FRO_TOT!T68</f>
        <v>418.75806399377888</v>
      </c>
      <c r="AG68" s="781">
        <f t="shared" si="28"/>
        <v>1.0811613609076025</v>
      </c>
      <c r="AH68" s="3">
        <v>1.0822573179293407</v>
      </c>
      <c r="AJ68" s="742">
        <f t="shared" si="10"/>
        <v>-1154.4220446227118</v>
      </c>
      <c r="AK68" s="783">
        <v>28804.327485960443</v>
      </c>
    </row>
    <row r="69" spans="1:37">
      <c r="A69" s="127" t="s">
        <v>37</v>
      </c>
      <c r="B69" s="291">
        <f>DIST_GAS_LEV!I37-AK69</f>
        <v>2723671.7097933632</v>
      </c>
      <c r="C69" s="291">
        <f>DIST_GAS_LEV!AC37</f>
        <v>285836.82132905303</v>
      </c>
      <c r="D69" s="291">
        <f>DIST_GAS_MOT!F38</f>
        <v>127682</v>
      </c>
      <c r="E69" s="291">
        <f>DIST_GAS_MOT!G38</f>
        <v>759954.04736826883</v>
      </c>
      <c r="F69" s="291">
        <f>DIST_GAS_MOT!H38</f>
        <v>24485.60233189063</v>
      </c>
      <c r="G69" s="291">
        <f>DIST_GAS_MOT!I38</f>
        <v>10874.35029984052</v>
      </c>
      <c r="H69" s="291">
        <f>DIST_ALC_LEV!G37</f>
        <v>112432.88845988798</v>
      </c>
      <c r="I69" s="291">
        <f>DIST_ALC_LEV!X37</f>
        <v>11286.325314406176</v>
      </c>
      <c r="J69" s="291">
        <f>DIST_DSL_CAM!E44</f>
        <v>107715.72434175712</v>
      </c>
      <c r="K69" s="291">
        <f>DIST_DSL_CAM!F44</f>
        <v>68617.275658242899</v>
      </c>
      <c r="L69" s="291">
        <f>DIST_DSL_CAM!G44</f>
        <v>38554</v>
      </c>
      <c r="M69" s="291">
        <f>DIST_DSL_ONI!E44</f>
        <v>14934</v>
      </c>
      <c r="N69" s="291">
        <f>DIST_DSL_ONI!F44</f>
        <v>24508.05596851771</v>
      </c>
      <c r="O69" s="291">
        <f>DIST_DSL_ONI!G44</f>
        <v>5593.9440314822914</v>
      </c>
      <c r="P69" s="291">
        <f>DIST_DSL_LEV!E37</f>
        <v>3751.3640165264951</v>
      </c>
      <c r="Q69" s="291">
        <f>DIST_DSL_LEV!F37</f>
        <v>116042.01392957398</v>
      </c>
      <c r="R69" s="291">
        <f>GNV!C30</f>
        <v>40594</v>
      </c>
      <c r="T69" s="2">
        <f t="shared" si="20"/>
        <v>3293615.1228428106</v>
      </c>
      <c r="U69" s="2">
        <f t="shared" si="21"/>
        <v>922996</v>
      </c>
      <c r="V69" s="2">
        <f t="shared" si="22"/>
        <v>214887</v>
      </c>
      <c r="W69" s="2">
        <f t="shared" si="23"/>
        <v>45036.000000000007</v>
      </c>
      <c r="X69" s="2">
        <f>DEN!C65+DEN!F65+DEN!G65+DEN!L65</f>
        <v>3288835</v>
      </c>
      <c r="Y69" s="2">
        <f>DEN!I65+DEN!J65</f>
        <v>922996</v>
      </c>
      <c r="Z69" s="2">
        <f>DEN!D65+DEN!E65</f>
        <v>214887</v>
      </c>
      <c r="AA69" s="2">
        <f>DEN!H65+DEN!K65</f>
        <v>45036</v>
      </c>
      <c r="AB69" s="562" t="str">
        <f t="shared" si="24"/>
        <v>ERRO</v>
      </c>
      <c r="AC69" s="562" t="str">
        <f t="shared" si="25"/>
        <v>OK</v>
      </c>
      <c r="AD69" s="562" t="str">
        <f t="shared" si="26"/>
        <v>OK</v>
      </c>
      <c r="AE69" s="562" t="str">
        <f t="shared" si="27"/>
        <v>OK</v>
      </c>
      <c r="AF69" s="774">
        <f>COMB_CORR!H29/FRO_TOT!T69</f>
        <v>78.494557030256871</v>
      </c>
      <c r="AG69" s="781">
        <f t="shared" si="28"/>
        <v>0.20265945757150292</v>
      </c>
      <c r="AH69" s="3">
        <v>0.204110410358744</v>
      </c>
      <c r="AJ69" s="742">
        <f t="shared" si="10"/>
        <v>4780.1228428105824</v>
      </c>
      <c r="AK69" s="783">
        <v>-134121.15851561865</v>
      </c>
    </row>
    <row r="70" spans="1:37" ht="15.75" thickBot="1">
      <c r="A70" s="128" t="s">
        <v>38</v>
      </c>
      <c r="B70" s="291">
        <f>DIST_GAS_LEV!I38-AK70</f>
        <v>1675685.2968499709</v>
      </c>
      <c r="C70" s="291">
        <f>DIST_GAS_LEV!AC38</f>
        <v>191680.62120852218</v>
      </c>
      <c r="D70" s="291">
        <f>DIST_GAS_MOT!F39</f>
        <v>167985</v>
      </c>
      <c r="E70" s="291">
        <f>DIST_GAS_MOT!G39</f>
        <v>608579.93871454126</v>
      </c>
      <c r="F70" s="291">
        <f>DIST_GAS_MOT!H39</f>
        <v>19608.453103073924</v>
      </c>
      <c r="G70" s="291">
        <f>DIST_GAS_MOT!I39</f>
        <v>8708.6081823847526</v>
      </c>
      <c r="H70" s="291">
        <f>DIST_ALC_LEV!G38</f>
        <v>157887.98991676903</v>
      </c>
      <c r="I70" s="291">
        <f>DIST_ALC_LEV!X38</f>
        <v>16903.749685586867</v>
      </c>
      <c r="J70" s="291">
        <f>DIST_DSL_CAM!E45</f>
        <v>73569.698175358091</v>
      </c>
      <c r="K70" s="291">
        <f>DIST_DSL_CAM!F45</f>
        <v>46865.301824641923</v>
      </c>
      <c r="L70" s="291">
        <f>DIST_DSL_CAM!G45</f>
        <v>34521</v>
      </c>
      <c r="M70" s="291">
        <f>DIST_DSL_ONI!E45</f>
        <v>8357</v>
      </c>
      <c r="N70" s="291">
        <f>DIST_DSL_ONI!F45</f>
        <v>12071.275312721265</v>
      </c>
      <c r="O70" s="291">
        <f>DIST_DSL_ONI!G45</f>
        <v>2754.724687278735</v>
      </c>
      <c r="P70" s="291">
        <f>DIST_DSL_LEV!E38</f>
        <v>2445.6640807235881</v>
      </c>
      <c r="Q70" s="291">
        <f>DIST_DSL_LEV!F38</f>
        <v>80157.473837250975</v>
      </c>
      <c r="R70" s="291">
        <f>GNV!C31</f>
        <v>69672</v>
      </c>
      <c r="T70" s="2">
        <f t="shared" si="20"/>
        <v>2194432.7955788239</v>
      </c>
      <c r="U70" s="2">
        <f t="shared" si="21"/>
        <v>804881.99999999988</v>
      </c>
      <c r="V70" s="2">
        <f t="shared" si="22"/>
        <v>154956</v>
      </c>
      <c r="W70" s="2">
        <f t="shared" si="23"/>
        <v>23183</v>
      </c>
      <c r="X70" s="2">
        <f>DEN!C66+DEN!F66+DEN!G66+DEN!L66</f>
        <v>2191155</v>
      </c>
      <c r="Y70" s="2">
        <f>DEN!I66+DEN!J66</f>
        <v>804882</v>
      </c>
      <c r="Z70" s="2">
        <f>DEN!D66+DEN!E66</f>
        <v>154956</v>
      </c>
      <c r="AA70" s="2">
        <f>DEN!H66+DEN!K66</f>
        <v>23183</v>
      </c>
      <c r="AB70" s="562" t="str">
        <f t="shared" si="24"/>
        <v>ERRO</v>
      </c>
      <c r="AC70" s="562" t="str">
        <f t="shared" si="25"/>
        <v>OK</v>
      </c>
      <c r="AD70" s="562" t="str">
        <f t="shared" si="26"/>
        <v>OK</v>
      </c>
      <c r="AE70" s="562" t="str">
        <f t="shared" si="27"/>
        <v>OK</v>
      </c>
      <c r="AF70" s="774">
        <f>COMB_CORR!H30/FRO_TOT!T70</f>
        <v>142.11868681626805</v>
      </c>
      <c r="AG70" s="781">
        <f t="shared" si="28"/>
        <v>0.36692602736591218</v>
      </c>
      <c r="AH70" s="3">
        <v>0.3659966641349775</v>
      </c>
      <c r="AJ70" s="742">
        <f t="shared" ref="AJ70:AJ133" si="32">T70-X70</f>
        <v>3277.7955788238905</v>
      </c>
      <c r="AK70" s="783">
        <v>-72985.545213928446</v>
      </c>
    </row>
    <row r="71" spans="1:37" ht="25.5">
      <c r="A71" s="274" t="s">
        <v>73</v>
      </c>
      <c r="B71" s="291">
        <f t="shared" ref="B71:R71" si="33">SUM(B72:B75)</f>
        <v>1942357.4748067199</v>
      </c>
      <c r="C71" s="291">
        <f t="shared" si="33"/>
        <v>274758.07653877873</v>
      </c>
      <c r="D71" s="291">
        <f t="shared" si="33"/>
        <v>333733</v>
      </c>
      <c r="E71" s="291">
        <f t="shared" si="33"/>
        <v>1217306.3600447001</v>
      </c>
      <c r="F71" s="291">
        <f t="shared" si="33"/>
        <v>39221.933891955559</v>
      </c>
      <c r="G71" s="291">
        <f t="shared" si="33"/>
        <v>17418.706063344482</v>
      </c>
      <c r="H71" s="291">
        <f t="shared" si="33"/>
        <v>835258.40745549463</v>
      </c>
      <c r="I71" s="291">
        <f t="shared" si="33"/>
        <v>116235.2979365846</v>
      </c>
      <c r="J71" s="291">
        <f t="shared" si="33"/>
        <v>114034.00991564544</v>
      </c>
      <c r="K71" s="291">
        <f t="shared" si="33"/>
        <v>72641.990084354562</v>
      </c>
      <c r="L71" s="291">
        <f t="shared" si="33"/>
        <v>44482</v>
      </c>
      <c r="M71" s="291">
        <f t="shared" si="33"/>
        <v>14098</v>
      </c>
      <c r="N71" s="291">
        <f t="shared" si="33"/>
        <v>30416.89380994179</v>
      </c>
      <c r="O71" s="291">
        <f t="shared" si="33"/>
        <v>6941.1061900582126</v>
      </c>
      <c r="P71" s="291">
        <f t="shared" si="33"/>
        <v>5746.5193191733033</v>
      </c>
      <c r="Q71" s="291">
        <f t="shared" si="33"/>
        <v>242328.06237184996</v>
      </c>
      <c r="R71" s="291">
        <f t="shared" si="33"/>
        <v>8608</v>
      </c>
      <c r="T71" s="2">
        <f t="shared" si="20"/>
        <v>3425291.8384286016</v>
      </c>
      <c r="U71" s="2">
        <f t="shared" si="21"/>
        <v>1607680</v>
      </c>
      <c r="V71" s="2">
        <f t="shared" si="22"/>
        <v>231158</v>
      </c>
      <c r="W71" s="2">
        <f t="shared" si="23"/>
        <v>51456</v>
      </c>
      <c r="X71" s="2">
        <f>DEN!C67+DEN!F67+DEN!G67+DEN!L67</f>
        <v>3430621</v>
      </c>
      <c r="Y71" s="2">
        <f>DEN!I67+DEN!J67</f>
        <v>1607680</v>
      </c>
      <c r="Z71" s="2">
        <f>DEN!D67+DEN!E67</f>
        <v>231158</v>
      </c>
      <c r="AA71" s="2">
        <f>DEN!H67+DEN!K67</f>
        <v>51456</v>
      </c>
      <c r="AB71" s="562" t="str">
        <f t="shared" si="24"/>
        <v>ERRO</v>
      </c>
      <c r="AC71" s="562" t="str">
        <f t="shared" si="25"/>
        <v>OK</v>
      </c>
      <c r="AD71" s="562" t="str">
        <f t="shared" si="26"/>
        <v>OK</v>
      </c>
      <c r="AE71" s="562" t="str">
        <f t="shared" si="27"/>
        <v>OK</v>
      </c>
      <c r="AF71" s="774">
        <f>COMB_CORR!H31/FRO_TOT!T71</f>
        <v>491.85025865267482</v>
      </c>
      <c r="AG71" s="781">
        <f t="shared" si="28"/>
        <v>1.2698728471903105</v>
      </c>
      <c r="AH71" s="3">
        <v>1.2583469709550972</v>
      </c>
      <c r="AJ71" s="742">
        <f t="shared" si="32"/>
        <v>-5329.1615713983774</v>
      </c>
      <c r="AK71" s="783">
        <v>91608.151955755893</v>
      </c>
    </row>
    <row r="72" spans="1:37">
      <c r="A72" s="127" t="s">
        <v>40</v>
      </c>
      <c r="B72" s="291">
        <f>DIST_GAS_LEV!I40-AK72</f>
        <v>820914.76422290551</v>
      </c>
      <c r="C72" s="291">
        <f>DIST_GAS_LEV!AC40</f>
        <v>82834.370319531619</v>
      </c>
      <c r="D72" s="291">
        <f>DIST_GAS_MOT!F41</f>
        <v>10539</v>
      </c>
      <c r="E72" s="291">
        <f>DIST_GAS_MOT!G41</f>
        <v>112789.92409114352</v>
      </c>
      <c r="F72" s="291">
        <f>DIST_GAS_MOT!H41</f>
        <v>3634.0037822182844</v>
      </c>
      <c r="G72" s="291">
        <f>DIST_GAS_MOT!I41</f>
        <v>1614.07212663819</v>
      </c>
      <c r="H72" s="291">
        <f>DIST_ALC_LEV!G40</f>
        <v>71327.566300498976</v>
      </c>
      <c r="I72" s="291">
        <f>DIST_ALC_LEV!X40</f>
        <v>7029.7294670444426</v>
      </c>
      <c r="J72" s="291">
        <f>DIST_DSL_CAM!E47</f>
        <v>11489.229040865046</v>
      </c>
      <c r="K72" s="291">
        <f>DIST_DSL_CAM!F47</f>
        <v>7318.770959134953</v>
      </c>
      <c r="L72" s="291">
        <f>DIST_DSL_CAM!G47</f>
        <v>2114</v>
      </c>
      <c r="M72" s="291">
        <f>DIST_DSL_ONI!E47</f>
        <v>4571</v>
      </c>
      <c r="N72" s="291">
        <f>DIST_DSL_ONI!F47</f>
        <v>7041.3441033925683</v>
      </c>
      <c r="O72" s="291">
        <f>DIST_DSL_ONI!G47</f>
        <v>1606.6558966074313</v>
      </c>
      <c r="P72" s="291">
        <f>DIST_DSL_LEV!E40</f>
        <v>968.83608193974123</v>
      </c>
      <c r="Q72" s="291">
        <f>DIST_DSL_LEV!F40</f>
        <v>29223.639303579046</v>
      </c>
      <c r="R72" s="291">
        <f>GNV!C33</f>
        <v>425</v>
      </c>
      <c r="T72" s="2">
        <f t="shared" si="20"/>
        <v>1012723.9056954994</v>
      </c>
      <c r="U72" s="2">
        <f t="shared" si="21"/>
        <v>128576.99999999999</v>
      </c>
      <c r="V72" s="2">
        <f t="shared" si="22"/>
        <v>20922</v>
      </c>
      <c r="W72" s="2">
        <f t="shared" si="23"/>
        <v>13219</v>
      </c>
      <c r="X72" s="2">
        <f>DEN!C68+DEN!F68+DEN!G68+DEN!L68</f>
        <v>1011457</v>
      </c>
      <c r="Y72" s="2">
        <f>DEN!I68+DEN!J68</f>
        <v>128577</v>
      </c>
      <c r="Z72" s="2">
        <f>DEN!D68+DEN!E68</f>
        <v>20922</v>
      </c>
      <c r="AA72" s="2">
        <f>DEN!H68+DEN!K68</f>
        <v>13219</v>
      </c>
      <c r="AB72" s="562" t="str">
        <f t="shared" si="24"/>
        <v>ERRO</v>
      </c>
      <c r="AC72" s="562" t="str">
        <f t="shared" si="25"/>
        <v>OK</v>
      </c>
      <c r="AD72" s="562" t="str">
        <f t="shared" si="26"/>
        <v>OK</v>
      </c>
      <c r="AE72" s="562" t="str">
        <f t="shared" si="27"/>
        <v>OK</v>
      </c>
      <c r="AF72" s="774">
        <f>COMB_CORR!H32/FRO_TOT!T72</f>
        <v>142.14691219207512</v>
      </c>
      <c r="AG72" s="781">
        <f t="shared" si="28"/>
        <v>0.36699890043593419</v>
      </c>
      <c r="AH72" s="3">
        <v>0.3679760197470795</v>
      </c>
      <c r="AJ72" s="742">
        <f t="shared" si="32"/>
        <v>1266.9056954993866</v>
      </c>
      <c r="AK72" s="783">
        <v>-32141.616750925314</v>
      </c>
    </row>
    <row r="73" spans="1:37">
      <c r="A73" s="127" t="s">
        <v>41</v>
      </c>
      <c r="B73" s="291">
        <f>DIST_GAS_LEV!I41-AK73</f>
        <v>651599.79540030006</v>
      </c>
      <c r="C73" s="291">
        <f>DIST_GAS_LEV!AC41</f>
        <v>111890.97661030761</v>
      </c>
      <c r="D73" s="291">
        <f>DIST_GAS_MOT!F42</f>
        <v>151168</v>
      </c>
      <c r="E73" s="291">
        <f>DIST_GAS_MOT!G42</f>
        <v>534074.98069304076</v>
      </c>
      <c r="F73" s="291">
        <f>DIST_GAS_MOT!H42</f>
        <v>17208.120933837356</v>
      </c>
      <c r="G73" s="291">
        <f>DIST_GAS_MOT!I42</f>
        <v>7641.8983731219596</v>
      </c>
      <c r="H73" s="291">
        <f>DIST_ALC_LEV!G41</f>
        <v>443373.20803030243</v>
      </c>
      <c r="I73" s="291">
        <f>DIST_ALC_LEV!X41</f>
        <v>60662.70252427891</v>
      </c>
      <c r="J73" s="291">
        <f>DIST_DSL_CAM!E48</f>
        <v>49608.878528773072</v>
      </c>
      <c r="K73" s="291">
        <f>DIST_DSL_CAM!F48</f>
        <v>31602.121471226925</v>
      </c>
      <c r="L73" s="291">
        <f>DIST_DSL_CAM!G48</f>
        <v>16994</v>
      </c>
      <c r="M73" s="291">
        <f>DIST_DSL_ONI!E48</f>
        <v>5424</v>
      </c>
      <c r="N73" s="291">
        <f>DIST_DSL_ONI!F48</f>
        <v>12924.579450226849</v>
      </c>
      <c r="O73" s="291">
        <f>DIST_DSL_ONI!G48</f>
        <v>2949.4205497731518</v>
      </c>
      <c r="P73" s="291">
        <f>DIST_DSL_LEV!E41</f>
        <v>2166.3506362921403</v>
      </c>
      <c r="Q73" s="291">
        <f>DIST_DSL_LEV!F41</f>
        <v>93482.758721607403</v>
      </c>
      <c r="R73" s="291">
        <f>GNV!C34</f>
        <v>499</v>
      </c>
      <c r="T73" s="2">
        <f t="shared" si="20"/>
        <v>1363674.791923089</v>
      </c>
      <c r="U73" s="2">
        <f t="shared" si="21"/>
        <v>710093.00000000012</v>
      </c>
      <c r="V73" s="2">
        <f t="shared" si="22"/>
        <v>98205</v>
      </c>
      <c r="W73" s="2">
        <f t="shared" si="23"/>
        <v>21298</v>
      </c>
      <c r="X73" s="2">
        <f>DEN!C69+DEN!F69+DEN!G69+DEN!L69</f>
        <v>1368136</v>
      </c>
      <c r="Y73" s="2">
        <f>DEN!I69+DEN!J69</f>
        <v>710093</v>
      </c>
      <c r="Z73" s="2">
        <f>DEN!D69+DEN!E69</f>
        <v>98205</v>
      </c>
      <c r="AA73" s="2">
        <f>DEN!H69+DEN!K69</f>
        <v>21298</v>
      </c>
      <c r="AB73" s="562" t="str">
        <f t="shared" si="24"/>
        <v>ERRO</v>
      </c>
      <c r="AC73" s="562" t="str">
        <f t="shared" si="25"/>
        <v>OK</v>
      </c>
      <c r="AD73" s="562" t="str">
        <f t="shared" si="26"/>
        <v>OK</v>
      </c>
      <c r="AE73" s="562" t="str">
        <f t="shared" si="27"/>
        <v>OK</v>
      </c>
      <c r="AF73" s="774">
        <f>COMB_CORR!H33/FRO_TOT!T73</f>
        <v>669.80093632834382</v>
      </c>
      <c r="AG73" s="781">
        <f t="shared" si="28"/>
        <v>1.7293109175055716</v>
      </c>
      <c r="AH73" s="3">
        <v>1.7072288569685292</v>
      </c>
      <c r="AJ73" s="742">
        <f t="shared" si="32"/>
        <v>-4461.2080769110471</v>
      </c>
      <c r="AK73" s="783">
        <v>87557.272841524333</v>
      </c>
    </row>
    <row r="74" spans="1:37">
      <c r="A74" s="127" t="s">
        <v>42</v>
      </c>
      <c r="B74" s="291">
        <f>DIST_GAS_LEV!I42-AK74</f>
        <v>146465.7802149654</v>
      </c>
      <c r="C74" s="291">
        <f>DIST_GAS_LEV!AC42</f>
        <v>32406.535405064715</v>
      </c>
      <c r="D74" s="291">
        <f>DIST_GAS_MOT!F43</f>
        <v>108857</v>
      </c>
      <c r="E74" s="291">
        <f>DIST_GAS_MOT!G43</f>
        <v>342169.85896009329</v>
      </c>
      <c r="F74" s="291">
        <f>DIST_GAS_MOT!H43</f>
        <v>11024.668573003371</v>
      </c>
      <c r="G74" s="291">
        <f>DIST_GAS_MOT!I43</f>
        <v>4896.4724669033012</v>
      </c>
      <c r="H74" s="291">
        <f>DIST_ALC_LEV!G42</f>
        <v>226841.23758334137</v>
      </c>
      <c r="I74" s="291">
        <f>DIST_ALC_LEV!X42</f>
        <v>35866.592138218068</v>
      </c>
      <c r="J74" s="291">
        <f>DIST_DSL_CAM!E49</f>
        <v>29674.497941305301</v>
      </c>
      <c r="K74" s="291">
        <f>DIST_DSL_CAM!F49</f>
        <v>18903.502058694699</v>
      </c>
      <c r="L74" s="291">
        <f>DIST_DSL_CAM!G49</f>
        <v>16647</v>
      </c>
      <c r="M74" s="291">
        <f>DIST_DSL_ONI!E49</f>
        <v>2058</v>
      </c>
      <c r="N74" s="291">
        <f>DIST_DSL_ONI!F49</f>
        <v>5480.1126531497348</v>
      </c>
      <c r="O74" s="291">
        <f>DIST_DSL_ONI!G49</f>
        <v>1250.8873468502657</v>
      </c>
      <c r="P74" s="291">
        <f>DIST_DSL_LEV!E42</f>
        <v>1449.0607052116916</v>
      </c>
      <c r="Q74" s="291">
        <f>DIST_DSL_LEV!F42</f>
        <v>70713.610779670882</v>
      </c>
      <c r="R74" s="291">
        <f>GNV!C35</f>
        <v>1659</v>
      </c>
      <c r="T74" s="2">
        <f t="shared" si="20"/>
        <v>515401.81682647212</v>
      </c>
      <c r="U74" s="2">
        <f t="shared" si="21"/>
        <v>466947.99999999994</v>
      </c>
      <c r="V74" s="2">
        <f t="shared" si="22"/>
        <v>65225</v>
      </c>
      <c r="W74" s="2">
        <f t="shared" si="23"/>
        <v>8789</v>
      </c>
      <c r="X74" s="2">
        <f>DEN!C70+DEN!F70+DEN!G70+DEN!L70</f>
        <v>517832</v>
      </c>
      <c r="Y74" s="2">
        <f>DEN!I70+DEN!J70</f>
        <v>466948</v>
      </c>
      <c r="Z74" s="2">
        <f>DEN!D70+DEN!E70</f>
        <v>65225</v>
      </c>
      <c r="AA74" s="2">
        <f>DEN!H70+DEN!K70</f>
        <v>8789</v>
      </c>
      <c r="AB74" s="562" t="str">
        <f t="shared" si="24"/>
        <v>ERRO</v>
      </c>
      <c r="AC74" s="562" t="str">
        <f t="shared" si="25"/>
        <v>OK</v>
      </c>
      <c r="AD74" s="562" t="str">
        <f t="shared" si="26"/>
        <v>OK</v>
      </c>
      <c r="AE74" s="562" t="str">
        <f t="shared" si="27"/>
        <v>OK</v>
      </c>
      <c r="AF74" s="774">
        <f>COMB_CORR!H34/FRO_TOT!T74</f>
        <v>866.88130552802079</v>
      </c>
      <c r="AG74" s="781">
        <f t="shared" si="28"/>
        <v>2.2381385640467522</v>
      </c>
      <c r="AH74" s="3">
        <v>2.1918223841664126</v>
      </c>
      <c r="AJ74" s="742">
        <f t="shared" si="32"/>
        <v>-2430.1831735278829</v>
      </c>
      <c r="AK74" s="783">
        <v>41800.003608296392</v>
      </c>
    </row>
    <row r="75" spans="1:37" ht="26.25" thickBot="1">
      <c r="A75" s="128" t="s">
        <v>43</v>
      </c>
      <c r="B75" s="291">
        <f>DIST_GAS_LEV!I43-AK75</f>
        <v>323377.13496854901</v>
      </c>
      <c r="C75" s="291">
        <f>DIST_GAS_LEV!AC43</f>
        <v>47626.194203874795</v>
      </c>
      <c r="D75" s="291">
        <f>DIST_GAS_MOT!F44</f>
        <v>63169</v>
      </c>
      <c r="E75" s="291">
        <f>DIST_GAS_MOT!G44</f>
        <v>228271.59630042242</v>
      </c>
      <c r="F75" s="291">
        <f>DIST_GAS_MOT!H44</f>
        <v>7355.140602896543</v>
      </c>
      <c r="G75" s="291">
        <f>DIST_GAS_MOT!I44</f>
        <v>3266.2630966810307</v>
      </c>
      <c r="H75" s="291">
        <f>DIST_ALC_LEV!G43</f>
        <v>93716.395541351827</v>
      </c>
      <c r="I75" s="291">
        <f>DIST_ALC_LEV!X43</f>
        <v>12676.273807043188</v>
      </c>
      <c r="J75" s="291">
        <f>DIST_DSL_CAM!E50</f>
        <v>23261.404404702011</v>
      </c>
      <c r="K75" s="291">
        <f>DIST_DSL_CAM!F50</f>
        <v>14817.595595297991</v>
      </c>
      <c r="L75" s="291">
        <f>DIST_DSL_CAM!G50</f>
        <v>8727</v>
      </c>
      <c r="M75" s="291">
        <f>DIST_DSL_ONI!E50</f>
        <v>2045</v>
      </c>
      <c r="N75" s="291">
        <f>DIST_DSL_ONI!F50</f>
        <v>4970.8576031726361</v>
      </c>
      <c r="O75" s="291">
        <f>DIST_DSL_ONI!G50</f>
        <v>1134.1423968273639</v>
      </c>
      <c r="P75" s="291">
        <f>DIST_DSL_LEV!E43</f>
        <v>1162.27189572973</v>
      </c>
      <c r="Q75" s="291">
        <f>DIST_DSL_LEV!F43</f>
        <v>48908.053566992618</v>
      </c>
      <c r="R75" s="291">
        <f>GNV!C36</f>
        <v>6025</v>
      </c>
      <c r="T75" s="2">
        <f t="shared" si="20"/>
        <v>533491.32398354111</v>
      </c>
      <c r="U75" s="2">
        <f t="shared" si="21"/>
        <v>302062.00000000006</v>
      </c>
      <c r="V75" s="2">
        <f t="shared" si="22"/>
        <v>46806</v>
      </c>
      <c r="W75" s="2">
        <f t="shared" si="23"/>
        <v>8150</v>
      </c>
      <c r="X75" s="2">
        <f>DEN!C71+DEN!F71+DEN!G71+DEN!L71</f>
        <v>533196</v>
      </c>
      <c r="Y75" s="2">
        <f>DEN!I71+DEN!J71</f>
        <v>302062</v>
      </c>
      <c r="Z75" s="2">
        <f>DEN!D71+DEN!E71</f>
        <v>46806</v>
      </c>
      <c r="AA75" s="2">
        <f>DEN!H71+DEN!K71</f>
        <v>8150</v>
      </c>
      <c r="AB75" s="562" t="str">
        <f t="shared" si="24"/>
        <v>ERRO</v>
      </c>
      <c r="AC75" s="562" t="str">
        <f t="shared" si="25"/>
        <v>OK</v>
      </c>
      <c r="AD75" s="562" t="str">
        <f t="shared" si="26"/>
        <v>OK</v>
      </c>
      <c r="AE75" s="562" t="str">
        <f t="shared" si="27"/>
        <v>OK</v>
      </c>
      <c r="AF75" s="775">
        <f>COMB_CORR!H35/FRO_TOT!T75</f>
        <v>338.51018780648701</v>
      </c>
      <c r="AG75" s="782">
        <f t="shared" si="28"/>
        <v>0.8739751345669291</v>
      </c>
      <c r="AH75" s="3">
        <v>0.86500271974484622</v>
      </c>
      <c r="AJ75" s="779">
        <f t="shared" si="32"/>
        <v>295.32398354110774</v>
      </c>
      <c r="AK75" s="783">
        <v>-5607.5077431392856</v>
      </c>
    </row>
    <row r="76" spans="1:37" s="1" customFormat="1" ht="15.75" thickBot="1"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AB76" s="562"/>
      <c r="AC76" s="562"/>
      <c r="AD76" s="562"/>
      <c r="AE76" s="562"/>
      <c r="AF76" s="772"/>
      <c r="AG76" s="780"/>
      <c r="AH76" s="3"/>
      <c r="AJ76" s="719"/>
      <c r="AK76" s="780"/>
    </row>
    <row r="77" spans="1:37" ht="15.75" customHeight="1" thickBot="1">
      <c r="A77" s="1051" t="s">
        <v>437</v>
      </c>
      <c r="B77" s="1054">
        <v>2006</v>
      </c>
      <c r="C77" s="1055"/>
      <c r="D77" s="1055"/>
      <c r="E77" s="1055"/>
      <c r="F77" s="1055"/>
      <c r="G77" s="1055"/>
      <c r="H77" s="1055"/>
      <c r="I77" s="1055"/>
      <c r="J77" s="1055"/>
      <c r="K77" s="1055"/>
      <c r="L77" s="1055"/>
      <c r="M77" s="1055"/>
      <c r="N77" s="1055"/>
      <c r="O77" s="1055"/>
      <c r="P77" s="1055"/>
      <c r="Q77" s="1055"/>
      <c r="R77" s="1078"/>
      <c r="AJ77" s="719"/>
    </row>
    <row r="78" spans="1:37">
      <c r="A78" s="1052"/>
      <c r="B78" s="1060" t="s">
        <v>97</v>
      </c>
      <c r="C78" s="1061"/>
      <c r="D78" s="1061"/>
      <c r="E78" s="1061"/>
      <c r="F78" s="1061"/>
      <c r="G78" s="1061"/>
      <c r="H78" s="1061" t="s">
        <v>98</v>
      </c>
      <c r="I78" s="1061"/>
      <c r="J78" s="1061" t="s">
        <v>99</v>
      </c>
      <c r="K78" s="1061"/>
      <c r="L78" s="1061"/>
      <c r="M78" s="1061"/>
      <c r="N78" s="1061"/>
      <c r="O78" s="1061"/>
      <c r="P78" s="1061"/>
      <c r="Q78" s="1061"/>
      <c r="R78" s="289" t="s">
        <v>100</v>
      </c>
      <c r="AJ78" s="719"/>
    </row>
    <row r="79" spans="1:37" ht="15.75" thickBot="1">
      <c r="A79" s="1052"/>
      <c r="B79" s="1062" t="s">
        <v>101</v>
      </c>
      <c r="C79" s="1064" t="s">
        <v>102</v>
      </c>
      <c r="D79" s="1064" t="s">
        <v>103</v>
      </c>
      <c r="E79" s="1064"/>
      <c r="F79" s="1064"/>
      <c r="G79" s="1064"/>
      <c r="H79" s="1062" t="s">
        <v>101</v>
      </c>
      <c r="I79" s="1064" t="s">
        <v>102</v>
      </c>
      <c r="J79" s="1064" t="s">
        <v>104</v>
      </c>
      <c r="K79" s="1064"/>
      <c r="L79" s="1064"/>
      <c r="M79" s="1064" t="s">
        <v>105</v>
      </c>
      <c r="N79" s="1064"/>
      <c r="O79" s="1064"/>
      <c r="P79" s="1062" t="s">
        <v>101</v>
      </c>
      <c r="Q79" s="1064" t="s">
        <v>102</v>
      </c>
      <c r="R79" s="1062" t="s">
        <v>101</v>
      </c>
      <c r="T79" s="1189" t="s">
        <v>425</v>
      </c>
      <c r="U79" s="1189"/>
      <c r="V79" s="1189"/>
      <c r="W79" s="1189"/>
      <c r="X79" s="1189" t="s">
        <v>426</v>
      </c>
      <c r="Y79" s="1189"/>
      <c r="Z79" s="1189"/>
      <c r="AA79" s="1189"/>
      <c r="AB79" s="1190" t="s">
        <v>427</v>
      </c>
      <c r="AC79" s="1190"/>
      <c r="AD79" s="1190"/>
      <c r="AE79" s="1190"/>
      <c r="AJ79" s="719"/>
    </row>
    <row r="80" spans="1:37" ht="15.75" thickBot="1">
      <c r="A80" s="1053"/>
      <c r="B80" s="1063"/>
      <c r="C80" s="1065"/>
      <c r="D80" s="290" t="s">
        <v>106</v>
      </c>
      <c r="E80" s="290" t="s">
        <v>107</v>
      </c>
      <c r="F80" s="290" t="s">
        <v>108</v>
      </c>
      <c r="G80" s="290" t="s">
        <v>109</v>
      </c>
      <c r="H80" s="1063"/>
      <c r="I80" s="1065"/>
      <c r="J80" s="290" t="s">
        <v>110</v>
      </c>
      <c r="K80" s="290" t="s">
        <v>111</v>
      </c>
      <c r="L80" s="290" t="s">
        <v>112</v>
      </c>
      <c r="M80" s="290" t="s">
        <v>113</v>
      </c>
      <c r="N80" s="290" t="s">
        <v>114</v>
      </c>
      <c r="O80" s="290" t="s">
        <v>115</v>
      </c>
      <c r="P80" s="1063"/>
      <c r="Q80" s="1065"/>
      <c r="R80" s="1063"/>
      <c r="T80" s="1" t="s">
        <v>428</v>
      </c>
      <c r="U80" s="1" t="s">
        <v>429</v>
      </c>
      <c r="V80" s="1" t="s">
        <v>293</v>
      </c>
      <c r="W80" s="1" t="s">
        <v>296</v>
      </c>
      <c r="X80" s="1" t="s">
        <v>428</v>
      </c>
      <c r="Y80" s="1" t="s">
        <v>429</v>
      </c>
      <c r="Z80" s="1" t="s">
        <v>293</v>
      </c>
      <c r="AA80" s="1" t="s">
        <v>296</v>
      </c>
      <c r="AB80" s="562" t="s">
        <v>428</v>
      </c>
      <c r="AC80" s="562" t="s">
        <v>429</v>
      </c>
      <c r="AD80" s="562" t="s">
        <v>293</v>
      </c>
      <c r="AE80" s="562" t="s">
        <v>296</v>
      </c>
      <c r="AF80" s="773" t="s">
        <v>430</v>
      </c>
      <c r="AG80" s="54" t="s">
        <v>431</v>
      </c>
      <c r="AJ80" s="719"/>
    </row>
    <row r="81" spans="1:37" ht="15.75" thickBot="1">
      <c r="A81" s="164" t="s">
        <v>11</v>
      </c>
      <c r="B81" s="291">
        <f>B82+B90+B100+B105+B109</f>
        <v>28719361.57043248</v>
      </c>
      <c r="C81" s="291">
        <f t="shared" ref="C81:R81" si="34">C82+C90+C100+C105+C109</f>
        <v>4041175.656695772</v>
      </c>
      <c r="D81" s="291">
        <f t="shared" si="34"/>
        <v>2584552</v>
      </c>
      <c r="E81" s="291">
        <f t="shared" si="34"/>
        <v>14067151.335871829</v>
      </c>
      <c r="F81" s="291">
        <f t="shared" si="34"/>
        <v>453246.81252118252</v>
      </c>
      <c r="G81" s="291">
        <f t="shared" si="34"/>
        <v>201290.85160699012</v>
      </c>
      <c r="H81" s="291">
        <f t="shared" si="34"/>
        <v>7961057.7184594003</v>
      </c>
      <c r="I81" s="291">
        <f t="shared" si="34"/>
        <v>944993.42320626148</v>
      </c>
      <c r="J81" s="291">
        <f t="shared" si="34"/>
        <v>1347617.0779486531</v>
      </c>
      <c r="K81" s="291">
        <f t="shared" si="34"/>
        <v>858461.92205134686</v>
      </c>
      <c r="L81" s="291">
        <f t="shared" si="34"/>
        <v>434964</v>
      </c>
      <c r="M81" s="291">
        <f t="shared" si="34"/>
        <v>283389</v>
      </c>
      <c r="N81" s="291">
        <f t="shared" si="34"/>
        <v>381309.65447665699</v>
      </c>
      <c r="O81" s="291">
        <f t="shared" si="34"/>
        <v>87024.345523343029</v>
      </c>
      <c r="P81" s="291">
        <f t="shared" si="34"/>
        <v>47201.403873721152</v>
      </c>
      <c r="Q81" s="291">
        <f t="shared" si="34"/>
        <v>1834500.7395170229</v>
      </c>
      <c r="R81" s="291">
        <f t="shared" si="34"/>
        <v>1668058.2631578948</v>
      </c>
      <c r="T81" s="2">
        <f>B81+C81+H81+I81+P81+Q81+R81</f>
        <v>45216348.775342554</v>
      </c>
      <c r="U81" s="2">
        <f>D81+E81+F81+G81</f>
        <v>17306241.000000004</v>
      </c>
      <c r="V81" s="2">
        <f>J81+K81+L81</f>
        <v>2641043</v>
      </c>
      <c r="W81" s="2">
        <f>M81+N81+O81</f>
        <v>751723.00000000012</v>
      </c>
      <c r="X81" s="2">
        <f>DEN!C75+DEN!F75+DEN!G75+DEN!L75</f>
        <v>45227949</v>
      </c>
      <c r="Y81" s="2">
        <f>DEN!I75+DEN!J75</f>
        <v>17306241</v>
      </c>
      <c r="Z81" s="2">
        <f>DEN!D75+DEN!E75</f>
        <v>2641043</v>
      </c>
      <c r="AA81" s="2">
        <f>DEN!H75+DEN!K75</f>
        <v>751723</v>
      </c>
      <c r="AB81" s="562" t="str">
        <f>IF(T81=X81,"OK","ERRO")</f>
        <v>ERRO</v>
      </c>
      <c r="AC81" s="562" t="str">
        <f t="shared" ref="AC81:AC113" si="35">IF(U81=Y81,"OK","ERRO")</f>
        <v>OK</v>
      </c>
      <c r="AD81" s="562" t="str">
        <f t="shared" ref="AD81:AD113" si="36">IF(V81=Z81,"OK","ERRO")</f>
        <v>OK</v>
      </c>
      <c r="AE81" s="562" t="str">
        <f t="shared" ref="AE81:AE113" si="37">IF(W81=AA81,"OK","ERRO")</f>
        <v>OK</v>
      </c>
      <c r="AF81" s="774">
        <f>COMB_CORR!I3/FRO_TOT!T81</f>
        <v>270.56585353197426</v>
      </c>
      <c r="AG81" s="778"/>
      <c r="AJ81" s="719"/>
    </row>
    <row r="82" spans="1:37">
      <c r="A82" s="269" t="s">
        <v>46</v>
      </c>
      <c r="B82" s="291">
        <f t="shared" ref="B82:R82" si="38">SUM(B83:B89)</f>
        <v>985639.42275384138</v>
      </c>
      <c r="C82" s="291">
        <f t="shared" si="38"/>
        <v>162392.04928617366</v>
      </c>
      <c r="D82" s="291">
        <f t="shared" si="38"/>
        <v>280884</v>
      </c>
      <c r="E82" s="291">
        <f t="shared" si="38"/>
        <v>1041600.1874415069</v>
      </c>
      <c r="F82" s="291">
        <f t="shared" si="38"/>
        <v>33561.377453368543</v>
      </c>
      <c r="G82" s="291">
        <f t="shared" si="38"/>
        <v>14904.435105124534</v>
      </c>
      <c r="H82" s="291">
        <f t="shared" si="38"/>
        <v>86195.407294423771</v>
      </c>
      <c r="I82" s="291">
        <f t="shared" si="38"/>
        <v>13809.267890126328</v>
      </c>
      <c r="J82" s="291">
        <f t="shared" si="38"/>
        <v>69010.563012964965</v>
      </c>
      <c r="K82" s="291">
        <f t="shared" si="38"/>
        <v>43960.436987035035</v>
      </c>
      <c r="L82" s="291">
        <f t="shared" si="38"/>
        <v>14783</v>
      </c>
      <c r="M82" s="291">
        <f t="shared" si="38"/>
        <v>10677</v>
      </c>
      <c r="N82" s="291">
        <f t="shared" si="38"/>
        <v>21954.426565531405</v>
      </c>
      <c r="O82" s="291">
        <f t="shared" si="38"/>
        <v>5009.5734344685898</v>
      </c>
      <c r="P82" s="291">
        <f t="shared" si="38"/>
        <v>3365.1458764640884</v>
      </c>
      <c r="Q82" s="291">
        <f t="shared" si="38"/>
        <v>162024.83835843694</v>
      </c>
      <c r="R82" s="291">
        <f t="shared" si="38"/>
        <v>657.47663618691058</v>
      </c>
      <c r="T82" s="2">
        <f t="shared" ref="T82:T113" si="39">B82+C82+H82+I82+P82+Q82+R82</f>
        <v>1414083.6080956531</v>
      </c>
      <c r="U82" s="2">
        <f t="shared" ref="U82:U113" si="40">D82+E82+F82+G82</f>
        <v>1370950</v>
      </c>
      <c r="V82" s="2">
        <f t="shared" ref="V82:V113" si="41">J82+K82+L82</f>
        <v>127754</v>
      </c>
      <c r="W82" s="2">
        <f t="shared" ref="W82:W113" si="42">M82+N82+O82</f>
        <v>37640.999999999993</v>
      </c>
      <c r="X82" s="2">
        <f>DEN!C76+DEN!F76+DEN!G76+DEN!L76</f>
        <v>1412677</v>
      </c>
      <c r="Y82" s="2">
        <f>DEN!I76+DEN!J76</f>
        <v>1370950</v>
      </c>
      <c r="Z82" s="2">
        <f>DEN!D76+DEN!E76</f>
        <v>127754</v>
      </c>
      <c r="AA82" s="2">
        <f>DEN!H76+DEN!K76</f>
        <v>37641</v>
      </c>
      <c r="AB82" s="562" t="str">
        <f t="shared" ref="AB82:AB113" si="43">IF(T82=X82,"OK","ERRO")</f>
        <v>ERRO</v>
      </c>
      <c r="AC82" s="562" t="str">
        <f t="shared" si="35"/>
        <v>OK</v>
      </c>
      <c r="AD82" s="562" t="str">
        <f t="shared" si="36"/>
        <v>OK</v>
      </c>
      <c r="AE82" s="562" t="str">
        <f t="shared" si="37"/>
        <v>OK</v>
      </c>
      <c r="AF82" s="774"/>
      <c r="AG82" s="778"/>
      <c r="AJ82" s="776" t="s">
        <v>432</v>
      </c>
      <c r="AK82" s="777" t="s">
        <v>433</v>
      </c>
    </row>
    <row r="83" spans="1:37">
      <c r="A83" s="127" t="s">
        <v>13</v>
      </c>
      <c r="B83" s="291">
        <f>DIST_GAS_LEV!M13-AK83</f>
        <v>48484.754412692986</v>
      </c>
      <c r="C83" s="291">
        <f>DIST_GAS_LEV!AF13</f>
        <v>7240.5974332391052</v>
      </c>
      <c r="D83" s="291">
        <f>DIST_GAS_MOT!J14</f>
        <v>13060</v>
      </c>
      <c r="E83" s="291">
        <f>DIST_GAS_MOT!K14</f>
        <v>63589.769303156638</v>
      </c>
      <c r="F83" s="291">
        <f>DIST_GAS_MOT!L14</f>
        <v>2049.1860035735558</v>
      </c>
      <c r="G83" s="291">
        <f>DIST_GAS_MOT!M14</f>
        <v>910.04469326980347</v>
      </c>
      <c r="H83" s="291">
        <f>DIST_ALC_LEV!J13</f>
        <v>4857.2094722136389</v>
      </c>
      <c r="I83" s="291">
        <f>DIST_ALC_LEV!AA13</f>
        <v>706.66494904335332</v>
      </c>
      <c r="J83" s="291">
        <f>DIST_DSL_CAM!H20</f>
        <v>3304.2758676877952</v>
      </c>
      <c r="K83" s="291">
        <f>DIST_DSL_CAM!I20</f>
        <v>2104.7241323122048</v>
      </c>
      <c r="L83" s="291">
        <f>DIST_DSL_CAM!J20</f>
        <v>459</v>
      </c>
      <c r="M83" s="291">
        <f>DIST_DSL_ONI!H20</f>
        <v>203</v>
      </c>
      <c r="N83" s="291">
        <f>DIST_DSL_ONI!I20</f>
        <v>520.22676579925644</v>
      </c>
      <c r="O83" s="291">
        <f>DIST_DSL_ONI!J20</f>
        <v>118.77323420074349</v>
      </c>
      <c r="P83" s="291">
        <f>DIST_DSL_LEV!H13</f>
        <v>234.6806162539178</v>
      </c>
      <c r="Q83" s="291">
        <f>DIST_DSL_LEV!I13</f>
        <v>10504.271640291383</v>
      </c>
      <c r="R83" s="291">
        <f>GNV!D6</f>
        <v>0</v>
      </c>
      <c r="T83" s="2">
        <f t="shared" si="39"/>
        <v>72028.178523734387</v>
      </c>
      <c r="U83" s="2">
        <f t="shared" si="40"/>
        <v>79609.000000000015</v>
      </c>
      <c r="V83" s="2">
        <f t="shared" si="41"/>
        <v>5868</v>
      </c>
      <c r="W83" s="2">
        <f t="shared" si="42"/>
        <v>841.99999999999989</v>
      </c>
      <c r="X83" s="2">
        <f>DEN!C77+DEN!F77+DEN!G77+DEN!L77</f>
        <v>71957</v>
      </c>
      <c r="Y83" s="2">
        <f>DEN!I77+DEN!J77</f>
        <v>79609</v>
      </c>
      <c r="Z83" s="2">
        <f>DEN!D77+DEN!E77</f>
        <v>5868</v>
      </c>
      <c r="AA83" s="2">
        <f>DEN!H77+DEN!K77</f>
        <v>842</v>
      </c>
      <c r="AB83" s="562" t="str">
        <f t="shared" si="43"/>
        <v>ERRO</v>
      </c>
      <c r="AC83" s="562" t="str">
        <f t="shared" si="35"/>
        <v>OK</v>
      </c>
      <c r="AD83" s="562" t="str">
        <f t="shared" si="36"/>
        <v>OK</v>
      </c>
      <c r="AE83" s="562" t="str">
        <f t="shared" si="37"/>
        <v>OK</v>
      </c>
      <c r="AF83" s="774">
        <f>COMB_CORR!I5/FRO_TOT!T83</f>
        <v>133.77922250294972</v>
      </c>
      <c r="AG83" s="781">
        <f>AF83/$AF$81</f>
        <v>0.49444237237105865</v>
      </c>
      <c r="AH83" s="3">
        <v>0.49016256861269936</v>
      </c>
      <c r="AJ83" s="742">
        <f t="shared" si="32"/>
        <v>71.178523734386545</v>
      </c>
      <c r="AK83" s="783">
        <v>-1541.5785044954682</v>
      </c>
    </row>
    <row r="84" spans="1:37">
      <c r="A84" s="127" t="s">
        <v>14</v>
      </c>
      <c r="B84" s="291">
        <f>DIST_GAS_LEV!M14-AK84</f>
        <v>51932.512355064551</v>
      </c>
      <c r="C84" s="291">
        <f>DIST_GAS_LEV!AF14</f>
        <v>9127.8873562764129</v>
      </c>
      <c r="D84" s="291">
        <f>DIST_GAS_MOT!J15</f>
        <v>7449</v>
      </c>
      <c r="E84" s="291">
        <f>DIST_GAS_MOT!K15</f>
        <v>37433.257250539129</v>
      </c>
      <c r="F84" s="291">
        <f>DIST_GAS_MOT!L15</f>
        <v>1206.4292480399863</v>
      </c>
      <c r="G84" s="291">
        <f>DIST_GAS_MOT!M15</f>
        <v>535.31350142088399</v>
      </c>
      <c r="H84" s="291">
        <f>DIST_ALC_LEV!J14</f>
        <v>2093.4370409002272</v>
      </c>
      <c r="I84" s="291">
        <f>DIST_ALC_LEV!AA14</f>
        <v>360.14994731900805</v>
      </c>
      <c r="J84" s="291">
        <f>DIST_DSL_CAM!H21</f>
        <v>1939.6757679180887</v>
      </c>
      <c r="K84" s="291">
        <f>DIST_DSL_CAM!I21</f>
        <v>1235.3242320819113</v>
      </c>
      <c r="L84" s="291">
        <f>DIST_DSL_CAM!J21</f>
        <v>223</v>
      </c>
      <c r="M84" s="291">
        <f>DIST_DSL_ONI!H21</f>
        <v>327</v>
      </c>
      <c r="N84" s="291">
        <f>DIST_DSL_ONI!I21</f>
        <v>534.38983050847457</v>
      </c>
      <c r="O84" s="291">
        <f>DIST_DSL_ONI!J21</f>
        <v>121.61016949152543</v>
      </c>
      <c r="P84" s="291">
        <f>DIST_DSL_LEV!H14</f>
        <v>130.11904657003129</v>
      </c>
      <c r="Q84" s="291">
        <f>DIST_DSL_LEV!I14</f>
        <v>6748.4072458906412</v>
      </c>
      <c r="R84" s="291">
        <f>GNV!D7</f>
        <v>0</v>
      </c>
      <c r="T84" s="2">
        <f t="shared" si="39"/>
        <v>70392.512992020871</v>
      </c>
      <c r="U84" s="2">
        <f t="shared" si="40"/>
        <v>46624</v>
      </c>
      <c r="V84" s="2">
        <f t="shared" si="41"/>
        <v>3398</v>
      </c>
      <c r="W84" s="2">
        <f t="shared" si="42"/>
        <v>983</v>
      </c>
      <c r="X84" s="2">
        <f>DEN!C78+DEN!F78+DEN!G78+DEN!L78</f>
        <v>70366</v>
      </c>
      <c r="Y84" s="2">
        <f>DEN!I78+DEN!J78</f>
        <v>46624</v>
      </c>
      <c r="Z84" s="2">
        <f>DEN!D78+DEN!E78</f>
        <v>3398</v>
      </c>
      <c r="AA84" s="2">
        <f>DEN!H78+DEN!K78</f>
        <v>983</v>
      </c>
      <c r="AB84" s="562" t="str">
        <f t="shared" si="43"/>
        <v>ERRO</v>
      </c>
      <c r="AC84" s="562" t="str">
        <f t="shared" si="35"/>
        <v>OK</v>
      </c>
      <c r="AD84" s="562" t="str">
        <f t="shared" si="36"/>
        <v>OK</v>
      </c>
      <c r="AE84" s="562" t="str">
        <f t="shared" si="37"/>
        <v>OK</v>
      </c>
      <c r="AF84" s="774">
        <f>COMB_CORR!I6/FRO_TOT!T84</f>
        <v>78.670927410511055</v>
      </c>
      <c r="AG84" s="781">
        <f t="shared" ref="AG84:AG113" si="44">AF84/$AF$81</f>
        <v>0.29076443454907025</v>
      </c>
      <c r="AH84" s="3">
        <v>0.29210551398136941</v>
      </c>
      <c r="AJ84" s="742">
        <f t="shared" si="32"/>
        <v>26.512992020871025</v>
      </c>
      <c r="AK84" s="783">
        <v>-852.66504513069231</v>
      </c>
    </row>
    <row r="85" spans="1:37">
      <c r="A85" s="127" t="s">
        <v>15</v>
      </c>
      <c r="B85" s="291">
        <f>DIST_GAS_LEV!M15-AK85</f>
        <v>256428.95660132371</v>
      </c>
      <c r="C85" s="291">
        <f>DIST_GAS_LEV!AF15</f>
        <v>49010.709177745106</v>
      </c>
      <c r="D85" s="291">
        <f>DIST_GAS_MOT!J16</f>
        <v>30641</v>
      </c>
      <c r="E85" s="291">
        <f>DIST_GAS_MOT!K16</f>
        <v>127095.96157692331</v>
      </c>
      <c r="F85" s="291">
        <f>DIST_GAS_MOT!L16</f>
        <v>4095.2112869216398</v>
      </c>
      <c r="G85" s="291">
        <f>DIST_GAS_MOT!M16</f>
        <v>1818.827136155064</v>
      </c>
      <c r="H85" s="291">
        <f>DIST_ALC_LEV!J15</f>
        <v>17233.142568230804</v>
      </c>
      <c r="I85" s="291">
        <f>DIST_ALC_LEV!AA15</f>
        <v>3144.347195071889</v>
      </c>
      <c r="J85" s="291">
        <f>DIST_DSL_CAM!H22</f>
        <v>10365.499810328944</v>
      </c>
      <c r="K85" s="291">
        <f>DIST_DSL_CAM!I22</f>
        <v>6603.5001896710564</v>
      </c>
      <c r="L85" s="291">
        <f>DIST_DSL_CAM!J22</f>
        <v>2249</v>
      </c>
      <c r="M85" s="291">
        <f>DIST_DSL_ONI!H22</f>
        <v>2630</v>
      </c>
      <c r="N85" s="291">
        <f>DIST_DSL_ONI!I22</f>
        <v>5370.6529774127303</v>
      </c>
      <c r="O85" s="291">
        <f>DIST_DSL_ONI!J22</f>
        <v>1225.3470225872691</v>
      </c>
      <c r="P85" s="291">
        <f>DIST_DSL_LEV!H15</f>
        <v>484.70608179271062</v>
      </c>
      <c r="Q85" s="291">
        <f>DIST_DSL_LEV!I15</f>
        <v>27476.908639640707</v>
      </c>
      <c r="R85" s="291">
        <f>GNV!D8</f>
        <v>251.8794009647923</v>
      </c>
      <c r="T85" s="2">
        <f t="shared" si="39"/>
        <v>354030.64966476971</v>
      </c>
      <c r="U85" s="2">
        <f t="shared" si="40"/>
        <v>163651.00000000003</v>
      </c>
      <c r="V85" s="2">
        <f t="shared" si="41"/>
        <v>19218</v>
      </c>
      <c r="W85" s="2">
        <f t="shared" si="42"/>
        <v>9226</v>
      </c>
      <c r="X85" s="2">
        <f>DEN!C79+DEN!F79+DEN!G79+DEN!L79</f>
        <v>353748</v>
      </c>
      <c r="Y85" s="2">
        <f>DEN!I79+DEN!J79</f>
        <v>163651</v>
      </c>
      <c r="Z85" s="2">
        <f>DEN!D79+DEN!E79</f>
        <v>19218</v>
      </c>
      <c r="AA85" s="2">
        <f>DEN!H79+DEN!K79</f>
        <v>9226</v>
      </c>
      <c r="AB85" s="562" t="str">
        <f t="shared" si="43"/>
        <v>ERRO</v>
      </c>
      <c r="AC85" s="562" t="str">
        <f t="shared" si="35"/>
        <v>OK</v>
      </c>
      <c r="AD85" s="562" t="str">
        <f t="shared" si="36"/>
        <v>OK</v>
      </c>
      <c r="AE85" s="562" t="str">
        <f t="shared" si="37"/>
        <v>OK</v>
      </c>
      <c r="AF85" s="774">
        <f>COMB_CORR!I7/FRO_TOT!T85</f>
        <v>128.46145187587044</v>
      </c>
      <c r="AG85" s="781">
        <f t="shared" si="44"/>
        <v>0.47478811608682703</v>
      </c>
      <c r="AH85" s="3">
        <v>0.47403528776128961</v>
      </c>
      <c r="AJ85" s="742">
        <f t="shared" si="32"/>
        <v>282.64966476970585</v>
      </c>
      <c r="AK85" s="783">
        <v>-7360.7206390445353</v>
      </c>
    </row>
    <row r="86" spans="1:37">
      <c r="A86" s="127" t="s">
        <v>16</v>
      </c>
      <c r="B86" s="291">
        <f>DIST_GAS_LEV!M16-AK86</f>
        <v>342714.05985810136</v>
      </c>
      <c r="C86" s="291">
        <f>DIST_GAS_LEV!AF16</f>
        <v>47595.911387707754</v>
      </c>
      <c r="D86" s="291">
        <f>DIST_GAS_MOT!J17</f>
        <v>87562</v>
      </c>
      <c r="E86" s="291">
        <f>DIST_GAS_MOT!K17</f>
        <v>378218.64259856375</v>
      </c>
      <c r="F86" s="291">
        <f>DIST_GAS_MOT!L17</f>
        <v>12186.354529947437</v>
      </c>
      <c r="G86" s="291">
        <f>DIST_GAS_MOT!M17</f>
        <v>5412.0028714888431</v>
      </c>
      <c r="H86" s="291">
        <f>DIST_ALC_LEV!J16</f>
        <v>19782.343384054227</v>
      </c>
      <c r="I86" s="291">
        <f>DIST_ALC_LEV!AA16</f>
        <v>2718.3497513091806</v>
      </c>
      <c r="J86" s="291">
        <f>DIST_DSL_CAM!H23</f>
        <v>25390.227306455603</v>
      </c>
      <c r="K86" s="291">
        <f>DIST_DSL_CAM!I23</f>
        <v>16173.772693544397</v>
      </c>
      <c r="L86" s="291">
        <f>DIST_DSL_CAM!J23</f>
        <v>4343</v>
      </c>
      <c r="M86" s="291">
        <f>DIST_DSL_ONI!H23</f>
        <v>5015</v>
      </c>
      <c r="N86" s="291">
        <f>DIST_DSL_ONI!I23</f>
        <v>9044.0507585424639</v>
      </c>
      <c r="O86" s="291">
        <f>DIST_DSL_ONI!J23</f>
        <v>2063.9492414575357</v>
      </c>
      <c r="P86" s="291">
        <f>DIST_DSL_LEV!H16</f>
        <v>1238.8521672671689</v>
      </c>
      <c r="Q86" s="291">
        <f>DIST_DSL_LEV!I16</f>
        <v>52266.511134857879</v>
      </c>
      <c r="R86" s="291">
        <f>GNV!D9</f>
        <v>405.59723522211823</v>
      </c>
      <c r="T86" s="2">
        <f t="shared" si="39"/>
        <v>466721.62491851975</v>
      </c>
      <c r="U86" s="2">
        <f t="shared" si="40"/>
        <v>483379.00000000006</v>
      </c>
      <c r="V86" s="2">
        <f t="shared" si="41"/>
        <v>45907</v>
      </c>
      <c r="W86" s="2">
        <f t="shared" si="42"/>
        <v>16123</v>
      </c>
      <c r="X86" s="2">
        <f>DEN!C80+DEN!F80+DEN!G80+DEN!L80</f>
        <v>466054</v>
      </c>
      <c r="Y86" s="2">
        <f>DEN!I80+DEN!J80</f>
        <v>483379</v>
      </c>
      <c r="Z86" s="2">
        <f>DEN!D80+DEN!E80</f>
        <v>45907</v>
      </c>
      <c r="AA86" s="2">
        <f>DEN!H80+DEN!K80</f>
        <v>16123</v>
      </c>
      <c r="AB86" s="562" t="str">
        <f t="shared" si="43"/>
        <v>ERRO</v>
      </c>
      <c r="AC86" s="562" t="str">
        <f t="shared" si="35"/>
        <v>OK</v>
      </c>
      <c r="AD86" s="562" t="str">
        <f t="shared" si="36"/>
        <v>OK</v>
      </c>
      <c r="AE86" s="562" t="str">
        <f t="shared" si="37"/>
        <v>OK</v>
      </c>
      <c r="AF86" s="774">
        <f>COMB_CORR!I8/FRO_TOT!T86</f>
        <v>80.727508344126704</v>
      </c>
      <c r="AG86" s="781">
        <f t="shared" si="44"/>
        <v>0.29836547106853117</v>
      </c>
      <c r="AH86" s="3">
        <v>0.29483369894324207</v>
      </c>
      <c r="AJ86" s="742">
        <f t="shared" si="32"/>
        <v>667.6249185197521</v>
      </c>
      <c r="AK86" s="783">
        <v>-14002.877426415333</v>
      </c>
    </row>
    <row r="87" spans="1:37">
      <c r="A87" s="127" t="s">
        <v>17</v>
      </c>
      <c r="B87" s="291">
        <f>DIST_GAS_LEV!M17-AK87</f>
        <v>143716.11221630478</v>
      </c>
      <c r="C87" s="291">
        <f>DIST_GAS_LEV!AF17</f>
        <v>23971.86932563546</v>
      </c>
      <c r="D87" s="291">
        <f>DIST_GAS_MOT!J18</f>
        <v>71315</v>
      </c>
      <c r="E87" s="291">
        <f>DIST_GAS_MOT!K18</f>
        <v>245589.38117680798</v>
      </c>
      <c r="F87" s="291">
        <f>DIST_GAS_MOT!L18</f>
        <v>7913.2554339340059</v>
      </c>
      <c r="G87" s="291">
        <f>DIST_GAS_MOT!M18</f>
        <v>3514.3633892580024</v>
      </c>
      <c r="H87" s="291">
        <f>DIST_ALC_LEV!J17</f>
        <v>19281.444052482577</v>
      </c>
      <c r="I87" s="291">
        <f>DIST_ALC_LEV!AA17</f>
        <v>3196.3970885155391</v>
      </c>
      <c r="J87" s="291">
        <f>DIST_DSL_CAM!H24</f>
        <v>14237.805999161488</v>
      </c>
      <c r="K87" s="291">
        <f>DIST_DSL_CAM!I24</f>
        <v>9070.1940008385118</v>
      </c>
      <c r="L87" s="291">
        <f>DIST_DSL_CAM!J24</f>
        <v>4238</v>
      </c>
      <c r="M87" s="291">
        <f>DIST_DSL_ONI!H24</f>
        <v>797</v>
      </c>
      <c r="N87" s="291">
        <f>DIST_DSL_ONI!I24</f>
        <v>3231.3541230640435</v>
      </c>
      <c r="O87" s="291">
        <f>DIST_DSL_ONI!J24</f>
        <v>737.64587693595638</v>
      </c>
      <c r="P87" s="291">
        <f>DIST_DSL_LEV!H17</f>
        <v>623.96719052567494</v>
      </c>
      <c r="Q87" s="291">
        <f>DIST_DSL_LEV!I17</f>
        <v>31320.672202117225</v>
      </c>
      <c r="R87" s="291">
        <f>GNV!D10</f>
        <v>0</v>
      </c>
      <c r="T87" s="2">
        <f t="shared" si="39"/>
        <v>222110.46207558125</v>
      </c>
      <c r="U87" s="2">
        <f t="shared" si="40"/>
        <v>328331.99999999994</v>
      </c>
      <c r="V87" s="2">
        <f t="shared" si="41"/>
        <v>27546</v>
      </c>
      <c r="W87" s="2">
        <f t="shared" si="42"/>
        <v>4766</v>
      </c>
      <c r="X87" s="2">
        <f>DEN!C81+DEN!F81+DEN!G81+DEN!L81</f>
        <v>221839</v>
      </c>
      <c r="Y87" s="2">
        <f>DEN!I81+DEN!J81</f>
        <v>328332</v>
      </c>
      <c r="Z87" s="2">
        <f>DEN!D81+DEN!E81</f>
        <v>27546</v>
      </c>
      <c r="AA87" s="2">
        <f>DEN!H81+DEN!K81</f>
        <v>4766</v>
      </c>
      <c r="AB87" s="562" t="str">
        <f t="shared" si="43"/>
        <v>ERRO</v>
      </c>
      <c r="AC87" s="562" t="str">
        <f t="shared" si="35"/>
        <v>OK</v>
      </c>
      <c r="AD87" s="562" t="str">
        <f t="shared" si="36"/>
        <v>OK</v>
      </c>
      <c r="AE87" s="562" t="str">
        <f t="shared" si="37"/>
        <v>OK</v>
      </c>
      <c r="AF87" s="774">
        <f>COMB_CORR!I9/FRO_TOT!T87</f>
        <v>133.96766087499506</v>
      </c>
      <c r="AG87" s="781">
        <f t="shared" si="44"/>
        <v>0.49513883265821407</v>
      </c>
      <c r="AH87" s="3">
        <v>0.48288053487071153</v>
      </c>
      <c r="AJ87" s="742">
        <f t="shared" si="32"/>
        <v>271.46207558125025</v>
      </c>
      <c r="AK87" s="783">
        <v>-4330.4708671827684</v>
      </c>
    </row>
    <row r="88" spans="1:37">
      <c r="A88" s="127" t="s">
        <v>18</v>
      </c>
      <c r="B88" s="291">
        <f>DIST_GAS_LEV!M18-AK88</f>
        <v>41942.749000258438</v>
      </c>
      <c r="C88" s="291">
        <f>DIST_GAS_LEV!AF18</f>
        <v>8607.1552420051303</v>
      </c>
      <c r="D88" s="291">
        <f>DIST_GAS_MOT!J19</f>
        <v>12590</v>
      </c>
      <c r="E88" s="291">
        <f>DIST_GAS_MOT!K19</f>
        <v>49475.237110798997</v>
      </c>
      <c r="F88" s="291">
        <f>DIST_GAS_MOT!L19</f>
        <v>1594.1566903908974</v>
      </c>
      <c r="G88" s="291">
        <f>DIST_GAS_MOT!M19</f>
        <v>707.60619881010621</v>
      </c>
      <c r="H88" s="291">
        <f>DIST_ALC_LEV!J18</f>
        <v>1149.5865890030223</v>
      </c>
      <c r="I88" s="291">
        <f>DIST_ALC_LEV!AA18</f>
        <v>231.86928404135426</v>
      </c>
      <c r="J88" s="291">
        <f>DIST_DSL_CAM!H25</f>
        <v>1995.3966359196963</v>
      </c>
      <c r="K88" s="291">
        <f>DIST_DSL_CAM!I25</f>
        <v>1270.6033640803039</v>
      </c>
      <c r="L88" s="291">
        <f>DIST_DSL_CAM!J25</f>
        <v>346</v>
      </c>
      <c r="M88" s="291">
        <f>DIST_DSL_ONI!H25</f>
        <v>438</v>
      </c>
      <c r="N88" s="291">
        <f>DIST_DSL_ONI!I25</f>
        <v>550.43256997455467</v>
      </c>
      <c r="O88" s="291">
        <f>DIST_DSL_ONI!J25</f>
        <v>125.56743002544529</v>
      </c>
      <c r="P88" s="291">
        <f>DIST_DSL_LEV!H18</f>
        <v>143.66161350971393</v>
      </c>
      <c r="Q88" s="291">
        <f>DIST_DSL_LEV!I18</f>
        <v>8708.3408969567536</v>
      </c>
      <c r="R88" s="291">
        <f>GNV!D11</f>
        <v>0</v>
      </c>
      <c r="T88" s="2">
        <f t="shared" si="39"/>
        <v>60783.362625774418</v>
      </c>
      <c r="U88" s="2">
        <f t="shared" si="40"/>
        <v>64367</v>
      </c>
      <c r="V88" s="2">
        <f t="shared" si="41"/>
        <v>3612</v>
      </c>
      <c r="W88" s="2">
        <f t="shared" si="42"/>
        <v>1114</v>
      </c>
      <c r="X88" s="2">
        <f>DEN!C82+DEN!F82+DEN!G82+DEN!L82</f>
        <v>60735</v>
      </c>
      <c r="Y88" s="2">
        <f>DEN!I82+DEN!J82</f>
        <v>64367</v>
      </c>
      <c r="Z88" s="2">
        <f>DEN!D82+DEN!E82</f>
        <v>3612</v>
      </c>
      <c r="AA88" s="2">
        <f>DEN!H82+DEN!K82</f>
        <v>1114</v>
      </c>
      <c r="AB88" s="562" t="str">
        <f t="shared" si="43"/>
        <v>ERRO</v>
      </c>
      <c r="AC88" s="562" t="str">
        <f t="shared" si="35"/>
        <v>OK</v>
      </c>
      <c r="AD88" s="562" t="str">
        <f t="shared" si="36"/>
        <v>OK</v>
      </c>
      <c r="AE88" s="562" t="str">
        <f t="shared" si="37"/>
        <v>OK</v>
      </c>
      <c r="AF88" s="774">
        <f>COMB_CORR!I10/FRO_TOT!T88</f>
        <v>45.92321006742371</v>
      </c>
      <c r="AG88" s="781">
        <f t="shared" si="44"/>
        <v>0.16973025039169146</v>
      </c>
      <c r="AH88" s="3">
        <v>0.16727639601521779</v>
      </c>
      <c r="AJ88" s="742">
        <f t="shared" si="32"/>
        <v>48.36262577441812</v>
      </c>
      <c r="AK88" s="783">
        <v>-959.29127988680557</v>
      </c>
    </row>
    <row r="89" spans="1:37" ht="15.75" thickBot="1">
      <c r="A89" s="128" t="s">
        <v>19</v>
      </c>
      <c r="B89" s="291">
        <f>DIST_GAS_LEV!M19-AK89</f>
        <v>100420.27831009557</v>
      </c>
      <c r="C89" s="291">
        <f>DIST_GAS_LEV!AF19</f>
        <v>16837.91936356471</v>
      </c>
      <c r="D89" s="291">
        <f>DIST_GAS_MOT!J20</f>
        <v>58267</v>
      </c>
      <c r="E89" s="291">
        <f>DIST_GAS_MOT!K20</f>
        <v>140197.93842471714</v>
      </c>
      <c r="F89" s="291">
        <f>DIST_GAS_MOT!L20</f>
        <v>4516.7842605610231</v>
      </c>
      <c r="G89" s="291">
        <f>DIST_GAS_MOT!M20</f>
        <v>2006.2773147218318</v>
      </c>
      <c r="H89" s="291">
        <f>DIST_ALC_LEV!J19</f>
        <v>21798.244187539272</v>
      </c>
      <c r="I89" s="291">
        <f>DIST_ALC_LEV!AA19</f>
        <v>3451.4896748260026</v>
      </c>
      <c r="J89" s="291">
        <f>DIST_DSL_CAM!H26</f>
        <v>11777.681625493349</v>
      </c>
      <c r="K89" s="291">
        <f>DIST_DSL_CAM!I26</f>
        <v>7502.3183745066517</v>
      </c>
      <c r="L89" s="291">
        <f>DIST_DSL_CAM!J26</f>
        <v>2925</v>
      </c>
      <c r="M89" s="291">
        <f>DIST_DSL_ONI!H26</f>
        <v>1267</v>
      </c>
      <c r="N89" s="291">
        <f>DIST_DSL_ONI!I26</f>
        <v>2703.3195402298852</v>
      </c>
      <c r="O89" s="291">
        <f>DIST_DSL_ONI!J26</f>
        <v>616.68045977011491</v>
      </c>
      <c r="P89" s="291">
        <f>DIST_DSL_LEV!H19</f>
        <v>509.15916054487064</v>
      </c>
      <c r="Q89" s="291">
        <f>DIST_DSL_LEV!I19</f>
        <v>24999.726598682351</v>
      </c>
      <c r="R89" s="291">
        <f>GNV!D12</f>
        <v>0</v>
      </c>
      <c r="T89" s="2">
        <f t="shared" si="39"/>
        <v>168016.81729525278</v>
      </c>
      <c r="U89" s="2">
        <f t="shared" si="40"/>
        <v>204988</v>
      </c>
      <c r="V89" s="2">
        <f t="shared" si="41"/>
        <v>22205</v>
      </c>
      <c r="W89" s="2">
        <f t="shared" si="42"/>
        <v>4587</v>
      </c>
      <c r="X89" s="2">
        <f>DEN!C83+DEN!F83+DEN!G83+DEN!L83</f>
        <v>167978</v>
      </c>
      <c r="Y89" s="2">
        <f>DEN!I83+DEN!J83</f>
        <v>204988</v>
      </c>
      <c r="Z89" s="2">
        <f>DEN!D83+DEN!E83</f>
        <v>22205</v>
      </c>
      <c r="AA89" s="2">
        <f>DEN!H83+DEN!K83</f>
        <v>4587</v>
      </c>
      <c r="AB89" s="562" t="str">
        <f t="shared" si="43"/>
        <v>ERRO</v>
      </c>
      <c r="AC89" s="562" t="str">
        <f t="shared" si="35"/>
        <v>OK</v>
      </c>
      <c r="AD89" s="562" t="str">
        <f t="shared" si="36"/>
        <v>OK</v>
      </c>
      <c r="AE89" s="562" t="str">
        <f t="shared" si="37"/>
        <v>OK</v>
      </c>
      <c r="AF89" s="774">
        <f>COMB_CORR!I11/FRO_TOT!T89</f>
        <v>250.34386295570087</v>
      </c>
      <c r="AG89" s="781">
        <f t="shared" si="44"/>
        <v>0.92526037446227993</v>
      </c>
      <c r="AH89" s="3">
        <v>0.91294891201868322</v>
      </c>
      <c r="AJ89" s="742">
        <f t="shared" si="32"/>
        <v>38.81729525278206</v>
      </c>
      <c r="AK89" s="783">
        <v>-759.2181020337739</v>
      </c>
    </row>
    <row r="90" spans="1:37">
      <c r="A90" s="269" t="s">
        <v>54</v>
      </c>
      <c r="B90" s="291">
        <f t="shared" ref="B90:R90" si="45">SUM(B91:B99)</f>
        <v>3463552.3794369153</v>
      </c>
      <c r="C90" s="291">
        <f t="shared" si="45"/>
        <v>516838.91256440501</v>
      </c>
      <c r="D90" s="291">
        <f t="shared" si="45"/>
        <v>476464</v>
      </c>
      <c r="E90" s="291">
        <f t="shared" si="45"/>
        <v>3499626.635146847</v>
      </c>
      <c r="F90" s="291">
        <f t="shared" si="45"/>
        <v>112759.12412119207</v>
      </c>
      <c r="G90" s="291">
        <f t="shared" si="45"/>
        <v>50077.240731960905</v>
      </c>
      <c r="H90" s="291">
        <f t="shared" si="45"/>
        <v>574124.77186716045</v>
      </c>
      <c r="I90" s="291">
        <f t="shared" si="45"/>
        <v>75679.760615244973</v>
      </c>
      <c r="J90" s="291">
        <f t="shared" si="45"/>
        <v>203949.07185733566</v>
      </c>
      <c r="K90" s="291">
        <f t="shared" si="45"/>
        <v>129920.92814266434</v>
      </c>
      <c r="L90" s="291">
        <f t="shared" si="45"/>
        <v>36005</v>
      </c>
      <c r="M90" s="291">
        <f t="shared" si="45"/>
        <v>55759</v>
      </c>
      <c r="N90" s="291">
        <f t="shared" si="45"/>
        <v>66264.543817774116</v>
      </c>
      <c r="O90" s="291">
        <f t="shared" si="45"/>
        <v>15123.456182225895</v>
      </c>
      <c r="P90" s="291">
        <f t="shared" si="45"/>
        <v>8622.364979001406</v>
      </c>
      <c r="Q90" s="291">
        <f t="shared" si="45"/>
        <v>356120.76097126963</v>
      </c>
      <c r="R90" s="291">
        <f t="shared" si="45"/>
        <v>261633.49110807112</v>
      </c>
      <c r="T90" s="2">
        <f t="shared" si="39"/>
        <v>5256572.4415420685</v>
      </c>
      <c r="U90" s="2">
        <f t="shared" si="40"/>
        <v>4138927</v>
      </c>
      <c r="V90" s="2">
        <f t="shared" si="41"/>
        <v>369875</v>
      </c>
      <c r="W90" s="2">
        <f t="shared" si="42"/>
        <v>137147</v>
      </c>
      <c r="X90" s="2">
        <f>DEN!C84+DEN!F84+DEN!G84+DEN!L84</f>
        <v>5250863</v>
      </c>
      <c r="Y90" s="2">
        <f>DEN!I84+DEN!J84</f>
        <v>4138927</v>
      </c>
      <c r="Z90" s="2">
        <f>DEN!D84+DEN!E84</f>
        <v>369875</v>
      </c>
      <c r="AA90" s="2">
        <f>DEN!H84+DEN!K84</f>
        <v>137147</v>
      </c>
      <c r="AB90" s="562" t="str">
        <f t="shared" si="43"/>
        <v>ERRO</v>
      </c>
      <c r="AC90" s="562" t="str">
        <f t="shared" si="35"/>
        <v>OK</v>
      </c>
      <c r="AD90" s="562" t="str">
        <f t="shared" si="36"/>
        <v>OK</v>
      </c>
      <c r="AE90" s="562" t="str">
        <f t="shared" si="37"/>
        <v>OK</v>
      </c>
      <c r="AF90" s="774"/>
      <c r="AG90" s="781"/>
      <c r="AJ90" s="742"/>
      <c r="AK90" s="783"/>
    </row>
    <row r="91" spans="1:37">
      <c r="A91" s="127" t="s">
        <v>21</v>
      </c>
      <c r="B91" s="291">
        <f>DIST_GAS_LEV!M21-AK91</f>
        <v>161526.24575941951</v>
      </c>
      <c r="C91" s="291">
        <f>DIST_GAS_LEV!AF21</f>
        <v>24473.284133188419</v>
      </c>
      <c r="D91" s="291">
        <f>DIST_GAS_MOT!J22</f>
        <v>20675</v>
      </c>
      <c r="E91" s="291">
        <f>DIST_GAS_MOT!K22</f>
        <v>131836.83348302971</v>
      </c>
      <c r="F91" s="291">
        <f>DIST_GAS_MOT!L22</f>
        <v>4247.6278424700959</v>
      </c>
      <c r="G91" s="291">
        <f>DIST_GAS_MOT!M22</f>
        <v>1886.5386745001902</v>
      </c>
      <c r="H91" s="291">
        <f>DIST_ALC_LEV!J21</f>
        <v>39882.629847434415</v>
      </c>
      <c r="I91" s="291">
        <f>DIST_ALC_LEV!AA21</f>
        <v>5112.9127255222256</v>
      </c>
      <c r="J91" s="291">
        <f>DIST_DSL_CAM!H28</f>
        <v>9861.4068710186748</v>
      </c>
      <c r="K91" s="291">
        <f>DIST_DSL_CAM!I28</f>
        <v>6281.5931289813252</v>
      </c>
      <c r="L91" s="291">
        <f>DIST_DSL_CAM!J28</f>
        <v>1606</v>
      </c>
      <c r="M91" s="291">
        <f>DIST_DSL_ONI!H28</f>
        <v>4629</v>
      </c>
      <c r="N91" s="291">
        <f>DIST_DSL_ONI!I28</f>
        <v>3927.3035294117644</v>
      </c>
      <c r="O91" s="291">
        <f>DIST_DSL_ONI!J28</f>
        <v>896.69647058823534</v>
      </c>
      <c r="P91" s="291">
        <f>DIST_DSL_LEV!H21</f>
        <v>416.88361724780412</v>
      </c>
      <c r="Q91" s="291">
        <f>DIST_DSL_LEV!I21</f>
        <v>16786.783135449477</v>
      </c>
      <c r="R91" s="291">
        <f>GNV!D14</f>
        <v>18551.159262725898</v>
      </c>
      <c r="T91" s="2">
        <f t="shared" si="39"/>
        <v>266749.89848098776</v>
      </c>
      <c r="U91" s="2">
        <f t="shared" si="40"/>
        <v>158646</v>
      </c>
      <c r="V91" s="2">
        <f t="shared" si="41"/>
        <v>17749</v>
      </c>
      <c r="W91" s="2">
        <f t="shared" si="42"/>
        <v>9453</v>
      </c>
      <c r="X91" s="2">
        <f>DEN!C85+DEN!F85+DEN!G85+DEN!L85</f>
        <v>266569</v>
      </c>
      <c r="Y91" s="2">
        <f>DEN!I85+DEN!J85</f>
        <v>158646</v>
      </c>
      <c r="Z91" s="2">
        <f>DEN!D85+DEN!E85</f>
        <v>17749</v>
      </c>
      <c r="AA91" s="2">
        <f>DEN!H85+DEN!K85</f>
        <v>9453</v>
      </c>
      <c r="AB91" s="562" t="str">
        <f t="shared" si="43"/>
        <v>ERRO</v>
      </c>
      <c r="AC91" s="562" t="str">
        <f t="shared" si="35"/>
        <v>OK</v>
      </c>
      <c r="AD91" s="562" t="str">
        <f t="shared" si="36"/>
        <v>OK</v>
      </c>
      <c r="AE91" s="562" t="str">
        <f t="shared" si="37"/>
        <v>OK</v>
      </c>
      <c r="AF91" s="774">
        <f>COMB_CORR!I13/FRO_TOT!T91</f>
        <v>224.02342818493256</v>
      </c>
      <c r="AG91" s="781">
        <f t="shared" si="44"/>
        <v>0.82798115601257305</v>
      </c>
      <c r="AH91" s="3">
        <v>0.8200173983221325</v>
      </c>
      <c r="AJ91" s="742">
        <f t="shared" si="32"/>
        <v>180.89848098775838</v>
      </c>
      <c r="AK91" s="783">
        <v>-3837.8887374359765</v>
      </c>
    </row>
    <row r="92" spans="1:37">
      <c r="A92" s="127" t="s">
        <v>22</v>
      </c>
      <c r="B92" s="291">
        <f>DIST_GAS_LEV!M22-AK92</f>
        <v>901190.86994852684</v>
      </c>
      <c r="C92" s="291">
        <f>DIST_GAS_LEV!AF22</f>
        <v>151650.05805841475</v>
      </c>
      <c r="D92" s="291">
        <f>DIST_GAS_MOT!J23</f>
        <v>97762</v>
      </c>
      <c r="E92" s="291">
        <f>DIST_GAS_MOT!K23</f>
        <v>720095.24331213092</v>
      </c>
      <c r="F92" s="291">
        <f>DIST_GAS_MOT!L23</f>
        <v>23201.874403682265</v>
      </c>
      <c r="G92" s="291">
        <f>DIST_GAS_MOT!M23</f>
        <v>10303.882284186813</v>
      </c>
      <c r="H92" s="291">
        <f>DIST_ALC_LEV!J22</f>
        <v>160569.81208374328</v>
      </c>
      <c r="I92" s="291">
        <f>DIST_ALC_LEV!AA22</f>
        <v>23787.594418102253</v>
      </c>
      <c r="J92" s="291">
        <f>DIST_DSL_CAM!H29</f>
        <v>54708.369017840632</v>
      </c>
      <c r="K92" s="291">
        <f>DIST_DSL_CAM!I29</f>
        <v>34850.630982159368</v>
      </c>
      <c r="L92" s="291">
        <f>DIST_DSL_CAM!J29</f>
        <v>13255</v>
      </c>
      <c r="M92" s="291">
        <f>DIST_DSL_ONI!H29</f>
        <v>17758</v>
      </c>
      <c r="N92" s="291">
        <f>DIST_DSL_ONI!I29</f>
        <v>22921.80212772388</v>
      </c>
      <c r="O92" s="291">
        <f>DIST_DSL_ONI!J29</f>
        <v>5231.1978722761205</v>
      </c>
      <c r="P92" s="291">
        <f>DIST_DSL_LEV!H22</f>
        <v>2027.3733331280434</v>
      </c>
      <c r="Q92" s="291">
        <f>DIST_DSL_LEV!I22</f>
        <v>93400.444574931258</v>
      </c>
      <c r="R92" s="291">
        <f>GNV!D15</f>
        <v>69223.11714306286</v>
      </c>
      <c r="T92" s="2">
        <f t="shared" si="39"/>
        <v>1401849.2695599091</v>
      </c>
      <c r="U92" s="2">
        <f t="shared" si="40"/>
        <v>851363</v>
      </c>
      <c r="V92" s="2">
        <f t="shared" si="41"/>
        <v>102814</v>
      </c>
      <c r="W92" s="2">
        <f t="shared" si="42"/>
        <v>45911</v>
      </c>
      <c r="X92" s="2">
        <f>DEN!C86+DEN!F86+DEN!G86+DEN!L86</f>
        <v>1400944</v>
      </c>
      <c r="Y92" s="2">
        <f>DEN!I86+DEN!J86</f>
        <v>851363</v>
      </c>
      <c r="Z92" s="2">
        <f>DEN!D86+DEN!E86</f>
        <v>102814</v>
      </c>
      <c r="AA92" s="2">
        <f>DEN!H86+DEN!K86</f>
        <v>45911</v>
      </c>
      <c r="AB92" s="562" t="str">
        <f t="shared" si="43"/>
        <v>ERRO</v>
      </c>
      <c r="AC92" s="562" t="str">
        <f t="shared" si="35"/>
        <v>OK</v>
      </c>
      <c r="AD92" s="562" t="str">
        <f t="shared" si="36"/>
        <v>OK</v>
      </c>
      <c r="AE92" s="562" t="str">
        <f t="shared" si="37"/>
        <v>OK</v>
      </c>
      <c r="AF92" s="774">
        <f>COMB_CORR!I14/FRO_TOT!T92</f>
        <v>203.56172068049301</v>
      </c>
      <c r="AG92" s="781">
        <f t="shared" si="44"/>
        <v>0.75235554680382832</v>
      </c>
      <c r="AH92" s="3">
        <v>0.7474483557892988</v>
      </c>
      <c r="AJ92" s="742">
        <f t="shared" si="32"/>
        <v>905.26955990912393</v>
      </c>
      <c r="AK92" s="783">
        <v>-20708.164981609676</v>
      </c>
    </row>
    <row r="93" spans="1:37">
      <c r="A93" s="127" t="s">
        <v>23</v>
      </c>
      <c r="B93" s="291">
        <f>DIST_GAS_LEV!M23-AK93</f>
        <v>553923.48460576427</v>
      </c>
      <c r="C93" s="291">
        <f>DIST_GAS_LEV!AF23</f>
        <v>76457.729718053044</v>
      </c>
      <c r="D93" s="291">
        <f>DIST_GAS_MOT!J24</f>
        <v>82714</v>
      </c>
      <c r="E93" s="291">
        <f>DIST_GAS_MOT!K24</f>
        <v>729078.40721617534</v>
      </c>
      <c r="F93" s="291">
        <f>DIST_GAS_MOT!L24</f>
        <v>23491.021858896038</v>
      </c>
      <c r="G93" s="291">
        <f>DIST_GAS_MOT!M24</f>
        <v>10432.570924928661</v>
      </c>
      <c r="H93" s="291">
        <f>DIST_ALC_LEV!J23</f>
        <v>102896.44696511027</v>
      </c>
      <c r="I93" s="291">
        <f>DIST_ALC_LEV!AA23</f>
        <v>12864.444026360146</v>
      </c>
      <c r="J93" s="291">
        <f>DIST_DSL_CAM!H30</f>
        <v>31611.757451356261</v>
      </c>
      <c r="K93" s="291">
        <f>DIST_DSL_CAM!I30</f>
        <v>20137.242548643742</v>
      </c>
      <c r="L93" s="291">
        <f>DIST_DSL_CAM!J30</f>
        <v>5239</v>
      </c>
      <c r="M93" s="291">
        <f>DIST_DSL_ONI!H30</f>
        <v>7498</v>
      </c>
      <c r="N93" s="291">
        <f>DIST_DSL_ONI!I30</f>
        <v>9106.1167784223617</v>
      </c>
      <c r="O93" s="291">
        <f>DIST_DSL_ONI!J30</f>
        <v>2077.8832215776388</v>
      </c>
      <c r="P93" s="291">
        <f>DIST_DSL_LEV!H23</f>
        <v>1901.3182766054379</v>
      </c>
      <c r="Q93" s="291">
        <f>DIST_DSL_LEV!I23</f>
        <v>73031.387149258095</v>
      </c>
      <c r="R93" s="291">
        <f>GNV!D16</f>
        <v>48634.027143782849</v>
      </c>
      <c r="T93" s="2">
        <f t="shared" si="39"/>
        <v>869708.83788493404</v>
      </c>
      <c r="U93" s="2">
        <f t="shared" si="40"/>
        <v>845716</v>
      </c>
      <c r="V93" s="2">
        <f t="shared" si="41"/>
        <v>56988</v>
      </c>
      <c r="W93" s="2">
        <f t="shared" si="42"/>
        <v>18682</v>
      </c>
      <c r="X93" s="2">
        <f>DEN!C87+DEN!F87+DEN!G87+DEN!L87</f>
        <v>868527</v>
      </c>
      <c r="Y93" s="2">
        <f>DEN!I87+DEN!J87</f>
        <v>845716</v>
      </c>
      <c r="Z93" s="2">
        <f>DEN!D87+DEN!E87</f>
        <v>56988</v>
      </c>
      <c r="AA93" s="2">
        <f>DEN!H87+DEN!K87</f>
        <v>18682</v>
      </c>
      <c r="AB93" s="562" t="str">
        <f t="shared" si="43"/>
        <v>ERRO</v>
      </c>
      <c r="AC93" s="562" t="str">
        <f t="shared" si="35"/>
        <v>OK</v>
      </c>
      <c r="AD93" s="562" t="str">
        <f t="shared" si="36"/>
        <v>OK</v>
      </c>
      <c r="AE93" s="562" t="str">
        <f t="shared" si="37"/>
        <v>OK</v>
      </c>
      <c r="AF93" s="774">
        <f>COMB_CORR!I15/FRO_TOT!T93</f>
        <v>146.62140307907316</v>
      </c>
      <c r="AG93" s="781">
        <f t="shared" si="44"/>
        <v>0.54190653094273811</v>
      </c>
      <c r="AH93" s="3">
        <v>0.5379394494531049</v>
      </c>
      <c r="AJ93" s="742">
        <f t="shared" si="32"/>
        <v>1181.837884934037</v>
      </c>
      <c r="AK93" s="783">
        <v>-26053.614698261139</v>
      </c>
    </row>
    <row r="94" spans="1:37">
      <c r="A94" s="127" t="s">
        <v>24</v>
      </c>
      <c r="B94" s="291">
        <f>DIST_GAS_LEV!M24-AK94</f>
        <v>249925.0693800358</v>
      </c>
      <c r="C94" s="291">
        <f>DIST_GAS_LEV!AF24</f>
        <v>46272.597524862314</v>
      </c>
      <c r="D94" s="291">
        <f>DIST_GAS_MOT!J25</f>
        <v>70148</v>
      </c>
      <c r="E94" s="291">
        <f>DIST_GAS_MOT!K25</f>
        <v>389801.28183464089</v>
      </c>
      <c r="F94" s="291">
        <f>DIST_GAS_MOT!L25</f>
        <v>12559.413095956548</v>
      </c>
      <c r="G94" s="291">
        <f>DIST_GAS_MOT!M25</f>
        <v>5578.3050694025351</v>
      </c>
      <c r="H94" s="291">
        <f>DIST_ALC_LEV!J24</f>
        <v>13674.59731347974</v>
      </c>
      <c r="I94" s="291">
        <f>DIST_ALC_LEV!AA24</f>
        <v>2448.3983639240755</v>
      </c>
      <c r="J94" s="291">
        <f>DIST_DSL_CAM!H31</f>
        <v>16076.867006472999</v>
      </c>
      <c r="K94" s="291">
        <f>DIST_DSL_CAM!I31</f>
        <v>10241.132993527002</v>
      </c>
      <c r="L94" s="291">
        <f>DIST_DSL_CAM!J31</f>
        <v>1663</v>
      </c>
      <c r="M94" s="291">
        <f>DIST_DSL_ONI!H31</f>
        <v>3454</v>
      </c>
      <c r="N94" s="291">
        <f>DIST_DSL_ONI!I31</f>
        <v>4196.0555966287156</v>
      </c>
      <c r="O94" s="291">
        <f>DIST_DSL_ONI!J31</f>
        <v>957.94440337128492</v>
      </c>
      <c r="P94" s="291">
        <f>DIST_DSL_LEV!H24</f>
        <v>529.80500739451941</v>
      </c>
      <c r="Q94" s="291">
        <f>DIST_DSL_LEV!I24</f>
        <v>28738.616663126144</v>
      </c>
      <c r="R94" s="291">
        <f>GNV!D17</f>
        <v>0</v>
      </c>
      <c r="T94" s="2">
        <f t="shared" si="39"/>
        <v>341589.08425282262</v>
      </c>
      <c r="U94" s="2">
        <f t="shared" si="40"/>
        <v>478087</v>
      </c>
      <c r="V94" s="2">
        <f t="shared" si="41"/>
        <v>27981</v>
      </c>
      <c r="W94" s="2">
        <f t="shared" si="42"/>
        <v>8608</v>
      </c>
      <c r="X94" s="2">
        <f>DEN!C88+DEN!F88+DEN!G88+DEN!L88</f>
        <v>341374</v>
      </c>
      <c r="Y94" s="2">
        <f>DEN!I88+DEN!J88</f>
        <v>478087</v>
      </c>
      <c r="Z94" s="2">
        <f>DEN!D88+DEN!E88</f>
        <v>27981</v>
      </c>
      <c r="AA94" s="2">
        <f>DEN!H88+DEN!K88</f>
        <v>8608</v>
      </c>
      <c r="AB94" s="562" t="str">
        <f t="shared" si="43"/>
        <v>ERRO</v>
      </c>
      <c r="AC94" s="562" t="str">
        <f t="shared" si="35"/>
        <v>OK</v>
      </c>
      <c r="AD94" s="562" t="str">
        <f t="shared" si="36"/>
        <v>OK</v>
      </c>
      <c r="AE94" s="562" t="str">
        <f t="shared" si="37"/>
        <v>OK</v>
      </c>
      <c r="AF94" s="774">
        <f>COMB_CORR!I16/FRO_TOT!T94</f>
        <v>115.66601813618824</v>
      </c>
      <c r="AG94" s="781">
        <f t="shared" si="44"/>
        <v>0.42749673185393056</v>
      </c>
      <c r="AH94" s="3">
        <v>0.41958373173359514</v>
      </c>
      <c r="AJ94" s="742">
        <f t="shared" si="32"/>
        <v>215.08425282262033</v>
      </c>
      <c r="AK94" s="783">
        <v>-3981.7432329750154</v>
      </c>
    </row>
    <row r="95" spans="1:37">
      <c r="A95" s="127" t="s">
        <v>25</v>
      </c>
      <c r="B95" s="291">
        <f>DIST_GAS_LEV!M25-AK95</f>
        <v>272674.22361054335</v>
      </c>
      <c r="C95" s="291">
        <f>DIST_GAS_LEV!AF25</f>
        <v>36049.500928561603</v>
      </c>
      <c r="D95" s="291">
        <f>DIST_GAS_MOT!J26</f>
        <v>37263</v>
      </c>
      <c r="E95" s="291">
        <f>DIST_GAS_MOT!K26</f>
        <v>260897.5634335397</v>
      </c>
      <c r="F95" s="291">
        <f>DIST_GAS_MOT!L26</f>
        <v>8406.3541798646838</v>
      </c>
      <c r="G95" s="291">
        <f>DIST_GAS_MOT!M26</f>
        <v>3733.0823865956013</v>
      </c>
      <c r="H95" s="291">
        <f>DIST_ALC_LEV!J25</f>
        <v>40612.600369163032</v>
      </c>
      <c r="I95" s="291">
        <f>DIST_ALC_LEV!AA25</f>
        <v>4855.0725042518679</v>
      </c>
      <c r="J95" s="291">
        <f>DIST_DSL_CAM!H32</f>
        <v>13315.890352281825</v>
      </c>
      <c r="K95" s="291">
        <f>DIST_DSL_CAM!I32</f>
        <v>8483.1096477181745</v>
      </c>
      <c r="L95" s="291">
        <f>DIST_DSL_CAM!J32</f>
        <v>1760</v>
      </c>
      <c r="M95" s="291">
        <f>DIST_DSL_ONI!H32</f>
        <v>3068</v>
      </c>
      <c r="N95" s="291">
        <f>DIST_DSL_ONI!I32</f>
        <v>3772.0598346035349</v>
      </c>
      <c r="O95" s="291">
        <f>DIST_DSL_ONI!J32</f>
        <v>860.94016539646498</v>
      </c>
      <c r="P95" s="291">
        <f>DIST_DSL_LEV!H25</f>
        <v>663.27674449713913</v>
      </c>
      <c r="Q95" s="291">
        <f>DIST_DSL_LEV!I25</f>
        <v>24766.746244154812</v>
      </c>
      <c r="R95" s="291">
        <f>GNV!D18</f>
        <v>17661</v>
      </c>
      <c r="T95" s="2">
        <f t="shared" si="39"/>
        <v>397282.42040117178</v>
      </c>
      <c r="U95" s="2">
        <f t="shared" si="40"/>
        <v>310300</v>
      </c>
      <c r="V95" s="2">
        <f t="shared" si="41"/>
        <v>23559</v>
      </c>
      <c r="W95" s="2">
        <f t="shared" si="42"/>
        <v>7701</v>
      </c>
      <c r="X95" s="2">
        <f>DEN!C89+DEN!F89+DEN!G89+DEN!L89</f>
        <v>396798</v>
      </c>
      <c r="Y95" s="2">
        <f>DEN!I89+DEN!J89</f>
        <v>310300</v>
      </c>
      <c r="Z95" s="2">
        <f>DEN!D89+DEN!E89</f>
        <v>23559</v>
      </c>
      <c r="AA95" s="2">
        <f>DEN!H89+DEN!K89</f>
        <v>7701</v>
      </c>
      <c r="AB95" s="562" t="str">
        <f t="shared" si="43"/>
        <v>ERRO</v>
      </c>
      <c r="AC95" s="562" t="str">
        <f t="shared" si="35"/>
        <v>OK</v>
      </c>
      <c r="AD95" s="562" t="str">
        <f t="shared" si="36"/>
        <v>OK</v>
      </c>
      <c r="AE95" s="562" t="str">
        <f t="shared" si="37"/>
        <v>OK</v>
      </c>
      <c r="AF95" s="774">
        <f>COMB_CORR!I17/FRO_TOT!T95</f>
        <v>163.92395804000415</v>
      </c>
      <c r="AG95" s="781">
        <f t="shared" si="44"/>
        <v>0.60585604539573712</v>
      </c>
      <c r="AH95" s="3">
        <v>0.60166795333899159</v>
      </c>
      <c r="AJ95" s="742">
        <f t="shared" si="32"/>
        <v>484.42040117178112</v>
      </c>
      <c r="AK95" s="783">
        <v>-10794.922256721708</v>
      </c>
    </row>
    <row r="96" spans="1:37">
      <c r="A96" s="127" t="s">
        <v>26</v>
      </c>
      <c r="B96" s="291">
        <f>DIST_GAS_LEV!M26-AK96</f>
        <v>693032.42808539351</v>
      </c>
      <c r="C96" s="291">
        <f>DIST_GAS_LEV!AF26</f>
        <v>95654.053551250574</v>
      </c>
      <c r="D96" s="291">
        <f>DIST_GAS_MOT!J27</f>
        <v>58875</v>
      </c>
      <c r="E96" s="291">
        <f>DIST_GAS_MOT!K27</f>
        <v>595649.91766930476</v>
      </c>
      <c r="F96" s="291">
        <f>DIST_GAS_MOT!L27</f>
        <v>19192.01448199727</v>
      </c>
      <c r="G96" s="291">
        <f>DIST_GAS_MOT!M27</f>
        <v>8523.0678486979996</v>
      </c>
      <c r="H96" s="291">
        <f>DIST_ALC_LEV!J26</f>
        <v>148290.19863410256</v>
      </c>
      <c r="I96" s="291">
        <f>DIST_ALC_LEV!AA26</f>
        <v>18304.697096199183</v>
      </c>
      <c r="J96" s="291">
        <f>DIST_DSL_CAM!H33</f>
        <v>43337.059017164349</v>
      </c>
      <c r="K96" s="291">
        <f>DIST_DSL_CAM!I33</f>
        <v>27606.940982835644</v>
      </c>
      <c r="L96" s="291">
        <f>DIST_DSL_CAM!J33</f>
        <v>7951</v>
      </c>
      <c r="M96" s="291">
        <f>DIST_DSL_ONI!H33</f>
        <v>11309</v>
      </c>
      <c r="N96" s="291">
        <f>DIST_DSL_ONI!I33</f>
        <v>11827.837386877827</v>
      </c>
      <c r="O96" s="291">
        <f>DIST_DSL_ONI!J33</f>
        <v>2699.1626131221719</v>
      </c>
      <c r="P96" s="291">
        <f>DIST_DSL_LEV!H26</f>
        <v>1428.2327183025225</v>
      </c>
      <c r="Q96" s="291">
        <f>DIST_DSL_LEV!I26</f>
        <v>55060.405886341658</v>
      </c>
      <c r="R96" s="291">
        <f>GNV!D19</f>
        <v>47371.991936064514</v>
      </c>
      <c r="T96" s="2">
        <f t="shared" si="39"/>
        <v>1059142.0079076546</v>
      </c>
      <c r="U96" s="2">
        <f t="shared" si="40"/>
        <v>682240</v>
      </c>
      <c r="V96" s="2">
        <f t="shared" si="41"/>
        <v>78895</v>
      </c>
      <c r="W96" s="2">
        <f t="shared" si="42"/>
        <v>25836</v>
      </c>
      <c r="X96" s="2">
        <f>DEN!C90+DEN!F90+DEN!G90+DEN!L90</f>
        <v>1058064</v>
      </c>
      <c r="Y96" s="2">
        <f>DEN!I90+DEN!J90</f>
        <v>682240</v>
      </c>
      <c r="Z96" s="2">
        <f>DEN!D90+DEN!E90</f>
        <v>78895</v>
      </c>
      <c r="AA96" s="2">
        <f>DEN!H90+DEN!K90</f>
        <v>25836</v>
      </c>
      <c r="AB96" s="562" t="str">
        <f t="shared" si="43"/>
        <v>ERRO</v>
      </c>
      <c r="AC96" s="562" t="str">
        <f t="shared" si="35"/>
        <v>OK</v>
      </c>
      <c r="AD96" s="562" t="str">
        <f t="shared" si="36"/>
        <v>OK</v>
      </c>
      <c r="AE96" s="562" t="str">
        <f t="shared" si="37"/>
        <v>OK</v>
      </c>
      <c r="AF96" s="774">
        <f>COMB_CORR!I18/FRO_TOT!T96</f>
        <v>195.86541192479433</v>
      </c>
      <c r="AG96" s="781">
        <f t="shared" si="44"/>
        <v>0.72391031376635939</v>
      </c>
      <c r="AH96" s="3">
        <v>0.71788558164723448</v>
      </c>
      <c r="AJ96" s="742">
        <f t="shared" si="32"/>
        <v>1078.0079076546244</v>
      </c>
      <c r="AK96" s="783">
        <v>-23609.69594431622</v>
      </c>
    </row>
    <row r="97" spans="1:37">
      <c r="A97" s="127" t="s">
        <v>27</v>
      </c>
      <c r="B97" s="291">
        <f>DIST_GAS_LEV!M27-AK97</f>
        <v>184258.20854499817</v>
      </c>
      <c r="C97" s="291">
        <f>DIST_GAS_LEV!AF27</f>
        <v>24280.603508793421</v>
      </c>
      <c r="D97" s="291">
        <f>DIST_GAS_MOT!J28</f>
        <v>49571</v>
      </c>
      <c r="E97" s="291">
        <f>DIST_GAS_MOT!K28</f>
        <v>280226.16498653858</v>
      </c>
      <c r="F97" s="291">
        <f>DIST_GAS_MOT!L28</f>
        <v>9029.0137979563115</v>
      </c>
      <c r="G97" s="291">
        <f>DIST_GAS_MOT!M28</f>
        <v>4009.8212155051092</v>
      </c>
      <c r="H97" s="291">
        <f>DIST_ALC_LEV!J27</f>
        <v>11127.995096952487</v>
      </c>
      <c r="I97" s="291">
        <f>DIST_ALC_LEV!AA27</f>
        <v>1480.5647390762492</v>
      </c>
      <c r="J97" s="291">
        <f>DIST_DSL_CAM!H34</f>
        <v>10907.087065145659</v>
      </c>
      <c r="K97" s="291">
        <f>DIST_DSL_CAM!I34</f>
        <v>6947.912934854342</v>
      </c>
      <c r="L97" s="291">
        <f>DIST_DSL_CAM!J34</f>
        <v>1336</v>
      </c>
      <c r="M97" s="291">
        <f>DIST_DSL_ONI!H34</f>
        <v>1889</v>
      </c>
      <c r="N97" s="291">
        <f>DIST_DSL_ONI!I34</f>
        <v>2924.4601769911505</v>
      </c>
      <c r="O97" s="291">
        <f>DIST_DSL_ONI!J34</f>
        <v>667.53982300884957</v>
      </c>
      <c r="P97" s="291">
        <f>DIST_DSL_LEV!H27</f>
        <v>666.7746574423943</v>
      </c>
      <c r="Q97" s="291">
        <f>DIST_DSL_LEV!I27</f>
        <v>27250.941556235131</v>
      </c>
      <c r="R97" s="291">
        <f>GNV!D20</f>
        <v>218</v>
      </c>
      <c r="T97" s="2">
        <f t="shared" si="39"/>
        <v>249283.08810349784</v>
      </c>
      <c r="U97" s="2">
        <f t="shared" si="40"/>
        <v>342836</v>
      </c>
      <c r="V97" s="2">
        <f t="shared" si="41"/>
        <v>19191</v>
      </c>
      <c r="W97" s="2">
        <f t="shared" si="42"/>
        <v>5481</v>
      </c>
      <c r="X97" s="2">
        <f>DEN!C91+DEN!F91+DEN!G91+DEN!L91</f>
        <v>248668</v>
      </c>
      <c r="Y97" s="2">
        <f>DEN!I91+DEN!J91</f>
        <v>342836</v>
      </c>
      <c r="Z97" s="2">
        <f>DEN!D91+DEN!E91</f>
        <v>19191</v>
      </c>
      <c r="AA97" s="2">
        <f>DEN!H91+DEN!K91</f>
        <v>5481</v>
      </c>
      <c r="AB97" s="562" t="str">
        <f t="shared" si="43"/>
        <v>ERRO</v>
      </c>
      <c r="AC97" s="562" t="str">
        <f t="shared" si="35"/>
        <v>OK</v>
      </c>
      <c r="AD97" s="562" t="str">
        <f t="shared" si="36"/>
        <v>OK</v>
      </c>
      <c r="AE97" s="562" t="str">
        <f t="shared" si="37"/>
        <v>OK</v>
      </c>
      <c r="AF97" s="774">
        <f>COMB_CORR!I19/FRO_TOT!T97</f>
        <v>62.409009790003893</v>
      </c>
      <c r="AG97" s="781">
        <f t="shared" si="44"/>
        <v>0.23066107188070825</v>
      </c>
      <c r="AH97" s="3">
        <v>0.22706414072258344</v>
      </c>
      <c r="AJ97" s="742">
        <f t="shared" si="32"/>
        <v>615.08810349783744</v>
      </c>
      <c r="AK97" s="783">
        <v>-11428.263953371468</v>
      </c>
    </row>
    <row r="98" spans="1:37" ht="25.5">
      <c r="A98" s="127" t="s">
        <v>28</v>
      </c>
      <c r="B98" s="291">
        <f>DIST_GAS_LEV!M28-AK98</f>
        <v>271920.21509758965</v>
      </c>
      <c r="C98" s="291">
        <f>DIST_GAS_LEV!AF28</f>
        <v>41130.670668645012</v>
      </c>
      <c r="D98" s="291">
        <f>DIST_GAS_MOT!J29</f>
        <v>35733</v>
      </c>
      <c r="E98" s="291">
        <f>DIST_GAS_MOT!K29</f>
        <v>253018.19775000453</v>
      </c>
      <c r="F98" s="291">
        <f>DIST_GAS_MOT!L29</f>
        <v>8152.2524914125779</v>
      </c>
      <c r="G98" s="291">
        <f>DIST_GAS_MOT!M29</f>
        <v>3620.5497585828784</v>
      </c>
      <c r="H98" s="291">
        <f>DIST_ALC_LEV!J28</f>
        <v>38234.022235158423</v>
      </c>
      <c r="I98" s="291">
        <f>DIST_ALC_LEV!AA28</f>
        <v>4865.2686167982001</v>
      </c>
      <c r="J98" s="291">
        <f>DIST_DSL_CAM!H35</f>
        <v>14159.420709630702</v>
      </c>
      <c r="K98" s="291">
        <f>DIST_DSL_CAM!I35</f>
        <v>9020.5792903692982</v>
      </c>
      <c r="L98" s="291">
        <f>DIST_DSL_CAM!J35</f>
        <v>1865</v>
      </c>
      <c r="M98" s="291">
        <f>DIST_DSL_ONI!H35</f>
        <v>3568</v>
      </c>
      <c r="N98" s="291">
        <f>DIST_DSL_ONI!I35</f>
        <v>3785.6130036313334</v>
      </c>
      <c r="O98" s="291">
        <f>DIST_DSL_ONI!J35</f>
        <v>864.3869963686667</v>
      </c>
      <c r="P98" s="291">
        <f>DIST_DSL_LEV!H28</f>
        <v>672.31059640226113</v>
      </c>
      <c r="Q98" s="291">
        <f>DIST_DSL_LEV!I28</f>
        <v>26807.096540541821</v>
      </c>
      <c r="R98" s="291">
        <f>GNV!D21</f>
        <v>39000.195622435022</v>
      </c>
      <c r="T98" s="2">
        <f t="shared" si="39"/>
        <v>422629.77937757038</v>
      </c>
      <c r="U98" s="2">
        <f t="shared" si="40"/>
        <v>300524</v>
      </c>
      <c r="V98" s="2">
        <f t="shared" si="41"/>
        <v>25045</v>
      </c>
      <c r="W98" s="2">
        <f t="shared" si="42"/>
        <v>8218</v>
      </c>
      <c r="X98" s="2">
        <f>DEN!C92+DEN!F92+DEN!G92+DEN!L92</f>
        <v>422037</v>
      </c>
      <c r="Y98" s="2">
        <f>DEN!I92+DEN!J92</f>
        <v>300524</v>
      </c>
      <c r="Z98" s="2">
        <f>DEN!D92+DEN!E92</f>
        <v>25045</v>
      </c>
      <c r="AA98" s="2">
        <f>DEN!H92+DEN!K92</f>
        <v>8218</v>
      </c>
      <c r="AB98" s="562" t="str">
        <f t="shared" si="43"/>
        <v>ERRO</v>
      </c>
      <c r="AC98" s="562" t="str">
        <f t="shared" si="35"/>
        <v>OK</v>
      </c>
      <c r="AD98" s="562" t="str">
        <f t="shared" si="36"/>
        <v>OK</v>
      </c>
      <c r="AE98" s="562" t="str">
        <f t="shared" si="37"/>
        <v>OK</v>
      </c>
      <c r="AF98" s="774">
        <f>COMB_CORR!I20/FRO_TOT!T98</f>
        <v>146.79503136451146</v>
      </c>
      <c r="AG98" s="781">
        <f t="shared" si="44"/>
        <v>0.54254825377350835</v>
      </c>
      <c r="AH98" s="3">
        <v>0.54001398294401348</v>
      </c>
      <c r="AJ98" s="742">
        <f t="shared" si="32"/>
        <v>592.7793775703758</v>
      </c>
      <c r="AK98" s="783">
        <v>-13833.264159676852</v>
      </c>
    </row>
    <row r="99" spans="1:37" ht="15.75" thickBot="1">
      <c r="A99" s="128" t="s">
        <v>29</v>
      </c>
      <c r="B99" s="291">
        <f>DIST_GAS_LEV!M29-AK99</f>
        <v>175101.6344046439</v>
      </c>
      <c r="C99" s="291">
        <f>DIST_GAS_LEV!AF29</f>
        <v>20870.414472635894</v>
      </c>
      <c r="D99" s="291">
        <f>DIST_GAS_MOT!J30</f>
        <v>23723</v>
      </c>
      <c r="E99" s="291">
        <f>DIST_GAS_MOT!K30</f>
        <v>139023.02546148261</v>
      </c>
      <c r="F99" s="291">
        <f>DIST_GAS_MOT!L30</f>
        <v>4479.5519689562852</v>
      </c>
      <c r="G99" s="291">
        <f>DIST_GAS_MOT!M30</f>
        <v>1989.4225695611174</v>
      </c>
      <c r="H99" s="291">
        <f>DIST_ALC_LEV!J29</f>
        <v>18836.46932201619</v>
      </c>
      <c r="I99" s="291">
        <f>DIST_ALC_LEV!AA29</f>
        <v>1960.8081250107589</v>
      </c>
      <c r="J99" s="291">
        <f>DIST_DSL_CAM!H36</f>
        <v>9971.2143664245359</v>
      </c>
      <c r="K99" s="291">
        <f>DIST_DSL_CAM!I36</f>
        <v>6351.7856335754641</v>
      </c>
      <c r="L99" s="291">
        <f>DIST_DSL_CAM!J36</f>
        <v>1330</v>
      </c>
      <c r="M99" s="291">
        <f>DIST_DSL_ONI!H36</f>
        <v>2586</v>
      </c>
      <c r="N99" s="291">
        <f>DIST_DSL_ONI!I36</f>
        <v>3803.2953834835384</v>
      </c>
      <c r="O99" s="291">
        <f>DIST_DSL_ONI!J36</f>
        <v>867.70461651646121</v>
      </c>
      <c r="P99" s="291">
        <f>DIST_DSL_LEV!H29</f>
        <v>316.39002798128206</v>
      </c>
      <c r="Q99" s="291">
        <f>DIST_DSL_LEV!I29</f>
        <v>10278.339221231237</v>
      </c>
      <c r="R99" s="291">
        <f>GNV!D22</f>
        <v>20974</v>
      </c>
      <c r="T99" s="2">
        <f t="shared" si="39"/>
        <v>248338.05557351926</v>
      </c>
      <c r="U99" s="2">
        <f t="shared" si="40"/>
        <v>169215</v>
      </c>
      <c r="V99" s="2">
        <f t="shared" si="41"/>
        <v>17653</v>
      </c>
      <c r="W99" s="2">
        <f t="shared" si="42"/>
        <v>7257</v>
      </c>
      <c r="X99" s="2">
        <f>DEN!C93+DEN!F93+DEN!G93+DEN!L93</f>
        <v>247882</v>
      </c>
      <c r="Y99" s="2">
        <f>DEN!I93+DEN!J93</f>
        <v>169215</v>
      </c>
      <c r="Z99" s="2">
        <f>DEN!D93+DEN!E93</f>
        <v>17653</v>
      </c>
      <c r="AA99" s="2">
        <f>DEN!H93+DEN!K93</f>
        <v>7257</v>
      </c>
      <c r="AB99" s="562" t="str">
        <f t="shared" si="43"/>
        <v>ERRO</v>
      </c>
      <c r="AC99" s="562" t="str">
        <f t="shared" si="35"/>
        <v>OK</v>
      </c>
      <c r="AD99" s="562" t="str">
        <f t="shared" si="36"/>
        <v>OK</v>
      </c>
      <c r="AE99" s="562" t="str">
        <f t="shared" si="37"/>
        <v>OK</v>
      </c>
      <c r="AF99" s="774">
        <f>COMB_CORR!I21/FRO_TOT!T99</f>
        <v>114.10950422343804</v>
      </c>
      <c r="AG99" s="781">
        <f t="shared" si="44"/>
        <v>0.42174392198368477</v>
      </c>
      <c r="AH99" s="3">
        <v>0.41902298259485438</v>
      </c>
      <c r="AJ99" s="742">
        <f t="shared" si="32"/>
        <v>456.05557351926109</v>
      </c>
      <c r="AK99" s="783">
        <v>-10187.81246693735</v>
      </c>
    </row>
    <row r="100" spans="1:37">
      <c r="A100" s="269" t="s">
        <v>64</v>
      </c>
      <c r="B100" s="291">
        <f t="shared" ref="B100:R100" si="46">SUM(B101:B104)</f>
        <v>14677983.445645766</v>
      </c>
      <c r="C100" s="291">
        <f t="shared" si="46"/>
        <v>2169598.5088388538</v>
      </c>
      <c r="D100" s="291">
        <f t="shared" si="46"/>
        <v>908421</v>
      </c>
      <c r="E100" s="291">
        <f t="shared" si="46"/>
        <v>5858318.6402901839</v>
      </c>
      <c r="F100" s="291">
        <f t="shared" si="46"/>
        <v>188755.48409985425</v>
      </c>
      <c r="G100" s="291">
        <f t="shared" si="46"/>
        <v>83827.875609962502</v>
      </c>
      <c r="H100" s="291">
        <f t="shared" si="46"/>
        <v>5693831.5943925474</v>
      </c>
      <c r="I100" s="291">
        <f t="shared" si="46"/>
        <v>652309.23992814298</v>
      </c>
      <c r="J100" s="291">
        <f t="shared" si="46"/>
        <v>628984.82222995779</v>
      </c>
      <c r="K100" s="291">
        <f t="shared" si="46"/>
        <v>400677.17777004215</v>
      </c>
      <c r="L100" s="291">
        <f t="shared" si="46"/>
        <v>189859</v>
      </c>
      <c r="M100" s="291">
        <f t="shared" si="46"/>
        <v>161094</v>
      </c>
      <c r="N100" s="291">
        <f t="shared" si="46"/>
        <v>195111.45739666343</v>
      </c>
      <c r="O100" s="291">
        <f t="shared" si="46"/>
        <v>44530.542603336566</v>
      </c>
      <c r="P100" s="291">
        <f t="shared" si="46"/>
        <v>17901.000838333872</v>
      </c>
      <c r="Q100" s="291">
        <f t="shared" si="46"/>
        <v>668924.42087521055</v>
      </c>
      <c r="R100" s="291">
        <f t="shared" si="46"/>
        <v>1254361.3767009864</v>
      </c>
      <c r="T100" s="2">
        <f t="shared" si="39"/>
        <v>25134909.587219838</v>
      </c>
      <c r="U100" s="2">
        <f t="shared" si="40"/>
        <v>7039323</v>
      </c>
      <c r="V100" s="2">
        <f t="shared" si="41"/>
        <v>1219521</v>
      </c>
      <c r="W100" s="2">
        <f t="shared" si="42"/>
        <v>400736</v>
      </c>
      <c r="X100" s="2">
        <f>DEN!C94+DEN!F94+DEN!G94+DEN!L94</f>
        <v>25157521</v>
      </c>
      <c r="Y100" s="2">
        <f>DEN!I94+DEN!J94</f>
        <v>7039323</v>
      </c>
      <c r="Z100" s="2">
        <f>DEN!D94+DEN!E94</f>
        <v>1219521</v>
      </c>
      <c r="AA100" s="2">
        <f>DEN!H94+DEN!K94</f>
        <v>400736</v>
      </c>
      <c r="AB100" s="562" t="str">
        <f t="shared" si="43"/>
        <v>ERRO</v>
      </c>
      <c r="AC100" s="562" t="str">
        <f t="shared" si="35"/>
        <v>OK</v>
      </c>
      <c r="AD100" s="562" t="str">
        <f t="shared" si="36"/>
        <v>OK</v>
      </c>
      <c r="AE100" s="562" t="str">
        <f t="shared" si="37"/>
        <v>OK</v>
      </c>
      <c r="AF100" s="774"/>
      <c r="AG100" s="781"/>
      <c r="AJ100" s="742"/>
      <c r="AK100" s="783"/>
    </row>
    <row r="101" spans="1:37">
      <c r="A101" s="127" t="s">
        <v>31</v>
      </c>
      <c r="B101" s="291">
        <f>DIST_GAS_LEV!M31-AK101</f>
        <v>596972.50618032459</v>
      </c>
      <c r="C101" s="291">
        <f>DIST_GAS_LEV!AF31</f>
        <v>86085.795141983283</v>
      </c>
      <c r="D101" s="291">
        <f>DIST_GAS_MOT!J32</f>
        <v>64410</v>
      </c>
      <c r="E101" s="291">
        <f>DIST_GAS_MOT!K32</f>
        <v>292284.57831721054</v>
      </c>
      <c r="F101" s="291">
        <f>DIST_GAS_MOT!L32</f>
        <v>9417.1096950087867</v>
      </c>
      <c r="G101" s="291">
        <f>DIST_GAS_MOT!M32</f>
        <v>4182.311987780643</v>
      </c>
      <c r="H101" s="291">
        <f>DIST_ALC_LEV!J31</f>
        <v>41097.30882000475</v>
      </c>
      <c r="I101" s="291">
        <f>DIST_ALC_LEV!AA31</f>
        <v>5486.9129330527903</v>
      </c>
      <c r="J101" s="291">
        <f>DIST_DSL_CAM!H38</f>
        <v>34352.113842482097</v>
      </c>
      <c r="K101" s="291">
        <f>DIST_DSL_CAM!I38</f>
        <v>21882.8861575179</v>
      </c>
      <c r="L101" s="291">
        <f>DIST_DSL_CAM!J38</f>
        <v>13963</v>
      </c>
      <c r="M101" s="291">
        <f>DIST_DSL_ONI!H38</f>
        <v>5447</v>
      </c>
      <c r="N101" s="291">
        <f>DIST_DSL_ONI!I38</f>
        <v>10246.353697024348</v>
      </c>
      <c r="O101" s="291">
        <f>DIST_DSL_ONI!J38</f>
        <v>2338.6463029756537</v>
      </c>
      <c r="P101" s="291">
        <f>DIST_DSL_LEV!H31</f>
        <v>1148.4467127896867</v>
      </c>
      <c r="Q101" s="291">
        <f>DIST_DSL_LEV!I31</f>
        <v>47366.852533628036</v>
      </c>
      <c r="R101" s="291">
        <f>GNV!D24</f>
        <v>37469</v>
      </c>
      <c r="T101" s="2">
        <f t="shared" si="39"/>
        <v>815626.82232178317</v>
      </c>
      <c r="U101" s="2">
        <f t="shared" si="40"/>
        <v>370293.99999999994</v>
      </c>
      <c r="V101" s="2">
        <f t="shared" si="41"/>
        <v>70198</v>
      </c>
      <c r="W101" s="2">
        <f t="shared" si="42"/>
        <v>18032</v>
      </c>
      <c r="X101" s="2">
        <f>DEN!C95+DEN!F95+DEN!G95+DEN!L95</f>
        <v>814476</v>
      </c>
      <c r="Y101" s="2">
        <f>DEN!I95+DEN!J95</f>
        <v>370294</v>
      </c>
      <c r="Z101" s="2">
        <f>DEN!D95+DEN!E95</f>
        <v>70198</v>
      </c>
      <c r="AA101" s="2">
        <f>DEN!H95+DEN!K95</f>
        <v>18032</v>
      </c>
      <c r="AB101" s="562" t="str">
        <f t="shared" si="43"/>
        <v>ERRO</v>
      </c>
      <c r="AC101" s="562" t="str">
        <f t="shared" si="35"/>
        <v>OK</v>
      </c>
      <c r="AD101" s="562" t="str">
        <f t="shared" si="36"/>
        <v>OK</v>
      </c>
      <c r="AE101" s="562" t="str">
        <f t="shared" si="37"/>
        <v>OK</v>
      </c>
      <c r="AF101" s="774">
        <f>COMB_CORR!I23/FRO_TOT!T101</f>
        <v>76.699272910755752</v>
      </c>
      <c r="AG101" s="781">
        <f t="shared" si="44"/>
        <v>0.28347728255255156</v>
      </c>
      <c r="AH101" s="3">
        <v>0.28483311155633811</v>
      </c>
      <c r="AJ101" s="742">
        <f t="shared" si="32"/>
        <v>1150.8223217831692</v>
      </c>
      <c r="AK101" s="783">
        <v>-34289.966287340969</v>
      </c>
    </row>
    <row r="102" spans="1:37">
      <c r="A102" s="127" t="s">
        <v>32</v>
      </c>
      <c r="B102" s="291">
        <f>DIST_GAS_LEV!M32-AK102</f>
        <v>3627444.2838367615</v>
      </c>
      <c r="C102" s="291">
        <f>DIST_GAS_LEV!AF32</f>
        <v>479608.07387166214</v>
      </c>
      <c r="D102" s="291">
        <f>DIST_GAS_MOT!J33</f>
        <v>176198</v>
      </c>
      <c r="E102" s="291">
        <f>DIST_GAS_MOT!K33</f>
        <v>1688753.8146101036</v>
      </c>
      <c r="F102" s="291">
        <f>DIST_GAS_MOT!L33</f>
        <v>54411.46524821315</v>
      </c>
      <c r="G102" s="291">
        <f>DIST_GAS_MOT!M33</f>
        <v>24164.72014168317</v>
      </c>
      <c r="H102" s="291">
        <f>DIST_ALC_LEV!J32</f>
        <v>409165.83404009265</v>
      </c>
      <c r="I102" s="291">
        <f>DIST_ALC_LEV!AA32</f>
        <v>51054.046884075506</v>
      </c>
      <c r="J102" s="291">
        <f>DIST_DSL_CAM!H39</f>
        <v>160652.31593596819</v>
      </c>
      <c r="K102" s="291">
        <f>DIST_DSL_CAM!I39</f>
        <v>102338.68406403181</v>
      </c>
      <c r="L102" s="291">
        <f>DIST_DSL_CAM!J39</f>
        <v>45925</v>
      </c>
      <c r="M102" s="291">
        <f>DIST_DSL_ONI!H39</f>
        <v>31384</v>
      </c>
      <c r="N102" s="291">
        <f>DIST_DSL_ONI!I39</f>
        <v>47598.970557501998</v>
      </c>
      <c r="O102" s="291">
        <f>DIST_DSL_ONI!J39</f>
        <v>10863.029442498002</v>
      </c>
      <c r="P102" s="291">
        <f>DIST_DSL_LEV!H32</f>
        <v>4571.2657272509177</v>
      </c>
      <c r="Q102" s="291">
        <f>DIST_DSL_LEV!I32</f>
        <v>179518.07505868369</v>
      </c>
      <c r="R102" s="291">
        <f>GNV!D25</f>
        <v>63513</v>
      </c>
      <c r="T102" s="2">
        <f t="shared" si="39"/>
        <v>4814874.579418526</v>
      </c>
      <c r="U102" s="2">
        <f t="shared" si="40"/>
        <v>1943528</v>
      </c>
      <c r="V102" s="2">
        <f t="shared" si="41"/>
        <v>308916</v>
      </c>
      <c r="W102" s="2">
        <f t="shared" si="42"/>
        <v>89846</v>
      </c>
      <c r="X102" s="2">
        <f>DEN!C96+DEN!F96+DEN!G96+DEN!L96</f>
        <v>4806579</v>
      </c>
      <c r="Y102" s="2">
        <f>DEN!I96+DEN!J96</f>
        <v>1943528</v>
      </c>
      <c r="Z102" s="2">
        <f>DEN!D96+DEN!E96</f>
        <v>308916</v>
      </c>
      <c r="AA102" s="2">
        <f>DEN!H96+DEN!K96</f>
        <v>89846</v>
      </c>
      <c r="AB102" s="562" t="str">
        <f t="shared" si="43"/>
        <v>ERRO</v>
      </c>
      <c r="AC102" s="562" t="str">
        <f t="shared" si="35"/>
        <v>OK</v>
      </c>
      <c r="AD102" s="562" t="str">
        <f t="shared" si="36"/>
        <v>OK</v>
      </c>
      <c r="AE102" s="562" t="str">
        <f t="shared" si="37"/>
        <v>OK</v>
      </c>
      <c r="AF102" s="774">
        <f>COMB_CORR!I24/FRO_TOT!T102</f>
        <v>132.59305703054827</v>
      </c>
      <c r="AG102" s="781">
        <f t="shared" si="44"/>
        <v>0.49005835473942766</v>
      </c>
      <c r="AH102" s="3">
        <v>0.48812577094785503</v>
      </c>
      <c r="AJ102" s="742">
        <f t="shared" si="32"/>
        <v>8295.5794185260311</v>
      </c>
      <c r="AK102" s="783">
        <v>-194585.35915501975</v>
      </c>
    </row>
    <row r="103" spans="1:37">
      <c r="A103" s="127" t="s">
        <v>33</v>
      </c>
      <c r="B103" s="291">
        <f>DIST_GAS_LEV!M33-AK103</f>
        <v>2115442.1060245982</v>
      </c>
      <c r="C103" s="291">
        <f>DIST_GAS_LEV!AF33</f>
        <v>313512.41600934509</v>
      </c>
      <c r="D103" s="291">
        <f>DIST_GAS_MOT!J34</f>
        <v>110086</v>
      </c>
      <c r="E103" s="291">
        <f>DIST_GAS_MOT!K34</f>
        <v>572676.95218291203</v>
      </c>
      <c r="F103" s="291">
        <f>DIST_GAS_MOT!L34</f>
        <v>18451.710895405977</v>
      </c>
      <c r="G103" s="291">
        <f>DIST_GAS_MOT!M34</f>
        <v>8194.3369216819483</v>
      </c>
      <c r="H103" s="291">
        <f>DIST_ALC_LEV!J33</f>
        <v>407808.46132004424</v>
      </c>
      <c r="I103" s="291">
        <f>DIST_ALC_LEV!AA33</f>
        <v>41812.924723388489</v>
      </c>
      <c r="J103" s="291">
        <f>DIST_DSL_CAM!H40</f>
        <v>69578.556538870223</v>
      </c>
      <c r="K103" s="291">
        <f>DIST_DSL_CAM!I40</f>
        <v>44323.443461129769</v>
      </c>
      <c r="L103" s="291">
        <f>DIST_DSL_CAM!J40</f>
        <v>11395</v>
      </c>
      <c r="M103" s="291">
        <f>DIST_DSL_ONI!H40</f>
        <v>30917</v>
      </c>
      <c r="N103" s="291">
        <f>DIST_DSL_ONI!I40</f>
        <v>30844.269457520226</v>
      </c>
      <c r="O103" s="291">
        <f>DIST_DSL_ONI!J40</f>
        <v>7039.7305424797769</v>
      </c>
      <c r="P103" s="291">
        <f>DIST_DSL_LEV!H33</f>
        <v>1789.222661394803</v>
      </c>
      <c r="Q103" s="291">
        <f>DIST_DSL_LEV!I33</f>
        <v>58055.238157326807</v>
      </c>
      <c r="R103" s="291">
        <f>GNV!D26</f>
        <v>769584.82388940884</v>
      </c>
      <c r="T103" s="2">
        <f t="shared" si="39"/>
        <v>3708005.1927855061</v>
      </c>
      <c r="U103" s="2">
        <f t="shared" si="40"/>
        <v>709409</v>
      </c>
      <c r="V103" s="2">
        <f t="shared" si="41"/>
        <v>125297</v>
      </c>
      <c r="W103" s="2">
        <f t="shared" si="42"/>
        <v>68801</v>
      </c>
      <c r="X103" s="2">
        <f>DEN!C97+DEN!F97+DEN!G97+DEN!L97</f>
        <v>3703438</v>
      </c>
      <c r="Y103" s="2">
        <f>DEN!I97+DEN!J97</f>
        <v>709409</v>
      </c>
      <c r="Z103" s="2">
        <f>DEN!D97+DEN!E97</f>
        <v>125297</v>
      </c>
      <c r="AA103" s="2">
        <f>DEN!H97+DEN!K97</f>
        <v>68801</v>
      </c>
      <c r="AB103" s="562" t="str">
        <f t="shared" si="43"/>
        <v>ERRO</v>
      </c>
      <c r="AC103" s="562" t="str">
        <f t="shared" si="35"/>
        <v>OK</v>
      </c>
      <c r="AD103" s="562" t="str">
        <f t="shared" si="36"/>
        <v>OK</v>
      </c>
      <c r="AE103" s="562" t="str">
        <f t="shared" si="37"/>
        <v>OK</v>
      </c>
      <c r="AF103" s="774">
        <f>COMB_CORR!I25/FRO_TOT!T103</f>
        <v>160.97125693013598</v>
      </c>
      <c r="AG103" s="781">
        <f t="shared" si="44"/>
        <v>0.59494298644419708</v>
      </c>
      <c r="AH103" s="3">
        <v>0.59713778223173142</v>
      </c>
      <c r="AJ103" s="742">
        <f t="shared" si="32"/>
        <v>4567.1927855061367</v>
      </c>
      <c r="AK103" s="783">
        <v>-131390.59447718272</v>
      </c>
    </row>
    <row r="104" spans="1:37" ht="15.75" thickBot="1">
      <c r="A104" s="128" t="s">
        <v>34</v>
      </c>
      <c r="B104" s="291">
        <f>DIST_GAS_LEV!M34-AK104</f>
        <v>8338124.5496040825</v>
      </c>
      <c r="C104" s="291">
        <f>DIST_GAS_LEV!AF34</f>
        <v>1290392.2238158635</v>
      </c>
      <c r="D104" s="291">
        <f>DIST_GAS_MOT!J35</f>
        <v>557727</v>
      </c>
      <c r="E104" s="291">
        <f>DIST_GAS_MOT!K35</f>
        <v>3304603.2951799571</v>
      </c>
      <c r="F104" s="291">
        <f>DIST_GAS_MOT!L35</f>
        <v>106475.19826122632</v>
      </c>
      <c r="G104" s="291">
        <f>DIST_GAS_MOT!M35</f>
        <v>47286.506558816749</v>
      </c>
      <c r="H104" s="291">
        <f>DIST_ALC_LEV!J34</f>
        <v>4835759.990212406</v>
      </c>
      <c r="I104" s="291">
        <f>DIST_ALC_LEV!AA34</f>
        <v>553955.35538762622</v>
      </c>
      <c r="J104" s="291">
        <f>DIST_DSL_CAM!H41</f>
        <v>364401.8359126373</v>
      </c>
      <c r="K104" s="291">
        <f>DIST_DSL_CAM!I41</f>
        <v>232132.16408736267</v>
      </c>
      <c r="L104" s="291">
        <f>DIST_DSL_CAM!J41</f>
        <v>118576</v>
      </c>
      <c r="M104" s="291">
        <f>DIST_DSL_ONI!H41</f>
        <v>93346</v>
      </c>
      <c r="N104" s="291">
        <f>DIST_DSL_ONI!I41</f>
        <v>106421.86368461687</v>
      </c>
      <c r="O104" s="291">
        <f>DIST_DSL_ONI!J41</f>
        <v>24289.13631538313</v>
      </c>
      <c r="P104" s="291">
        <f>DIST_DSL_LEV!H34</f>
        <v>10392.065736898463</v>
      </c>
      <c r="Q104" s="291">
        <f>DIST_DSL_LEV!I34</f>
        <v>383984.25512557203</v>
      </c>
      <c r="R104" s="291">
        <f>GNV!D27</f>
        <v>383794.55281157751</v>
      </c>
      <c r="T104" s="2">
        <f t="shared" si="39"/>
        <v>15796402.99269403</v>
      </c>
      <c r="U104" s="2">
        <f t="shared" si="40"/>
        <v>4016092.0000000005</v>
      </c>
      <c r="V104" s="2">
        <f t="shared" si="41"/>
        <v>715110</v>
      </c>
      <c r="W104" s="2">
        <f t="shared" si="42"/>
        <v>224057</v>
      </c>
      <c r="X104" s="2">
        <f>DEN!C98+DEN!F98+DEN!G98+DEN!L98</f>
        <v>15833028</v>
      </c>
      <c r="Y104" s="2">
        <f>DEN!I98+DEN!J98</f>
        <v>4016092</v>
      </c>
      <c r="Z104" s="2">
        <f>DEN!D98+DEN!E98</f>
        <v>715110</v>
      </c>
      <c r="AA104" s="2">
        <f>DEN!H98+DEN!K98</f>
        <v>224057</v>
      </c>
      <c r="AB104" s="562" t="str">
        <f t="shared" si="43"/>
        <v>ERRO</v>
      </c>
      <c r="AC104" s="562" t="str">
        <f t="shared" si="35"/>
        <v>OK</v>
      </c>
      <c r="AD104" s="562" t="str">
        <f t="shared" si="36"/>
        <v>OK</v>
      </c>
      <c r="AE104" s="562" t="str">
        <f t="shared" si="37"/>
        <v>OK</v>
      </c>
      <c r="AF104" s="774">
        <f>COMB_CORR!I26/FRO_TOT!T104</f>
        <v>461.19022074564032</v>
      </c>
      <c r="AG104" s="781">
        <f t="shared" si="44"/>
        <v>1.7045396332362353</v>
      </c>
      <c r="AH104" s="3">
        <v>1.7122560541723901</v>
      </c>
      <c r="AJ104" s="742">
        <f t="shared" si="32"/>
        <v>-36625.007305970415</v>
      </c>
      <c r="AK104" s="783">
        <v>1205895.7865454406</v>
      </c>
    </row>
    <row r="105" spans="1:37">
      <c r="A105" s="269" t="s">
        <v>69</v>
      </c>
      <c r="B105" s="291">
        <f t="shared" ref="B105:R105" si="47">SUM(B106:B108)</f>
        <v>7374420.177786652</v>
      </c>
      <c r="C105" s="291">
        <f t="shared" si="47"/>
        <v>866230.9558791538</v>
      </c>
      <c r="D105" s="291">
        <f t="shared" si="47"/>
        <v>538677</v>
      </c>
      <c r="E105" s="291">
        <f t="shared" si="47"/>
        <v>2311560.9490707661</v>
      </c>
      <c r="F105" s="291">
        <f t="shared" si="47"/>
        <v>74478.70182899374</v>
      </c>
      <c r="G105" s="291">
        <f t="shared" si="47"/>
        <v>33077.349100240208</v>
      </c>
      <c r="H105" s="291">
        <f t="shared" si="47"/>
        <v>789499.06239836931</v>
      </c>
      <c r="I105" s="291">
        <f t="shared" si="47"/>
        <v>89078.210079845245</v>
      </c>
      <c r="J105" s="291">
        <f t="shared" si="47"/>
        <v>324536.07471399964</v>
      </c>
      <c r="K105" s="291">
        <f t="shared" si="47"/>
        <v>206736.92528600036</v>
      </c>
      <c r="L105" s="291">
        <f t="shared" si="47"/>
        <v>144442</v>
      </c>
      <c r="M105" s="291">
        <f t="shared" si="47"/>
        <v>40620</v>
      </c>
      <c r="N105" s="291">
        <f t="shared" si="47"/>
        <v>65610.716443501849</v>
      </c>
      <c r="O105" s="291">
        <f t="shared" si="47"/>
        <v>14974.28355649816</v>
      </c>
      <c r="P105" s="291">
        <f t="shared" si="47"/>
        <v>10993.921269342678</v>
      </c>
      <c r="Q105" s="291">
        <f t="shared" si="47"/>
        <v>377566.22094624711</v>
      </c>
      <c r="R105" s="291">
        <f t="shared" si="47"/>
        <v>142584.80041759665</v>
      </c>
      <c r="T105" s="2">
        <f t="shared" si="39"/>
        <v>9650373.3487772048</v>
      </c>
      <c r="U105" s="2">
        <f t="shared" si="40"/>
        <v>2957794</v>
      </c>
      <c r="V105" s="2">
        <f t="shared" si="41"/>
        <v>675715</v>
      </c>
      <c r="W105" s="2">
        <f t="shared" si="42"/>
        <v>121205.00000000001</v>
      </c>
      <c r="X105" s="2">
        <f>DEN!C99+DEN!F99+DEN!G99+DEN!L99</f>
        <v>9639744</v>
      </c>
      <c r="Y105" s="2">
        <f>DEN!I99+DEN!J99</f>
        <v>2957794</v>
      </c>
      <c r="Z105" s="2">
        <f>DEN!D99+DEN!E99</f>
        <v>675715</v>
      </c>
      <c r="AA105" s="2">
        <f>DEN!H99+DEN!K99</f>
        <v>121205</v>
      </c>
      <c r="AB105" s="562" t="str">
        <f t="shared" si="43"/>
        <v>ERRO</v>
      </c>
      <c r="AC105" s="562" t="str">
        <f t="shared" si="35"/>
        <v>OK</v>
      </c>
      <c r="AD105" s="562" t="str">
        <f t="shared" si="36"/>
        <v>OK</v>
      </c>
      <c r="AE105" s="562" t="str">
        <f t="shared" si="37"/>
        <v>OK</v>
      </c>
      <c r="AF105" s="774"/>
      <c r="AG105" s="781"/>
      <c r="AJ105" s="742"/>
      <c r="AK105" s="783"/>
    </row>
    <row r="106" spans="1:37">
      <c r="A106" s="127" t="s">
        <v>36</v>
      </c>
      <c r="B106" s="291">
        <f>DIST_GAS_LEV!M36-AK106</f>
        <v>2515387.2256058394</v>
      </c>
      <c r="C106" s="291">
        <f>DIST_GAS_LEV!AF36</f>
        <v>320521.14780277712</v>
      </c>
      <c r="D106" s="291">
        <f>DIST_GAS_MOT!J37</f>
        <v>212673</v>
      </c>
      <c r="E106" s="291">
        <f>DIST_GAS_MOT!K37</f>
        <v>850549.86408060312</v>
      </c>
      <c r="F106" s="291">
        <f>DIST_GAS_MOT!L37</f>
        <v>27405.041514086075</v>
      </c>
      <c r="G106" s="291">
        <f>DIST_GAS_MOT!M37</f>
        <v>12171.094405310818</v>
      </c>
      <c r="H106" s="291">
        <f>DIST_ALC_LEV!J36</f>
        <v>635257.19559241831</v>
      </c>
      <c r="I106" s="291">
        <f>DIST_ALC_LEV!AA36</f>
        <v>72597.1474821624</v>
      </c>
      <c r="J106" s="291">
        <f>DIST_DSL_CAM!H43</f>
        <v>133954.49649309157</v>
      </c>
      <c r="K106" s="291">
        <f>DIST_DSL_CAM!I43</f>
        <v>85332.503506908441</v>
      </c>
      <c r="L106" s="291">
        <f>DIST_DSL_CAM!J43</f>
        <v>65063</v>
      </c>
      <c r="M106" s="291">
        <f>DIST_DSL_ONI!H43</f>
        <v>15597</v>
      </c>
      <c r="N106" s="291">
        <f>DIST_DSL_ONI!I43</f>
        <v>26813.56926486886</v>
      </c>
      <c r="O106" s="291">
        <f>DIST_DSL_ONI!J43</f>
        <v>6119.4307351311418</v>
      </c>
      <c r="P106" s="291">
        <f>DIST_DSL_LEV!H36</f>
        <v>4349.9515248369707</v>
      </c>
      <c r="Q106" s="291">
        <f>DIST_DSL_LEV!I36</f>
        <v>158606.82650119319</v>
      </c>
      <c r="R106" s="291">
        <f>GNV!D29</f>
        <v>27411.319677442581</v>
      </c>
      <c r="T106" s="2">
        <f t="shared" si="39"/>
        <v>3734130.8141866699</v>
      </c>
      <c r="U106" s="2">
        <f t="shared" si="40"/>
        <v>1102799.0000000002</v>
      </c>
      <c r="V106" s="2">
        <f t="shared" si="41"/>
        <v>284350</v>
      </c>
      <c r="W106" s="2">
        <f t="shared" si="42"/>
        <v>48530</v>
      </c>
      <c r="X106" s="2">
        <f>DEN!C100+DEN!F100+DEN!G100+DEN!L100</f>
        <v>3732753</v>
      </c>
      <c r="Y106" s="2">
        <f>DEN!I100+DEN!J100</f>
        <v>1102799</v>
      </c>
      <c r="Z106" s="2">
        <f>DEN!D100+DEN!E100</f>
        <v>284350</v>
      </c>
      <c r="AA106" s="2">
        <f>DEN!H100+DEN!K100</f>
        <v>48530</v>
      </c>
      <c r="AB106" s="562" t="str">
        <f t="shared" si="43"/>
        <v>ERRO</v>
      </c>
      <c r="AC106" s="562" t="str">
        <f t="shared" si="35"/>
        <v>OK</v>
      </c>
      <c r="AD106" s="562" t="str">
        <f t="shared" si="36"/>
        <v>OK</v>
      </c>
      <c r="AE106" s="562" t="str">
        <f t="shared" si="37"/>
        <v>OK</v>
      </c>
      <c r="AF106" s="774">
        <f>COMB_CORR!I28/FRO_TOT!T106</f>
        <v>243.89527052630262</v>
      </c>
      <c r="AG106" s="781">
        <f t="shared" si="44"/>
        <v>0.90142664842028997</v>
      </c>
      <c r="AH106" s="3">
        <v>0.90151822926338521</v>
      </c>
      <c r="AJ106" s="742">
        <f t="shared" si="32"/>
        <v>1377.8141866698861</v>
      </c>
      <c r="AK106" s="783">
        <v>-37101.390391209628</v>
      </c>
    </row>
    <row r="107" spans="1:37">
      <c r="A107" s="127" t="s">
        <v>37</v>
      </c>
      <c r="B107" s="291">
        <f>DIST_GAS_LEV!M37-AK107</f>
        <v>2951752.9981898391</v>
      </c>
      <c r="C107" s="291">
        <f>DIST_GAS_LEV!AF37</f>
        <v>320932.74798755709</v>
      </c>
      <c r="D107" s="291">
        <f>DIST_GAS_MOT!J38</f>
        <v>138157</v>
      </c>
      <c r="E107" s="291">
        <f>DIST_GAS_MOT!K38</f>
        <v>810351.11867129791</v>
      </c>
      <c r="F107" s="291">
        <f>DIST_GAS_MOT!L38</f>
        <v>26109.388205380314</v>
      </c>
      <c r="G107" s="291">
        <f>DIST_GAS_MOT!M38</f>
        <v>11595.493123321798</v>
      </c>
      <c r="H107" s="291">
        <f>DIST_ALC_LEV!J37</f>
        <v>75188.949732406123</v>
      </c>
      <c r="I107" s="291">
        <f>DIST_ALC_LEV!AA37</f>
        <v>7743.5627276843097</v>
      </c>
      <c r="J107" s="291">
        <f>DIST_DSL_CAM!H44</f>
        <v>113286.20570527094</v>
      </c>
      <c r="K107" s="291">
        <f>DIST_DSL_CAM!I44</f>
        <v>72165.794294729072</v>
      </c>
      <c r="L107" s="291">
        <f>DIST_DSL_CAM!J44</f>
        <v>41862</v>
      </c>
      <c r="M107" s="291">
        <f>DIST_DSL_ONI!H44</f>
        <v>16001</v>
      </c>
      <c r="N107" s="291">
        <f>DIST_DSL_ONI!I44</f>
        <v>26034.619151727155</v>
      </c>
      <c r="O107" s="291">
        <f>DIST_DSL_ONI!J44</f>
        <v>5942.3808482728473</v>
      </c>
      <c r="P107" s="291">
        <f>DIST_DSL_LEV!H37</f>
        <v>4001.9800517245853</v>
      </c>
      <c r="Q107" s="291">
        <f>DIST_DSL_LEV!I37</f>
        <v>128606.67317270806</v>
      </c>
      <c r="R107" s="291">
        <f>GNV!D30</f>
        <v>43335.738066095473</v>
      </c>
      <c r="T107" s="2">
        <f t="shared" si="39"/>
        <v>3531562.6499280147</v>
      </c>
      <c r="U107" s="2">
        <f t="shared" si="40"/>
        <v>986213</v>
      </c>
      <c r="V107" s="2">
        <f t="shared" si="41"/>
        <v>227314</v>
      </c>
      <c r="W107" s="2">
        <f t="shared" si="42"/>
        <v>47978</v>
      </c>
      <c r="X107" s="2">
        <f>DEN!C101+DEN!F101+DEN!G101+DEN!L101</f>
        <v>3526117</v>
      </c>
      <c r="Y107" s="2">
        <f>DEN!I101+DEN!J101</f>
        <v>986213</v>
      </c>
      <c r="Z107" s="2">
        <f>DEN!D101+DEN!E101</f>
        <v>227314</v>
      </c>
      <c r="AA107" s="2">
        <f>DEN!H101+DEN!K101</f>
        <v>47978</v>
      </c>
      <c r="AB107" s="562" t="str">
        <f t="shared" si="43"/>
        <v>ERRO</v>
      </c>
      <c r="AC107" s="562" t="str">
        <f t="shared" si="35"/>
        <v>OK</v>
      </c>
      <c r="AD107" s="562" t="str">
        <f t="shared" si="36"/>
        <v>OK</v>
      </c>
      <c r="AE107" s="562" t="str">
        <f t="shared" si="37"/>
        <v>OK</v>
      </c>
      <c r="AF107" s="774">
        <f>COMB_CORR!I29/FRO_TOT!T107</f>
        <v>43.58258489567168</v>
      </c>
      <c r="AG107" s="781">
        <f t="shared" si="44"/>
        <v>0.16107939833036353</v>
      </c>
      <c r="AH107" s="3">
        <v>0.161475269073209</v>
      </c>
      <c r="AJ107" s="742">
        <f t="shared" si="32"/>
        <v>5445.6499280147254</v>
      </c>
      <c r="AK107" s="783">
        <v>-151274.18556157919</v>
      </c>
    </row>
    <row r="108" spans="1:37" ht="15.75" thickBot="1">
      <c r="A108" s="128" t="s">
        <v>38</v>
      </c>
      <c r="B108" s="291">
        <f>DIST_GAS_LEV!M38-AK108</f>
        <v>1907279.9539909738</v>
      </c>
      <c r="C108" s="291">
        <f>DIST_GAS_LEV!AF38</f>
        <v>224777.06008881959</v>
      </c>
      <c r="D108" s="291">
        <f>DIST_GAS_MOT!J39</f>
        <v>187847</v>
      </c>
      <c r="E108" s="291">
        <f>DIST_GAS_MOT!K39</f>
        <v>650659.96631886507</v>
      </c>
      <c r="F108" s="291">
        <f>DIST_GAS_MOT!L39</f>
        <v>20964.272109527352</v>
      </c>
      <c r="G108" s="291">
        <f>DIST_GAS_MOT!M39</f>
        <v>9310.7615716075943</v>
      </c>
      <c r="H108" s="291">
        <f>DIST_ALC_LEV!J38</f>
        <v>79052.917073544901</v>
      </c>
      <c r="I108" s="291">
        <f>DIST_ALC_LEV!AA38</f>
        <v>8737.4998699985335</v>
      </c>
      <c r="J108" s="291">
        <f>DIST_DSL_CAM!H45</f>
        <v>77295.372515637151</v>
      </c>
      <c r="K108" s="291">
        <f>DIST_DSL_CAM!I45</f>
        <v>49238.627484362856</v>
      </c>
      <c r="L108" s="291">
        <f>DIST_DSL_CAM!J45</f>
        <v>37517</v>
      </c>
      <c r="M108" s="291">
        <f>DIST_DSL_ONI!H45</f>
        <v>9022</v>
      </c>
      <c r="N108" s="291">
        <f>DIST_DSL_ONI!I45</f>
        <v>12762.528026905829</v>
      </c>
      <c r="O108" s="291">
        <f>DIST_DSL_ONI!J45</f>
        <v>2912.4719730941706</v>
      </c>
      <c r="P108" s="291">
        <f>DIST_DSL_LEV!H38</f>
        <v>2641.9896927811214</v>
      </c>
      <c r="Q108" s="291">
        <f>DIST_DSL_LEV!I38</f>
        <v>90352.721272345851</v>
      </c>
      <c r="R108" s="291">
        <f>GNV!D31</f>
        <v>71837.742674058609</v>
      </c>
      <c r="T108" s="2">
        <f t="shared" si="39"/>
        <v>2384679.8846625225</v>
      </c>
      <c r="U108" s="2">
        <f t="shared" si="40"/>
        <v>868782</v>
      </c>
      <c r="V108" s="2">
        <f t="shared" si="41"/>
        <v>164051</v>
      </c>
      <c r="W108" s="2">
        <f t="shared" si="42"/>
        <v>24697</v>
      </c>
      <c r="X108" s="2">
        <f>DEN!C102+DEN!F102+DEN!G102+DEN!L102</f>
        <v>2380874</v>
      </c>
      <c r="Y108" s="2">
        <f>DEN!I102+DEN!J102</f>
        <v>868782</v>
      </c>
      <c r="Z108" s="2">
        <f>DEN!D102+DEN!E102</f>
        <v>164051</v>
      </c>
      <c r="AA108" s="2">
        <f>DEN!H102+DEN!K102</f>
        <v>24697</v>
      </c>
      <c r="AB108" s="562" t="str">
        <f t="shared" si="43"/>
        <v>ERRO</v>
      </c>
      <c r="AC108" s="562" t="str">
        <f t="shared" si="35"/>
        <v>OK</v>
      </c>
      <c r="AD108" s="562" t="str">
        <f t="shared" si="36"/>
        <v>OK</v>
      </c>
      <c r="AE108" s="562" t="str">
        <f t="shared" si="37"/>
        <v>OK</v>
      </c>
      <c r="AF108" s="774">
        <f>COMB_CORR!I30/FRO_TOT!T108</f>
        <v>57.934585458212766</v>
      </c>
      <c r="AG108" s="781">
        <f t="shared" si="44"/>
        <v>0.21412378798703924</v>
      </c>
      <c r="AH108" s="3">
        <v>0.21398586582614482</v>
      </c>
      <c r="AJ108" s="742">
        <f t="shared" si="32"/>
        <v>3805.8846625224687</v>
      </c>
      <c r="AK108" s="783">
        <v>-97508.734980511479</v>
      </c>
    </row>
    <row r="109" spans="1:37" ht="25.5">
      <c r="A109" s="274" t="s">
        <v>73</v>
      </c>
      <c r="B109" s="291">
        <f t="shared" ref="B109:R109" si="48">SUM(B110:B113)</f>
        <v>2217766.1448093071</v>
      </c>
      <c r="C109" s="291">
        <f t="shared" si="48"/>
        <v>326115.23012718541</v>
      </c>
      <c r="D109" s="291">
        <f t="shared" si="48"/>
        <v>380106</v>
      </c>
      <c r="E109" s="291">
        <f t="shared" si="48"/>
        <v>1356044.9239225241</v>
      </c>
      <c r="F109" s="291">
        <f t="shared" si="48"/>
        <v>43692.125017773884</v>
      </c>
      <c r="G109" s="291">
        <f t="shared" si="48"/>
        <v>19403.951059701973</v>
      </c>
      <c r="H109" s="291">
        <f t="shared" si="48"/>
        <v>817406.88250689954</v>
      </c>
      <c r="I109" s="291">
        <f t="shared" si="48"/>
        <v>114116.94469290187</v>
      </c>
      <c r="J109" s="291">
        <f t="shared" si="48"/>
        <v>121136.54613439512</v>
      </c>
      <c r="K109" s="291">
        <f t="shared" si="48"/>
        <v>77166.453865604883</v>
      </c>
      <c r="L109" s="291">
        <f t="shared" si="48"/>
        <v>49875</v>
      </c>
      <c r="M109" s="291">
        <f t="shared" si="48"/>
        <v>15239</v>
      </c>
      <c r="N109" s="291">
        <f t="shared" si="48"/>
        <v>32368.510253186174</v>
      </c>
      <c r="O109" s="291">
        <f t="shared" si="48"/>
        <v>7386.4897468138261</v>
      </c>
      <c r="P109" s="291">
        <f t="shared" si="48"/>
        <v>6318.9709105791117</v>
      </c>
      <c r="Q109" s="291">
        <f t="shared" si="48"/>
        <v>269864.49836585845</v>
      </c>
      <c r="R109" s="291">
        <f t="shared" si="48"/>
        <v>8821.1182950536386</v>
      </c>
      <c r="T109" s="2">
        <f t="shared" si="39"/>
        <v>3760409.789707785</v>
      </c>
      <c r="U109" s="2">
        <f t="shared" si="40"/>
        <v>1799247</v>
      </c>
      <c r="V109" s="2">
        <f t="shared" si="41"/>
        <v>248178</v>
      </c>
      <c r="W109" s="2">
        <f t="shared" si="42"/>
        <v>54994</v>
      </c>
      <c r="X109" s="2">
        <f>DEN!C103+DEN!F103+DEN!G103+DEN!L103</f>
        <v>3767144</v>
      </c>
      <c r="Y109" s="2">
        <f>DEN!I103+DEN!J103</f>
        <v>1799247</v>
      </c>
      <c r="Z109" s="2">
        <f>DEN!D103+DEN!E103</f>
        <v>248178</v>
      </c>
      <c r="AA109" s="2">
        <f>DEN!H103+DEN!K103</f>
        <v>54994</v>
      </c>
      <c r="AB109" s="562" t="str">
        <f t="shared" si="43"/>
        <v>ERRO</v>
      </c>
      <c r="AC109" s="562" t="str">
        <f t="shared" si="35"/>
        <v>OK</v>
      </c>
      <c r="AD109" s="562" t="str">
        <f t="shared" si="36"/>
        <v>OK</v>
      </c>
      <c r="AE109" s="562" t="str">
        <f t="shared" si="37"/>
        <v>OK</v>
      </c>
      <c r="AF109" s="774">
        <f>COMB_CORR!I31/FRO_TOT!T109</f>
        <v>368.20195347664446</v>
      </c>
      <c r="AG109" s="781">
        <f t="shared" si="44"/>
        <v>1.3608589135329747</v>
      </c>
      <c r="AH109" s="3">
        <v>1.3543641474936821</v>
      </c>
      <c r="AJ109" s="742">
        <f t="shared" si="32"/>
        <v>-6734.2102922149934</v>
      </c>
      <c r="AK109" s="783">
        <v>131252.45885531837</v>
      </c>
    </row>
    <row r="110" spans="1:37">
      <c r="A110" s="127" t="s">
        <v>40</v>
      </c>
      <c r="B110" s="291">
        <f>DIST_GAS_LEV!M40-AK110</f>
        <v>906208.48929639719</v>
      </c>
      <c r="C110" s="291">
        <f>DIST_GAS_LEV!AF40</f>
        <v>96851.373910936978</v>
      </c>
      <c r="D110" s="291">
        <f>DIST_GAS_MOT!J41</f>
        <v>11926</v>
      </c>
      <c r="E110" s="291">
        <f>DIST_GAS_MOT!K41</f>
        <v>125329.46367880238</v>
      </c>
      <c r="F110" s="291">
        <f>DIST_GAS_MOT!L41</f>
        <v>4038.0180118227386</v>
      </c>
      <c r="G110" s="291">
        <f>DIST_GAS_MOT!M41</f>
        <v>1793.518309374876</v>
      </c>
      <c r="H110" s="291">
        <f>DIST_ALC_LEV!J40</f>
        <v>51870.775482071433</v>
      </c>
      <c r="I110" s="291">
        <f>DIST_ALC_LEV!AA40</f>
        <v>5360.5932437482252</v>
      </c>
      <c r="J110" s="291">
        <f>DIST_DSL_CAM!H47</f>
        <v>12190.506951270889</v>
      </c>
      <c r="K110" s="291">
        <f>DIST_DSL_CAM!I47</f>
        <v>7765.4930487291113</v>
      </c>
      <c r="L110" s="291">
        <f>DIST_DSL_CAM!J47</f>
        <v>2433</v>
      </c>
      <c r="M110" s="291">
        <f>DIST_DSL_ONI!H47</f>
        <v>4673</v>
      </c>
      <c r="N110" s="291">
        <f>DIST_DSL_ONI!I47</f>
        <v>7150.4491114701132</v>
      </c>
      <c r="O110" s="291">
        <f>DIST_DSL_ONI!J47</f>
        <v>1631.5508885298868</v>
      </c>
      <c r="P110" s="291">
        <f>DIST_DSL_LEV!H40</f>
        <v>1040.5522040759104</v>
      </c>
      <c r="Q110" s="291">
        <f>DIST_DSL_LEV!I40</f>
        <v>33304.756834309199</v>
      </c>
      <c r="R110" s="291">
        <f>GNV!D33</f>
        <v>632.35834113327098</v>
      </c>
      <c r="T110" s="2">
        <f t="shared" si="39"/>
        <v>1095268.8993126722</v>
      </c>
      <c r="U110" s="2">
        <f t="shared" si="40"/>
        <v>143086.99999999997</v>
      </c>
      <c r="V110" s="2">
        <f t="shared" si="41"/>
        <v>22389</v>
      </c>
      <c r="W110" s="2">
        <f t="shared" si="42"/>
        <v>13455</v>
      </c>
      <c r="X110" s="2">
        <f>DEN!C104+DEN!F104+DEN!G104+DEN!L104</f>
        <v>1094303</v>
      </c>
      <c r="Y110" s="2">
        <f>DEN!I104+DEN!J104</f>
        <v>143087</v>
      </c>
      <c r="Z110" s="2">
        <f>DEN!D104+DEN!E104</f>
        <v>22389</v>
      </c>
      <c r="AA110" s="2">
        <f>DEN!H104+DEN!K104</f>
        <v>13455</v>
      </c>
      <c r="AB110" s="562" t="str">
        <f t="shared" si="43"/>
        <v>ERRO</v>
      </c>
      <c r="AC110" s="562" t="str">
        <f t="shared" si="35"/>
        <v>OK</v>
      </c>
      <c r="AD110" s="562" t="str">
        <f t="shared" si="36"/>
        <v>OK</v>
      </c>
      <c r="AE110" s="562" t="str">
        <f t="shared" si="37"/>
        <v>OK</v>
      </c>
      <c r="AF110" s="774">
        <f>COMB_CORR!I32/FRO_TOT!T110</f>
        <v>86.106077525848505</v>
      </c>
      <c r="AG110" s="781">
        <f t="shared" si="44"/>
        <v>0.31824443625024129</v>
      </c>
      <c r="AH110" s="3">
        <v>0.32191484874146448</v>
      </c>
      <c r="AJ110" s="742">
        <f t="shared" si="32"/>
        <v>965.89931267220527</v>
      </c>
      <c r="AK110" s="783">
        <v>-36713.768248278415</v>
      </c>
    </row>
    <row r="111" spans="1:37">
      <c r="A111" s="127" t="s">
        <v>41</v>
      </c>
      <c r="B111" s="291">
        <f>DIST_GAS_LEV!M41-AK111</f>
        <v>734887.84804783924</v>
      </c>
      <c r="C111" s="291">
        <f>DIST_GAS_LEV!AF41</f>
        <v>131593.73534969121</v>
      </c>
      <c r="D111" s="291">
        <f>DIST_GAS_MOT!J42</f>
        <v>172613</v>
      </c>
      <c r="E111" s="291">
        <f>DIST_GAS_MOT!K42</f>
        <v>593100.57394324511</v>
      </c>
      <c r="F111" s="291">
        <f>DIST_GAS_MOT!L42</f>
        <v>19109.95042138041</v>
      </c>
      <c r="G111" s="291">
        <f>DIST_GAS_MOT!M42</f>
        <v>8486.4756353744797</v>
      </c>
      <c r="H111" s="291">
        <f>DIST_ALC_LEV!J41</f>
        <v>467052.94872106612</v>
      </c>
      <c r="I111" s="291">
        <f>DIST_ALC_LEV!AA41</f>
        <v>63860.777462062673</v>
      </c>
      <c r="J111" s="291">
        <f>DIST_DSL_CAM!H48</f>
        <v>52955.802534870127</v>
      </c>
      <c r="K111" s="291">
        <f>DIST_DSL_CAM!I48</f>
        <v>33734.197465129873</v>
      </c>
      <c r="L111" s="291">
        <f>DIST_DSL_CAM!J48</f>
        <v>19283</v>
      </c>
      <c r="M111" s="291">
        <f>DIST_DSL_ONI!H48</f>
        <v>6014</v>
      </c>
      <c r="N111" s="291">
        <f>DIST_DSL_ONI!I48</f>
        <v>13601.178009073927</v>
      </c>
      <c r="O111" s="291">
        <f>DIST_DSL_ONI!J48</f>
        <v>3103.8219909260742</v>
      </c>
      <c r="P111" s="291">
        <f>DIST_DSL_LEV!H41</f>
        <v>2385.3334694680061</v>
      </c>
      <c r="Q111" s="291">
        <f>DIST_DSL_LEV!I41</f>
        <v>104207.95078562546</v>
      </c>
      <c r="R111" s="291">
        <f>GNV!D34</f>
        <v>504.75995392036862</v>
      </c>
      <c r="T111" s="2">
        <f t="shared" si="39"/>
        <v>1504493.353789673</v>
      </c>
      <c r="U111" s="2">
        <f t="shared" si="40"/>
        <v>793310</v>
      </c>
      <c r="V111" s="2">
        <f t="shared" si="41"/>
        <v>105973</v>
      </c>
      <c r="W111" s="2">
        <f t="shared" si="42"/>
        <v>22719</v>
      </c>
      <c r="X111" s="2">
        <f>DEN!C105+DEN!F105+DEN!G105+DEN!L105</f>
        <v>1509939</v>
      </c>
      <c r="Y111" s="2">
        <f>DEN!I105+DEN!J105</f>
        <v>793310</v>
      </c>
      <c r="Z111" s="2">
        <f>DEN!D105+DEN!E105</f>
        <v>105973</v>
      </c>
      <c r="AA111" s="2">
        <f>DEN!H105+DEN!K105</f>
        <v>22719</v>
      </c>
      <c r="AB111" s="562" t="str">
        <f t="shared" si="43"/>
        <v>ERRO</v>
      </c>
      <c r="AC111" s="562" t="str">
        <f t="shared" si="35"/>
        <v>OK</v>
      </c>
      <c r="AD111" s="562" t="str">
        <f t="shared" si="36"/>
        <v>OK</v>
      </c>
      <c r="AE111" s="562" t="str">
        <f t="shared" si="37"/>
        <v>OK</v>
      </c>
      <c r="AF111" s="774">
        <f>COMB_CORR!I33/FRO_TOT!T111</f>
        <v>526.03497134260476</v>
      </c>
      <c r="AG111" s="781">
        <f t="shared" si="44"/>
        <v>1.9442031005602867</v>
      </c>
      <c r="AH111" s="3">
        <v>1.9248623259285464</v>
      </c>
      <c r="AJ111" s="742">
        <f t="shared" si="32"/>
        <v>-5445.646210327046</v>
      </c>
      <c r="AK111" s="783">
        <v>125258.54853941221</v>
      </c>
    </row>
    <row r="112" spans="1:37">
      <c r="A112" s="127" t="s">
        <v>42</v>
      </c>
      <c r="B112" s="291">
        <f>DIST_GAS_LEV!M42-AK112</f>
        <v>187905.55892838331</v>
      </c>
      <c r="C112" s="291">
        <f>DIST_GAS_LEV!AF42</f>
        <v>41243.843405472056</v>
      </c>
      <c r="D112" s="291">
        <f>DIST_GAS_MOT!J43</f>
        <v>124510</v>
      </c>
      <c r="E112" s="291">
        <f>DIST_GAS_MOT!K43</f>
        <v>384559.47300565062</v>
      </c>
      <c r="F112" s="291">
        <f>DIST_GAS_MOT!L43</f>
        <v>12390.456451602877</v>
      </c>
      <c r="G112" s="291">
        <f>DIST_GAS_MOT!M43</f>
        <v>5503.0705427464918</v>
      </c>
      <c r="H112" s="291">
        <f>DIST_ALC_LEV!J42</f>
        <v>227728.08580287261</v>
      </c>
      <c r="I112" s="291">
        <f>DIST_ALC_LEV!AA42</f>
        <v>35431.29334910075</v>
      </c>
      <c r="J112" s="291">
        <f>DIST_DSL_CAM!H49</f>
        <v>31435.004818221638</v>
      </c>
      <c r="K112" s="291">
        <f>DIST_DSL_CAM!I49</f>
        <v>20024.995181778362</v>
      </c>
      <c r="L112" s="291">
        <f>DIST_DSL_CAM!J49</f>
        <v>18316</v>
      </c>
      <c r="M112" s="291">
        <f>DIST_DSL_ONI!H49</f>
        <v>2250</v>
      </c>
      <c r="N112" s="291">
        <f>DIST_DSL_ONI!I49</f>
        <v>6216.1135205464598</v>
      </c>
      <c r="O112" s="291">
        <f>DIST_DSL_ONI!J49</f>
        <v>1418.88647945354</v>
      </c>
      <c r="P112" s="291">
        <f>DIST_DSL_LEV!H42</f>
        <v>1616.3868469372503</v>
      </c>
      <c r="Q112" s="291">
        <f>DIST_DSL_LEV!I42</f>
        <v>78454.292383194872</v>
      </c>
      <c r="R112" s="291">
        <f>GNV!D35</f>
        <v>1659</v>
      </c>
      <c r="T112" s="2">
        <f t="shared" si="39"/>
        <v>574038.46071596083</v>
      </c>
      <c r="U112" s="2">
        <f t="shared" si="40"/>
        <v>526963</v>
      </c>
      <c r="V112" s="2">
        <f t="shared" si="41"/>
        <v>69776</v>
      </c>
      <c r="W112" s="2">
        <f t="shared" si="42"/>
        <v>9885</v>
      </c>
      <c r="X112" s="2">
        <f>DEN!C106+DEN!F106+DEN!G106+DEN!L106</f>
        <v>576821</v>
      </c>
      <c r="Y112" s="2">
        <f>DEN!I106+DEN!J106</f>
        <v>526963</v>
      </c>
      <c r="Z112" s="2">
        <f>DEN!D106+DEN!E106</f>
        <v>69776</v>
      </c>
      <c r="AA112" s="2">
        <f>DEN!H106+DEN!K106</f>
        <v>9885</v>
      </c>
      <c r="AB112" s="562" t="str">
        <f t="shared" si="43"/>
        <v>ERRO</v>
      </c>
      <c r="AC112" s="562" t="str">
        <f t="shared" si="35"/>
        <v>OK</v>
      </c>
      <c r="AD112" s="562" t="str">
        <f t="shared" si="36"/>
        <v>OK</v>
      </c>
      <c r="AE112" s="562" t="str">
        <f t="shared" si="37"/>
        <v>OK</v>
      </c>
      <c r="AF112" s="774">
        <f>COMB_CORR!I34/FRO_TOT!T112</f>
        <v>662.18018663859255</v>
      </c>
      <c r="AG112" s="781">
        <f t="shared" si="44"/>
        <v>2.4473900826526105</v>
      </c>
      <c r="AH112" s="3">
        <v>2.4004944167289071</v>
      </c>
      <c r="AJ112" s="742">
        <f t="shared" si="32"/>
        <v>-2782.5392840391723</v>
      </c>
      <c r="AK112" s="783">
        <v>54353.827403555857</v>
      </c>
    </row>
    <row r="113" spans="1:37" ht="26.25" thickBot="1">
      <c r="A113" s="128" t="s">
        <v>43</v>
      </c>
      <c r="B113" s="291">
        <f>DIST_GAS_LEV!M43-AK113</f>
        <v>388764.24853668734</v>
      </c>
      <c r="C113" s="291">
        <f>DIST_GAS_LEV!AF43</f>
        <v>56426.277461085192</v>
      </c>
      <c r="D113" s="291">
        <f>DIST_GAS_MOT!J44</f>
        <v>71057</v>
      </c>
      <c r="E113" s="291">
        <f>DIST_GAS_MOT!K44</f>
        <v>253055.41329482599</v>
      </c>
      <c r="F113" s="291">
        <f>DIST_GAS_MOT!L44</f>
        <v>8153.7001329678624</v>
      </c>
      <c r="G113" s="291">
        <f>DIST_GAS_MOT!M44</f>
        <v>3620.8865722061232</v>
      </c>
      <c r="H113" s="291">
        <f>DIST_ALC_LEV!J43</f>
        <v>70755.072500889379</v>
      </c>
      <c r="I113" s="291">
        <f>DIST_ALC_LEV!AA43</f>
        <v>9464.2806379902322</v>
      </c>
      <c r="J113" s="291">
        <f>DIST_DSL_CAM!H50</f>
        <v>24555.231830032477</v>
      </c>
      <c r="K113" s="291">
        <f>DIST_DSL_CAM!I50</f>
        <v>15641.768169967525</v>
      </c>
      <c r="L113" s="291">
        <f>DIST_DSL_CAM!J50</f>
        <v>9843</v>
      </c>
      <c r="M113" s="291">
        <f>DIST_DSL_ONI!H50</f>
        <v>2302</v>
      </c>
      <c r="N113" s="291">
        <f>DIST_DSL_ONI!I50</f>
        <v>5400.7696120956753</v>
      </c>
      <c r="O113" s="291">
        <f>DIST_DSL_ONI!J50</f>
        <v>1232.2303879043252</v>
      </c>
      <c r="P113" s="291">
        <f>DIST_DSL_LEV!H43</f>
        <v>1276.6983900979449</v>
      </c>
      <c r="Q113" s="291">
        <f>DIST_DSL_LEV!I43</f>
        <v>53897.498362728933</v>
      </c>
      <c r="R113" s="291">
        <f>GNV!D36</f>
        <v>6025</v>
      </c>
      <c r="T113" s="2">
        <f t="shared" si="39"/>
        <v>586609.07588947902</v>
      </c>
      <c r="U113" s="2">
        <f t="shared" si="40"/>
        <v>335886.99999999994</v>
      </c>
      <c r="V113" s="2">
        <f t="shared" si="41"/>
        <v>50040</v>
      </c>
      <c r="W113" s="2">
        <f t="shared" si="42"/>
        <v>8935</v>
      </c>
      <c r="X113" s="2">
        <f>DEN!C107+DEN!F107+DEN!G107+DEN!L107</f>
        <v>586081</v>
      </c>
      <c r="Y113" s="2">
        <f>DEN!I107+DEN!J107</f>
        <v>335887</v>
      </c>
      <c r="Z113" s="2">
        <f>DEN!D107+DEN!E107</f>
        <v>50040</v>
      </c>
      <c r="AA113" s="2">
        <f>DEN!H107+DEN!K107</f>
        <v>8935</v>
      </c>
      <c r="AB113" s="562" t="str">
        <f t="shared" si="43"/>
        <v>ERRO</v>
      </c>
      <c r="AC113" s="562" t="str">
        <f t="shared" si="35"/>
        <v>OK</v>
      </c>
      <c r="AD113" s="562" t="str">
        <f t="shared" si="36"/>
        <v>OK</v>
      </c>
      <c r="AE113" s="562" t="str">
        <f t="shared" si="37"/>
        <v>OK</v>
      </c>
      <c r="AF113" s="775">
        <f>COMB_CORR!I35/FRO_TOT!T113</f>
        <v>202.43107934643356</v>
      </c>
      <c r="AG113" s="782">
        <f t="shared" si="44"/>
        <v>0.74817674404915679</v>
      </c>
      <c r="AH113" s="3">
        <v>0.74287114660907883</v>
      </c>
      <c r="AJ113" s="779">
        <f t="shared" si="32"/>
        <v>528.07588947901968</v>
      </c>
      <c r="AK113" s="784">
        <v>-11646.148839371512</v>
      </c>
    </row>
    <row r="114" spans="1:37" s="1" customFormat="1" ht="15.75" thickBot="1"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AB114" s="562"/>
      <c r="AC114" s="562"/>
      <c r="AD114" s="562"/>
      <c r="AE114" s="562"/>
      <c r="AF114" s="772"/>
      <c r="AG114" s="780"/>
      <c r="AH114" s="3"/>
      <c r="AJ114" s="719"/>
      <c r="AK114" s="780"/>
    </row>
    <row r="115" spans="1:37" ht="15.75" customHeight="1" thickBot="1">
      <c r="A115" s="1051" t="s">
        <v>438</v>
      </c>
      <c r="B115" s="1191">
        <v>2007</v>
      </c>
      <c r="C115" s="1192"/>
      <c r="D115" s="1192"/>
      <c r="E115" s="1192"/>
      <c r="F115" s="1192"/>
      <c r="G115" s="1192"/>
      <c r="H115" s="1192"/>
      <c r="I115" s="1192"/>
      <c r="J115" s="1192"/>
      <c r="K115" s="1192"/>
      <c r="L115" s="1192"/>
      <c r="M115" s="1192"/>
      <c r="N115" s="1192"/>
      <c r="O115" s="1192"/>
      <c r="P115" s="1192"/>
      <c r="Q115" s="1192"/>
      <c r="R115" s="1193"/>
      <c r="AJ115" s="719"/>
    </row>
    <row r="116" spans="1:37">
      <c r="A116" s="1052"/>
      <c r="B116" s="1060" t="s">
        <v>97</v>
      </c>
      <c r="C116" s="1061"/>
      <c r="D116" s="1061"/>
      <c r="E116" s="1061"/>
      <c r="F116" s="1061"/>
      <c r="G116" s="1061"/>
      <c r="H116" s="1061" t="s">
        <v>98</v>
      </c>
      <c r="I116" s="1061"/>
      <c r="J116" s="1061" t="s">
        <v>99</v>
      </c>
      <c r="K116" s="1061"/>
      <c r="L116" s="1061"/>
      <c r="M116" s="1061"/>
      <c r="N116" s="1061"/>
      <c r="O116" s="1061"/>
      <c r="P116" s="1061"/>
      <c r="Q116" s="1061"/>
      <c r="R116" s="289" t="s">
        <v>100</v>
      </c>
      <c r="AJ116" s="719"/>
    </row>
    <row r="117" spans="1:37" ht="15.75" thickBot="1">
      <c r="A117" s="1052"/>
      <c r="B117" s="1062" t="s">
        <v>101</v>
      </c>
      <c r="C117" s="1064" t="s">
        <v>102</v>
      </c>
      <c r="D117" s="1064" t="s">
        <v>103</v>
      </c>
      <c r="E117" s="1064"/>
      <c r="F117" s="1064"/>
      <c r="G117" s="1064"/>
      <c r="H117" s="1062" t="s">
        <v>101</v>
      </c>
      <c r="I117" s="1064" t="s">
        <v>102</v>
      </c>
      <c r="J117" s="1064" t="s">
        <v>104</v>
      </c>
      <c r="K117" s="1064"/>
      <c r="L117" s="1064"/>
      <c r="M117" s="1064" t="s">
        <v>105</v>
      </c>
      <c r="N117" s="1064"/>
      <c r="O117" s="1064"/>
      <c r="P117" s="1062" t="s">
        <v>101</v>
      </c>
      <c r="Q117" s="1064" t="s">
        <v>102</v>
      </c>
      <c r="R117" s="1062" t="s">
        <v>101</v>
      </c>
      <c r="T117" s="1189" t="s">
        <v>425</v>
      </c>
      <c r="U117" s="1189"/>
      <c r="V117" s="1189"/>
      <c r="W117" s="1189"/>
      <c r="X117" s="1189" t="s">
        <v>426</v>
      </c>
      <c r="Y117" s="1189"/>
      <c r="Z117" s="1189"/>
      <c r="AA117" s="1189"/>
      <c r="AB117" s="1190" t="s">
        <v>427</v>
      </c>
      <c r="AC117" s="1190"/>
      <c r="AD117" s="1190"/>
      <c r="AE117" s="1190"/>
      <c r="AJ117" s="719"/>
    </row>
    <row r="118" spans="1:37" ht="15.75" thickBot="1">
      <c r="A118" s="1053"/>
      <c r="B118" s="1063"/>
      <c r="C118" s="1065"/>
      <c r="D118" s="290" t="s">
        <v>106</v>
      </c>
      <c r="E118" s="290" t="s">
        <v>107</v>
      </c>
      <c r="F118" s="290" t="s">
        <v>108</v>
      </c>
      <c r="G118" s="290" t="s">
        <v>109</v>
      </c>
      <c r="H118" s="1063"/>
      <c r="I118" s="1065"/>
      <c r="J118" s="290" t="s">
        <v>110</v>
      </c>
      <c r="K118" s="290" t="s">
        <v>111</v>
      </c>
      <c r="L118" s="290" t="s">
        <v>112</v>
      </c>
      <c r="M118" s="290" t="s">
        <v>113</v>
      </c>
      <c r="N118" s="290" t="s">
        <v>114</v>
      </c>
      <c r="O118" s="290" t="s">
        <v>115</v>
      </c>
      <c r="P118" s="1063"/>
      <c r="Q118" s="1065"/>
      <c r="R118" s="1063"/>
      <c r="T118" s="1" t="s">
        <v>428</v>
      </c>
      <c r="U118" s="1" t="s">
        <v>429</v>
      </c>
      <c r="V118" s="1" t="s">
        <v>293</v>
      </c>
      <c r="W118" s="1" t="s">
        <v>296</v>
      </c>
      <c r="X118" s="1" t="s">
        <v>428</v>
      </c>
      <c r="Y118" s="1" t="s">
        <v>429</v>
      </c>
      <c r="Z118" s="1" t="s">
        <v>293</v>
      </c>
      <c r="AA118" s="1" t="s">
        <v>296</v>
      </c>
      <c r="AB118" s="562" t="s">
        <v>428</v>
      </c>
      <c r="AC118" s="562" t="s">
        <v>429</v>
      </c>
      <c r="AD118" s="562" t="s">
        <v>293</v>
      </c>
      <c r="AE118" s="562" t="s">
        <v>296</v>
      </c>
      <c r="AF118" s="773" t="s">
        <v>430</v>
      </c>
      <c r="AG118" s="54" t="s">
        <v>431</v>
      </c>
      <c r="AJ118" s="719"/>
    </row>
    <row r="119" spans="1:37" ht="15.75" thickBot="1">
      <c r="A119" s="164" t="s">
        <v>11</v>
      </c>
      <c r="B119" s="291">
        <f>B120+B128+B138+B143+B147</f>
        <v>31342486.362041138</v>
      </c>
      <c r="C119" s="291">
        <f t="shared" ref="C119:R119" si="49">C120+C128+C138+C143+C147</f>
        <v>4565766.5957282875</v>
      </c>
      <c r="D119" s="291">
        <f t="shared" si="49"/>
        <v>2879628</v>
      </c>
      <c r="E119" s="291">
        <f t="shared" si="49"/>
        <v>15554169.065758072</v>
      </c>
      <c r="F119" s="291">
        <f t="shared" si="49"/>
        <v>501158.92257112911</v>
      </c>
      <c r="G119" s="291">
        <f t="shared" si="49"/>
        <v>222569.01167079969</v>
      </c>
      <c r="H119" s="291">
        <f t="shared" si="49"/>
        <v>7948815.7554086195</v>
      </c>
      <c r="I119" s="291">
        <f t="shared" si="49"/>
        <v>974681.24227744155</v>
      </c>
      <c r="J119" s="291">
        <f t="shared" si="49"/>
        <v>1423411.4118603626</v>
      </c>
      <c r="K119" s="291">
        <f t="shared" si="49"/>
        <v>906744.58813963761</v>
      </c>
      <c r="L119" s="291">
        <f t="shared" si="49"/>
        <v>473986</v>
      </c>
      <c r="M119" s="291">
        <f t="shared" si="49"/>
        <v>308354</v>
      </c>
      <c r="N119" s="291">
        <f t="shared" si="49"/>
        <v>408127.22659141239</v>
      </c>
      <c r="O119" s="291">
        <f t="shared" si="49"/>
        <v>93144.773408587673</v>
      </c>
      <c r="P119" s="291">
        <f t="shared" si="49"/>
        <v>50740.700106563796</v>
      </c>
      <c r="Q119" s="291">
        <f t="shared" si="49"/>
        <v>2038308.8006865529</v>
      </c>
      <c r="R119" s="291">
        <f t="shared" si="49"/>
        <v>1694035.6315789472</v>
      </c>
      <c r="T119" s="2">
        <f>B119+C119+H119+I119+P119+Q119+R119</f>
        <v>48614835.087827548</v>
      </c>
      <c r="U119" s="2">
        <f>D119+E119+F119+G119</f>
        <v>19157525</v>
      </c>
      <c r="V119" s="2">
        <f>J119+K119+L119</f>
        <v>2804142</v>
      </c>
      <c r="W119" s="2">
        <f>M119+N119+O119</f>
        <v>809626.00000000012</v>
      </c>
      <c r="X119" s="2">
        <f>DEN!C111+DEN!F111+DEN!G111+DEN!L111</f>
        <v>48624245</v>
      </c>
      <c r="Y119" s="2">
        <f>DEN!I111+DEN!J111</f>
        <v>19157525</v>
      </c>
      <c r="Z119" s="2">
        <f>DEN!D111+DEN!E111</f>
        <v>2804142</v>
      </c>
      <c r="AA119" s="2">
        <f>DEN!H111+DEN!K111</f>
        <v>809626</v>
      </c>
      <c r="AB119" s="562" t="str">
        <f>IF(T119=X119,"OK","ERRO")</f>
        <v>ERRO</v>
      </c>
      <c r="AC119" s="562" t="str">
        <f t="shared" ref="AC119:AC151" si="50">IF(U119=Y119,"OK","ERRO")</f>
        <v>OK</v>
      </c>
      <c r="AD119" s="562" t="str">
        <f t="shared" ref="AD119:AD151" si="51">IF(V119=Z119,"OK","ERRO")</f>
        <v>OK</v>
      </c>
      <c r="AE119" s="562" t="str">
        <f t="shared" ref="AE119:AE151" si="52">IF(W119=AA119,"OK","ERRO")</f>
        <v>OK</v>
      </c>
      <c r="AF119" s="774">
        <f>COMB_CORR!J3/FRO_TOT!T119</f>
        <v>232.83016345835784</v>
      </c>
      <c r="AG119" s="778"/>
      <c r="AJ119" s="719"/>
    </row>
    <row r="120" spans="1:37">
      <c r="A120" s="269" t="s">
        <v>46</v>
      </c>
      <c r="B120" s="291">
        <f t="shared" ref="B120:R120" si="53">SUM(B121:B127)</f>
        <v>1094002.027227931</v>
      </c>
      <c r="C120" s="291">
        <f t="shared" si="53"/>
        <v>183987.7228844075</v>
      </c>
      <c r="D120" s="291">
        <f t="shared" si="53"/>
        <v>317870</v>
      </c>
      <c r="E120" s="291">
        <f t="shared" si="53"/>
        <v>1197272.7196034838</v>
      </c>
      <c r="F120" s="291">
        <f t="shared" si="53"/>
        <v>38577.301718800241</v>
      </c>
      <c r="G120" s="291">
        <f t="shared" si="53"/>
        <v>17131.978677716124</v>
      </c>
      <c r="H120" s="291">
        <f t="shared" si="53"/>
        <v>74721.751717149979</v>
      </c>
      <c r="I120" s="291">
        <f t="shared" si="53"/>
        <v>12152.702607520792</v>
      </c>
      <c r="J120" s="291">
        <f t="shared" si="53"/>
        <v>73894.468628854287</v>
      </c>
      <c r="K120" s="291">
        <f t="shared" si="53"/>
        <v>47071.531371145713</v>
      </c>
      <c r="L120" s="291">
        <f t="shared" si="53"/>
        <v>16218</v>
      </c>
      <c r="M120" s="291">
        <f t="shared" si="53"/>
        <v>11718</v>
      </c>
      <c r="N120" s="291">
        <f t="shared" si="53"/>
        <v>24881.533710980275</v>
      </c>
      <c r="O120" s="291">
        <f t="shared" si="53"/>
        <v>5677.4662890197251</v>
      </c>
      <c r="P120" s="291">
        <f t="shared" si="53"/>
        <v>3683.5259424918404</v>
      </c>
      <c r="Q120" s="291">
        <f t="shared" si="53"/>
        <v>180932.56152601773</v>
      </c>
      <c r="R120" s="291">
        <f t="shared" si="53"/>
        <v>1236.2383180934553</v>
      </c>
      <c r="T120" s="2">
        <f t="shared" ref="T120:T151" si="54">B120+C120+H120+I120+P120+Q120+R120</f>
        <v>1550716.5302236122</v>
      </c>
      <c r="U120" s="2">
        <f t="shared" ref="U120:U151" si="55">D120+E120+F120+G120</f>
        <v>1570852.0000000002</v>
      </c>
      <c r="V120" s="2">
        <f t="shared" ref="V120:V151" si="56">J120+K120+L120</f>
        <v>137184</v>
      </c>
      <c r="W120" s="2">
        <f t="shared" ref="W120:W151" si="57">M120+N120+O120</f>
        <v>42277</v>
      </c>
      <c r="X120" s="2">
        <f>DEN!C112+DEN!F112+DEN!G112+DEN!L112</f>
        <v>1548840</v>
      </c>
      <c r="Y120" s="2">
        <f>DEN!I112+DEN!J112</f>
        <v>1570852</v>
      </c>
      <c r="Z120" s="2">
        <f>DEN!D112+DEN!E112</f>
        <v>137184</v>
      </c>
      <c r="AA120" s="2">
        <f>DEN!H112+DEN!K112</f>
        <v>42277</v>
      </c>
      <c r="AB120" s="562" t="str">
        <f t="shared" ref="AB120:AB151" si="58">IF(T120=X120,"OK","ERRO")</f>
        <v>ERRO</v>
      </c>
      <c r="AC120" s="562" t="str">
        <f t="shared" si="50"/>
        <v>OK</v>
      </c>
      <c r="AD120" s="562" t="str">
        <f t="shared" si="51"/>
        <v>OK</v>
      </c>
      <c r="AE120" s="562" t="str">
        <f t="shared" si="52"/>
        <v>OK</v>
      </c>
      <c r="AF120" s="774"/>
      <c r="AG120" s="778"/>
      <c r="AJ120" s="776" t="s">
        <v>432</v>
      </c>
      <c r="AK120" s="777" t="s">
        <v>433</v>
      </c>
    </row>
    <row r="121" spans="1:37">
      <c r="A121" s="127" t="s">
        <v>13</v>
      </c>
      <c r="B121" s="291">
        <f>DIST_GAS_LEV!Q13-AK121</f>
        <v>55027.12427511048</v>
      </c>
      <c r="C121" s="291">
        <f>DIST_GAS_LEV!AI13</f>
        <v>8207.9685192057641</v>
      </c>
      <c r="D121" s="291">
        <f>DIST_GAS_MOT!N14</f>
        <v>14562</v>
      </c>
      <c r="E121" s="291">
        <f>DIST_GAS_MOT!O14</f>
        <v>72239.25452054794</v>
      </c>
      <c r="F121" s="291">
        <f>DIST_GAS_MOT!P14</f>
        <v>2327.9164383561642</v>
      </c>
      <c r="G121" s="291">
        <f>DIST_GAS_MOT!Q14</f>
        <v>1033.8290410958905</v>
      </c>
      <c r="H121" s="291">
        <f>DIST_ALC_LEV!M13</f>
        <v>3550.7638270511247</v>
      </c>
      <c r="I121" s="291">
        <f>DIST_ALC_LEV!AD13</f>
        <v>518.34059254497629</v>
      </c>
      <c r="J121" s="291">
        <f>DIST_DSL_CAM!K20</f>
        <v>3564.512791266091</v>
      </c>
      <c r="K121" s="291">
        <f>DIST_DSL_CAM!L20</f>
        <v>2270.487208733909</v>
      </c>
      <c r="L121" s="291">
        <f>DIST_DSL_CAM!M20</f>
        <v>503</v>
      </c>
      <c r="M121" s="291">
        <f>DIST_DSL_ONI!K20</f>
        <v>244</v>
      </c>
      <c r="N121" s="291">
        <f>DIST_DSL_ONI!L20</f>
        <v>586.1710037174721</v>
      </c>
      <c r="O121" s="291">
        <f>DIST_DSL_ONI!M20</f>
        <v>133.82899628252787</v>
      </c>
      <c r="P121" s="291">
        <f>DIST_DSL_LEV!K13</f>
        <v>257.33033152341852</v>
      </c>
      <c r="Q121" s="291">
        <f>DIST_DSL_LEV!L13</f>
        <v>11598.87802059784</v>
      </c>
      <c r="R121" s="291">
        <f>GNV!E6</f>
        <v>4</v>
      </c>
      <c r="T121" s="2">
        <f t="shared" si="54"/>
        <v>79164.405566033616</v>
      </c>
      <c r="U121" s="2">
        <f t="shared" si="55"/>
        <v>90162.999999999985</v>
      </c>
      <c r="V121" s="2">
        <f t="shared" si="56"/>
        <v>6338</v>
      </c>
      <c r="W121" s="2">
        <f t="shared" si="57"/>
        <v>964</v>
      </c>
      <c r="X121" s="2">
        <f>DEN!C113+DEN!F113+DEN!G113+DEN!L113</f>
        <v>79045</v>
      </c>
      <c r="Y121" s="2">
        <f>DEN!I113+DEN!J113</f>
        <v>90163</v>
      </c>
      <c r="Z121" s="2">
        <f>DEN!D113+DEN!E113</f>
        <v>6338</v>
      </c>
      <c r="AA121" s="2">
        <f>DEN!H113+DEN!K113</f>
        <v>964</v>
      </c>
      <c r="AB121" s="562" t="str">
        <f t="shared" si="58"/>
        <v>ERRO</v>
      </c>
      <c r="AC121" s="562" t="str">
        <f t="shared" si="50"/>
        <v>OK</v>
      </c>
      <c r="AD121" s="562" t="str">
        <f t="shared" si="51"/>
        <v>OK</v>
      </c>
      <c r="AE121" s="562" t="str">
        <f t="shared" si="52"/>
        <v>OK</v>
      </c>
      <c r="AF121" s="774">
        <f>COMB_CORR!J5/FRO_TOT!T121</f>
        <v>83.399128593284658</v>
      </c>
      <c r="AG121" s="781">
        <f>AF121/$AF$119</f>
        <v>0.35819726857770628</v>
      </c>
      <c r="AH121" s="3">
        <v>0.35313968083941183</v>
      </c>
      <c r="AJ121" s="742">
        <f t="shared" si="32"/>
        <v>119.4055660336162</v>
      </c>
      <c r="AK121" s="742">
        <v>-2166.6550919315778</v>
      </c>
    </row>
    <row r="122" spans="1:37">
      <c r="A122" s="127" t="s">
        <v>14</v>
      </c>
      <c r="B122" s="291">
        <f>DIST_GAS_LEV!Q14-AK122</f>
        <v>55886.763027705034</v>
      </c>
      <c r="C122" s="291">
        <f>DIST_GAS_LEV!AI14</f>
        <v>10226.196476818221</v>
      </c>
      <c r="D122" s="291">
        <f>DIST_GAS_MOT!N15</f>
        <v>8364</v>
      </c>
      <c r="E122" s="291">
        <f>DIST_GAS_MOT!O15</f>
        <v>43204.715420118104</v>
      </c>
      <c r="F122" s="291">
        <f>DIST_GAS_MOT!P15</f>
        <v>1392.4364633089465</v>
      </c>
      <c r="G122" s="291">
        <f>DIST_GAS_MOT!Q15</f>
        <v>617.84811657294881</v>
      </c>
      <c r="H122" s="291">
        <f>DIST_ALC_LEV!M14</f>
        <v>1368.8245129188581</v>
      </c>
      <c r="I122" s="291">
        <f>DIST_ALC_LEV!AD14</f>
        <v>244.44565295997128</v>
      </c>
      <c r="J122" s="291">
        <f>DIST_DSL_CAM!K21</f>
        <v>2050.2525597269623</v>
      </c>
      <c r="K122" s="291">
        <f>DIST_DSL_CAM!L21</f>
        <v>1305.7474402730377</v>
      </c>
      <c r="L122" s="291">
        <f>DIST_DSL_CAM!M21</f>
        <v>221</v>
      </c>
      <c r="M122" s="291">
        <f>DIST_DSL_ONI!K21</f>
        <v>373</v>
      </c>
      <c r="N122" s="291">
        <f>DIST_DSL_ONI!L21</f>
        <v>616.66631355932202</v>
      </c>
      <c r="O122" s="291">
        <f>DIST_DSL_ONI!M21</f>
        <v>140.33368644067798</v>
      </c>
      <c r="P122" s="291">
        <f>DIST_DSL_LEV!K14</f>
        <v>137.8239708625222</v>
      </c>
      <c r="Q122" s="291">
        <f>DIST_DSL_LEV!L14</f>
        <v>7456.2012747400204</v>
      </c>
      <c r="R122" s="291">
        <f>GNV!E7</f>
        <v>3</v>
      </c>
      <c r="T122" s="2">
        <f t="shared" si="54"/>
        <v>75323.254916004618</v>
      </c>
      <c r="U122" s="2">
        <f t="shared" si="55"/>
        <v>53579</v>
      </c>
      <c r="V122" s="2">
        <f t="shared" si="56"/>
        <v>3577</v>
      </c>
      <c r="W122" s="2">
        <f t="shared" si="57"/>
        <v>1130</v>
      </c>
      <c r="X122" s="2">
        <f>DEN!C114+DEN!F114+DEN!G114+DEN!L114</f>
        <v>75279</v>
      </c>
      <c r="Y122" s="2">
        <f>DEN!I114+DEN!J114</f>
        <v>53579</v>
      </c>
      <c r="Z122" s="2">
        <f>DEN!D114+DEN!E114</f>
        <v>3577</v>
      </c>
      <c r="AA122" s="2">
        <f>DEN!H114+DEN!K114</f>
        <v>1130</v>
      </c>
      <c r="AB122" s="562" t="str">
        <f t="shared" si="58"/>
        <v>ERRO</v>
      </c>
      <c r="AC122" s="562" t="str">
        <f t="shared" si="50"/>
        <v>OK</v>
      </c>
      <c r="AD122" s="562" t="str">
        <f t="shared" si="51"/>
        <v>OK</v>
      </c>
      <c r="AE122" s="562" t="str">
        <f t="shared" si="52"/>
        <v>OK</v>
      </c>
      <c r="AF122" s="774">
        <f>COMB_CORR!J6/FRO_TOT!T122</f>
        <v>50.512035800175987</v>
      </c>
      <c r="AG122" s="781">
        <f t="shared" ref="AG122:AG151" si="59">AF122/$AF$119</f>
        <v>0.21694798925488093</v>
      </c>
      <c r="AH122" s="3">
        <v>0.21605045102489401</v>
      </c>
      <c r="AJ122" s="742">
        <f t="shared" si="32"/>
        <v>44.254916004618281</v>
      </c>
      <c r="AK122" s="742">
        <v>-1018.6819508632179</v>
      </c>
    </row>
    <row r="123" spans="1:37">
      <c r="A123" s="127" t="s">
        <v>15</v>
      </c>
      <c r="B123" s="291">
        <f>DIST_GAS_LEV!Q15-AK123</f>
        <v>273634.99745358713</v>
      </c>
      <c r="C123" s="291">
        <f>DIST_GAS_LEV!AI15</f>
        <v>54148.938069315744</v>
      </c>
      <c r="D123" s="291">
        <f>DIST_GAS_MOT!N16</f>
        <v>34633</v>
      </c>
      <c r="E123" s="291">
        <f>DIST_GAS_MOT!O16</f>
        <v>146535.40404230883</v>
      </c>
      <c r="F123" s="291">
        <f>DIST_GAS_MOT!P16</f>
        <v>4721.5775633003614</v>
      </c>
      <c r="G123" s="291">
        <f>DIST_GAS_MOT!Q16</f>
        <v>2097.0183943908251</v>
      </c>
      <c r="H123" s="291">
        <f>DIST_ALC_LEV!M15</f>
        <v>18227.926490718488</v>
      </c>
      <c r="I123" s="291">
        <f>DIST_ALC_LEV!AD15</f>
        <v>3408.9417335112498</v>
      </c>
      <c r="J123" s="291">
        <f>DIST_DSL_CAM!K22</f>
        <v>11031.936270525117</v>
      </c>
      <c r="K123" s="291">
        <f>DIST_DSL_CAM!L22</f>
        <v>7028.0637294748822</v>
      </c>
      <c r="L123" s="291">
        <f>DIST_DSL_CAM!M22</f>
        <v>2477</v>
      </c>
      <c r="M123" s="291">
        <f>DIST_DSL_ONI!K22</f>
        <v>2968</v>
      </c>
      <c r="N123" s="291">
        <f>DIST_DSL_ONI!L22</f>
        <v>6340.3994443773399</v>
      </c>
      <c r="O123" s="291">
        <f>DIST_DSL_ONI!M22</f>
        <v>1446.6005556226596</v>
      </c>
      <c r="P123" s="291">
        <f>DIST_DSL_LEV!K15</f>
        <v>517.92994843590839</v>
      </c>
      <c r="Q123" s="291">
        <f>DIST_DSL_LEV!L15</f>
        <v>30274.671551826028</v>
      </c>
      <c r="R123" s="291">
        <f>GNV!E8</f>
        <v>756.43970048239612</v>
      </c>
      <c r="T123" s="2">
        <f t="shared" si="54"/>
        <v>380969.84494787693</v>
      </c>
      <c r="U123" s="2">
        <f t="shared" si="55"/>
        <v>187987</v>
      </c>
      <c r="V123" s="2">
        <f t="shared" si="56"/>
        <v>20537</v>
      </c>
      <c r="W123" s="2">
        <f t="shared" si="57"/>
        <v>10755</v>
      </c>
      <c r="X123" s="2">
        <f>DEN!C115+DEN!F115+DEN!G115+DEN!L115</f>
        <v>380678</v>
      </c>
      <c r="Y123" s="2">
        <f>DEN!I115+DEN!J115</f>
        <v>187987</v>
      </c>
      <c r="Z123" s="2">
        <f>DEN!D115+DEN!E115</f>
        <v>20537</v>
      </c>
      <c r="AA123" s="2">
        <f>DEN!H115+DEN!K115</f>
        <v>10755</v>
      </c>
      <c r="AB123" s="562" t="str">
        <f t="shared" si="58"/>
        <v>ERRO</v>
      </c>
      <c r="AC123" s="562" t="str">
        <f t="shared" si="50"/>
        <v>OK</v>
      </c>
      <c r="AD123" s="562" t="str">
        <f t="shared" si="51"/>
        <v>OK</v>
      </c>
      <c r="AE123" s="562" t="str">
        <f t="shared" si="52"/>
        <v>OK</v>
      </c>
      <c r="AF123" s="774">
        <f>COMB_CORR!J7/FRO_TOT!T123</f>
        <v>120.86056786839774</v>
      </c>
      <c r="AG123" s="781">
        <f t="shared" si="59"/>
        <v>0.51909325696115782</v>
      </c>
      <c r="AH123" s="3">
        <v>0.51902632648677283</v>
      </c>
      <c r="AJ123" s="742">
        <f t="shared" si="32"/>
        <v>291.84494787693257</v>
      </c>
      <c r="AK123" s="742">
        <v>-7237.9119453515159</v>
      </c>
    </row>
    <row r="124" spans="1:37">
      <c r="A124" s="127" t="s">
        <v>16</v>
      </c>
      <c r="B124" s="291">
        <f>DIST_GAS_LEV!Q16-AK124</f>
        <v>378285.83030973026</v>
      </c>
      <c r="C124" s="291">
        <f>DIST_GAS_LEV!AI16</f>
        <v>54536.584216774732</v>
      </c>
      <c r="D124" s="291">
        <f>DIST_GAS_MOT!N17</f>
        <v>102544</v>
      </c>
      <c r="E124" s="291">
        <f>DIST_GAS_MOT!O17</f>
        <v>450477.46920769371</v>
      </c>
      <c r="F124" s="291">
        <f>DIST_GAS_MOT!P17</f>
        <v>14514.562555143815</v>
      </c>
      <c r="G124" s="291">
        <f>DIST_GAS_MOT!Q17</f>
        <v>6445.9682371625204</v>
      </c>
      <c r="H124" s="291">
        <f>DIST_ALC_LEV!M16</f>
        <v>18325.981862833403</v>
      </c>
      <c r="I124" s="291">
        <f>DIST_ALC_LEV!AD16</f>
        <v>2598.0533353043852</v>
      </c>
      <c r="J124" s="291">
        <f>DIST_DSL_CAM!K23</f>
        <v>27539.270220133563</v>
      </c>
      <c r="K124" s="291">
        <f>DIST_DSL_CAM!L23</f>
        <v>17542.729779866437</v>
      </c>
      <c r="L124" s="291">
        <f>DIST_DSL_CAM!M23</f>
        <v>4891</v>
      </c>
      <c r="M124" s="291">
        <f>DIST_DSL_ONI!K23</f>
        <v>5439</v>
      </c>
      <c r="N124" s="291">
        <f>DIST_DSL_ONI!L23</f>
        <v>10150.538423365942</v>
      </c>
      <c r="O124" s="291">
        <f>DIST_DSL_ONI!M23</f>
        <v>2316.4615766340562</v>
      </c>
      <c r="P124" s="291">
        <f>DIST_DSL_LEV!K16</f>
        <v>1354.3095621792772</v>
      </c>
      <c r="Q124" s="291">
        <f>DIST_DSL_LEV!L16</f>
        <v>59363.929856807015</v>
      </c>
      <c r="R124" s="291">
        <f>GNV!E9</f>
        <v>313.29861761105911</v>
      </c>
      <c r="T124" s="2">
        <f t="shared" si="54"/>
        <v>514777.9877612401</v>
      </c>
      <c r="U124" s="2">
        <f t="shared" si="55"/>
        <v>573982.00000000012</v>
      </c>
      <c r="V124" s="2">
        <f t="shared" si="56"/>
        <v>49973</v>
      </c>
      <c r="W124" s="2">
        <f t="shared" si="57"/>
        <v>17906</v>
      </c>
      <c r="X124" s="2">
        <f>DEN!C116+DEN!F116+DEN!G116+DEN!L116</f>
        <v>513919</v>
      </c>
      <c r="Y124" s="2">
        <f>DEN!I116+DEN!J116</f>
        <v>573982</v>
      </c>
      <c r="Z124" s="2">
        <f>DEN!D116+DEN!E116</f>
        <v>49973</v>
      </c>
      <c r="AA124" s="2">
        <f>DEN!H116+DEN!K116</f>
        <v>17906</v>
      </c>
      <c r="AB124" s="562" t="str">
        <f t="shared" si="58"/>
        <v>ERRO</v>
      </c>
      <c r="AC124" s="562" t="str">
        <f t="shared" si="50"/>
        <v>OK</v>
      </c>
      <c r="AD124" s="562" t="str">
        <f t="shared" si="51"/>
        <v>OK</v>
      </c>
      <c r="AE124" s="562" t="str">
        <f t="shared" si="52"/>
        <v>OK</v>
      </c>
      <c r="AF124" s="774">
        <f>COMB_CORR!J8/FRO_TOT!T124</f>
        <v>68.563890443308011</v>
      </c>
      <c r="AG124" s="781">
        <f t="shared" si="59"/>
        <v>0.29448027448372599</v>
      </c>
      <c r="AH124" s="3">
        <v>0.28962477312257096</v>
      </c>
      <c r="AJ124" s="742">
        <f t="shared" si="32"/>
        <v>858.98776124010328</v>
      </c>
      <c r="AK124" s="742">
        <v>-15605.803348294459</v>
      </c>
    </row>
    <row r="125" spans="1:37">
      <c r="A125" s="127" t="s">
        <v>17</v>
      </c>
      <c r="B125" s="291">
        <f>DIST_GAS_LEV!Q17-AK125</f>
        <v>166934.744970659</v>
      </c>
      <c r="C125" s="291">
        <f>DIST_GAS_LEV!AI17</f>
        <v>27755.661974546245</v>
      </c>
      <c r="D125" s="291">
        <f>DIST_GAS_MOT!N18</f>
        <v>79744</v>
      </c>
      <c r="E125" s="291">
        <f>DIST_GAS_MOT!O18</f>
        <v>273712.76082405238</v>
      </c>
      <c r="F125" s="291">
        <f>DIST_GAS_MOT!P18</f>
        <v>8819.4325892643756</v>
      </c>
      <c r="G125" s="291">
        <f>DIST_GAS_MOT!Q18</f>
        <v>3916.8065866832371</v>
      </c>
      <c r="H125" s="291">
        <f>DIST_ALC_LEV!M17</f>
        <v>15424.790952577656</v>
      </c>
      <c r="I125" s="291">
        <f>DIST_ALC_LEV!AD17</f>
        <v>2552.1342657611058</v>
      </c>
      <c r="J125" s="291">
        <f>DIST_DSL_CAM!K24</f>
        <v>15201.124175782292</v>
      </c>
      <c r="K125" s="291">
        <f>DIST_DSL_CAM!L24</f>
        <v>9683.8758242177082</v>
      </c>
      <c r="L125" s="291">
        <f>DIST_DSL_CAM!M24</f>
        <v>4534</v>
      </c>
      <c r="M125" s="291">
        <f>DIST_DSL_ONI!K24</f>
        <v>896</v>
      </c>
      <c r="N125" s="291">
        <f>DIST_DSL_ONI!L24</f>
        <v>3602.6056927584764</v>
      </c>
      <c r="O125" s="291">
        <f>DIST_DSL_ONI!M24</f>
        <v>822.39430724152362</v>
      </c>
      <c r="P125" s="291">
        <f>DIST_DSL_LEV!K17</f>
        <v>697.65773680090456</v>
      </c>
      <c r="Q125" s="291">
        <f>DIST_DSL_LEV!L17</f>
        <v>35065.731389725028</v>
      </c>
      <c r="R125" s="291">
        <f>GNV!E10</f>
        <v>49.5</v>
      </c>
      <c r="T125" s="2">
        <f t="shared" si="54"/>
        <v>248480.22129006992</v>
      </c>
      <c r="U125" s="2">
        <f t="shared" si="55"/>
        <v>366193</v>
      </c>
      <c r="V125" s="2">
        <f t="shared" si="56"/>
        <v>29419</v>
      </c>
      <c r="W125" s="2">
        <f t="shared" si="57"/>
        <v>5321</v>
      </c>
      <c r="X125" s="2">
        <f>DEN!C117+DEN!F117+DEN!G117+DEN!L117</f>
        <v>248125</v>
      </c>
      <c r="Y125" s="2">
        <f>DEN!I117+DEN!J117</f>
        <v>366193</v>
      </c>
      <c r="Z125" s="2">
        <f>DEN!D117+DEN!E117</f>
        <v>29419</v>
      </c>
      <c r="AA125" s="2">
        <f>DEN!H117+DEN!K117</f>
        <v>5321</v>
      </c>
      <c r="AB125" s="562" t="str">
        <f t="shared" si="58"/>
        <v>ERRO</v>
      </c>
      <c r="AC125" s="562" t="str">
        <f t="shared" si="50"/>
        <v>OK</v>
      </c>
      <c r="AD125" s="562" t="str">
        <f t="shared" si="51"/>
        <v>OK</v>
      </c>
      <c r="AE125" s="562" t="str">
        <f t="shared" si="52"/>
        <v>OK</v>
      </c>
      <c r="AF125" s="774">
        <f>COMB_CORR!J9/FRO_TOT!T125</f>
        <v>91.088828483514291</v>
      </c>
      <c r="AG125" s="781">
        <f t="shared" si="59"/>
        <v>0.39122434623813557</v>
      </c>
      <c r="AH125" s="3">
        <v>0.38317913332253001</v>
      </c>
      <c r="AJ125" s="742">
        <f t="shared" si="32"/>
        <v>355.22129006992327</v>
      </c>
      <c r="AK125" s="742">
        <v>-5769.4916120553098</v>
      </c>
    </row>
    <row r="126" spans="1:37">
      <c r="A126" s="127" t="s">
        <v>18</v>
      </c>
      <c r="B126" s="291">
        <f>DIST_GAS_LEV!Q18-AK126</f>
        <v>46050.650909594602</v>
      </c>
      <c r="C126" s="291">
        <f>DIST_GAS_LEV!AI18</f>
        <v>9696.1122421054242</v>
      </c>
      <c r="D126" s="291">
        <f>DIST_GAS_MOT!N19</f>
        <v>13982</v>
      </c>
      <c r="E126" s="291">
        <f>DIST_GAS_MOT!O19</f>
        <v>54976.30785740212</v>
      </c>
      <c r="F126" s="291">
        <f>DIST_GAS_MOT!P19</f>
        <v>1771.4083671311566</v>
      </c>
      <c r="G126" s="291">
        <f>DIST_GAS_MOT!Q19</f>
        <v>786.28377546672561</v>
      </c>
      <c r="H126" s="291">
        <f>DIST_ALC_LEV!M18</f>
        <v>909.2890963303355</v>
      </c>
      <c r="I126" s="291">
        <f>DIST_ALC_LEV!AD18</f>
        <v>187.54974595477626</v>
      </c>
      <c r="J126" s="291">
        <f>DIST_DSL_CAM!K25</f>
        <v>2153.0244167118831</v>
      </c>
      <c r="K126" s="291">
        <f>DIST_DSL_CAM!L25</f>
        <v>1370.9755832881172</v>
      </c>
      <c r="L126" s="291">
        <f>DIST_DSL_CAM!M25</f>
        <v>389</v>
      </c>
      <c r="M126" s="291">
        <f>DIST_DSL_ONI!K25</f>
        <v>481</v>
      </c>
      <c r="N126" s="291">
        <f>DIST_DSL_ONI!L25</f>
        <v>596.03053435114498</v>
      </c>
      <c r="O126" s="291">
        <f>DIST_DSL_ONI!M25</f>
        <v>135.96946564885496</v>
      </c>
      <c r="P126" s="291">
        <f>DIST_DSL_LEV!K18</f>
        <v>156.56826843273092</v>
      </c>
      <c r="Q126" s="291">
        <f>DIST_DSL_LEV!L18</f>
        <v>9742.1516284036297</v>
      </c>
      <c r="R126" s="291">
        <f>GNV!E11</f>
        <v>13</v>
      </c>
      <c r="T126" s="2">
        <f t="shared" si="54"/>
        <v>66755.321890821506</v>
      </c>
      <c r="U126" s="2">
        <f t="shared" si="55"/>
        <v>71516</v>
      </c>
      <c r="V126" s="2">
        <f t="shared" si="56"/>
        <v>3913</v>
      </c>
      <c r="W126" s="2">
        <f t="shared" si="57"/>
        <v>1213</v>
      </c>
      <c r="X126" s="2">
        <f>DEN!C118+DEN!F118+DEN!G118+DEN!L118</f>
        <v>66702</v>
      </c>
      <c r="Y126" s="2">
        <f>DEN!I118+DEN!J118</f>
        <v>71516</v>
      </c>
      <c r="Z126" s="2">
        <f>DEN!D118+DEN!E118</f>
        <v>3913</v>
      </c>
      <c r="AA126" s="2">
        <f>DEN!H118+DEN!K118</f>
        <v>1213</v>
      </c>
      <c r="AB126" s="562" t="str">
        <f t="shared" si="58"/>
        <v>ERRO</v>
      </c>
      <c r="AC126" s="562" t="str">
        <f t="shared" si="50"/>
        <v>OK</v>
      </c>
      <c r="AD126" s="562" t="str">
        <f t="shared" si="51"/>
        <v>OK</v>
      </c>
      <c r="AE126" s="562" t="str">
        <f t="shared" si="52"/>
        <v>OK</v>
      </c>
      <c r="AF126" s="774">
        <f>COMB_CORR!J10/FRO_TOT!T126</f>
        <v>33.202130585489712</v>
      </c>
      <c r="AG126" s="781">
        <f t="shared" si="59"/>
        <v>0.14260235912873026</v>
      </c>
      <c r="AH126" s="3">
        <v>0.14116726234685401</v>
      </c>
      <c r="AJ126" s="742">
        <f t="shared" si="32"/>
        <v>53.321890821505804</v>
      </c>
      <c r="AK126" s="742">
        <v>-1081.1956951589382</v>
      </c>
    </row>
    <row r="127" spans="1:37" ht="15.75" thickBot="1">
      <c r="A127" s="128" t="s">
        <v>19</v>
      </c>
      <c r="B127" s="291">
        <f>DIST_GAS_LEV!Q19-AK127</f>
        <v>118181.91628154452</v>
      </c>
      <c r="C127" s="291">
        <f>DIST_GAS_LEV!AI19</f>
        <v>19416.261385641374</v>
      </c>
      <c r="D127" s="291">
        <f>DIST_GAS_MOT!N20</f>
        <v>64041</v>
      </c>
      <c r="E127" s="291">
        <f>DIST_GAS_MOT!O20</f>
        <v>156126.8077313606</v>
      </c>
      <c r="F127" s="291">
        <f>DIST_GAS_MOT!P20</f>
        <v>5029.9677422954182</v>
      </c>
      <c r="G127" s="291">
        <f>DIST_GAS_MOT!Q20</f>
        <v>2234.2245263439781</v>
      </c>
      <c r="H127" s="291">
        <f>DIST_ALC_LEV!M19</f>
        <v>16914.174974720114</v>
      </c>
      <c r="I127" s="291">
        <f>DIST_ALC_LEV!AD19</f>
        <v>2643.237281484327</v>
      </c>
      <c r="J127" s="291">
        <f>DIST_DSL_CAM!K26</f>
        <v>12354.348194708375</v>
      </c>
      <c r="K127" s="291">
        <f>DIST_DSL_CAM!L26</f>
        <v>7869.6518052916244</v>
      </c>
      <c r="L127" s="291">
        <f>DIST_DSL_CAM!M26</f>
        <v>3203</v>
      </c>
      <c r="M127" s="291">
        <f>DIST_DSL_ONI!K26</f>
        <v>1317</v>
      </c>
      <c r="N127" s="291">
        <f>DIST_DSL_ONI!L26</f>
        <v>2989.1222988505747</v>
      </c>
      <c r="O127" s="291">
        <f>DIST_DSL_ONI!M26</f>
        <v>681.87770114942521</v>
      </c>
      <c r="P127" s="291">
        <f>DIST_DSL_LEV!K19</f>
        <v>561.90612425707855</v>
      </c>
      <c r="Q127" s="291">
        <f>DIST_DSL_LEV!L19</f>
        <v>27430.997803918159</v>
      </c>
      <c r="R127" s="291">
        <f>GNV!E12</f>
        <v>97</v>
      </c>
      <c r="T127" s="2">
        <f t="shared" si="54"/>
        <v>185245.49385156558</v>
      </c>
      <c r="U127" s="2">
        <f t="shared" si="55"/>
        <v>227432</v>
      </c>
      <c r="V127" s="2">
        <f t="shared" si="56"/>
        <v>23427</v>
      </c>
      <c r="W127" s="2">
        <f t="shared" si="57"/>
        <v>4987.9999999999991</v>
      </c>
      <c r="X127" s="2">
        <f>DEN!C119+DEN!F119+DEN!G119+DEN!L119</f>
        <v>185092</v>
      </c>
      <c r="Y127" s="2">
        <f>DEN!I119+DEN!J119</f>
        <v>227432</v>
      </c>
      <c r="Z127" s="2">
        <f>DEN!D119+DEN!E119</f>
        <v>23427</v>
      </c>
      <c r="AA127" s="2">
        <f>DEN!H119+DEN!K119</f>
        <v>4988</v>
      </c>
      <c r="AB127" s="562" t="str">
        <f t="shared" si="58"/>
        <v>ERRO</v>
      </c>
      <c r="AC127" s="562" t="str">
        <f t="shared" si="50"/>
        <v>OK</v>
      </c>
      <c r="AD127" s="562" t="str">
        <f t="shared" si="51"/>
        <v>OK</v>
      </c>
      <c r="AE127" s="562" t="str">
        <f t="shared" si="52"/>
        <v>OK</v>
      </c>
      <c r="AF127" s="774">
        <f>COMB_CORR!J11/FRO_TOT!T127</f>
        <v>172.95842914976461</v>
      </c>
      <c r="AG127" s="781">
        <f t="shared" si="59"/>
        <v>0.74285232884225749</v>
      </c>
      <c r="AH127" s="3">
        <v>0.72956864971252333</v>
      </c>
      <c r="AJ127" s="742">
        <f t="shared" si="32"/>
        <v>153.49385156558128</v>
      </c>
      <c r="AK127" s="742">
        <v>-2621.5930671330716</v>
      </c>
    </row>
    <row r="128" spans="1:37">
      <c r="A128" s="269" t="s">
        <v>54</v>
      </c>
      <c r="B128" s="291">
        <f t="shared" ref="B128:Q128" si="60">SUM(B129:B137)</f>
        <v>3952168.8536592438</v>
      </c>
      <c r="C128" s="291">
        <f t="shared" si="60"/>
        <v>594389.90245771478</v>
      </c>
      <c r="D128" s="291">
        <f t="shared" si="60"/>
        <v>551263</v>
      </c>
      <c r="E128" s="291">
        <f t="shared" si="60"/>
        <v>4057398.690349943</v>
      </c>
      <c r="F128" s="291">
        <f t="shared" si="60"/>
        <v>130730.71158129368</v>
      </c>
      <c r="G128" s="291">
        <f t="shared" si="60"/>
        <v>58058.598068763626</v>
      </c>
      <c r="H128" s="291">
        <f t="shared" si="60"/>
        <v>494379.92040213617</v>
      </c>
      <c r="I128" s="291">
        <f t="shared" si="60"/>
        <v>66123.203345229573</v>
      </c>
      <c r="J128" s="291">
        <f t="shared" si="60"/>
        <v>220855.35009606331</v>
      </c>
      <c r="K128" s="291">
        <f t="shared" si="60"/>
        <v>140690.64990393669</v>
      </c>
      <c r="L128" s="291">
        <f t="shared" si="60"/>
        <v>40800</v>
      </c>
      <c r="M128" s="291">
        <f t="shared" si="60"/>
        <v>62167</v>
      </c>
      <c r="N128" s="291">
        <f t="shared" si="60"/>
        <v>72804.826888216412</v>
      </c>
      <c r="O128" s="291">
        <f t="shared" si="60"/>
        <v>16616.173111783592</v>
      </c>
      <c r="P128" s="291">
        <f t="shared" si="60"/>
        <v>9406.0472814060777</v>
      </c>
      <c r="Q128" s="291">
        <f t="shared" si="60"/>
        <v>398409.38827000762</v>
      </c>
      <c r="R128" s="291">
        <f>GNV!E13</f>
        <v>245165.74555403556</v>
      </c>
      <c r="T128" s="2">
        <f t="shared" si="54"/>
        <v>5760043.0609697727</v>
      </c>
      <c r="U128" s="2">
        <f t="shared" si="55"/>
        <v>4797451</v>
      </c>
      <c r="V128" s="2">
        <f t="shared" si="56"/>
        <v>402346</v>
      </c>
      <c r="W128" s="2">
        <f t="shared" si="57"/>
        <v>151588.00000000003</v>
      </c>
      <c r="X128" s="2">
        <f>DEN!C120+DEN!F120+DEN!G120+DEN!L120</f>
        <v>5751602</v>
      </c>
      <c r="Y128" s="2">
        <f>DEN!I120+DEN!J120</f>
        <v>4797451</v>
      </c>
      <c r="Z128" s="2">
        <f>DEN!D120+DEN!E120</f>
        <v>402346</v>
      </c>
      <c r="AA128" s="2">
        <f>DEN!H120+DEN!K120</f>
        <v>151588</v>
      </c>
      <c r="AB128" s="562" t="str">
        <f t="shared" si="58"/>
        <v>ERRO</v>
      </c>
      <c r="AC128" s="562" t="str">
        <f t="shared" si="50"/>
        <v>OK</v>
      </c>
      <c r="AD128" s="562" t="str">
        <f t="shared" si="51"/>
        <v>OK</v>
      </c>
      <c r="AE128" s="562" t="str">
        <f t="shared" si="52"/>
        <v>OK</v>
      </c>
      <c r="AF128" s="774"/>
      <c r="AG128" s="781"/>
      <c r="AJ128" s="742"/>
      <c r="AK128" s="742"/>
    </row>
    <row r="129" spans="1:37">
      <c r="A129" s="127" t="s">
        <v>21</v>
      </c>
      <c r="B129" s="291">
        <f>DIST_GAS_LEV!Q21-AK129</f>
        <v>191538.79166688718</v>
      </c>
      <c r="C129" s="291">
        <f>DIST_GAS_LEV!AI21</f>
        <v>28556.703666543493</v>
      </c>
      <c r="D129" s="291">
        <f>DIST_GAS_MOT!N22</f>
        <v>23981</v>
      </c>
      <c r="E129" s="291">
        <f>DIST_GAS_MOT!O22</f>
        <v>156362.68315440213</v>
      </c>
      <c r="F129" s="291">
        <f>DIST_GAS_MOT!P22</f>
        <v>5037.821896529862</v>
      </c>
      <c r="G129" s="291">
        <f>DIST_GAS_MOT!Q22</f>
        <v>2237.4949490680078</v>
      </c>
      <c r="H129" s="291">
        <f>DIST_ALC_LEV!M21</f>
        <v>31500.63018173007</v>
      </c>
      <c r="I129" s="291">
        <f>DIST_ALC_LEV!AD21</f>
        <v>4085.4554734858821</v>
      </c>
      <c r="J129" s="291">
        <f>DIST_DSL_CAM!K28</f>
        <v>10726.410409974411</v>
      </c>
      <c r="K129" s="291">
        <f>DIST_DSL_CAM!L28</f>
        <v>6832.58959002559</v>
      </c>
      <c r="L129" s="291">
        <f>DIST_DSL_CAM!M28</f>
        <v>1775</v>
      </c>
      <c r="M129" s="291">
        <f>DIST_DSL_ONI!K28</f>
        <v>4976</v>
      </c>
      <c r="N129" s="291">
        <f>DIST_DSL_ONI!L28</f>
        <v>4384.0235294117647</v>
      </c>
      <c r="O129" s="291">
        <f>DIST_DSL_ONI!M28</f>
        <v>1000.9764705882353</v>
      </c>
      <c r="P129" s="291">
        <f>DIST_DSL_LEV!K21</f>
        <v>456.37739552834711</v>
      </c>
      <c r="Q129" s="291">
        <f>DIST_DSL_LEV!L21</f>
        <v>18733.097649624422</v>
      </c>
      <c r="R129" s="291">
        <f>GNV!E14</f>
        <v>18352.579631362947</v>
      </c>
      <c r="T129" s="2">
        <f t="shared" si="54"/>
        <v>293223.63566516229</v>
      </c>
      <c r="U129" s="2">
        <f t="shared" si="55"/>
        <v>187619</v>
      </c>
      <c r="V129" s="2">
        <f t="shared" si="56"/>
        <v>19334</v>
      </c>
      <c r="W129" s="2">
        <f t="shared" si="57"/>
        <v>10361</v>
      </c>
      <c r="X129" s="2">
        <f>DEN!C121+DEN!F121+DEN!G121+DEN!L121</f>
        <v>292814</v>
      </c>
      <c r="Y129" s="2">
        <f>DEN!I121+DEN!J121</f>
        <v>187619</v>
      </c>
      <c r="Z129" s="2">
        <f>DEN!D121+DEN!E121</f>
        <v>19334</v>
      </c>
      <c r="AA129" s="2">
        <f>DEN!H121+DEN!K121</f>
        <v>10361</v>
      </c>
      <c r="AB129" s="562" t="str">
        <f t="shared" si="58"/>
        <v>ERRO</v>
      </c>
      <c r="AC129" s="562" t="str">
        <f t="shared" si="50"/>
        <v>OK</v>
      </c>
      <c r="AD129" s="562" t="str">
        <f t="shared" si="51"/>
        <v>OK</v>
      </c>
      <c r="AE129" s="562" t="str">
        <f t="shared" si="52"/>
        <v>OK</v>
      </c>
      <c r="AF129" s="774">
        <f>COMB_CORR!J13/FRO_TOT!T129</f>
        <v>155.00676058751094</v>
      </c>
      <c r="AG129" s="781">
        <f t="shared" si="59"/>
        <v>0.66575034044175385</v>
      </c>
      <c r="AH129" s="3">
        <v>0.65858867477420546</v>
      </c>
      <c r="AJ129" s="742">
        <f t="shared" si="32"/>
        <v>409.63566516229184</v>
      </c>
      <c r="AK129" s="742">
        <v>-8018.8552624841686</v>
      </c>
    </row>
    <row r="130" spans="1:37">
      <c r="A130" s="127" t="s">
        <v>22</v>
      </c>
      <c r="B130" s="291">
        <f>DIST_GAS_LEV!Q22-AK130</f>
        <v>1044455.1265092927</v>
      </c>
      <c r="C130" s="291">
        <f>DIST_GAS_LEV!AI22</f>
        <v>174926.60954068843</v>
      </c>
      <c r="D130" s="291">
        <f>DIST_GAS_MOT!N23</f>
        <v>111545</v>
      </c>
      <c r="E130" s="291">
        <f>DIST_GAS_MOT!O23</f>
        <v>822001.58036416792</v>
      </c>
      <c r="F130" s="291">
        <f>DIST_GAS_MOT!P23</f>
        <v>26485.353992223023</v>
      </c>
      <c r="G130" s="291">
        <f>DIST_GAS_MOT!Q23</f>
        <v>11762.065643609048</v>
      </c>
      <c r="H130" s="291">
        <f>DIST_ALC_LEV!M22</f>
        <v>132387.22364896769</v>
      </c>
      <c r="I130" s="291">
        <f>DIST_ALC_LEV!AD22</f>
        <v>19994.7549449281</v>
      </c>
      <c r="J130" s="291">
        <f>DIST_DSL_CAM!K29</f>
        <v>59024.123181141294</v>
      </c>
      <c r="K130" s="291">
        <f>DIST_DSL_CAM!L29</f>
        <v>37599.876818858706</v>
      </c>
      <c r="L130" s="291">
        <f>DIST_DSL_CAM!M29</f>
        <v>14986</v>
      </c>
      <c r="M130" s="291">
        <f>DIST_DSL_ONI!K29</f>
        <v>20072</v>
      </c>
      <c r="N130" s="291">
        <f>DIST_DSL_ONI!L29</f>
        <v>24767.563695711309</v>
      </c>
      <c r="O130" s="291">
        <f>DIST_DSL_ONI!M29</f>
        <v>5652.4363042886935</v>
      </c>
      <c r="P130" s="291">
        <f>DIST_DSL_LEV!K22</f>
        <v>2209.9232626529702</v>
      </c>
      <c r="Q130" s="291">
        <f>DIST_DSL_LEV!L22</f>
        <v>104429.44334326306</v>
      </c>
      <c r="R130" s="291">
        <f>GNV!E15</f>
        <v>58122.55857153143</v>
      </c>
      <c r="T130" s="2">
        <f t="shared" si="54"/>
        <v>1536525.6398213243</v>
      </c>
      <c r="U130" s="2">
        <f t="shared" si="55"/>
        <v>971794</v>
      </c>
      <c r="V130" s="2">
        <f t="shared" si="56"/>
        <v>111610</v>
      </c>
      <c r="W130" s="2">
        <f t="shared" si="57"/>
        <v>50492</v>
      </c>
      <c r="X130" s="2">
        <f>DEN!C122+DEN!F122+DEN!G122+DEN!L122</f>
        <v>1534691</v>
      </c>
      <c r="Y130" s="2">
        <f>DEN!I122+DEN!J122</f>
        <v>971794</v>
      </c>
      <c r="Z130" s="2">
        <f>DEN!D122+DEN!E122</f>
        <v>111610</v>
      </c>
      <c r="AA130" s="2">
        <f>DEN!H122+DEN!K122</f>
        <v>50492</v>
      </c>
      <c r="AB130" s="562" t="str">
        <f t="shared" si="58"/>
        <v>ERRO</v>
      </c>
      <c r="AC130" s="562" t="str">
        <f t="shared" si="50"/>
        <v>OK</v>
      </c>
      <c r="AD130" s="562" t="str">
        <f t="shared" si="51"/>
        <v>OK</v>
      </c>
      <c r="AE130" s="562" t="str">
        <f t="shared" si="52"/>
        <v>OK</v>
      </c>
      <c r="AF130" s="774">
        <f>COMB_CORR!J14/FRO_TOT!T130</f>
        <v>147.78762030217689</v>
      </c>
      <c r="AG130" s="781">
        <f t="shared" si="59"/>
        <v>0.63474430506341595</v>
      </c>
      <c r="AH130" s="3">
        <v>0.6256086851471927</v>
      </c>
      <c r="AJ130" s="742">
        <f t="shared" si="32"/>
        <v>1834.6398213242646</v>
      </c>
      <c r="AK130" s="742">
        <v>-33929.45246573654</v>
      </c>
    </row>
    <row r="131" spans="1:37">
      <c r="A131" s="127" t="s">
        <v>23</v>
      </c>
      <c r="B131" s="291">
        <f>DIST_GAS_LEV!Q23-AK131</f>
        <v>640875.24051922956</v>
      </c>
      <c r="C131" s="291">
        <f>DIST_GAS_LEV!AI23</f>
        <v>87572.877050472598</v>
      </c>
      <c r="D131" s="291">
        <f>DIST_GAS_MOT!N24</f>
        <v>96282</v>
      </c>
      <c r="E131" s="291">
        <f>DIST_GAS_MOT!O24</f>
        <v>845809.00082188332</v>
      </c>
      <c r="F131" s="291">
        <f>DIST_GAS_MOT!P24</f>
        <v>27252.100089787251</v>
      </c>
      <c r="G131" s="291">
        <f>DIST_GAS_MOT!Q24</f>
        <v>12102.899088329457</v>
      </c>
      <c r="H131" s="291">
        <f>DIST_ALC_LEV!M23</f>
        <v>86395.9736651204</v>
      </c>
      <c r="I131" s="291">
        <f>DIST_ALC_LEV!AD23</f>
        <v>10894.232761791574</v>
      </c>
      <c r="J131" s="291">
        <f>DIST_DSL_CAM!K30</f>
        <v>33911.671784084552</v>
      </c>
      <c r="K131" s="291">
        <f>DIST_DSL_CAM!L30</f>
        <v>21602.328215915451</v>
      </c>
      <c r="L131" s="291">
        <f>DIST_DSL_CAM!M30</f>
        <v>5916</v>
      </c>
      <c r="M131" s="291">
        <f>DIST_DSL_ONI!K30</f>
        <v>8165</v>
      </c>
      <c r="N131" s="291">
        <f>DIST_DSL_ONI!L30</f>
        <v>9961.0365403450614</v>
      </c>
      <c r="O131" s="291">
        <f>DIST_DSL_ONI!M30</f>
        <v>2272.9634596549386</v>
      </c>
      <c r="P131" s="291">
        <f>DIST_DSL_LEV!K23</f>
        <v>2070.9859158733216</v>
      </c>
      <c r="Q131" s="291">
        <f>DIST_DSL_LEV!L23</f>
        <v>80788.642619215039</v>
      </c>
      <c r="R131" s="291">
        <f>GNV!E16</f>
        <v>41928.013571891424</v>
      </c>
      <c r="T131" s="2">
        <f t="shared" si="54"/>
        <v>950525.96610359405</v>
      </c>
      <c r="U131" s="2">
        <f t="shared" si="55"/>
        <v>981446</v>
      </c>
      <c r="V131" s="2">
        <f t="shared" si="56"/>
        <v>61430</v>
      </c>
      <c r="W131" s="2">
        <f t="shared" si="57"/>
        <v>20399</v>
      </c>
      <c r="X131" s="2">
        <f>DEN!C123+DEN!F123+DEN!G123+DEN!L123</f>
        <v>948830</v>
      </c>
      <c r="Y131" s="2">
        <f>DEN!I123+DEN!J123</f>
        <v>981446</v>
      </c>
      <c r="Z131" s="2">
        <f>DEN!D123+DEN!E123</f>
        <v>61430</v>
      </c>
      <c r="AA131" s="2">
        <f>DEN!H123+DEN!K123</f>
        <v>20399</v>
      </c>
      <c r="AB131" s="562" t="str">
        <f t="shared" si="58"/>
        <v>ERRO</v>
      </c>
      <c r="AC131" s="562" t="str">
        <f t="shared" si="50"/>
        <v>OK</v>
      </c>
      <c r="AD131" s="562" t="str">
        <f t="shared" si="51"/>
        <v>OK</v>
      </c>
      <c r="AE131" s="562" t="str">
        <f t="shared" si="52"/>
        <v>OK</v>
      </c>
      <c r="AF131" s="774">
        <f>COMB_CORR!J15/FRO_TOT!T131</f>
        <v>112.93539022943229</v>
      </c>
      <c r="AG131" s="781">
        <f t="shared" si="59"/>
        <v>0.48505480798509604</v>
      </c>
      <c r="AH131" s="3">
        <v>0.47926121838603197</v>
      </c>
      <c r="AJ131" s="742">
        <f t="shared" si="32"/>
        <v>1695.9661035940517</v>
      </c>
      <c r="AK131" s="742">
        <v>-32274.293798933271</v>
      </c>
    </row>
    <row r="132" spans="1:37">
      <c r="A132" s="127" t="s">
        <v>24</v>
      </c>
      <c r="B132" s="291">
        <f>DIST_GAS_LEV!Q24-AK132</f>
        <v>280950.37093322555</v>
      </c>
      <c r="C132" s="291">
        <f>DIST_GAS_LEV!AI24</f>
        <v>54055.252038181759</v>
      </c>
      <c r="D132" s="291">
        <f>DIST_GAS_MOT!N25</f>
        <v>82294</v>
      </c>
      <c r="E132" s="291">
        <f>DIST_GAS_MOT!O25</f>
        <v>469101.39381083549</v>
      </c>
      <c r="F132" s="291">
        <f>DIST_GAS_MOT!P25</f>
        <v>15114.465917171077</v>
      </c>
      <c r="G132" s="291">
        <f>DIST_GAS_MOT!Q25</f>
        <v>6713.140271993404</v>
      </c>
      <c r="H132" s="291">
        <f>DIST_ALC_LEV!M24</f>
        <v>9365.4570087044267</v>
      </c>
      <c r="I132" s="291">
        <f>DIST_ALC_LEV!AD24</f>
        <v>1739.6508323205824</v>
      </c>
      <c r="J132" s="291">
        <f>DIST_DSL_CAM!K31</f>
        <v>17915.584602395324</v>
      </c>
      <c r="K132" s="291">
        <f>DIST_DSL_CAM!L31</f>
        <v>11412.415397604678</v>
      </c>
      <c r="L132" s="291">
        <f>DIST_DSL_CAM!M31</f>
        <v>2165</v>
      </c>
      <c r="M132" s="291">
        <f>DIST_DSL_ONI!K31</f>
        <v>3719</v>
      </c>
      <c r="N132" s="291">
        <f>DIST_DSL_ONI!L31</f>
        <v>4851.4348661836466</v>
      </c>
      <c r="O132" s="291">
        <f>DIST_DSL_ONI!M31</f>
        <v>1107.5651338163536</v>
      </c>
      <c r="P132" s="291">
        <f>DIST_DSL_LEV!K24</f>
        <v>583.22940408873433</v>
      </c>
      <c r="Q132" s="291">
        <f>DIST_DSL_LEV!L24</f>
        <v>32979.314526065347</v>
      </c>
      <c r="R132" s="291">
        <f>GNV!E17</f>
        <v>84.5</v>
      </c>
      <c r="T132" s="2">
        <f t="shared" si="54"/>
        <v>379757.77474258642</v>
      </c>
      <c r="U132" s="2">
        <f t="shared" si="55"/>
        <v>573222.99999999988</v>
      </c>
      <c r="V132" s="2">
        <f t="shared" si="56"/>
        <v>31493</v>
      </c>
      <c r="W132" s="2">
        <f t="shared" si="57"/>
        <v>9678</v>
      </c>
      <c r="X132" s="2">
        <f>DEN!C124+DEN!F124+DEN!G124+DEN!L124</f>
        <v>379440</v>
      </c>
      <c r="Y132" s="2">
        <f>DEN!I124+DEN!J124</f>
        <v>573223</v>
      </c>
      <c r="Z132" s="2">
        <f>DEN!D124+DEN!E124</f>
        <v>31493</v>
      </c>
      <c r="AA132" s="2">
        <f>DEN!H124+DEN!K124</f>
        <v>9678</v>
      </c>
      <c r="AB132" s="562" t="str">
        <f t="shared" si="58"/>
        <v>ERRO</v>
      </c>
      <c r="AC132" s="562" t="str">
        <f t="shared" si="50"/>
        <v>OK</v>
      </c>
      <c r="AD132" s="562" t="str">
        <f t="shared" si="51"/>
        <v>OK</v>
      </c>
      <c r="AE132" s="562" t="str">
        <f t="shared" si="52"/>
        <v>OK</v>
      </c>
      <c r="AF132" s="774">
        <f>COMB_CORR!J16/FRO_TOT!T132</f>
        <v>72.131988347285144</v>
      </c>
      <c r="AG132" s="781">
        <f t="shared" si="59"/>
        <v>0.30980516989666634</v>
      </c>
      <c r="AH132" s="3">
        <v>0.30316212799969861</v>
      </c>
      <c r="AJ132" s="742">
        <f t="shared" si="32"/>
        <v>317.77474258642178</v>
      </c>
      <c r="AK132" s="742">
        <v>-5324.094140679168</v>
      </c>
    </row>
    <row r="133" spans="1:37">
      <c r="A133" s="127" t="s">
        <v>25</v>
      </c>
      <c r="B133" s="291">
        <f>DIST_GAS_LEV!Q25-AK133</f>
        <v>307773.43641205976</v>
      </c>
      <c r="C133" s="291">
        <f>DIST_GAS_LEV!AI25</f>
        <v>41285.531179952515</v>
      </c>
      <c r="D133" s="291">
        <f>DIST_GAS_MOT!N26</f>
        <v>43445</v>
      </c>
      <c r="E133" s="291">
        <f>DIST_GAS_MOT!O26</f>
        <v>304564.7504863909</v>
      </c>
      <c r="F133" s="291">
        <f>DIST_GAS_MOT!P26</f>
        <v>9813.3502267947188</v>
      </c>
      <c r="G133" s="291">
        <f>DIST_GAS_MOT!Q26</f>
        <v>4357.8992868143714</v>
      </c>
      <c r="H133" s="291">
        <f>DIST_ALC_LEV!M25</f>
        <v>33614.908623379721</v>
      </c>
      <c r="I133" s="291">
        <f>DIST_ALC_LEV!AD25</f>
        <v>4093.4774164989867</v>
      </c>
      <c r="J133" s="291">
        <f>DIST_DSL_CAM!K32</f>
        <v>14362.884987990392</v>
      </c>
      <c r="K133" s="291">
        <f>DIST_DSL_CAM!L32</f>
        <v>9150.1150120096081</v>
      </c>
      <c r="L133" s="291">
        <f>DIST_DSL_CAM!M32</f>
        <v>2004</v>
      </c>
      <c r="M133" s="291">
        <f>DIST_DSL_ONI!K32</f>
        <v>3440</v>
      </c>
      <c r="N133" s="291">
        <f>DIST_DSL_ONI!L32</f>
        <v>4211.7128263337117</v>
      </c>
      <c r="O133" s="291">
        <f>DIST_DSL_ONI!M32</f>
        <v>961.28717366628825</v>
      </c>
      <c r="P133" s="291">
        <f>DIST_DSL_LEV!K25</f>
        <v>721.92956640913883</v>
      </c>
      <c r="Q133" s="291">
        <f>DIST_DSL_LEV!L25</f>
        <v>27637.009153318078</v>
      </c>
      <c r="R133" s="291">
        <f>GNV!E18</f>
        <v>19263</v>
      </c>
      <c r="T133" s="2">
        <f t="shared" si="54"/>
        <v>434389.29235161818</v>
      </c>
      <c r="U133" s="2">
        <f t="shared" si="55"/>
        <v>362181</v>
      </c>
      <c r="V133" s="2">
        <f t="shared" si="56"/>
        <v>25517</v>
      </c>
      <c r="W133" s="2">
        <f t="shared" si="57"/>
        <v>8613</v>
      </c>
      <c r="X133" s="2">
        <f>DEN!C125+DEN!F125+DEN!G125+DEN!L125</f>
        <v>433717</v>
      </c>
      <c r="Y133" s="2">
        <f>DEN!I125+DEN!J125</f>
        <v>362181</v>
      </c>
      <c r="Z133" s="2">
        <f>DEN!D125+DEN!E125</f>
        <v>25517</v>
      </c>
      <c r="AA133" s="2">
        <f>DEN!H125+DEN!K125</f>
        <v>8613</v>
      </c>
      <c r="AB133" s="562" t="str">
        <f t="shared" si="58"/>
        <v>ERRO</v>
      </c>
      <c r="AC133" s="562" t="str">
        <f t="shared" si="50"/>
        <v>OK</v>
      </c>
      <c r="AD133" s="562" t="str">
        <f t="shared" si="51"/>
        <v>OK</v>
      </c>
      <c r="AE133" s="562" t="str">
        <f t="shared" si="52"/>
        <v>OK</v>
      </c>
      <c r="AF133" s="774">
        <f>COMB_CORR!J17/FRO_TOT!T133</f>
        <v>118.29310648672136</v>
      </c>
      <c r="AG133" s="781">
        <f t="shared" si="59"/>
        <v>0.50806607155038275</v>
      </c>
      <c r="AH133" s="3">
        <v>0.50531114169015112</v>
      </c>
      <c r="AJ133" s="742">
        <f t="shared" si="32"/>
        <v>672.29235161817633</v>
      </c>
      <c r="AK133" s="742">
        <v>-14642.828159459808</v>
      </c>
    </row>
    <row r="134" spans="1:37">
      <c r="A134" s="127" t="s">
        <v>26</v>
      </c>
      <c r="B134" s="291">
        <f>DIST_GAS_LEV!Q26-AK134</f>
        <v>781364.19509257551</v>
      </c>
      <c r="C134" s="291">
        <f>DIST_GAS_LEV!AI26</f>
        <v>110096.89761050578</v>
      </c>
      <c r="D134" s="291">
        <f>DIST_GAS_MOT!N27</f>
        <v>69085</v>
      </c>
      <c r="E134" s="291">
        <f>DIST_GAS_MOT!O27</f>
        <v>686964.14461857488</v>
      </c>
      <c r="F134" s="291">
        <f>DIST_GAS_MOT!P27</f>
        <v>22134.185569471072</v>
      </c>
      <c r="G134" s="291">
        <f>DIST_GAS_MOT!Q27</f>
        <v>9829.6698119540815</v>
      </c>
      <c r="H134" s="291">
        <f>DIST_ALC_LEV!M26</f>
        <v>138348.09201099543</v>
      </c>
      <c r="I134" s="291">
        <f>DIST_ALC_LEV!AD26</f>
        <v>17517.634374729896</v>
      </c>
      <c r="J134" s="291">
        <f>DIST_DSL_CAM!K33</f>
        <v>47135.404655537262</v>
      </c>
      <c r="K134" s="291">
        <f>DIST_DSL_CAM!L33</f>
        <v>30026.59534446273</v>
      </c>
      <c r="L134" s="291">
        <f>DIST_DSL_CAM!M33</f>
        <v>8860</v>
      </c>
      <c r="M134" s="291">
        <f>DIST_DSL_ONI!K33</f>
        <v>12997</v>
      </c>
      <c r="N134" s="291">
        <f>DIST_DSL_ONI!L33</f>
        <v>13075.186934389139</v>
      </c>
      <c r="O134" s="291">
        <f>DIST_DSL_ONI!M33</f>
        <v>2983.8130656108597</v>
      </c>
      <c r="P134" s="291">
        <f>DIST_DSL_LEV!K26</f>
        <v>1550.4630410016377</v>
      </c>
      <c r="Q134" s="291">
        <f>DIST_DSL_LEV!L26</f>
        <v>61772.336791878988</v>
      </c>
      <c r="R134" s="291">
        <f>GNV!E19</f>
        <v>45547.995968032257</v>
      </c>
      <c r="T134" s="2">
        <f t="shared" si="54"/>
        <v>1156197.6148897195</v>
      </c>
      <c r="U134" s="2">
        <f t="shared" si="55"/>
        <v>788013</v>
      </c>
      <c r="V134" s="2">
        <f t="shared" si="56"/>
        <v>86022</v>
      </c>
      <c r="W134" s="2">
        <f t="shared" si="57"/>
        <v>29055.999999999996</v>
      </c>
      <c r="X134" s="2">
        <f>DEN!C126+DEN!F126+DEN!G126+DEN!L126</f>
        <v>1154834</v>
      </c>
      <c r="Y134" s="2">
        <f>DEN!I126+DEN!J126</f>
        <v>788013</v>
      </c>
      <c r="Z134" s="2">
        <f>DEN!D126+DEN!E126</f>
        <v>86022</v>
      </c>
      <c r="AA134" s="2">
        <f>DEN!H126+DEN!K126</f>
        <v>29056</v>
      </c>
      <c r="AB134" s="562" t="str">
        <f t="shared" si="58"/>
        <v>ERRO</v>
      </c>
      <c r="AC134" s="562" t="str">
        <f t="shared" si="50"/>
        <v>OK</v>
      </c>
      <c r="AD134" s="562" t="str">
        <f t="shared" si="51"/>
        <v>OK</v>
      </c>
      <c r="AE134" s="562" t="str">
        <f t="shared" si="52"/>
        <v>OK</v>
      </c>
      <c r="AF134" s="774">
        <f>COMB_CORR!J18/FRO_TOT!T134</f>
        <v>162.34139702531249</v>
      </c>
      <c r="AG134" s="781">
        <f t="shared" si="59"/>
        <v>0.69725242904082563</v>
      </c>
      <c r="AH134" s="3">
        <v>0.69113564275174488</v>
      </c>
      <c r="AJ134" s="742">
        <f t="shared" ref="AJ134:AJ189" si="61">T134-X134</f>
        <v>1363.6148897195235</v>
      </c>
      <c r="AK134" s="742">
        <v>-28231.070902433246</v>
      </c>
    </row>
    <row r="135" spans="1:37">
      <c r="A135" s="127" t="s">
        <v>27</v>
      </c>
      <c r="B135" s="291">
        <f>DIST_GAS_LEV!Q27-AK135</f>
        <v>204220.55273656428</v>
      </c>
      <c r="C135" s="291">
        <f>DIST_GAS_LEV!AI27</f>
        <v>27489.474691061525</v>
      </c>
      <c r="D135" s="291">
        <f>DIST_GAS_MOT!N28</f>
        <v>57214</v>
      </c>
      <c r="E135" s="291">
        <f>DIST_GAS_MOT!O28</f>
        <v>328799.08246649941</v>
      </c>
      <c r="F135" s="291">
        <f>DIST_GAS_MOT!P28</f>
        <v>10594.055171429154</v>
      </c>
      <c r="G135" s="291">
        <f>DIST_GAS_MOT!Q28</f>
        <v>4704.862362071427</v>
      </c>
      <c r="H135" s="291">
        <f>DIST_ALC_LEV!M27</f>
        <v>12537.687433172203</v>
      </c>
      <c r="I135" s="291">
        <f>DIST_ALC_LEV!AD27</f>
        <v>1681.2313818939517</v>
      </c>
      <c r="J135" s="291">
        <f>DIST_DSL_CAM!K34</f>
        <v>11861.877156594701</v>
      </c>
      <c r="K135" s="291">
        <f>DIST_DSL_CAM!L34</f>
        <v>7556.1228434052991</v>
      </c>
      <c r="L135" s="291">
        <f>DIST_DSL_CAM!M34</f>
        <v>1499</v>
      </c>
      <c r="M135" s="291">
        <f>DIST_DSL_ONI!K34</f>
        <v>2160</v>
      </c>
      <c r="N135" s="291">
        <f>DIST_DSL_ONI!L34</f>
        <v>3317.6991150442482</v>
      </c>
      <c r="O135" s="291">
        <f>DIST_DSL_ONI!M34</f>
        <v>757.30088495575228</v>
      </c>
      <c r="P135" s="291">
        <f>DIST_DSL_LEV!K27</f>
        <v>740.14818130901574</v>
      </c>
      <c r="Q135" s="291">
        <f>DIST_DSL_LEV!L27</f>
        <v>30769.692830445121</v>
      </c>
      <c r="R135" s="291">
        <f>GNV!E20</f>
        <v>370</v>
      </c>
      <c r="T135" s="2">
        <f t="shared" si="54"/>
        <v>277808.78725444607</v>
      </c>
      <c r="U135" s="2">
        <f t="shared" si="55"/>
        <v>401312</v>
      </c>
      <c r="V135" s="2">
        <f t="shared" si="56"/>
        <v>20917</v>
      </c>
      <c r="W135" s="2">
        <f t="shared" si="57"/>
        <v>6235</v>
      </c>
      <c r="X135" s="2">
        <f>DEN!C127+DEN!F127+DEN!G127+DEN!L127</f>
        <v>277065</v>
      </c>
      <c r="Y135" s="2">
        <f>DEN!I127+DEN!J127</f>
        <v>401312</v>
      </c>
      <c r="Z135" s="2">
        <f>DEN!D127+DEN!E127</f>
        <v>20917</v>
      </c>
      <c r="AA135" s="2">
        <f>DEN!H127+DEN!K127</f>
        <v>6235</v>
      </c>
      <c r="AB135" s="562" t="str">
        <f t="shared" si="58"/>
        <v>ERRO</v>
      </c>
      <c r="AC135" s="562" t="str">
        <f t="shared" si="50"/>
        <v>OK</v>
      </c>
      <c r="AD135" s="562" t="str">
        <f t="shared" si="51"/>
        <v>OK</v>
      </c>
      <c r="AE135" s="562" t="str">
        <f t="shared" si="52"/>
        <v>OK</v>
      </c>
      <c r="AF135" s="774">
        <f>COMB_CORR!J19/FRO_TOT!T135</f>
        <v>66.101900559686925</v>
      </c>
      <c r="AG135" s="781">
        <f t="shared" si="59"/>
        <v>0.2839060866420316</v>
      </c>
      <c r="AH135" s="3">
        <v>0.27780111449407646</v>
      </c>
      <c r="AJ135" s="742">
        <f t="shared" si="61"/>
        <v>743.78725444606971</v>
      </c>
      <c r="AK135" s="742">
        <v>-11978.968587826355</v>
      </c>
    </row>
    <row r="136" spans="1:37" ht="25.5">
      <c r="A136" s="127" t="s">
        <v>28</v>
      </c>
      <c r="B136" s="291">
        <f>DIST_GAS_LEV!Q28-AK136</f>
        <v>304399.93799848144</v>
      </c>
      <c r="C136" s="291">
        <f>DIST_GAS_LEV!AI28</f>
        <v>46411.805790434162</v>
      </c>
      <c r="D136" s="291">
        <f>DIST_GAS_MOT!N29</f>
        <v>39933</v>
      </c>
      <c r="E136" s="291">
        <f>DIST_GAS_MOT!O29</f>
        <v>284947.54231917951</v>
      </c>
      <c r="F136" s="291">
        <f>DIST_GAS_MOT!P29</f>
        <v>9181.0167507739279</v>
      </c>
      <c r="G136" s="291">
        <f>DIST_GAS_MOT!Q29</f>
        <v>4077.4409300465873</v>
      </c>
      <c r="H136" s="291">
        <f>DIST_ALC_LEV!M28</f>
        <v>33512.703148349814</v>
      </c>
      <c r="I136" s="291">
        <f>DIST_ALC_LEV!AD28</f>
        <v>4313.2456877510594</v>
      </c>
      <c r="J136" s="291">
        <f>DIST_DSL_CAM!K35</f>
        <v>15068.360227142803</v>
      </c>
      <c r="K136" s="291">
        <f>DIST_DSL_CAM!L35</f>
        <v>9599.6397728571974</v>
      </c>
      <c r="L136" s="291">
        <f>DIST_DSL_CAM!M35</f>
        <v>2106</v>
      </c>
      <c r="M136" s="291">
        <f>DIST_DSL_ONI!K35</f>
        <v>3836</v>
      </c>
      <c r="N136" s="291">
        <f>DIST_DSL_ONI!L35</f>
        <v>4151.9626491440431</v>
      </c>
      <c r="O136" s="291">
        <f>DIST_DSL_ONI!M35</f>
        <v>948.03735085595713</v>
      </c>
      <c r="P136" s="291">
        <f>DIST_DSL_LEV!K28</f>
        <v>729.58312381739233</v>
      </c>
      <c r="Q136" s="291">
        <f>DIST_DSL_LEV!L28</f>
        <v>29658.59993135526</v>
      </c>
      <c r="R136" s="291">
        <f>GNV!E21</f>
        <v>41361.097811217507</v>
      </c>
      <c r="T136" s="2">
        <f t="shared" si="54"/>
        <v>460386.97349140665</v>
      </c>
      <c r="U136" s="2">
        <f t="shared" si="55"/>
        <v>338139.00000000006</v>
      </c>
      <c r="V136" s="2">
        <f t="shared" si="56"/>
        <v>26774</v>
      </c>
      <c r="W136" s="2">
        <f t="shared" si="57"/>
        <v>8936</v>
      </c>
      <c r="X136" s="2">
        <f>DEN!C128+DEN!F128+DEN!G128+DEN!L128</f>
        <v>459560</v>
      </c>
      <c r="Y136" s="2">
        <f>DEN!I128+DEN!J128</f>
        <v>338139</v>
      </c>
      <c r="Z136" s="2">
        <f>DEN!D128+DEN!E128</f>
        <v>26774</v>
      </c>
      <c r="AA136" s="2">
        <f>DEN!H128+DEN!K128</f>
        <v>8936</v>
      </c>
      <c r="AB136" s="562" t="str">
        <f t="shared" si="58"/>
        <v>ERRO</v>
      </c>
      <c r="AC136" s="562" t="str">
        <f t="shared" si="50"/>
        <v>OK</v>
      </c>
      <c r="AD136" s="562" t="str">
        <f t="shared" si="51"/>
        <v>OK</v>
      </c>
      <c r="AE136" s="562" t="str">
        <f t="shared" si="52"/>
        <v>OK</v>
      </c>
      <c r="AF136" s="774">
        <f>COMB_CORR!J20/FRO_TOT!T136</f>
        <v>114.94232442494045</v>
      </c>
      <c r="AG136" s="781">
        <f t="shared" si="59"/>
        <v>0.49367454249757514</v>
      </c>
      <c r="AH136" s="3">
        <v>0.4893870924807141</v>
      </c>
      <c r="AJ136" s="742">
        <f t="shared" si="61"/>
        <v>826.97349140665028</v>
      </c>
      <c r="AK136" s="742">
        <v>-16808.376486058231</v>
      </c>
    </row>
    <row r="137" spans="1:37" ht="15.75" thickBot="1">
      <c r="A137" s="128" t="s">
        <v>29</v>
      </c>
      <c r="B137" s="291">
        <f>DIST_GAS_LEV!Q29-AK137</f>
        <v>196591.20179092773</v>
      </c>
      <c r="C137" s="291">
        <f>DIST_GAS_LEV!AI29</f>
        <v>23994.75088987458</v>
      </c>
      <c r="D137" s="291">
        <f>DIST_GAS_MOT!N30</f>
        <v>27484</v>
      </c>
      <c r="E137" s="291">
        <f>DIST_GAS_MOT!O30</f>
        <v>158848.51230800914</v>
      </c>
      <c r="F137" s="291">
        <f>DIST_GAS_MOT!P30</f>
        <v>5118.3619671136066</v>
      </c>
      <c r="G137" s="291">
        <f>DIST_GAS_MOT!Q30</f>
        <v>2273.1257248772454</v>
      </c>
      <c r="H137" s="291">
        <f>DIST_ALC_LEV!M29</f>
        <v>16717.244681716387</v>
      </c>
      <c r="I137" s="291">
        <f>DIST_ALC_LEV!AD29</f>
        <v>1803.5204718295427</v>
      </c>
      <c r="J137" s="291">
        <f>DIST_DSL_CAM!K36</f>
        <v>10849.033091202582</v>
      </c>
      <c r="K137" s="291">
        <f>DIST_DSL_CAM!L36</f>
        <v>6910.9669087974171</v>
      </c>
      <c r="L137" s="291">
        <f>DIST_DSL_CAM!M36</f>
        <v>1489</v>
      </c>
      <c r="M137" s="291">
        <f>DIST_DSL_ONI!K36</f>
        <v>2802</v>
      </c>
      <c r="N137" s="291">
        <f>DIST_DSL_ONI!L36</f>
        <v>4084.2067316534853</v>
      </c>
      <c r="O137" s="291">
        <f>DIST_DSL_ONI!M36</f>
        <v>931.79326834651454</v>
      </c>
      <c r="P137" s="291">
        <f>DIST_DSL_LEV!K29</f>
        <v>343.40739072552037</v>
      </c>
      <c r="Q137" s="291">
        <f>DIST_DSL_LEV!L29</f>
        <v>11641.251424842289</v>
      </c>
      <c r="R137" s="291">
        <f>GNV!E22</f>
        <v>20136</v>
      </c>
      <c r="T137" s="2">
        <f t="shared" si="54"/>
        <v>271227.37664991606</v>
      </c>
      <c r="U137" s="2">
        <f t="shared" si="55"/>
        <v>193724</v>
      </c>
      <c r="V137" s="2">
        <f t="shared" si="56"/>
        <v>19249</v>
      </c>
      <c r="W137" s="2">
        <f t="shared" si="57"/>
        <v>7817.9999999999991</v>
      </c>
      <c r="X137" s="2">
        <f>DEN!C129+DEN!F129+DEN!G129+DEN!L129</f>
        <v>270651</v>
      </c>
      <c r="Y137" s="2">
        <f>DEN!I129+DEN!J129</f>
        <v>193724</v>
      </c>
      <c r="Z137" s="2">
        <f>DEN!D129+DEN!E129</f>
        <v>19249</v>
      </c>
      <c r="AA137" s="2">
        <f>DEN!H129+DEN!K129</f>
        <v>7818</v>
      </c>
      <c r="AB137" s="562" t="str">
        <f t="shared" si="58"/>
        <v>ERRO</v>
      </c>
      <c r="AC137" s="562" t="str">
        <f t="shared" si="50"/>
        <v>OK</v>
      </c>
      <c r="AD137" s="562" t="str">
        <f t="shared" si="51"/>
        <v>OK</v>
      </c>
      <c r="AE137" s="562" t="str">
        <f t="shared" si="52"/>
        <v>OK</v>
      </c>
      <c r="AF137" s="774">
        <f>COMB_CORR!J21/FRO_TOT!T137</f>
        <v>89.489904692020929</v>
      </c>
      <c r="AG137" s="781">
        <f t="shared" si="59"/>
        <v>0.38435700668150924</v>
      </c>
      <c r="AH137" s="3">
        <v>0.38122508810728567</v>
      </c>
      <c r="AJ137" s="742">
        <f t="shared" si="61"/>
        <v>576.37664991605561</v>
      </c>
      <c r="AK137" s="742">
        <v>-11867.559794301051</v>
      </c>
    </row>
    <row r="138" spans="1:37">
      <c r="A138" s="269" t="s">
        <v>64</v>
      </c>
      <c r="B138" s="291">
        <f t="shared" ref="B138:Q138" si="62">SUM(B139:B142)</f>
        <v>15975225.826559726</v>
      </c>
      <c r="C138" s="291">
        <f t="shared" si="62"/>
        <v>2447215.4691987061</v>
      </c>
      <c r="D138" s="291">
        <f t="shared" si="62"/>
        <v>1005946</v>
      </c>
      <c r="E138" s="291">
        <f t="shared" si="62"/>
        <v>6360724.0985139394</v>
      </c>
      <c r="F138" s="291">
        <f t="shared" si="62"/>
        <v>204943.01219302716</v>
      </c>
      <c r="G138" s="291">
        <f t="shared" si="62"/>
        <v>91016.889293033106</v>
      </c>
      <c r="H138" s="291">
        <f t="shared" si="62"/>
        <v>5716217.4872229071</v>
      </c>
      <c r="I138" s="291">
        <f t="shared" si="62"/>
        <v>681538.89305093605</v>
      </c>
      <c r="J138" s="291">
        <f t="shared" si="62"/>
        <v>659965.46709604887</v>
      </c>
      <c r="K138" s="291">
        <f t="shared" si="62"/>
        <v>420412.53290395119</v>
      </c>
      <c r="L138" s="291">
        <f t="shared" si="62"/>
        <v>207495</v>
      </c>
      <c r="M138" s="291">
        <f t="shared" si="62"/>
        <v>174126</v>
      </c>
      <c r="N138" s="291">
        <f t="shared" si="62"/>
        <v>207022.89828751457</v>
      </c>
      <c r="O138" s="291">
        <f t="shared" si="62"/>
        <v>47249.101712485426</v>
      </c>
      <c r="P138" s="291">
        <f t="shared" si="62"/>
        <v>19036.025807252929</v>
      </c>
      <c r="Q138" s="291">
        <f t="shared" si="62"/>
        <v>741337.1149486131</v>
      </c>
      <c r="R138" s="291">
        <f>GNV!E23</f>
        <v>1271505.6883504931</v>
      </c>
      <c r="T138" s="2">
        <f t="shared" si="54"/>
        <v>26852076.505138636</v>
      </c>
      <c r="U138" s="2">
        <f t="shared" si="55"/>
        <v>7662629.9999999991</v>
      </c>
      <c r="V138" s="2">
        <f t="shared" si="56"/>
        <v>1287873</v>
      </c>
      <c r="W138" s="2">
        <f t="shared" si="57"/>
        <v>428398</v>
      </c>
      <c r="X138" s="2">
        <f>DEN!C130+DEN!F130+DEN!G130+DEN!L130</f>
        <v>26872686</v>
      </c>
      <c r="Y138" s="2">
        <f>DEN!I130+DEN!J130</f>
        <v>7662630</v>
      </c>
      <c r="Z138" s="2">
        <f>DEN!D130+DEN!E130</f>
        <v>1287873</v>
      </c>
      <c r="AA138" s="2">
        <f>DEN!H130+DEN!K130</f>
        <v>428398</v>
      </c>
      <c r="AB138" s="562" t="str">
        <f t="shared" si="58"/>
        <v>ERRO</v>
      </c>
      <c r="AC138" s="562" t="str">
        <f t="shared" si="50"/>
        <v>OK</v>
      </c>
      <c r="AD138" s="562" t="str">
        <f t="shared" si="51"/>
        <v>OK</v>
      </c>
      <c r="AE138" s="562" t="str">
        <f t="shared" si="52"/>
        <v>OK</v>
      </c>
      <c r="AF138" s="774"/>
      <c r="AG138" s="781"/>
      <c r="AJ138" s="742"/>
      <c r="AK138" s="742"/>
    </row>
    <row r="139" spans="1:37">
      <c r="A139" s="127" t="s">
        <v>31</v>
      </c>
      <c r="B139" s="291">
        <f>DIST_GAS_LEV!Q31-AK139</f>
        <v>652465.20895458583</v>
      </c>
      <c r="C139" s="291">
        <f>DIST_GAS_LEV!AI31</f>
        <v>95710.804843254329</v>
      </c>
      <c r="D139" s="291">
        <f>DIST_GAS_MOT!N32</f>
        <v>72700</v>
      </c>
      <c r="E139" s="291">
        <f>DIST_GAS_MOT!O32</f>
        <v>323829.83986729517</v>
      </c>
      <c r="F139" s="291">
        <f>DIST_GAS_MOT!P32</f>
        <v>10433.465706965362</v>
      </c>
      <c r="G139" s="291">
        <f>DIST_GAS_MOT!Q32</f>
        <v>4633.6944257394844</v>
      </c>
      <c r="H139" s="291">
        <f>DIST_ALC_LEV!M31</f>
        <v>35637.078698430065</v>
      </c>
      <c r="I139" s="291">
        <f>DIST_ALC_LEV!AD31</f>
        <v>4870.80818332951</v>
      </c>
      <c r="J139" s="291">
        <f>DIST_DSL_CAM!K38</f>
        <v>36502.977056483687</v>
      </c>
      <c r="K139" s="291">
        <f>DIST_DSL_CAM!L38</f>
        <v>23253.022943516309</v>
      </c>
      <c r="L139" s="291">
        <f>DIST_DSL_CAM!M38</f>
        <v>15031</v>
      </c>
      <c r="M139" s="291">
        <f>DIST_DSL_ONI!K38</f>
        <v>6008</v>
      </c>
      <c r="N139" s="291">
        <f>DIST_DSL_ONI!L38</f>
        <v>10670.537270814548</v>
      </c>
      <c r="O139" s="291">
        <f>DIST_DSL_ONI!M38</f>
        <v>2435.4627291854522</v>
      </c>
      <c r="P139" s="291">
        <f>DIST_DSL_LEV!K31</f>
        <v>1224.1388983403274</v>
      </c>
      <c r="Q139" s="291">
        <f>DIST_DSL_LEV!L31</f>
        <v>52078.059219345683</v>
      </c>
      <c r="R139" s="291">
        <f>GNV!E24</f>
        <v>32622.5</v>
      </c>
      <c r="T139" s="2">
        <f t="shared" si="54"/>
        <v>874608.5987972857</v>
      </c>
      <c r="U139" s="2">
        <f t="shared" si="55"/>
        <v>411597</v>
      </c>
      <c r="V139" s="2">
        <f t="shared" si="56"/>
        <v>74787</v>
      </c>
      <c r="W139" s="2">
        <f t="shared" si="57"/>
        <v>19114</v>
      </c>
      <c r="X139" s="2">
        <f>DEN!C131+DEN!F131+DEN!G131+DEN!L131</f>
        <v>872935</v>
      </c>
      <c r="Y139" s="2">
        <f>DEN!I131+DEN!J131</f>
        <v>411597</v>
      </c>
      <c r="Z139" s="2">
        <f>DEN!D131+DEN!E131</f>
        <v>74787</v>
      </c>
      <c r="AA139" s="2">
        <f>DEN!H131+DEN!K131</f>
        <v>19114</v>
      </c>
      <c r="AB139" s="562" t="str">
        <f t="shared" si="58"/>
        <v>ERRO</v>
      </c>
      <c r="AC139" s="562" t="str">
        <f t="shared" si="50"/>
        <v>OK</v>
      </c>
      <c r="AD139" s="562" t="str">
        <f t="shared" si="51"/>
        <v>OK</v>
      </c>
      <c r="AE139" s="562" t="str">
        <f t="shared" si="52"/>
        <v>OK</v>
      </c>
      <c r="AF139" s="774">
        <f>COMB_CORR!J23/FRO_TOT!T139</f>
        <v>62.239012886685046</v>
      </c>
      <c r="AG139" s="781">
        <f t="shared" si="59"/>
        <v>0.26731507620066858</v>
      </c>
      <c r="AH139" s="3">
        <v>0.26623552059165528</v>
      </c>
      <c r="AJ139" s="742">
        <f t="shared" si="61"/>
        <v>1673.5987972856965</v>
      </c>
      <c r="AK139" s="742">
        <v>-38034.790788590326</v>
      </c>
    </row>
    <row r="140" spans="1:37">
      <c r="A140" s="127" t="s">
        <v>32</v>
      </c>
      <c r="B140" s="291">
        <f>DIST_GAS_LEV!Q32-AK140</f>
        <v>3966524.0248063146</v>
      </c>
      <c r="C140" s="291">
        <f>DIST_GAS_LEV!AI32</f>
        <v>538865.95686886448</v>
      </c>
      <c r="D140" s="291">
        <f>DIST_GAS_MOT!N33</f>
        <v>196580</v>
      </c>
      <c r="E140" s="291">
        <f>DIST_GAS_MOT!O33</f>
        <v>1845717.4393234043</v>
      </c>
      <c r="F140" s="291">
        <f>DIST_GAS_MOT!P33</f>
        <v>59468.816259019412</v>
      </c>
      <c r="G140" s="291">
        <f>DIST_GAS_MOT!Q33</f>
        <v>26410.744417576108</v>
      </c>
      <c r="H140" s="291">
        <f>DIST_ALC_LEV!M32</f>
        <v>412512.41383012442</v>
      </c>
      <c r="I140" s="291">
        <f>DIST_ALC_LEV!AD32</f>
        <v>52826.277806986021</v>
      </c>
      <c r="J140" s="291">
        <f>DIST_DSL_CAM!K39</f>
        <v>170070.04032495801</v>
      </c>
      <c r="K140" s="291">
        <f>DIST_DSL_CAM!L39</f>
        <v>108337.95967504199</v>
      </c>
      <c r="L140" s="291">
        <f>DIST_DSL_CAM!M39</f>
        <v>50159</v>
      </c>
      <c r="M140" s="291">
        <f>DIST_DSL_ONI!K39</f>
        <v>34662</v>
      </c>
      <c r="N140" s="291">
        <f>DIST_DSL_ONI!L39</f>
        <v>50723.818304751367</v>
      </c>
      <c r="O140" s="291">
        <f>DIST_DSL_ONI!M39</f>
        <v>11576.181695248632</v>
      </c>
      <c r="P140" s="291">
        <f>DIST_DSL_LEV!K32</f>
        <v>4936.2196658047615</v>
      </c>
      <c r="Q140" s="291">
        <f>DIST_DSL_LEV!L32</f>
        <v>200096.29327794156</v>
      </c>
      <c r="R140" s="291">
        <f>GNV!E25</f>
        <v>49219</v>
      </c>
      <c r="T140" s="2">
        <f t="shared" si="54"/>
        <v>5224980.1862560362</v>
      </c>
      <c r="U140" s="2">
        <f t="shared" si="55"/>
        <v>2128177</v>
      </c>
      <c r="V140" s="2">
        <f t="shared" si="56"/>
        <v>328567</v>
      </c>
      <c r="W140" s="2">
        <f t="shared" si="57"/>
        <v>96961.999999999985</v>
      </c>
      <c r="X140" s="2">
        <f>DEN!C132+DEN!F132+DEN!G132+DEN!L132</f>
        <v>5215678</v>
      </c>
      <c r="Y140" s="2">
        <f>DEN!I132+DEN!J132</f>
        <v>2128177</v>
      </c>
      <c r="Z140" s="2">
        <f>DEN!D132+DEN!E132</f>
        <v>328567</v>
      </c>
      <c r="AA140" s="2">
        <f>DEN!H132+DEN!K132</f>
        <v>96962</v>
      </c>
      <c r="AB140" s="562" t="str">
        <f t="shared" si="58"/>
        <v>ERRO</v>
      </c>
      <c r="AC140" s="562" t="str">
        <f t="shared" si="50"/>
        <v>OK</v>
      </c>
      <c r="AD140" s="562" t="str">
        <f t="shared" si="51"/>
        <v>OK</v>
      </c>
      <c r="AE140" s="562" t="str">
        <f t="shared" si="52"/>
        <v>OK</v>
      </c>
      <c r="AF140" s="774">
        <f>COMB_CORR!J24/FRO_TOT!T140</f>
        <v>115.26220923346779</v>
      </c>
      <c r="AG140" s="781">
        <f t="shared" si="59"/>
        <v>0.49504844012224675</v>
      </c>
      <c r="AH140" s="3">
        <v>0.49305624170906837</v>
      </c>
      <c r="AJ140" s="742">
        <f t="shared" si="61"/>
        <v>9302.1862560361624</v>
      </c>
      <c r="AK140" s="742">
        <v>-209169.39504598267</v>
      </c>
    </row>
    <row r="141" spans="1:37">
      <c r="A141" s="127" t="s">
        <v>33</v>
      </c>
      <c r="B141" s="291">
        <f>DIST_GAS_LEV!Q33-AK141</f>
        <v>2287170.1045255219</v>
      </c>
      <c r="C141" s="291">
        <f>DIST_GAS_LEV!AI33</f>
        <v>356097.83005265275</v>
      </c>
      <c r="D141" s="291">
        <f>DIST_GAS_MOT!N34</f>
        <v>119118</v>
      </c>
      <c r="E141" s="291">
        <f>DIST_GAS_MOT!O34</f>
        <v>634708.68195435463</v>
      </c>
      <c r="F141" s="291">
        <f>DIST_GAS_MOT!P34</f>
        <v>20450.379673190186</v>
      </c>
      <c r="G141" s="291">
        <f>DIST_GAS_MOT!Q34</f>
        <v>9081.9383724551535</v>
      </c>
      <c r="H141" s="291">
        <f>DIST_ALC_LEV!M33</f>
        <v>369829.57402671827</v>
      </c>
      <c r="I141" s="291">
        <f>DIST_ALC_LEV!AD33</f>
        <v>39642.571999563894</v>
      </c>
      <c r="J141" s="291">
        <f>DIST_DSL_CAM!K40</f>
        <v>74869.854819319153</v>
      </c>
      <c r="K141" s="291">
        <f>DIST_DSL_CAM!L40</f>
        <v>47694.14518068084</v>
      </c>
      <c r="L141" s="291">
        <f>DIST_DSL_CAM!M40</f>
        <v>12785</v>
      </c>
      <c r="M141" s="291">
        <f>DIST_DSL_ONI!K40</f>
        <v>33416</v>
      </c>
      <c r="N141" s="291">
        <f>DIST_DSL_ONI!L40</f>
        <v>33222.479548466705</v>
      </c>
      <c r="O141" s="291">
        <f>DIST_DSL_ONI!M40</f>
        <v>7582.5204515332935</v>
      </c>
      <c r="P141" s="291">
        <f>DIST_DSL_LEV!K33</f>
        <v>1904.2252366449736</v>
      </c>
      <c r="Q141" s="291">
        <f>DIST_DSL_LEV!L33</f>
        <v>64922.42397129703</v>
      </c>
      <c r="R141" s="291">
        <f>GNV!E26</f>
        <v>850850.41194470436</v>
      </c>
      <c r="T141" s="2">
        <f t="shared" si="54"/>
        <v>3970417.1417571036</v>
      </c>
      <c r="U141" s="2">
        <f t="shared" si="55"/>
        <v>783359</v>
      </c>
      <c r="V141" s="2">
        <f t="shared" si="56"/>
        <v>135349</v>
      </c>
      <c r="W141" s="2">
        <f t="shared" si="57"/>
        <v>74221</v>
      </c>
      <c r="X141" s="2">
        <f>DEN!C133+DEN!F133+DEN!G133+DEN!L133</f>
        <v>3964381</v>
      </c>
      <c r="Y141" s="2">
        <f>DEN!I133+DEN!J133</f>
        <v>783359</v>
      </c>
      <c r="Z141" s="2">
        <f>DEN!D133+DEN!E133</f>
        <v>135349</v>
      </c>
      <c r="AA141" s="2">
        <f>DEN!H133+DEN!K133</f>
        <v>74221</v>
      </c>
      <c r="AB141" s="562" t="str">
        <f t="shared" si="58"/>
        <v>ERRO</v>
      </c>
      <c r="AC141" s="562" t="str">
        <f t="shared" si="50"/>
        <v>OK</v>
      </c>
      <c r="AD141" s="562" t="str">
        <f t="shared" si="51"/>
        <v>OK</v>
      </c>
      <c r="AE141" s="562" t="str">
        <f t="shared" si="52"/>
        <v>OK</v>
      </c>
      <c r="AF141" s="774">
        <f>COMB_CORR!J25/FRO_TOT!T141</f>
        <v>125.97765991205523</v>
      </c>
      <c r="AG141" s="781">
        <f t="shared" si="59"/>
        <v>0.54107104526680705</v>
      </c>
      <c r="AH141" s="3">
        <v>0.5426116044603968</v>
      </c>
      <c r="AJ141" s="742">
        <f t="shared" si="61"/>
        <v>6036.1417571036145</v>
      </c>
      <c r="AK141" s="742">
        <v>-159934.05123390071</v>
      </c>
    </row>
    <row r="142" spans="1:37" ht="15.75" thickBot="1">
      <c r="A142" s="128" t="s">
        <v>34</v>
      </c>
      <c r="B142" s="291">
        <f>DIST_GAS_LEV!Q34-AK142</f>
        <v>9069066.488273304</v>
      </c>
      <c r="C142" s="291">
        <f>DIST_GAS_LEV!AI34</f>
        <v>1456540.8774339347</v>
      </c>
      <c r="D142" s="291">
        <f>DIST_GAS_MOT!N35</f>
        <v>617548</v>
      </c>
      <c r="E142" s="291">
        <f>DIST_GAS_MOT!O35</f>
        <v>3556468.1373688853</v>
      </c>
      <c r="F142" s="291">
        <f>DIST_GAS_MOT!P35</f>
        <v>114590.3505538522</v>
      </c>
      <c r="G142" s="291">
        <f>DIST_GAS_MOT!Q35</f>
        <v>50890.512077262356</v>
      </c>
      <c r="H142" s="291">
        <f>DIST_ALC_LEV!M34</f>
        <v>4898238.4206676343</v>
      </c>
      <c r="I142" s="291">
        <f>DIST_ALC_LEV!AD34</f>
        <v>584199.23506105668</v>
      </c>
      <c r="J142" s="291">
        <f>DIST_DSL_CAM!K41</f>
        <v>378522.594895288</v>
      </c>
      <c r="K142" s="291">
        <f>DIST_DSL_CAM!L41</f>
        <v>241127.40510471203</v>
      </c>
      <c r="L142" s="291">
        <f>DIST_DSL_CAM!M41</f>
        <v>129520</v>
      </c>
      <c r="M142" s="291">
        <f>DIST_DSL_ONI!K41</f>
        <v>100040</v>
      </c>
      <c r="N142" s="291">
        <f>DIST_DSL_ONI!L41</f>
        <v>112406.06316348196</v>
      </c>
      <c r="O142" s="291">
        <f>DIST_DSL_ONI!M41</f>
        <v>25654.936836518045</v>
      </c>
      <c r="P142" s="291">
        <f>DIST_DSL_LEV!K34</f>
        <v>10971.442006462867</v>
      </c>
      <c r="Q142" s="291">
        <f>DIST_DSL_LEV!L34</f>
        <v>424240.33848002879</v>
      </c>
      <c r="R142" s="291">
        <f>GNV!E27</f>
        <v>338813.77640578873</v>
      </c>
      <c r="T142" s="2">
        <f t="shared" si="54"/>
        <v>16782070.578328211</v>
      </c>
      <c r="U142" s="2">
        <f t="shared" si="55"/>
        <v>4339497</v>
      </c>
      <c r="V142" s="2">
        <f t="shared" si="56"/>
        <v>749170</v>
      </c>
      <c r="W142" s="2">
        <f t="shared" si="57"/>
        <v>238101</v>
      </c>
      <c r="X142" s="2">
        <f>DEN!C134+DEN!F134+DEN!G134+DEN!L134</f>
        <v>16819692</v>
      </c>
      <c r="Y142" s="2">
        <f>DEN!I134+DEN!J134</f>
        <v>4339497</v>
      </c>
      <c r="Z142" s="2">
        <f>DEN!D134+DEN!E134</f>
        <v>749170</v>
      </c>
      <c r="AA142" s="2">
        <f>DEN!H134+DEN!K134</f>
        <v>238101</v>
      </c>
      <c r="AB142" s="562" t="str">
        <f t="shared" si="58"/>
        <v>ERRO</v>
      </c>
      <c r="AC142" s="562" t="str">
        <f t="shared" si="50"/>
        <v>OK</v>
      </c>
      <c r="AD142" s="562" t="str">
        <f t="shared" si="51"/>
        <v>OK</v>
      </c>
      <c r="AE142" s="562" t="str">
        <f t="shared" si="52"/>
        <v>OK</v>
      </c>
      <c r="AF142" s="774">
        <f>COMB_CORR!J26/FRO_TOT!T142</f>
        <v>399.50200963209318</v>
      </c>
      <c r="AG142" s="781">
        <f t="shared" si="59"/>
        <v>1.7158516048696797</v>
      </c>
      <c r="AH142" s="3">
        <v>1.7299251622200871</v>
      </c>
      <c r="AJ142" s="742">
        <f t="shared" si="61"/>
        <v>-37621.42167178914</v>
      </c>
      <c r="AK142" s="742">
        <v>1308275.2088743486</v>
      </c>
    </row>
    <row r="143" spans="1:37">
      <c r="A143" s="269" t="s">
        <v>69</v>
      </c>
      <c r="B143" s="291">
        <f t="shared" ref="B143:Q143" si="63">SUM(B144:B146)</f>
        <v>7907777.0903646071</v>
      </c>
      <c r="C143" s="291">
        <f t="shared" si="63"/>
        <v>970727.86259701033</v>
      </c>
      <c r="D143" s="291">
        <f t="shared" si="63"/>
        <v>584633</v>
      </c>
      <c r="E143" s="291">
        <f t="shared" si="63"/>
        <v>2455059.9919213122</v>
      </c>
      <c r="F143" s="291">
        <f t="shared" si="63"/>
        <v>79102.255347802624</v>
      </c>
      <c r="G143" s="291">
        <f t="shared" si="63"/>
        <v>35130.752730885135</v>
      </c>
      <c r="H143" s="291">
        <f t="shared" si="63"/>
        <v>810296.49738247367</v>
      </c>
      <c r="I143" s="291">
        <f t="shared" si="63"/>
        <v>94282.816525136441</v>
      </c>
      <c r="J143" s="291">
        <f t="shared" si="63"/>
        <v>340089.30562763364</v>
      </c>
      <c r="K143" s="291">
        <f t="shared" si="63"/>
        <v>216644.69437236642</v>
      </c>
      <c r="L143" s="291">
        <f t="shared" si="63"/>
        <v>154519</v>
      </c>
      <c r="M143" s="291">
        <f t="shared" si="63"/>
        <v>43863</v>
      </c>
      <c r="N143" s="291">
        <f t="shared" si="63"/>
        <v>69367.335664163606</v>
      </c>
      <c r="O143" s="291">
        <f t="shared" si="63"/>
        <v>15831.6643358364</v>
      </c>
      <c r="P143" s="291">
        <f t="shared" si="63"/>
        <v>11761.020818476096</v>
      </c>
      <c r="Q143" s="291">
        <f t="shared" si="63"/>
        <v>419651.64219607133</v>
      </c>
      <c r="R143" s="291">
        <f>GNV!E28</f>
        <v>165297.40020879832</v>
      </c>
      <c r="T143" s="2">
        <f t="shared" si="54"/>
        <v>10379794.330092574</v>
      </c>
      <c r="U143" s="2">
        <f t="shared" si="55"/>
        <v>3153926</v>
      </c>
      <c r="V143" s="2">
        <f t="shared" si="56"/>
        <v>711253</v>
      </c>
      <c r="W143" s="2">
        <f t="shared" si="57"/>
        <v>129062</v>
      </c>
      <c r="X143" s="2">
        <f>DEN!C135+DEN!F135+DEN!G135+DEN!L135</f>
        <v>10369186</v>
      </c>
      <c r="Y143" s="2">
        <f>DEN!I135+DEN!J135</f>
        <v>3153926</v>
      </c>
      <c r="Z143" s="2">
        <f>DEN!D135+DEN!E135</f>
        <v>711253</v>
      </c>
      <c r="AA143" s="2">
        <f>DEN!H135+DEN!K135</f>
        <v>129062</v>
      </c>
      <c r="AB143" s="562" t="str">
        <f t="shared" si="58"/>
        <v>ERRO</v>
      </c>
      <c r="AC143" s="562" t="str">
        <f t="shared" si="50"/>
        <v>OK</v>
      </c>
      <c r="AD143" s="562" t="str">
        <f t="shared" si="51"/>
        <v>OK</v>
      </c>
      <c r="AE143" s="562" t="str">
        <f t="shared" si="52"/>
        <v>OK</v>
      </c>
      <c r="AF143" s="774"/>
      <c r="AG143" s="781"/>
      <c r="AJ143" s="742"/>
      <c r="AK143" s="742"/>
    </row>
    <row r="144" spans="1:37">
      <c r="A144" s="127" t="s">
        <v>36</v>
      </c>
      <c r="B144" s="291">
        <f>DIST_GAS_LEV!Q36-AK144</f>
        <v>2682680.3195838039</v>
      </c>
      <c r="C144" s="291">
        <f>DIST_GAS_LEV!AI36</f>
        <v>360300.11518435273</v>
      </c>
      <c r="D144" s="291">
        <f>DIST_GAS_MOT!N37</f>
        <v>228683</v>
      </c>
      <c r="E144" s="291">
        <f>DIST_GAS_MOT!O37</f>
        <v>907220.95484628389</v>
      </c>
      <c r="F144" s="291">
        <f>DIST_GAS_MOT!P37</f>
        <v>29231.005705804346</v>
      </c>
      <c r="G144" s="291">
        <f>DIST_GAS_MOT!Q37</f>
        <v>12982.039447911724</v>
      </c>
      <c r="H144" s="291">
        <f>DIST_ALC_LEV!M36</f>
        <v>679000.46266678278</v>
      </c>
      <c r="I144" s="291">
        <f>DIST_ALC_LEV!AD36</f>
        <v>79821.935489925381</v>
      </c>
      <c r="J144" s="291">
        <f>DIST_DSL_CAM!K43</f>
        <v>141030.13222562236</v>
      </c>
      <c r="K144" s="291">
        <f>DIST_DSL_CAM!L43</f>
        <v>89839.86777437765</v>
      </c>
      <c r="L144" s="291">
        <f>DIST_DSL_CAM!M43</f>
        <v>69996</v>
      </c>
      <c r="M144" s="291">
        <f>DIST_DSL_ONI!K43</f>
        <v>17055</v>
      </c>
      <c r="N144" s="291">
        <f>DIST_DSL_ONI!L43</f>
        <v>28283.173993350574</v>
      </c>
      <c r="O144" s="291">
        <f>DIST_DSL_ONI!M43</f>
        <v>6454.8260066494277</v>
      </c>
      <c r="P144" s="291">
        <f>DIST_DSL_LEV!K36</f>
        <v>4650.081390420708</v>
      </c>
      <c r="Q144" s="291">
        <f>DIST_DSL_LEV!L36</f>
        <v>176058.2978916064</v>
      </c>
      <c r="R144" s="291">
        <f>GNV!E29</f>
        <v>30547.659838721291</v>
      </c>
      <c r="T144" s="2">
        <f t="shared" si="54"/>
        <v>4013058.8720456138</v>
      </c>
      <c r="U144" s="2">
        <f t="shared" si="55"/>
        <v>1178117</v>
      </c>
      <c r="V144" s="2">
        <f t="shared" si="56"/>
        <v>300866</v>
      </c>
      <c r="W144" s="2">
        <f t="shared" si="57"/>
        <v>51793</v>
      </c>
      <c r="X144" s="2">
        <f>DEN!C136+DEN!F136+DEN!G136+DEN!L136</f>
        <v>4013075</v>
      </c>
      <c r="Y144" s="2">
        <f>DEN!I136+DEN!J136</f>
        <v>1178117</v>
      </c>
      <c r="Z144" s="2">
        <f>DEN!D136+DEN!E136</f>
        <v>300866</v>
      </c>
      <c r="AA144" s="2">
        <f>DEN!H136+DEN!K136</f>
        <v>51793</v>
      </c>
      <c r="AB144" s="562" t="str">
        <f t="shared" si="58"/>
        <v>ERRO</v>
      </c>
      <c r="AC144" s="562" t="str">
        <f t="shared" si="50"/>
        <v>OK</v>
      </c>
      <c r="AD144" s="562" t="str">
        <f t="shared" si="51"/>
        <v>OK</v>
      </c>
      <c r="AE144" s="562" t="str">
        <f t="shared" si="52"/>
        <v>OK</v>
      </c>
      <c r="AF144" s="774">
        <f>COMB_CORR!J28/FRO_TOT!T144</f>
        <v>233.26277109847652</v>
      </c>
      <c r="AG144" s="781">
        <f t="shared" si="59"/>
        <v>1.0018580394983747</v>
      </c>
      <c r="AH144" s="3">
        <v>1.0010177703576482</v>
      </c>
      <c r="AJ144" s="742">
        <f t="shared" si="61"/>
        <v>-16.127954386174679</v>
      </c>
      <c r="AK144" s="742">
        <v>412.20728623261675</v>
      </c>
    </row>
    <row r="145" spans="1:37">
      <c r="A145" s="127" t="s">
        <v>37</v>
      </c>
      <c r="B145" s="291">
        <f>DIST_GAS_LEV!Q37-AK145</f>
        <v>3162461.6855384745</v>
      </c>
      <c r="C145" s="291">
        <f>DIST_GAS_LEV!AI37</f>
        <v>357525.27464623697</v>
      </c>
      <c r="D145" s="291">
        <f>DIST_GAS_MOT!N38</f>
        <v>148888</v>
      </c>
      <c r="E145" s="291">
        <f>DIST_GAS_MOT!O38</f>
        <v>860584.79269715084</v>
      </c>
      <c r="F145" s="291">
        <f>DIST_GAS_MOT!P38</f>
        <v>27727.90944377147</v>
      </c>
      <c r="G145" s="291">
        <f>DIST_GAS_MOT!Q38</f>
        <v>12314.297859077633</v>
      </c>
      <c r="H145" s="291">
        <f>DIST_ALC_LEV!M37</f>
        <v>67211.937817359358</v>
      </c>
      <c r="I145" s="291">
        <f>DIST_ALC_LEV!AD37</f>
        <v>7145.1412136091876</v>
      </c>
      <c r="J145" s="291">
        <f>DIST_DSL_CAM!K44</f>
        <v>118572.02380358052</v>
      </c>
      <c r="K145" s="291">
        <f>DIST_DSL_CAM!L44</f>
        <v>75532.976196419477</v>
      </c>
      <c r="L145" s="291">
        <f>DIST_DSL_CAM!M44</f>
        <v>44544</v>
      </c>
      <c r="M145" s="291">
        <f>DIST_DSL_ONI!K44</f>
        <v>17065</v>
      </c>
      <c r="N145" s="291">
        <f>DIST_DSL_ONI!L44</f>
        <v>27785.892435505029</v>
      </c>
      <c r="O145" s="291">
        <f>DIST_DSL_ONI!M44</f>
        <v>6342.1075644949724</v>
      </c>
      <c r="P145" s="291">
        <f>DIST_DSL_LEV!K37</f>
        <v>4274.8718458526628</v>
      </c>
      <c r="Q145" s="291">
        <f>DIST_DSL_LEV!L37</f>
        <v>142762.46142517676</v>
      </c>
      <c r="R145" s="291">
        <f>GNV!E30</f>
        <v>51313.36903304774</v>
      </c>
      <c r="T145" s="2">
        <f t="shared" si="54"/>
        <v>3792694.7415197575</v>
      </c>
      <c r="U145" s="2">
        <f t="shared" si="55"/>
        <v>1049515</v>
      </c>
      <c r="V145" s="2">
        <f t="shared" si="56"/>
        <v>238649</v>
      </c>
      <c r="W145" s="2">
        <f t="shared" si="57"/>
        <v>51193</v>
      </c>
      <c r="X145" s="2">
        <f>DEN!C137+DEN!F137+DEN!G137+DEN!L137</f>
        <v>3786221</v>
      </c>
      <c r="Y145" s="2">
        <f>DEN!I137+DEN!J137</f>
        <v>1049515</v>
      </c>
      <c r="Z145" s="2">
        <f>DEN!D137+DEN!E137</f>
        <v>238649</v>
      </c>
      <c r="AA145" s="2">
        <f>DEN!H137+DEN!K137</f>
        <v>51193</v>
      </c>
      <c r="AB145" s="562" t="str">
        <f t="shared" si="58"/>
        <v>ERRO</v>
      </c>
      <c r="AC145" s="562" t="str">
        <f t="shared" si="50"/>
        <v>OK</v>
      </c>
      <c r="AD145" s="562" t="str">
        <f t="shared" si="51"/>
        <v>OK</v>
      </c>
      <c r="AE145" s="562" t="str">
        <f t="shared" si="52"/>
        <v>OK</v>
      </c>
      <c r="AF145" s="774">
        <f>COMB_CORR!J29/FRO_TOT!T145</f>
        <v>34.908267595372543</v>
      </c>
      <c r="AG145" s="781">
        <f t="shared" si="59"/>
        <v>0.14993017690173963</v>
      </c>
      <c r="AH145" s="3">
        <v>0.15008256485299218</v>
      </c>
      <c r="AJ145" s="742">
        <f t="shared" si="61"/>
        <v>6473.7415197575465</v>
      </c>
      <c r="AK145" s="742">
        <v>-164878.9068117775</v>
      </c>
    </row>
    <row r="146" spans="1:37" ht="15.75" thickBot="1">
      <c r="A146" s="128" t="s">
        <v>38</v>
      </c>
      <c r="B146" s="291">
        <f>DIST_GAS_LEV!Q38-AK146</f>
        <v>2062635.0852423287</v>
      </c>
      <c r="C146" s="291">
        <f>DIST_GAS_LEV!AI38</f>
        <v>252902.47276642057</v>
      </c>
      <c r="D146" s="291">
        <f>DIST_GAS_MOT!N39</f>
        <v>207062</v>
      </c>
      <c r="E146" s="291">
        <f>DIST_GAS_MOT!O39</f>
        <v>687254.24437787745</v>
      </c>
      <c r="F146" s="291">
        <f>DIST_GAS_MOT!P39</f>
        <v>22143.340198226815</v>
      </c>
      <c r="G146" s="291">
        <f>DIST_GAS_MOT!Q39</f>
        <v>9834.4154238957799</v>
      </c>
      <c r="H146" s="291">
        <f>DIST_ALC_LEV!M38</f>
        <v>64084.096898331576</v>
      </c>
      <c r="I146" s="291">
        <f>DIST_ALC_LEV!AD38</f>
        <v>7315.7398216018701</v>
      </c>
      <c r="J146" s="291">
        <f>DIST_DSL_CAM!K45</f>
        <v>80487.14959843074</v>
      </c>
      <c r="K146" s="291">
        <f>DIST_DSL_CAM!L45</f>
        <v>51271.850401569267</v>
      </c>
      <c r="L146" s="291">
        <f>DIST_DSL_CAM!M45</f>
        <v>39979</v>
      </c>
      <c r="M146" s="291">
        <f>DIST_DSL_ONI!K45</f>
        <v>9743</v>
      </c>
      <c r="N146" s="291">
        <f>DIST_DSL_ONI!L45</f>
        <v>13298.269235308002</v>
      </c>
      <c r="O146" s="291">
        <f>DIST_DSL_ONI!M45</f>
        <v>3034.7307646919994</v>
      </c>
      <c r="P146" s="291">
        <f>DIST_DSL_LEV!K38</f>
        <v>2836.067582202727</v>
      </c>
      <c r="Q146" s="291">
        <f>DIST_DSL_LEV!L38</f>
        <v>100830.88287928817</v>
      </c>
      <c r="R146" s="291">
        <f>GNV!E31</f>
        <v>83436.371337029297</v>
      </c>
      <c r="T146" s="2">
        <f t="shared" si="54"/>
        <v>2574040.7165272022</v>
      </c>
      <c r="U146" s="2">
        <f t="shared" si="55"/>
        <v>926294.00000000012</v>
      </c>
      <c r="V146" s="2">
        <f t="shared" si="56"/>
        <v>171738</v>
      </c>
      <c r="W146" s="2">
        <f t="shared" si="57"/>
        <v>26076</v>
      </c>
      <c r="X146" s="2">
        <f>DEN!C138+DEN!F138+DEN!G138+DEN!L138</f>
        <v>2569890</v>
      </c>
      <c r="Y146" s="2">
        <f>DEN!I138+DEN!J138</f>
        <v>926294</v>
      </c>
      <c r="Z146" s="2">
        <f>DEN!D138+DEN!E138</f>
        <v>171738</v>
      </c>
      <c r="AA146" s="2">
        <f>DEN!H138+DEN!K138</f>
        <v>26076</v>
      </c>
      <c r="AB146" s="562" t="str">
        <f t="shared" si="58"/>
        <v>ERRO</v>
      </c>
      <c r="AC146" s="562" t="str">
        <f t="shared" si="50"/>
        <v>OK</v>
      </c>
      <c r="AD146" s="562" t="str">
        <f t="shared" si="51"/>
        <v>OK</v>
      </c>
      <c r="AE146" s="562" t="str">
        <f t="shared" si="52"/>
        <v>OK</v>
      </c>
      <c r="AF146" s="774">
        <f>COMB_CORR!J30/FRO_TOT!T146</f>
        <v>42.259974280796271</v>
      </c>
      <c r="AG146" s="781">
        <f t="shared" si="59"/>
        <v>0.18150558180729257</v>
      </c>
      <c r="AH146" s="3">
        <v>0.18189143055335966</v>
      </c>
      <c r="AJ146" s="742">
        <f t="shared" si="61"/>
        <v>4150.7165272021666</v>
      </c>
      <c r="AK146" s="742">
        <v>-109209.99884723825</v>
      </c>
    </row>
    <row r="147" spans="1:37" ht="25.5">
      <c r="A147" s="274" t="s">
        <v>73</v>
      </c>
      <c r="B147" s="291">
        <f t="shared" ref="B147:Q147" si="64">SUM(B148:B151)</f>
        <v>2413312.5642296299</v>
      </c>
      <c r="C147" s="291">
        <f t="shared" si="64"/>
        <v>369445.638590449</v>
      </c>
      <c r="D147" s="291">
        <f t="shared" si="64"/>
        <v>419916</v>
      </c>
      <c r="E147" s="291">
        <f t="shared" si="64"/>
        <v>1483713.565369393</v>
      </c>
      <c r="F147" s="291">
        <f t="shared" si="64"/>
        <v>47805.641730205309</v>
      </c>
      <c r="G147" s="291">
        <f t="shared" si="64"/>
        <v>21230.792900401706</v>
      </c>
      <c r="H147" s="291">
        <f t="shared" si="64"/>
        <v>853200.09868395224</v>
      </c>
      <c r="I147" s="291">
        <f t="shared" si="64"/>
        <v>120583.62674861866</v>
      </c>
      <c r="J147" s="291">
        <f t="shared" si="64"/>
        <v>128606.82041176243</v>
      </c>
      <c r="K147" s="291">
        <f t="shared" si="64"/>
        <v>81925.179588237574</v>
      </c>
      <c r="L147" s="291">
        <f t="shared" si="64"/>
        <v>54954</v>
      </c>
      <c r="M147" s="291">
        <f t="shared" si="64"/>
        <v>16480</v>
      </c>
      <c r="N147" s="291">
        <f t="shared" si="64"/>
        <v>34050.632040537464</v>
      </c>
      <c r="O147" s="291">
        <f t="shared" si="64"/>
        <v>7770.3679594625428</v>
      </c>
      <c r="P147" s="291">
        <f t="shared" si="64"/>
        <v>6854.0802569368507</v>
      </c>
      <c r="Q147" s="291">
        <f t="shared" si="64"/>
        <v>297978.09374584304</v>
      </c>
      <c r="R147" s="291">
        <f>GNV!E32</f>
        <v>10830.559147526819</v>
      </c>
      <c r="T147" s="2">
        <f t="shared" si="54"/>
        <v>4072204.661402957</v>
      </c>
      <c r="U147" s="2">
        <f t="shared" si="55"/>
        <v>1972666</v>
      </c>
      <c r="V147" s="2">
        <f t="shared" si="56"/>
        <v>265486</v>
      </c>
      <c r="W147" s="2">
        <f t="shared" si="57"/>
        <v>58301.000000000007</v>
      </c>
      <c r="X147" s="2">
        <f>DEN!C139+DEN!F139+DEN!G139+DEN!L139</f>
        <v>4081931</v>
      </c>
      <c r="Y147" s="2">
        <f>DEN!I139+DEN!J139</f>
        <v>1972666</v>
      </c>
      <c r="Z147" s="2">
        <f>DEN!D139+DEN!E139</f>
        <v>265486</v>
      </c>
      <c r="AA147" s="2">
        <f>DEN!H139+DEN!K139</f>
        <v>58301</v>
      </c>
      <c r="AB147" s="562" t="str">
        <f t="shared" si="58"/>
        <v>ERRO</v>
      </c>
      <c r="AC147" s="562" t="str">
        <f t="shared" si="50"/>
        <v>OK</v>
      </c>
      <c r="AD147" s="562" t="str">
        <f t="shared" si="51"/>
        <v>OK</v>
      </c>
      <c r="AE147" s="562" t="str">
        <f t="shared" si="52"/>
        <v>OK</v>
      </c>
      <c r="AF147" s="774"/>
      <c r="AG147" s="781"/>
      <c r="AJ147" s="742"/>
      <c r="AK147" s="742"/>
    </row>
    <row r="148" spans="1:37">
      <c r="A148" s="127" t="s">
        <v>40</v>
      </c>
      <c r="B148" s="291">
        <f>DIST_GAS_LEV!Q40-AK148</f>
        <v>972629.46870238963</v>
      </c>
      <c r="C148" s="291">
        <f>DIST_GAS_LEV!AI40</f>
        <v>109301.79637569563</v>
      </c>
      <c r="D148" s="291">
        <f>DIST_GAS_MOT!N41</f>
        <v>12984</v>
      </c>
      <c r="E148" s="291">
        <f>DIST_GAS_MOT!O41</f>
        <v>135079.78463837496</v>
      </c>
      <c r="F148" s="291">
        <f>DIST_GAS_MOT!P41</f>
        <v>4352.1657828266134</v>
      </c>
      <c r="G148" s="291">
        <f>DIST_GAS_MOT!Q41</f>
        <v>1933.0495787984185</v>
      </c>
      <c r="H148" s="291">
        <f>DIST_ALC_LEV!M40</f>
        <v>38495.652180352714</v>
      </c>
      <c r="I148" s="291">
        <f>DIST_ALC_LEV!AD40</f>
        <v>4178.2128301661296</v>
      </c>
      <c r="J148" s="291">
        <f>DIST_DSL_CAM!K47</f>
        <v>12740.28928521275</v>
      </c>
      <c r="K148" s="291">
        <f>DIST_DSL_CAM!L47</f>
        <v>8115.7107147872493</v>
      </c>
      <c r="L148" s="291">
        <f>DIST_DSL_CAM!M47</f>
        <v>2658</v>
      </c>
      <c r="M148" s="291">
        <f>DIST_DSL_ONI!K47</f>
        <v>4716</v>
      </c>
      <c r="N148" s="291">
        <f>DIST_DSL_ONI!L47</f>
        <v>7112.9951534733436</v>
      </c>
      <c r="O148" s="291">
        <f>DIST_DSL_ONI!M47</f>
        <v>1623.0048465266557</v>
      </c>
      <c r="P148" s="291">
        <f>DIST_DSL_LEV!K40</f>
        <v>1097.8295180286439</v>
      </c>
      <c r="Q148" s="291">
        <f>DIST_DSL_LEV!L40</f>
        <v>37093.197875063008</v>
      </c>
      <c r="R148" s="291">
        <f>GNV!E33</f>
        <v>1272.1791705666355</v>
      </c>
      <c r="T148" s="2">
        <f t="shared" si="54"/>
        <v>1164068.3366522621</v>
      </c>
      <c r="U148" s="2">
        <f t="shared" si="55"/>
        <v>154348.99999999997</v>
      </c>
      <c r="V148" s="2">
        <f t="shared" si="56"/>
        <v>23514</v>
      </c>
      <c r="W148" s="2">
        <f t="shared" si="57"/>
        <v>13452</v>
      </c>
      <c r="X148" s="2">
        <f>DEN!C140+DEN!F140+DEN!G140+DEN!L140</f>
        <v>1162669</v>
      </c>
      <c r="Y148" s="2">
        <f>DEN!I140+DEN!J140</f>
        <v>154349</v>
      </c>
      <c r="Z148" s="2">
        <f>DEN!D140+DEN!E140</f>
        <v>23514</v>
      </c>
      <c r="AA148" s="2">
        <f>DEN!H140+DEN!K140</f>
        <v>13452</v>
      </c>
      <c r="AB148" s="562" t="str">
        <f t="shared" si="58"/>
        <v>ERRO</v>
      </c>
      <c r="AC148" s="562" t="str">
        <f t="shared" si="50"/>
        <v>OK</v>
      </c>
      <c r="AD148" s="562" t="str">
        <f t="shared" si="51"/>
        <v>OK</v>
      </c>
      <c r="AE148" s="562" t="str">
        <f t="shared" si="52"/>
        <v>OK</v>
      </c>
      <c r="AF148" s="774">
        <f>COMB_CORR!J32/FRO_TOT!T148</f>
        <v>57.386909285000669</v>
      </c>
      <c r="AG148" s="781">
        <f t="shared" si="59"/>
        <v>0.24647540693439593</v>
      </c>
      <c r="AH148" s="3">
        <v>0.24840167876952599</v>
      </c>
      <c r="AJ148" s="742">
        <f t="shared" si="61"/>
        <v>1399.3366522621363</v>
      </c>
      <c r="AK148" s="742">
        <v>-43397.085897212615</v>
      </c>
    </row>
    <row r="149" spans="1:37">
      <c r="A149" s="127" t="s">
        <v>41</v>
      </c>
      <c r="B149" s="291">
        <f>DIST_GAS_LEV!Q41-AK149</f>
        <v>804268.4271677176</v>
      </c>
      <c r="C149" s="291">
        <f>DIST_GAS_LEV!AI41</f>
        <v>149020.11607924104</v>
      </c>
      <c r="D149" s="291">
        <f>DIST_GAS_MOT!N42</f>
        <v>190900</v>
      </c>
      <c r="E149" s="291">
        <f>DIST_GAS_MOT!O42</f>
        <v>647538.62148998794</v>
      </c>
      <c r="F149" s="291">
        <f>DIST_GAS_MOT!P42</f>
        <v>20863.967253194423</v>
      </c>
      <c r="G149" s="291">
        <f>DIST_GAS_MOT!Q42</f>
        <v>9265.4112568176624</v>
      </c>
      <c r="H149" s="291">
        <f>DIST_ALC_LEV!M41</f>
        <v>496935.37677144259</v>
      </c>
      <c r="I149" s="291">
        <f>DIST_ALC_LEV!AD41</f>
        <v>68476.500271113619</v>
      </c>
      <c r="J149" s="291">
        <f>DIST_DSL_CAM!K48</f>
        <v>56602.660778418111</v>
      </c>
      <c r="K149" s="291">
        <f>DIST_DSL_CAM!L48</f>
        <v>36057.339221581889</v>
      </c>
      <c r="L149" s="291">
        <f>DIST_DSL_CAM!M48</f>
        <v>21224</v>
      </c>
      <c r="M149" s="291">
        <f>DIST_DSL_ONI!K48</f>
        <v>6675</v>
      </c>
      <c r="N149" s="291">
        <f>DIST_DSL_ONI!L48</f>
        <v>14469.113103816388</v>
      </c>
      <c r="O149" s="291">
        <f>DIST_DSL_ONI!M48</f>
        <v>3301.8868961836138</v>
      </c>
      <c r="P149" s="291">
        <f>DIST_DSL_LEV!K41</f>
        <v>2592.9049962524477</v>
      </c>
      <c r="Q149" s="291">
        <f>DIST_DSL_LEV!L41</f>
        <v>114985.16097693815</v>
      </c>
      <c r="R149" s="291">
        <f>GNV!E34</f>
        <v>1965.8799769601842</v>
      </c>
      <c r="T149" s="2">
        <f t="shared" si="54"/>
        <v>1638244.3662396655</v>
      </c>
      <c r="U149" s="2">
        <f t="shared" si="55"/>
        <v>868568</v>
      </c>
      <c r="V149" s="2">
        <f t="shared" si="56"/>
        <v>113884</v>
      </c>
      <c r="W149" s="2">
        <f t="shared" si="57"/>
        <v>24446</v>
      </c>
      <c r="X149" s="2">
        <f>DEN!C141+DEN!F141+DEN!G141+DEN!L141</f>
        <v>1646032</v>
      </c>
      <c r="Y149" s="2">
        <f>DEN!I141+DEN!J141</f>
        <v>868568</v>
      </c>
      <c r="Z149" s="2">
        <f>DEN!D141+DEN!E141</f>
        <v>113884</v>
      </c>
      <c r="AA149" s="2">
        <f>DEN!H141+DEN!K141</f>
        <v>24446</v>
      </c>
      <c r="AB149" s="562" t="str">
        <f t="shared" si="58"/>
        <v>ERRO</v>
      </c>
      <c r="AC149" s="562" t="str">
        <f t="shared" si="50"/>
        <v>OK</v>
      </c>
      <c r="AD149" s="562" t="str">
        <f t="shared" si="51"/>
        <v>OK</v>
      </c>
      <c r="AE149" s="562" t="str">
        <f t="shared" si="52"/>
        <v>OK</v>
      </c>
      <c r="AF149" s="774">
        <f>COMB_CORR!J33/FRO_TOT!T149</f>
        <v>483.10574404424227</v>
      </c>
      <c r="AG149" s="781">
        <f t="shared" si="59"/>
        <v>2.0749276505603911</v>
      </c>
      <c r="AH149" s="3">
        <v>2.0410308887663295</v>
      </c>
      <c r="AJ149" s="742">
        <f t="shared" si="61"/>
        <v>-7787.6337603344582</v>
      </c>
      <c r="AK149" s="742">
        <v>154628.98933598027</v>
      </c>
    </row>
    <row r="150" spans="1:37">
      <c r="A150" s="127" t="s">
        <v>42</v>
      </c>
      <c r="B150" s="291">
        <f>DIST_GAS_LEV!Q42-AK150</f>
        <v>199619.51977495948</v>
      </c>
      <c r="C150" s="291">
        <f>DIST_GAS_LEV!AI42</f>
        <v>47707.563914079386</v>
      </c>
      <c r="D150" s="291">
        <f>DIST_GAS_MOT!N43</f>
        <v>137767</v>
      </c>
      <c r="E150" s="291">
        <f>DIST_GAS_MOT!O43</f>
        <v>425212.87297788443</v>
      </c>
      <c r="F150" s="291">
        <f>DIST_GAS_MOT!P43</f>
        <v>13700.303737455994</v>
      </c>
      <c r="G150" s="291">
        <f>DIST_GAS_MOT!Q43</f>
        <v>6084.8232846595838</v>
      </c>
      <c r="H150" s="291">
        <f>DIST_ALC_LEV!M42</f>
        <v>253316.23859992169</v>
      </c>
      <c r="I150" s="291">
        <f>DIST_ALC_LEV!AD42</f>
        <v>39310.337173392996</v>
      </c>
      <c r="J150" s="291">
        <f>DIST_DSL_CAM!K49</f>
        <v>33439.856855015329</v>
      </c>
      <c r="K150" s="291">
        <f>DIST_DSL_CAM!L49</f>
        <v>21302.143144984668</v>
      </c>
      <c r="L150" s="291">
        <f>DIST_DSL_CAM!M49</f>
        <v>20265</v>
      </c>
      <c r="M150" s="291">
        <f>DIST_DSL_ONI!K49</f>
        <v>2512</v>
      </c>
      <c r="N150" s="291">
        <f>DIST_DSL_ONI!L49</f>
        <v>6715.1937547435764</v>
      </c>
      <c r="O150" s="291">
        <f>DIST_DSL_ONI!M49</f>
        <v>1532.8062452564241</v>
      </c>
      <c r="P150" s="291">
        <f>DIST_DSL_LEV!K42</f>
        <v>1773.642748610429</v>
      </c>
      <c r="Q150" s="291">
        <f>DIST_DSL_LEV!L42</f>
        <v>86765.079322980047</v>
      </c>
      <c r="R150" s="291">
        <f>GNV!E35</f>
        <v>1607.5</v>
      </c>
      <c r="T150" s="2">
        <f t="shared" si="54"/>
        <v>630099.88153394405</v>
      </c>
      <c r="U150" s="2">
        <f t="shared" si="55"/>
        <v>582765</v>
      </c>
      <c r="V150" s="2">
        <f t="shared" si="56"/>
        <v>75007</v>
      </c>
      <c r="W150" s="2">
        <f t="shared" si="57"/>
        <v>10760.000000000002</v>
      </c>
      <c r="X150" s="2">
        <f>DEN!C142+DEN!F142+DEN!G142+DEN!L142</f>
        <v>634226</v>
      </c>
      <c r="Y150" s="2">
        <f>DEN!I142+DEN!J142</f>
        <v>582765</v>
      </c>
      <c r="Z150" s="2">
        <f>DEN!D142+DEN!E142</f>
        <v>75007</v>
      </c>
      <c r="AA150" s="2">
        <f>DEN!H142+DEN!K142</f>
        <v>10760</v>
      </c>
      <c r="AB150" s="562" t="str">
        <f t="shared" si="58"/>
        <v>ERRO</v>
      </c>
      <c r="AC150" s="562" t="str">
        <f t="shared" si="50"/>
        <v>OK</v>
      </c>
      <c r="AD150" s="562" t="str">
        <f t="shared" si="51"/>
        <v>OK</v>
      </c>
      <c r="AE150" s="562" t="str">
        <f t="shared" si="52"/>
        <v>OK</v>
      </c>
      <c r="AF150" s="774">
        <f>COMB_CORR!J34/FRO_TOT!T150</f>
        <v>678.16114025966442</v>
      </c>
      <c r="AG150" s="781">
        <f t="shared" si="59"/>
        <v>2.9126859260267408</v>
      </c>
      <c r="AH150" s="3">
        <v>2.8517324615156014</v>
      </c>
      <c r="AJ150" s="742">
        <f t="shared" si="61"/>
        <v>-4126.118466055952</v>
      </c>
      <c r="AK150" s="742">
        <v>79018.703817671398</v>
      </c>
    </row>
    <row r="151" spans="1:37" ht="26.25" thickBot="1">
      <c r="A151" s="128" t="s">
        <v>43</v>
      </c>
      <c r="B151" s="291">
        <f>DIST_GAS_LEV!Q43-AK151</f>
        <v>436795.14858456305</v>
      </c>
      <c r="C151" s="291">
        <f>DIST_GAS_LEV!AI43</f>
        <v>63416.162221432925</v>
      </c>
      <c r="D151" s="291">
        <f>DIST_GAS_MOT!N44</f>
        <v>78265</v>
      </c>
      <c r="E151" s="291">
        <f>DIST_GAS_MOT!O44</f>
        <v>275882.28626314568</v>
      </c>
      <c r="F151" s="291">
        <f>DIST_GAS_MOT!P44</f>
        <v>8889.204956728272</v>
      </c>
      <c r="G151" s="291">
        <f>DIST_GAS_MOT!Q44</f>
        <v>3947.508780126042</v>
      </c>
      <c r="H151" s="291">
        <f>DIST_ALC_LEV!M43</f>
        <v>64452.831132235275</v>
      </c>
      <c r="I151" s="291">
        <f>DIST_ALC_LEV!AD43</f>
        <v>8618.5764739459082</v>
      </c>
      <c r="J151" s="291">
        <f>DIST_DSL_CAM!K50</f>
        <v>25824.013493116225</v>
      </c>
      <c r="K151" s="291">
        <f>DIST_DSL_CAM!L50</f>
        <v>16449.986506883775</v>
      </c>
      <c r="L151" s="291">
        <f>DIST_DSL_CAM!M50</f>
        <v>10807</v>
      </c>
      <c r="M151" s="291">
        <f>DIST_DSL_ONI!K50</f>
        <v>2577</v>
      </c>
      <c r="N151" s="291">
        <f>DIST_DSL_ONI!L50</f>
        <v>5753.3300285041523</v>
      </c>
      <c r="O151" s="291">
        <f>DIST_DSL_ONI!M50</f>
        <v>1312.6699714958481</v>
      </c>
      <c r="P151" s="291">
        <f>DIST_DSL_LEV!K43</f>
        <v>1389.7029940453292</v>
      </c>
      <c r="Q151" s="291">
        <f>DIST_DSL_LEV!L43</f>
        <v>59134.65557086184</v>
      </c>
      <c r="R151" s="291">
        <f>GNV!E36</f>
        <v>5985</v>
      </c>
      <c r="T151" s="2">
        <f t="shared" si="54"/>
        <v>639792.07697708427</v>
      </c>
      <c r="U151" s="2">
        <f t="shared" si="55"/>
        <v>366984</v>
      </c>
      <c r="V151" s="2">
        <f t="shared" si="56"/>
        <v>53081</v>
      </c>
      <c r="W151" s="2">
        <f t="shared" si="57"/>
        <v>9643</v>
      </c>
      <c r="X151" s="2">
        <f>DEN!C143+DEN!F143+DEN!G143+DEN!L143</f>
        <v>639004</v>
      </c>
      <c r="Y151" s="2">
        <f>DEN!I143+DEN!J143</f>
        <v>366984</v>
      </c>
      <c r="Z151" s="2">
        <f>DEN!D143+DEN!E143</f>
        <v>53081</v>
      </c>
      <c r="AA151" s="2">
        <f>DEN!H143+DEN!K143</f>
        <v>9643</v>
      </c>
      <c r="AB151" s="562" t="str">
        <f t="shared" si="58"/>
        <v>ERRO</v>
      </c>
      <c r="AC151" s="562" t="str">
        <f t="shared" si="50"/>
        <v>OK</v>
      </c>
      <c r="AD151" s="562" t="str">
        <f t="shared" si="51"/>
        <v>OK</v>
      </c>
      <c r="AE151" s="562" t="str">
        <f t="shared" si="52"/>
        <v>OK</v>
      </c>
      <c r="AF151" s="775">
        <f>COMB_CORR!J35/FRO_TOT!T151</f>
        <v>163.00989626820922</v>
      </c>
      <c r="AG151" s="782">
        <f t="shared" si="59"/>
        <v>0.7001236173480756</v>
      </c>
      <c r="AH151" s="3">
        <v>0.69186538584561852</v>
      </c>
      <c r="AJ151" s="779">
        <f t="shared" si="61"/>
        <v>788.0769770842744</v>
      </c>
      <c r="AK151" s="779">
        <v>-15303.222753492766</v>
      </c>
    </row>
    <row r="152" spans="1:37" ht="15.75" thickBot="1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AJ152" s="719"/>
    </row>
    <row r="153" spans="1:37" ht="15.75" customHeight="1" thickBot="1">
      <c r="A153" s="1051" t="s">
        <v>439</v>
      </c>
      <c r="B153" s="1054">
        <v>2008</v>
      </c>
      <c r="C153" s="1055"/>
      <c r="D153" s="1055"/>
      <c r="E153" s="1055"/>
      <c r="F153" s="1055"/>
      <c r="G153" s="1055"/>
      <c r="H153" s="1055"/>
      <c r="I153" s="1055"/>
      <c r="J153" s="1055"/>
      <c r="K153" s="1055"/>
      <c r="L153" s="1055"/>
      <c r="M153" s="1055"/>
      <c r="N153" s="1055"/>
      <c r="O153" s="1055"/>
      <c r="P153" s="1055"/>
      <c r="Q153" s="1055"/>
      <c r="R153" s="1078"/>
      <c r="AJ153" s="719"/>
    </row>
    <row r="154" spans="1:37">
      <c r="A154" s="1052"/>
      <c r="B154" s="1060" t="s">
        <v>97</v>
      </c>
      <c r="C154" s="1061"/>
      <c r="D154" s="1061"/>
      <c r="E154" s="1061"/>
      <c r="F154" s="1061"/>
      <c r="G154" s="1061"/>
      <c r="H154" s="1061" t="s">
        <v>98</v>
      </c>
      <c r="I154" s="1061"/>
      <c r="J154" s="1061" t="s">
        <v>99</v>
      </c>
      <c r="K154" s="1061"/>
      <c r="L154" s="1061"/>
      <c r="M154" s="1061"/>
      <c r="N154" s="1061"/>
      <c r="O154" s="1061"/>
      <c r="P154" s="1061"/>
      <c r="Q154" s="1061"/>
      <c r="R154" s="289" t="s">
        <v>100</v>
      </c>
      <c r="AJ154" s="719"/>
    </row>
    <row r="155" spans="1:37" ht="15.75" thickBot="1">
      <c r="A155" s="1052"/>
      <c r="B155" s="1062" t="s">
        <v>101</v>
      </c>
      <c r="C155" s="1064" t="s">
        <v>102</v>
      </c>
      <c r="D155" s="1064" t="s">
        <v>103</v>
      </c>
      <c r="E155" s="1064"/>
      <c r="F155" s="1064"/>
      <c r="G155" s="1064"/>
      <c r="H155" s="1062" t="s">
        <v>101</v>
      </c>
      <c r="I155" s="1064" t="s">
        <v>102</v>
      </c>
      <c r="J155" s="1064" t="s">
        <v>104</v>
      </c>
      <c r="K155" s="1064"/>
      <c r="L155" s="1064"/>
      <c r="M155" s="1064" t="s">
        <v>105</v>
      </c>
      <c r="N155" s="1064"/>
      <c r="O155" s="1064"/>
      <c r="P155" s="1062" t="s">
        <v>101</v>
      </c>
      <c r="Q155" s="1064" t="s">
        <v>102</v>
      </c>
      <c r="R155" s="1062" t="s">
        <v>101</v>
      </c>
      <c r="T155" s="1189" t="s">
        <v>425</v>
      </c>
      <c r="U155" s="1189"/>
      <c r="V155" s="1189"/>
      <c r="W155" s="1189"/>
      <c r="X155" s="1189" t="s">
        <v>426</v>
      </c>
      <c r="Y155" s="1189"/>
      <c r="Z155" s="1189"/>
      <c r="AA155" s="1189"/>
      <c r="AB155" s="1190" t="s">
        <v>427</v>
      </c>
      <c r="AC155" s="1190"/>
      <c r="AD155" s="1190"/>
      <c r="AE155" s="1190"/>
      <c r="AJ155" s="719"/>
    </row>
    <row r="156" spans="1:37" ht="15.75" thickBot="1">
      <c r="A156" s="1053"/>
      <c r="B156" s="1063"/>
      <c r="C156" s="1065"/>
      <c r="D156" s="290" t="s">
        <v>106</v>
      </c>
      <c r="E156" s="290" t="s">
        <v>107</v>
      </c>
      <c r="F156" s="290" t="s">
        <v>108</v>
      </c>
      <c r="G156" s="290" t="s">
        <v>109</v>
      </c>
      <c r="H156" s="1063"/>
      <c r="I156" s="1065"/>
      <c r="J156" s="290" t="s">
        <v>110</v>
      </c>
      <c r="K156" s="290" t="s">
        <v>111</v>
      </c>
      <c r="L156" s="290" t="s">
        <v>112</v>
      </c>
      <c r="M156" s="290" t="s">
        <v>113</v>
      </c>
      <c r="N156" s="290" t="s">
        <v>114</v>
      </c>
      <c r="O156" s="290" t="s">
        <v>115</v>
      </c>
      <c r="P156" s="1063"/>
      <c r="Q156" s="1065"/>
      <c r="R156" s="1063"/>
      <c r="T156" s="1" t="s">
        <v>428</v>
      </c>
      <c r="U156" s="1" t="s">
        <v>429</v>
      </c>
      <c r="V156" s="1" t="s">
        <v>293</v>
      </c>
      <c r="W156" s="1" t="s">
        <v>296</v>
      </c>
      <c r="X156" s="1" t="s">
        <v>428</v>
      </c>
      <c r="Y156" s="1" t="s">
        <v>429</v>
      </c>
      <c r="Z156" s="1" t="s">
        <v>293</v>
      </c>
      <c r="AA156" s="1" t="s">
        <v>296</v>
      </c>
      <c r="AB156" s="562" t="s">
        <v>428</v>
      </c>
      <c r="AC156" s="562" t="s">
        <v>429</v>
      </c>
      <c r="AD156" s="562" t="s">
        <v>293</v>
      </c>
      <c r="AE156" s="562" t="s">
        <v>296</v>
      </c>
      <c r="AF156" s="773" t="s">
        <v>430</v>
      </c>
      <c r="AG156" s="54" t="s">
        <v>431</v>
      </c>
      <c r="AJ156" s="719"/>
    </row>
    <row r="157" spans="1:37" ht="15.75" thickBot="1">
      <c r="A157" s="164" t="s">
        <v>11</v>
      </c>
      <c r="B157" s="291" t="e">
        <f>B158+B166+B176+B181+B185</f>
        <v>#DIV/0!</v>
      </c>
      <c r="C157" s="291" t="e">
        <f t="shared" ref="C157:R157" si="65">C158+C166+C176+C181+C185</f>
        <v>#DIV/0!</v>
      </c>
      <c r="D157" s="291">
        <f t="shared" si="65"/>
        <v>3170944</v>
      </c>
      <c r="E157" s="291" t="e">
        <f t="shared" si="65"/>
        <v>#DIV/0!</v>
      </c>
      <c r="F157" s="291" t="e">
        <f t="shared" si="65"/>
        <v>#DIV/0!</v>
      </c>
      <c r="G157" s="291" t="e">
        <f t="shared" si="65"/>
        <v>#DIV/0!</v>
      </c>
      <c r="H157" s="291" t="e">
        <f t="shared" si="65"/>
        <v>#VALUE!</v>
      </c>
      <c r="I157" s="291" t="e">
        <f t="shared" si="65"/>
        <v>#DIV/0!</v>
      </c>
      <c r="J157" s="291" t="e">
        <f t="shared" si="65"/>
        <v>#DIV/0!</v>
      </c>
      <c r="K157" s="291" t="e">
        <f t="shared" si="65"/>
        <v>#DIV/0!</v>
      </c>
      <c r="L157" s="291">
        <f t="shared" si="65"/>
        <v>515791</v>
      </c>
      <c r="M157" s="291">
        <f t="shared" si="65"/>
        <v>329183</v>
      </c>
      <c r="N157" s="291" t="e">
        <f t="shared" si="65"/>
        <v>#DIV/0!</v>
      </c>
      <c r="O157" s="291" t="e">
        <f t="shared" si="65"/>
        <v>#DIV/0!</v>
      </c>
      <c r="P157" s="291" t="e">
        <f t="shared" si="65"/>
        <v>#DIV/0!</v>
      </c>
      <c r="Q157" s="291" t="e">
        <f t="shared" si="65"/>
        <v>#DIV/0!</v>
      </c>
      <c r="R157" s="291">
        <f t="shared" si="65"/>
        <v>1720013</v>
      </c>
      <c r="T157" s="2" t="e">
        <f>B157+C157+H157+I157+P157+Q157+R157</f>
        <v>#DIV/0!</v>
      </c>
      <c r="U157" s="2" t="e">
        <f>D157+E157+F157+G157</f>
        <v>#DIV/0!</v>
      </c>
      <c r="V157" s="2" t="e">
        <f>J157+K157+L157</f>
        <v>#DIV/0!</v>
      </c>
      <c r="W157" s="2" t="e">
        <f>M157+N157+O157</f>
        <v>#DIV/0!</v>
      </c>
      <c r="X157" s="2">
        <f>DEN!C147+DEN!F147+DEN!G147+DEN!L147</f>
        <v>52316395</v>
      </c>
      <c r="Y157" s="2">
        <f>DEN!I147+DEN!J147</f>
        <v>20672987</v>
      </c>
      <c r="Z157" s="2">
        <f>DEN!D147+DEN!E147</f>
        <v>2948337</v>
      </c>
      <c r="AA157" s="2">
        <f>DEN!H147+DEN!K147</f>
        <v>859748</v>
      </c>
      <c r="AB157" s="562" t="e">
        <f>IF(T157=X157,"OK","ERRO")</f>
        <v>#DIV/0!</v>
      </c>
      <c r="AC157" s="562" t="e">
        <f t="shared" ref="AC157:AC189" si="66">IF(U157=Y157,"OK","ERRO")</f>
        <v>#DIV/0!</v>
      </c>
      <c r="AD157" s="562" t="e">
        <f t="shared" ref="AD157:AD189" si="67">IF(V157=Z157,"OK","ERRO")</f>
        <v>#DIV/0!</v>
      </c>
      <c r="AE157" s="562" t="e">
        <f t="shared" ref="AE157:AE189" si="68">IF(W157=AA157,"OK","ERRO")</f>
        <v>#DIV/0!</v>
      </c>
      <c r="AF157" s="774" t="e">
        <f>COMB_CORR!K3/FRO_TOT!T157</f>
        <v>#DIV/0!</v>
      </c>
      <c r="AG157" s="778"/>
      <c r="AJ157" s="719"/>
    </row>
    <row r="158" spans="1:37">
      <c r="A158" s="269" t="s">
        <v>46</v>
      </c>
      <c r="B158" s="291" t="e">
        <f t="shared" ref="B158:R158" si="69">SUM(B159:B165)</f>
        <v>#DIV/0!</v>
      </c>
      <c r="C158" s="291" t="e">
        <f t="shared" si="69"/>
        <v>#DIV/0!</v>
      </c>
      <c r="D158" s="291">
        <f t="shared" si="69"/>
        <v>359419</v>
      </c>
      <c r="E158" s="291" t="e">
        <f t="shared" si="69"/>
        <v>#DIV/0!</v>
      </c>
      <c r="F158" s="291" t="e">
        <f t="shared" si="69"/>
        <v>#DIV/0!</v>
      </c>
      <c r="G158" s="291" t="e">
        <f t="shared" si="69"/>
        <v>#DIV/0!</v>
      </c>
      <c r="H158" s="291" t="e">
        <f t="shared" si="69"/>
        <v>#VALUE!</v>
      </c>
      <c r="I158" s="291" t="e">
        <f t="shared" si="69"/>
        <v>#DIV/0!</v>
      </c>
      <c r="J158" s="291" t="e">
        <f t="shared" si="69"/>
        <v>#DIV/0!</v>
      </c>
      <c r="K158" s="291" t="e">
        <f t="shared" si="69"/>
        <v>#DIV/0!</v>
      </c>
      <c r="L158" s="291">
        <f t="shared" si="69"/>
        <v>17654</v>
      </c>
      <c r="M158" s="291">
        <f t="shared" si="69"/>
        <v>12446</v>
      </c>
      <c r="N158" s="291" t="e">
        <f t="shared" si="69"/>
        <v>#DIV/0!</v>
      </c>
      <c r="O158" s="291" t="e">
        <f t="shared" si="69"/>
        <v>#DIV/0!</v>
      </c>
      <c r="P158" s="291" t="e">
        <f t="shared" si="69"/>
        <v>#DIV/0!</v>
      </c>
      <c r="Q158" s="291" t="e">
        <f t="shared" si="69"/>
        <v>#DIV/0!</v>
      </c>
      <c r="R158" s="291">
        <f t="shared" si="69"/>
        <v>1815</v>
      </c>
      <c r="T158" s="2" t="e">
        <f t="shared" ref="T158:T189" si="70">B158+C158+H158+I158+P158+Q158+R158</f>
        <v>#DIV/0!</v>
      </c>
      <c r="U158" s="2" t="e">
        <f t="shared" ref="U158:U189" si="71">D158+E158+F158+G158</f>
        <v>#DIV/0!</v>
      </c>
      <c r="V158" s="2" t="e">
        <f t="shared" ref="V158:V189" si="72">J158+K158+L158</f>
        <v>#DIV/0!</v>
      </c>
      <c r="W158" s="2" t="e">
        <f t="shared" ref="W158:W189" si="73">M158+N158+O158</f>
        <v>#DIV/0!</v>
      </c>
      <c r="X158" s="2">
        <f>DEN!C148+DEN!F148+DEN!G148+DEN!L148</f>
        <v>1705148</v>
      </c>
      <c r="Y158" s="2">
        <f>DEN!I148+DEN!J148</f>
        <v>1763763</v>
      </c>
      <c r="Z158" s="2">
        <f>DEN!D148+DEN!E148</f>
        <v>145059</v>
      </c>
      <c r="AA158" s="2">
        <f>DEN!H148+DEN!K148</f>
        <v>45992</v>
      </c>
      <c r="AB158" s="562" t="e">
        <f t="shared" ref="AB158:AB189" si="74">IF(T158=X158,"OK","ERRO")</f>
        <v>#DIV/0!</v>
      </c>
      <c r="AC158" s="562" t="e">
        <f t="shared" si="66"/>
        <v>#DIV/0!</v>
      </c>
      <c r="AD158" s="562" t="e">
        <f t="shared" si="67"/>
        <v>#DIV/0!</v>
      </c>
      <c r="AE158" s="562" t="e">
        <f t="shared" si="68"/>
        <v>#DIV/0!</v>
      </c>
      <c r="AF158" s="774"/>
      <c r="AG158" s="778"/>
      <c r="AJ158" s="776" t="s">
        <v>432</v>
      </c>
      <c r="AK158" s="777" t="s">
        <v>433</v>
      </c>
    </row>
    <row r="159" spans="1:37">
      <c r="A159" s="127" t="s">
        <v>13</v>
      </c>
      <c r="B159" s="291" t="e">
        <f>DIST_GAS_LEV!U13-AK159</f>
        <v>#DIV/0!</v>
      </c>
      <c r="C159" s="291" t="e">
        <f>DIST_GAS_LEV!AL13</f>
        <v>#DIV/0!</v>
      </c>
      <c r="D159" s="291">
        <f>DIST_GAS_MOT!R14</f>
        <v>16419</v>
      </c>
      <c r="E159" s="291" t="e">
        <f>DIST_GAS_MOT!S14</f>
        <v>#DIV/0!</v>
      </c>
      <c r="F159" s="291" t="e">
        <f>DIST_GAS_MOT!T14</f>
        <v>#DIV/0!</v>
      </c>
      <c r="G159" s="291" t="e">
        <f>DIST_GAS_MOT!U14</f>
        <v>#DIV/0!</v>
      </c>
      <c r="H159" s="291" t="e">
        <f>DIST_ALC_LEV!P13</f>
        <v>#VALUE!</v>
      </c>
      <c r="I159" s="291" t="e">
        <f>DIST_ALC_LEV!AG13</f>
        <v>#DIV/0!</v>
      </c>
      <c r="J159" s="291" t="e">
        <f>DIST_DSL_CAM!N20</f>
        <v>#DIV/0!</v>
      </c>
      <c r="K159" s="291" t="e">
        <f>DIST_DSL_CAM!O20</f>
        <v>#DIV/0!</v>
      </c>
      <c r="L159" s="291">
        <f>DIST_DSL_CAM!P20</f>
        <v>541</v>
      </c>
      <c r="M159" s="291">
        <f>DIST_DSL_ONI!N20</f>
        <v>273</v>
      </c>
      <c r="N159" s="291" t="e">
        <f>DIST_DSL_ONI!O20</f>
        <v>#DIV/0!</v>
      </c>
      <c r="O159" s="291" t="e">
        <f>DIST_DSL_ONI!P20</f>
        <v>#DIV/0!</v>
      </c>
      <c r="P159" s="291" t="e">
        <f>DIST_DSL_LEV!N13</f>
        <v>#DIV/0!</v>
      </c>
      <c r="Q159" s="291" t="e">
        <f>DIST_DSL_LEV!O13</f>
        <v>#DIV/0!</v>
      </c>
      <c r="R159" s="291">
        <f>GNV!F6</f>
        <v>8</v>
      </c>
      <c r="T159" s="2" t="e">
        <f t="shared" si="70"/>
        <v>#DIV/0!</v>
      </c>
      <c r="U159" s="2" t="e">
        <f t="shared" si="71"/>
        <v>#DIV/0!</v>
      </c>
      <c r="V159" s="2" t="e">
        <f t="shared" si="72"/>
        <v>#DIV/0!</v>
      </c>
      <c r="W159" s="2" t="e">
        <f t="shared" si="73"/>
        <v>#DIV/0!</v>
      </c>
      <c r="X159" s="2">
        <f>DEN!C149+DEN!F149+DEN!G149+DEN!L149</f>
        <v>87418</v>
      </c>
      <c r="Y159" s="2">
        <f>DEN!I149+DEN!J149</f>
        <v>98881</v>
      </c>
      <c r="Z159" s="2">
        <f>DEN!D149+DEN!E149</f>
        <v>6661</v>
      </c>
      <c r="AA159" s="2">
        <f>DEN!H149+DEN!K149</f>
        <v>1058</v>
      </c>
      <c r="AB159" s="562" t="e">
        <f t="shared" si="74"/>
        <v>#DIV/0!</v>
      </c>
      <c r="AC159" s="562" t="e">
        <f t="shared" si="66"/>
        <v>#DIV/0!</v>
      </c>
      <c r="AD159" s="562" t="e">
        <f t="shared" si="67"/>
        <v>#DIV/0!</v>
      </c>
      <c r="AE159" s="562" t="e">
        <f t="shared" si="68"/>
        <v>#DIV/0!</v>
      </c>
      <c r="AF159" s="774" t="e">
        <f>COMB_CORR!K5/FRO_TOT!T159</f>
        <v>#DIV/0!</v>
      </c>
      <c r="AG159" s="781" t="e">
        <f>AF159/$AF$157</f>
        <v>#DIV/0!</v>
      </c>
      <c r="AH159" s="3">
        <v>0.49667799726256673</v>
      </c>
      <c r="AJ159" s="742" t="e">
        <f t="shared" si="61"/>
        <v>#DIV/0!</v>
      </c>
      <c r="AK159" s="783">
        <v>-1729.2381517991598</v>
      </c>
    </row>
    <row r="160" spans="1:37">
      <c r="A160" s="127" t="s">
        <v>14</v>
      </c>
      <c r="B160" s="291" t="e">
        <f>DIST_GAS_LEV!U14-AK160</f>
        <v>#DIV/0!</v>
      </c>
      <c r="C160" s="291" t="e">
        <f>DIST_GAS_LEV!AL14</f>
        <v>#DIV/0!</v>
      </c>
      <c r="D160" s="291">
        <f>DIST_GAS_MOT!R15</f>
        <v>8966</v>
      </c>
      <c r="E160" s="291" t="e">
        <f>DIST_GAS_MOT!S15</f>
        <v>#DIV/0!</v>
      </c>
      <c r="F160" s="291" t="e">
        <f>DIST_GAS_MOT!T15</f>
        <v>#DIV/0!</v>
      </c>
      <c r="G160" s="291" t="e">
        <f>DIST_GAS_MOT!U15</f>
        <v>#DIV/0!</v>
      </c>
      <c r="H160" s="291" t="e">
        <f>DIST_ALC_LEV!P14</f>
        <v>#DIV/0!</v>
      </c>
      <c r="I160" s="291" t="e">
        <f>DIST_ALC_LEV!AG14</f>
        <v>#DIV/0!</v>
      </c>
      <c r="J160" s="291" t="e">
        <f>DIST_DSL_CAM!N21</f>
        <v>#DIV/0!</v>
      </c>
      <c r="K160" s="291" t="e">
        <f>DIST_DSL_CAM!O21</f>
        <v>#DIV/0!</v>
      </c>
      <c r="L160" s="291">
        <f>DIST_DSL_CAM!P21</f>
        <v>239</v>
      </c>
      <c r="M160" s="291">
        <f>DIST_DSL_ONI!N21</f>
        <v>395</v>
      </c>
      <c r="N160" s="291" t="e">
        <f>DIST_DSL_ONI!O21</f>
        <v>#DIV/0!</v>
      </c>
      <c r="O160" s="291" t="e">
        <f>DIST_DSL_ONI!P21</f>
        <v>#DIV/0!</v>
      </c>
      <c r="P160" s="291" t="e">
        <f>DIST_DSL_LEV!N14</f>
        <v>#DIV/0!</v>
      </c>
      <c r="Q160" s="291" t="e">
        <f>DIST_DSL_LEV!O14</f>
        <v>#DIV/0!</v>
      </c>
      <c r="R160" s="291">
        <f>GNV!F7</f>
        <v>6</v>
      </c>
      <c r="T160" s="2" t="e">
        <f t="shared" si="70"/>
        <v>#DIV/0!</v>
      </c>
      <c r="U160" s="2" t="e">
        <f t="shared" si="71"/>
        <v>#DIV/0!</v>
      </c>
      <c r="V160" s="2" t="e">
        <f t="shared" si="72"/>
        <v>#DIV/0!</v>
      </c>
      <c r="W160" s="2" t="e">
        <f t="shared" si="73"/>
        <v>#DIV/0!</v>
      </c>
      <c r="X160" s="2">
        <f>DEN!C150+DEN!F150+DEN!G150+DEN!L150</f>
        <v>81887</v>
      </c>
      <c r="Y160" s="2">
        <f>DEN!I150+DEN!J150</f>
        <v>57430</v>
      </c>
      <c r="Z160" s="2">
        <f>DEN!D150+DEN!E150</f>
        <v>3810</v>
      </c>
      <c r="AA160" s="2">
        <f>DEN!H150+DEN!K150</f>
        <v>1285</v>
      </c>
      <c r="AB160" s="562" t="e">
        <f t="shared" si="74"/>
        <v>#DIV/0!</v>
      </c>
      <c r="AC160" s="562" t="e">
        <f t="shared" si="66"/>
        <v>#DIV/0!</v>
      </c>
      <c r="AD160" s="562" t="e">
        <f t="shared" si="67"/>
        <v>#DIV/0!</v>
      </c>
      <c r="AE160" s="562" t="e">
        <f t="shared" si="68"/>
        <v>#DIV/0!</v>
      </c>
      <c r="AF160" s="774" t="e">
        <f>COMB_CORR!K6/FRO_TOT!T160</f>
        <v>#DIV/0!</v>
      </c>
      <c r="AG160" s="781" t="e">
        <f t="shared" ref="AG160:AG189" si="75">AF160/$AF$157</f>
        <v>#DIV/0!</v>
      </c>
      <c r="AH160" s="3">
        <v>0.14931714602740259</v>
      </c>
      <c r="AJ160" s="742" t="e">
        <f t="shared" si="61"/>
        <v>#DIV/0!</v>
      </c>
      <c r="AK160" s="783">
        <v>-2875.2859780854633</v>
      </c>
    </row>
    <row r="161" spans="1:37">
      <c r="A161" s="127" t="s">
        <v>15</v>
      </c>
      <c r="B161" s="291" t="e">
        <f>DIST_GAS_LEV!U15-AK161</f>
        <v>#DIV/0!</v>
      </c>
      <c r="C161" s="291" t="e">
        <f>DIST_GAS_LEV!AL15</f>
        <v>#DIV/0!</v>
      </c>
      <c r="D161" s="291">
        <f>DIST_GAS_MOT!R16</f>
        <v>39419</v>
      </c>
      <c r="E161" s="291" t="e">
        <f>DIST_GAS_MOT!S16</f>
        <v>#DIV/0!</v>
      </c>
      <c r="F161" s="291" t="e">
        <f>DIST_GAS_MOT!T16</f>
        <v>#DIV/0!</v>
      </c>
      <c r="G161" s="291" t="e">
        <f>DIST_GAS_MOT!U16</f>
        <v>#DIV/0!</v>
      </c>
      <c r="H161" s="291" t="e">
        <f>DIST_ALC_LEV!P15</f>
        <v>#DIV/0!</v>
      </c>
      <c r="I161" s="291" t="e">
        <f>DIST_ALC_LEV!AG15</f>
        <v>#DIV/0!</v>
      </c>
      <c r="J161" s="291" t="e">
        <f>DIST_DSL_CAM!N22</f>
        <v>#DIV/0!</v>
      </c>
      <c r="K161" s="291" t="e">
        <f>DIST_DSL_CAM!O22</f>
        <v>#DIV/0!</v>
      </c>
      <c r="L161" s="291">
        <f>DIST_DSL_CAM!P22</f>
        <v>2608</v>
      </c>
      <c r="M161" s="291">
        <f>DIST_DSL_ONI!N22</f>
        <v>3136</v>
      </c>
      <c r="N161" s="291" t="e">
        <f>DIST_DSL_ONI!O22</f>
        <v>#DIV/0!</v>
      </c>
      <c r="O161" s="291" t="e">
        <f>DIST_DSL_ONI!P22</f>
        <v>#DIV/0!</v>
      </c>
      <c r="P161" s="291" t="e">
        <f>DIST_DSL_LEV!N15</f>
        <v>#DIV/0!</v>
      </c>
      <c r="Q161" s="291" t="e">
        <f>DIST_DSL_LEV!O15</f>
        <v>#DIV/0!</v>
      </c>
      <c r="R161" s="291">
        <f>GNV!F8</f>
        <v>1261</v>
      </c>
      <c r="T161" s="2" t="e">
        <f t="shared" si="70"/>
        <v>#DIV/0!</v>
      </c>
      <c r="U161" s="2" t="e">
        <f t="shared" si="71"/>
        <v>#DIV/0!</v>
      </c>
      <c r="V161" s="2" t="e">
        <f t="shared" si="72"/>
        <v>#DIV/0!</v>
      </c>
      <c r="W161" s="2" t="e">
        <f t="shared" si="73"/>
        <v>#DIV/0!</v>
      </c>
      <c r="X161" s="2">
        <f>DEN!C151+DEN!F151+DEN!G151+DEN!L151</f>
        <v>410369</v>
      </c>
      <c r="Y161" s="2">
        <f>DEN!I151+DEN!J151</f>
        <v>212090</v>
      </c>
      <c r="Z161" s="2">
        <f>DEN!D151+DEN!E151</f>
        <v>21249</v>
      </c>
      <c r="AA161" s="2">
        <f>DEN!H151+DEN!K151</f>
        <v>11379</v>
      </c>
      <c r="AB161" s="562" t="e">
        <f t="shared" si="74"/>
        <v>#DIV/0!</v>
      </c>
      <c r="AC161" s="562" t="e">
        <f t="shared" si="66"/>
        <v>#DIV/0!</v>
      </c>
      <c r="AD161" s="562" t="e">
        <f t="shared" si="67"/>
        <v>#DIV/0!</v>
      </c>
      <c r="AE161" s="562" t="e">
        <f t="shared" si="68"/>
        <v>#DIV/0!</v>
      </c>
      <c r="AF161" s="774" t="e">
        <f>COMB_CORR!K7/FRO_TOT!T161</f>
        <v>#DIV/0!</v>
      </c>
      <c r="AG161" s="781" t="e">
        <f t="shared" si="75"/>
        <v>#DIV/0!</v>
      </c>
      <c r="AH161" s="3">
        <v>0.55333144190947148</v>
      </c>
      <c r="AJ161" s="742" t="e">
        <f t="shared" si="61"/>
        <v>#DIV/0!</v>
      </c>
      <c r="AK161" s="783">
        <v>-8095.286384028499</v>
      </c>
    </row>
    <row r="162" spans="1:37">
      <c r="A162" s="127" t="s">
        <v>16</v>
      </c>
      <c r="B162" s="291" t="e">
        <f>DIST_GAS_LEV!U16-AK162</f>
        <v>#DIV/0!</v>
      </c>
      <c r="C162" s="291" t="e">
        <f>DIST_GAS_LEV!AL16</f>
        <v>#DIV/0!</v>
      </c>
      <c r="D162" s="291">
        <f>DIST_GAS_MOT!R17</f>
        <v>120515</v>
      </c>
      <c r="E162" s="291" t="e">
        <f>DIST_GAS_MOT!S17</f>
        <v>#DIV/0!</v>
      </c>
      <c r="F162" s="291" t="e">
        <f>DIST_GAS_MOT!T17</f>
        <v>#DIV/0!</v>
      </c>
      <c r="G162" s="291" t="e">
        <f>DIST_GAS_MOT!U17</f>
        <v>#DIV/0!</v>
      </c>
      <c r="H162" s="291" t="e">
        <f>DIST_ALC_LEV!P16</f>
        <v>#DIV/0!</v>
      </c>
      <c r="I162" s="291" t="e">
        <f>DIST_ALC_LEV!AG16</f>
        <v>#DIV/0!</v>
      </c>
      <c r="J162" s="291" t="e">
        <f>DIST_DSL_CAM!N23</f>
        <v>#DIV/0!</v>
      </c>
      <c r="K162" s="291" t="e">
        <f>DIST_DSL_CAM!O23</f>
        <v>#DIV/0!</v>
      </c>
      <c r="L162" s="291">
        <f>DIST_DSL_CAM!P23</f>
        <v>5430</v>
      </c>
      <c r="M162" s="291">
        <f>DIST_DSL_ONI!N23</f>
        <v>5744</v>
      </c>
      <c r="N162" s="291" t="e">
        <f>DIST_DSL_ONI!O23</f>
        <v>#DIV/0!</v>
      </c>
      <c r="O162" s="291" t="e">
        <f>DIST_DSL_ONI!P23</f>
        <v>#DIV/0!</v>
      </c>
      <c r="P162" s="291" t="e">
        <f>DIST_DSL_LEV!N16</f>
        <v>#DIV/0!</v>
      </c>
      <c r="Q162" s="291" t="e">
        <f>DIST_DSL_LEV!O16</f>
        <v>#DIV/0!</v>
      </c>
      <c r="R162" s="291">
        <f>GNV!F9</f>
        <v>221</v>
      </c>
      <c r="T162" s="2" t="e">
        <f t="shared" si="70"/>
        <v>#DIV/0!</v>
      </c>
      <c r="U162" s="2" t="e">
        <f t="shared" si="71"/>
        <v>#DIV/0!</v>
      </c>
      <c r="V162" s="2" t="e">
        <f t="shared" si="72"/>
        <v>#DIV/0!</v>
      </c>
      <c r="W162" s="2" t="e">
        <f t="shared" si="73"/>
        <v>#DIV/0!</v>
      </c>
      <c r="X162" s="2">
        <f>DEN!C152+DEN!F152+DEN!G152+DEN!L152</f>
        <v>569894</v>
      </c>
      <c r="Y162" s="2">
        <f>DEN!I152+DEN!J152</f>
        <v>672994</v>
      </c>
      <c r="Z162" s="2">
        <f>DEN!D152+DEN!E152</f>
        <v>54041</v>
      </c>
      <c r="AA162" s="2">
        <f>DEN!H152+DEN!K152</f>
        <v>19605</v>
      </c>
      <c r="AB162" s="562" t="e">
        <f t="shared" si="74"/>
        <v>#DIV/0!</v>
      </c>
      <c r="AC162" s="562" t="e">
        <f t="shared" si="66"/>
        <v>#DIV/0!</v>
      </c>
      <c r="AD162" s="562" t="e">
        <f t="shared" si="67"/>
        <v>#DIV/0!</v>
      </c>
      <c r="AE162" s="562" t="e">
        <f t="shared" si="68"/>
        <v>#DIV/0!</v>
      </c>
      <c r="AF162" s="774" t="e">
        <f>COMB_CORR!K8/FRO_TOT!T162</f>
        <v>#DIV/0!</v>
      </c>
      <c r="AG162" s="781" t="e">
        <f t="shared" si="75"/>
        <v>#DIV/0!</v>
      </c>
      <c r="AH162" s="3">
        <v>0.24845549552207827</v>
      </c>
      <c r="AJ162" s="742" t="e">
        <f t="shared" si="61"/>
        <v>#DIV/0!</v>
      </c>
      <c r="AK162" s="783">
        <v>-17487.357132144272</v>
      </c>
    </row>
    <row r="163" spans="1:37">
      <c r="A163" s="127" t="s">
        <v>17</v>
      </c>
      <c r="B163" s="291" t="e">
        <f>DIST_GAS_LEV!U17-AK163</f>
        <v>#DIV/0!</v>
      </c>
      <c r="C163" s="291" t="e">
        <f>DIST_GAS_LEV!AL17</f>
        <v>#DIV/0!</v>
      </c>
      <c r="D163" s="291">
        <f>DIST_GAS_MOT!R18</f>
        <v>88209</v>
      </c>
      <c r="E163" s="291" t="e">
        <f>DIST_GAS_MOT!S18</f>
        <v>#DIV/0!</v>
      </c>
      <c r="F163" s="291" t="e">
        <f>DIST_GAS_MOT!T18</f>
        <v>#DIV/0!</v>
      </c>
      <c r="G163" s="291" t="e">
        <f>DIST_GAS_MOT!U18</f>
        <v>#DIV/0!</v>
      </c>
      <c r="H163" s="291" t="e">
        <f>DIST_ALC_LEV!P17</f>
        <v>#DIV/0!</v>
      </c>
      <c r="I163" s="291" t="e">
        <f>DIST_ALC_LEV!AG17</f>
        <v>#DIV/0!</v>
      </c>
      <c r="J163" s="291" t="e">
        <f>DIST_DSL_CAM!N24</f>
        <v>#DIV/0!</v>
      </c>
      <c r="K163" s="291" t="e">
        <f>DIST_DSL_CAM!O24</f>
        <v>#DIV/0!</v>
      </c>
      <c r="L163" s="291">
        <f>DIST_DSL_CAM!P24</f>
        <v>4882</v>
      </c>
      <c r="M163" s="291">
        <f>DIST_DSL_ONI!N24</f>
        <v>972</v>
      </c>
      <c r="N163" s="291" t="e">
        <f>DIST_DSL_ONI!O24</f>
        <v>#DIV/0!</v>
      </c>
      <c r="O163" s="291" t="e">
        <f>DIST_DSL_ONI!P24</f>
        <v>#DIV/0!</v>
      </c>
      <c r="P163" s="291" t="e">
        <f>DIST_DSL_LEV!N17</f>
        <v>#DIV/0!</v>
      </c>
      <c r="Q163" s="291" t="e">
        <f>DIST_DSL_LEV!O17</f>
        <v>#DIV/0!</v>
      </c>
      <c r="R163" s="291">
        <f>GNV!F10</f>
        <v>99</v>
      </c>
      <c r="T163" s="2" t="e">
        <f t="shared" si="70"/>
        <v>#DIV/0!</v>
      </c>
      <c r="U163" s="2" t="e">
        <f t="shared" si="71"/>
        <v>#DIV/0!</v>
      </c>
      <c r="V163" s="2" t="e">
        <f t="shared" si="72"/>
        <v>#DIV/0!</v>
      </c>
      <c r="W163" s="2" t="e">
        <f t="shared" si="73"/>
        <v>#DIV/0!</v>
      </c>
      <c r="X163" s="2">
        <f>DEN!C153+DEN!F153+DEN!G153+DEN!L153</f>
        <v>276451</v>
      </c>
      <c r="Y163" s="2">
        <f>DEN!I153+DEN!J153</f>
        <v>396937</v>
      </c>
      <c r="Z163" s="2">
        <f>DEN!D153+DEN!E153</f>
        <v>31035</v>
      </c>
      <c r="AA163" s="2">
        <f>DEN!H153+DEN!K153</f>
        <v>5709</v>
      </c>
      <c r="AB163" s="562" t="e">
        <f t="shared" si="74"/>
        <v>#DIV/0!</v>
      </c>
      <c r="AC163" s="562" t="e">
        <f t="shared" si="66"/>
        <v>#DIV/0!</v>
      </c>
      <c r="AD163" s="562" t="e">
        <f t="shared" si="67"/>
        <v>#DIV/0!</v>
      </c>
      <c r="AE163" s="562" t="e">
        <f t="shared" si="68"/>
        <v>#DIV/0!</v>
      </c>
      <c r="AF163" s="774" t="e">
        <f>COMB_CORR!K9/FRO_TOT!T163</f>
        <v>#DIV/0!</v>
      </c>
      <c r="AG163" s="781" t="e">
        <f t="shared" si="75"/>
        <v>#DIV/0!</v>
      </c>
      <c r="AH163" s="3">
        <v>0.71992891765209743</v>
      </c>
      <c r="AJ163" s="742" t="e">
        <f t="shared" si="61"/>
        <v>#DIV/0!</v>
      </c>
      <c r="AK163" s="783">
        <v>-2818.0691188421915</v>
      </c>
    </row>
    <row r="164" spans="1:37">
      <c r="A164" s="127" t="s">
        <v>18</v>
      </c>
      <c r="B164" s="291" t="e">
        <f>DIST_GAS_LEV!U18-AK164</f>
        <v>#DIV/0!</v>
      </c>
      <c r="C164" s="291" t="e">
        <f>DIST_GAS_LEV!AL18</f>
        <v>#DIV/0!</v>
      </c>
      <c r="D164" s="291">
        <f>DIST_GAS_MOT!R19</f>
        <v>15311</v>
      </c>
      <c r="E164" s="291" t="e">
        <f>DIST_GAS_MOT!S19</f>
        <v>#DIV/0!</v>
      </c>
      <c r="F164" s="291" t="e">
        <f>DIST_GAS_MOT!T19</f>
        <v>#DIV/0!</v>
      </c>
      <c r="G164" s="291" t="e">
        <f>DIST_GAS_MOT!U19</f>
        <v>#DIV/0!</v>
      </c>
      <c r="H164" s="291" t="e">
        <f>DIST_ALC_LEV!P18</f>
        <v>#DIV/0!</v>
      </c>
      <c r="I164" s="291" t="e">
        <f>DIST_ALC_LEV!AG18</f>
        <v>#DIV/0!</v>
      </c>
      <c r="J164" s="291" t="e">
        <f>DIST_DSL_CAM!N25</f>
        <v>#DIV/0!</v>
      </c>
      <c r="K164" s="291" t="e">
        <f>DIST_DSL_CAM!O25</f>
        <v>#DIV/0!</v>
      </c>
      <c r="L164" s="291">
        <f>DIST_DSL_CAM!P25</f>
        <v>430</v>
      </c>
      <c r="M164" s="291">
        <f>DIST_DSL_ONI!N25</f>
        <v>541</v>
      </c>
      <c r="N164" s="291" t="e">
        <f>DIST_DSL_ONI!O25</f>
        <v>#DIV/0!</v>
      </c>
      <c r="O164" s="291" t="e">
        <f>DIST_DSL_ONI!P25</f>
        <v>#DIV/0!</v>
      </c>
      <c r="P164" s="291" t="e">
        <f>DIST_DSL_LEV!N18</f>
        <v>#DIV/0!</v>
      </c>
      <c r="Q164" s="291" t="e">
        <f>DIST_DSL_LEV!O18</f>
        <v>#DIV/0!</v>
      </c>
      <c r="R164" s="291">
        <f>GNV!F11</f>
        <v>26</v>
      </c>
      <c r="T164" s="2" t="e">
        <f t="shared" si="70"/>
        <v>#DIV/0!</v>
      </c>
      <c r="U164" s="2" t="e">
        <f t="shared" si="71"/>
        <v>#DIV/0!</v>
      </c>
      <c r="V164" s="2" t="e">
        <f t="shared" si="72"/>
        <v>#DIV/0!</v>
      </c>
      <c r="W164" s="2" t="e">
        <f t="shared" si="73"/>
        <v>#DIV/0!</v>
      </c>
      <c r="X164" s="2">
        <f>DEN!C154+DEN!F154+DEN!G154+DEN!L154</f>
        <v>73228</v>
      </c>
      <c r="Y164" s="2">
        <f>DEN!I154+DEN!J154</f>
        <v>77600</v>
      </c>
      <c r="Z164" s="2">
        <f>DEN!D154+DEN!E154</f>
        <v>4189</v>
      </c>
      <c r="AA164" s="2">
        <f>DEN!H154+DEN!K154</f>
        <v>1333</v>
      </c>
      <c r="AB164" s="562" t="e">
        <f t="shared" si="74"/>
        <v>#DIV/0!</v>
      </c>
      <c r="AC164" s="562" t="e">
        <f t="shared" si="66"/>
        <v>#DIV/0!</v>
      </c>
      <c r="AD164" s="562" t="e">
        <f t="shared" si="67"/>
        <v>#DIV/0!</v>
      </c>
      <c r="AE164" s="562" t="e">
        <f t="shared" si="68"/>
        <v>#DIV/0!</v>
      </c>
      <c r="AF164" s="774" t="e">
        <f>COMB_CORR!K10/FRO_TOT!T164</f>
        <v>#DIV/0!</v>
      </c>
      <c r="AG164" s="781" t="e">
        <f t="shared" si="75"/>
        <v>#DIV/0!</v>
      </c>
      <c r="AH164" s="3">
        <v>0.18066738005555857</v>
      </c>
      <c r="AJ164" s="742" t="e">
        <f t="shared" si="61"/>
        <v>#DIV/0!</v>
      </c>
      <c r="AK164" s="783">
        <v>-2292.3014820318203</v>
      </c>
    </row>
    <row r="165" spans="1:37" ht="15.75" thickBot="1">
      <c r="A165" s="128" t="s">
        <v>19</v>
      </c>
      <c r="B165" s="291" t="e">
        <f>DIST_GAS_LEV!U19-AK165</f>
        <v>#DIV/0!</v>
      </c>
      <c r="C165" s="291" t="e">
        <f>DIST_GAS_LEV!AL19</f>
        <v>#DIV/0!</v>
      </c>
      <c r="D165" s="291">
        <f>DIST_GAS_MOT!R20</f>
        <v>70580</v>
      </c>
      <c r="E165" s="291" t="e">
        <f>DIST_GAS_MOT!S20</f>
        <v>#DIV/0!</v>
      </c>
      <c r="F165" s="291" t="e">
        <f>DIST_GAS_MOT!T20</f>
        <v>#DIV/0!</v>
      </c>
      <c r="G165" s="291" t="e">
        <f>DIST_GAS_MOT!U20</f>
        <v>#DIV/0!</v>
      </c>
      <c r="H165" s="291" t="e">
        <f>DIST_ALC_LEV!P19</f>
        <v>#DIV/0!</v>
      </c>
      <c r="I165" s="291" t="e">
        <f>DIST_ALC_LEV!AG19</f>
        <v>#DIV/0!</v>
      </c>
      <c r="J165" s="291" t="e">
        <f>DIST_DSL_CAM!N26</f>
        <v>#DIV/0!</v>
      </c>
      <c r="K165" s="291" t="e">
        <f>DIST_DSL_CAM!O26</f>
        <v>#DIV/0!</v>
      </c>
      <c r="L165" s="291">
        <f>DIST_DSL_CAM!P26</f>
        <v>3524</v>
      </c>
      <c r="M165" s="291">
        <f>DIST_DSL_ONI!N26</f>
        <v>1385</v>
      </c>
      <c r="N165" s="291" t="e">
        <f>DIST_DSL_ONI!O26</f>
        <v>#DIV/0!</v>
      </c>
      <c r="O165" s="291" t="e">
        <f>DIST_DSL_ONI!P26</f>
        <v>#DIV/0!</v>
      </c>
      <c r="P165" s="291" t="e">
        <f>DIST_DSL_LEV!N19</f>
        <v>#DIV/0!</v>
      </c>
      <c r="Q165" s="291" t="e">
        <f>DIST_DSL_LEV!O19</f>
        <v>#DIV/0!</v>
      </c>
      <c r="R165" s="291">
        <f>GNV!F12</f>
        <v>194</v>
      </c>
      <c r="T165" s="2" t="e">
        <f t="shared" si="70"/>
        <v>#DIV/0!</v>
      </c>
      <c r="U165" s="2" t="e">
        <f t="shared" si="71"/>
        <v>#DIV/0!</v>
      </c>
      <c r="V165" s="2" t="e">
        <f t="shared" si="72"/>
        <v>#DIV/0!</v>
      </c>
      <c r="W165" s="2" t="e">
        <f t="shared" si="73"/>
        <v>#DIV/0!</v>
      </c>
      <c r="X165" s="2">
        <f>DEN!C155+DEN!F155+DEN!G155+DEN!L155</f>
        <v>205901</v>
      </c>
      <c r="Y165" s="2">
        <f>DEN!I155+DEN!J155</f>
        <v>247831</v>
      </c>
      <c r="Z165" s="2">
        <f>DEN!D155+DEN!E155</f>
        <v>24074</v>
      </c>
      <c r="AA165" s="2">
        <f>DEN!H155+DEN!K155</f>
        <v>5623</v>
      </c>
      <c r="AB165" s="562" t="e">
        <f t="shared" si="74"/>
        <v>#DIV/0!</v>
      </c>
      <c r="AC165" s="562" t="e">
        <f t="shared" si="66"/>
        <v>#DIV/0!</v>
      </c>
      <c r="AD165" s="562" t="e">
        <f t="shared" si="67"/>
        <v>#DIV/0!</v>
      </c>
      <c r="AE165" s="562" t="e">
        <f t="shared" si="68"/>
        <v>#DIV/0!</v>
      </c>
      <c r="AF165" s="774" t="e">
        <f>COMB_CORR!K11/FRO_TOT!T165</f>
        <v>#DIV/0!</v>
      </c>
      <c r="AG165" s="781" t="e">
        <f t="shared" si="75"/>
        <v>#DIV/0!</v>
      </c>
      <c r="AH165" s="3">
        <v>1.1823972993620595</v>
      </c>
      <c r="AJ165" s="742" t="e">
        <f t="shared" si="61"/>
        <v>#DIV/0!</v>
      </c>
      <c r="AK165" s="783">
        <v>1539.5531697270053</v>
      </c>
    </row>
    <row r="166" spans="1:37">
      <c r="A166" s="269" t="s">
        <v>54</v>
      </c>
      <c r="B166" s="291" t="e">
        <f t="shared" ref="B166:R166" si="76">SUM(B167:B175)</f>
        <v>#DIV/0!</v>
      </c>
      <c r="C166" s="291" t="e">
        <f t="shared" si="76"/>
        <v>#DIV/0!</v>
      </c>
      <c r="D166" s="291">
        <f t="shared" si="76"/>
        <v>632253</v>
      </c>
      <c r="E166" s="291" t="e">
        <f t="shared" si="76"/>
        <v>#DIV/0!</v>
      </c>
      <c r="F166" s="291" t="e">
        <f t="shared" si="76"/>
        <v>#DIV/0!</v>
      </c>
      <c r="G166" s="291" t="e">
        <f t="shared" si="76"/>
        <v>#DIV/0!</v>
      </c>
      <c r="H166" s="291" t="e">
        <f t="shared" si="76"/>
        <v>#DIV/0!</v>
      </c>
      <c r="I166" s="291" t="e">
        <f t="shared" si="76"/>
        <v>#DIV/0!</v>
      </c>
      <c r="J166" s="291" t="e">
        <f t="shared" si="76"/>
        <v>#DIV/0!</v>
      </c>
      <c r="K166" s="291" t="e">
        <f t="shared" si="76"/>
        <v>#DIV/0!</v>
      </c>
      <c r="L166" s="291">
        <f t="shared" si="76"/>
        <v>45168</v>
      </c>
      <c r="M166" s="291">
        <f t="shared" si="76"/>
        <v>68366</v>
      </c>
      <c r="N166" s="291" t="e">
        <f t="shared" si="76"/>
        <v>#DIV/0!</v>
      </c>
      <c r="O166" s="291" t="e">
        <f t="shared" si="76"/>
        <v>#DIV/0!</v>
      </c>
      <c r="P166" s="291" t="e">
        <f t="shared" si="76"/>
        <v>#DIV/0!</v>
      </c>
      <c r="Q166" s="291" t="e">
        <f t="shared" si="76"/>
        <v>#DIV/0!</v>
      </c>
      <c r="R166" s="291">
        <f t="shared" si="76"/>
        <v>228698</v>
      </c>
      <c r="T166" s="2" t="e">
        <f t="shared" si="70"/>
        <v>#DIV/0!</v>
      </c>
      <c r="U166" s="2" t="e">
        <f t="shared" si="71"/>
        <v>#DIV/0!</v>
      </c>
      <c r="V166" s="2" t="e">
        <f t="shared" si="72"/>
        <v>#DIV/0!</v>
      </c>
      <c r="W166" s="2" t="e">
        <f t="shared" si="73"/>
        <v>#DIV/0!</v>
      </c>
      <c r="X166" s="2">
        <f>DEN!C156+DEN!F156+DEN!G156+DEN!L156</f>
        <v>6331415</v>
      </c>
      <c r="Y166" s="2">
        <f>DEN!I156+DEN!J156</f>
        <v>5367769</v>
      </c>
      <c r="Z166" s="2">
        <f>DEN!D156+DEN!E156</f>
        <v>428781</v>
      </c>
      <c r="AA166" s="2">
        <f>DEN!H156+DEN!K156</f>
        <v>166438</v>
      </c>
      <c r="AB166" s="562" t="e">
        <f t="shared" si="74"/>
        <v>#DIV/0!</v>
      </c>
      <c r="AC166" s="562" t="e">
        <f t="shared" si="66"/>
        <v>#DIV/0!</v>
      </c>
      <c r="AD166" s="562" t="e">
        <f t="shared" si="67"/>
        <v>#DIV/0!</v>
      </c>
      <c r="AE166" s="562" t="e">
        <f t="shared" si="68"/>
        <v>#DIV/0!</v>
      </c>
      <c r="AF166" s="774"/>
      <c r="AG166" s="781"/>
      <c r="AJ166" s="742"/>
      <c r="AK166" s="783"/>
    </row>
    <row r="167" spans="1:37">
      <c r="A167" s="127" t="s">
        <v>21</v>
      </c>
      <c r="B167" s="291" t="e">
        <f>DIST_GAS_LEV!U21-AK167</f>
        <v>#DIV/0!</v>
      </c>
      <c r="C167" s="291" t="e">
        <f>DIST_GAS_LEV!AL21</f>
        <v>#DIV/0!</v>
      </c>
      <c r="D167" s="291">
        <f>DIST_GAS_MOT!R22</f>
        <v>27547</v>
      </c>
      <c r="E167" s="291" t="e">
        <f>DIST_GAS_MOT!S22</f>
        <v>#DIV/0!</v>
      </c>
      <c r="F167" s="291" t="e">
        <f>DIST_GAS_MOT!T22</f>
        <v>#DIV/0!</v>
      </c>
      <c r="G167" s="291" t="e">
        <f>DIST_GAS_MOT!U22</f>
        <v>#DIV/0!</v>
      </c>
      <c r="H167" s="291" t="e">
        <f>DIST_ALC_LEV!P21</f>
        <v>#DIV/0!</v>
      </c>
      <c r="I167" s="291" t="e">
        <f>DIST_ALC_LEV!AG21</f>
        <v>#DIV/0!</v>
      </c>
      <c r="J167" s="291" t="e">
        <f>DIST_DSL_CAM!N28</f>
        <v>#DIV/0!</v>
      </c>
      <c r="K167" s="291" t="e">
        <f>DIST_DSL_CAM!O28</f>
        <v>#DIV/0!</v>
      </c>
      <c r="L167" s="291">
        <f>DIST_DSL_CAM!P28</f>
        <v>1927</v>
      </c>
      <c r="M167" s="291">
        <f>DIST_DSL_ONI!N28</f>
        <v>5212</v>
      </c>
      <c r="N167" s="291" t="e">
        <f>DIST_DSL_ONI!O28</f>
        <v>#DIV/0!</v>
      </c>
      <c r="O167" s="291" t="e">
        <f>DIST_DSL_ONI!P28</f>
        <v>#DIV/0!</v>
      </c>
      <c r="P167" s="291" t="e">
        <f>DIST_DSL_LEV!N21</f>
        <v>#DIV/0!</v>
      </c>
      <c r="Q167" s="291" t="e">
        <f>DIST_DSL_LEV!O21</f>
        <v>#DIV/0!</v>
      </c>
      <c r="R167" s="291">
        <f>GNV!F14</f>
        <v>18154</v>
      </c>
      <c r="T167" s="2" t="e">
        <f t="shared" si="70"/>
        <v>#DIV/0!</v>
      </c>
      <c r="U167" s="2" t="e">
        <f t="shared" si="71"/>
        <v>#DIV/0!</v>
      </c>
      <c r="V167" s="2" t="e">
        <f t="shared" si="72"/>
        <v>#DIV/0!</v>
      </c>
      <c r="W167" s="2" t="e">
        <f t="shared" si="73"/>
        <v>#DIV/0!</v>
      </c>
      <c r="X167" s="2">
        <f>DEN!C157+DEN!F157+DEN!G157+DEN!L157</f>
        <v>322305</v>
      </c>
      <c r="Y167" s="2">
        <f>DEN!I157+DEN!J157</f>
        <v>214316</v>
      </c>
      <c r="Z167" s="2">
        <f>DEN!D157+DEN!E157</f>
        <v>20283</v>
      </c>
      <c r="AA167" s="2">
        <f>DEN!H157+DEN!K157</f>
        <v>11080</v>
      </c>
      <c r="AB167" s="562" t="e">
        <f t="shared" si="74"/>
        <v>#DIV/0!</v>
      </c>
      <c r="AC167" s="562" t="e">
        <f t="shared" si="66"/>
        <v>#DIV/0!</v>
      </c>
      <c r="AD167" s="562" t="e">
        <f t="shared" si="67"/>
        <v>#DIV/0!</v>
      </c>
      <c r="AE167" s="562" t="e">
        <f t="shared" si="68"/>
        <v>#DIV/0!</v>
      </c>
      <c r="AF167" s="774" t="e">
        <f>COMB_CORR!K13/FRO_TOT!T167</f>
        <v>#DIV/0!</v>
      </c>
      <c r="AG167" s="781" t="e">
        <f t="shared" si="75"/>
        <v>#DIV/0!</v>
      </c>
      <c r="AH167" s="3">
        <v>1.1172974226319501</v>
      </c>
      <c r="AJ167" s="742" t="e">
        <f t="shared" si="61"/>
        <v>#DIV/0!</v>
      </c>
      <c r="AK167" s="783">
        <v>1629.867547004309</v>
      </c>
    </row>
    <row r="168" spans="1:37">
      <c r="A168" s="127" t="s">
        <v>22</v>
      </c>
      <c r="B168" s="291" t="e">
        <f>DIST_GAS_LEV!U22-AK168</f>
        <v>#DIV/0!</v>
      </c>
      <c r="C168" s="291" t="e">
        <f>DIST_GAS_LEV!AL22</f>
        <v>#DIV/0!</v>
      </c>
      <c r="D168" s="291">
        <f>DIST_GAS_MOT!R23</f>
        <v>128582</v>
      </c>
      <c r="E168" s="291" t="e">
        <f>DIST_GAS_MOT!S23</f>
        <v>#DIV/0!</v>
      </c>
      <c r="F168" s="291" t="e">
        <f>DIST_GAS_MOT!T23</f>
        <v>#DIV/0!</v>
      </c>
      <c r="G168" s="291" t="e">
        <f>DIST_GAS_MOT!U23</f>
        <v>#DIV/0!</v>
      </c>
      <c r="H168" s="291" t="e">
        <f>DIST_ALC_LEV!P22</f>
        <v>#DIV/0!</v>
      </c>
      <c r="I168" s="291" t="e">
        <f>DIST_ALC_LEV!AG22</f>
        <v>#DIV/0!</v>
      </c>
      <c r="J168" s="291" t="e">
        <f>DIST_DSL_CAM!N29</f>
        <v>#DIV/0!</v>
      </c>
      <c r="K168" s="291" t="e">
        <f>DIST_DSL_CAM!O29</f>
        <v>#DIV/0!</v>
      </c>
      <c r="L168" s="291">
        <f>DIST_DSL_CAM!P29</f>
        <v>16719</v>
      </c>
      <c r="M168" s="291">
        <f>DIST_DSL_ONI!N29</f>
        <v>22428</v>
      </c>
      <c r="N168" s="291" t="e">
        <f>DIST_DSL_ONI!O29</f>
        <v>#DIV/0!</v>
      </c>
      <c r="O168" s="291" t="e">
        <f>DIST_DSL_ONI!P29</f>
        <v>#DIV/0!</v>
      </c>
      <c r="P168" s="291" t="e">
        <f>DIST_DSL_LEV!N22</f>
        <v>#DIV/0!</v>
      </c>
      <c r="Q168" s="291" t="e">
        <f>DIST_DSL_LEV!O22</f>
        <v>#DIV/0!</v>
      </c>
      <c r="R168" s="291">
        <f>GNV!F15</f>
        <v>47022</v>
      </c>
      <c r="T168" s="2" t="e">
        <f t="shared" si="70"/>
        <v>#DIV/0!</v>
      </c>
      <c r="U168" s="2" t="e">
        <f t="shared" si="71"/>
        <v>#DIV/0!</v>
      </c>
      <c r="V168" s="2" t="e">
        <f t="shared" si="72"/>
        <v>#DIV/0!</v>
      </c>
      <c r="W168" s="2" t="e">
        <f t="shared" si="73"/>
        <v>#DIV/0!</v>
      </c>
      <c r="X168" s="2">
        <f>DEN!C158+DEN!F158+DEN!G158+DEN!L158</f>
        <v>1696194</v>
      </c>
      <c r="Y168" s="2">
        <f>DEN!I158+DEN!J158</f>
        <v>1083980</v>
      </c>
      <c r="Z168" s="2">
        <f>DEN!D158+DEN!E158</f>
        <v>119380</v>
      </c>
      <c r="AA168" s="2">
        <f>DEN!H158+DEN!K158</f>
        <v>55251</v>
      </c>
      <c r="AB168" s="562" t="e">
        <f t="shared" si="74"/>
        <v>#DIV/0!</v>
      </c>
      <c r="AC168" s="562" t="e">
        <f t="shared" si="66"/>
        <v>#DIV/0!</v>
      </c>
      <c r="AD168" s="562" t="e">
        <f t="shared" si="67"/>
        <v>#DIV/0!</v>
      </c>
      <c r="AE168" s="562" t="e">
        <f t="shared" si="68"/>
        <v>#DIV/0!</v>
      </c>
      <c r="AF168" s="774" t="e">
        <f>COMB_CORR!K14/FRO_TOT!T168</f>
        <v>#DIV/0!</v>
      </c>
      <c r="AG168" s="781" t="e">
        <f t="shared" si="75"/>
        <v>#DIV/0!</v>
      </c>
      <c r="AH168" s="3">
        <v>0.94756932231373825</v>
      </c>
      <c r="AJ168" s="742" t="e">
        <f t="shared" si="61"/>
        <v>#DIV/0!</v>
      </c>
      <c r="AK168" s="783">
        <v>-3798.7190222463105</v>
      </c>
    </row>
    <row r="169" spans="1:37">
      <c r="A169" s="127" t="s">
        <v>23</v>
      </c>
      <c r="B169" s="291" t="e">
        <f>DIST_GAS_LEV!U23-AK169</f>
        <v>#DIV/0!</v>
      </c>
      <c r="C169" s="291" t="e">
        <f>DIST_GAS_LEV!AL23</f>
        <v>#DIV/0!</v>
      </c>
      <c r="D169" s="291">
        <f>DIST_GAS_MOT!R24</f>
        <v>110604</v>
      </c>
      <c r="E169" s="291" t="e">
        <f>DIST_GAS_MOT!S24</f>
        <v>#DIV/0!</v>
      </c>
      <c r="F169" s="291" t="e">
        <f>DIST_GAS_MOT!T24</f>
        <v>#DIV/0!</v>
      </c>
      <c r="G169" s="291" t="e">
        <f>DIST_GAS_MOT!U24</f>
        <v>#DIV/0!</v>
      </c>
      <c r="H169" s="291" t="e">
        <f>DIST_ALC_LEV!P23</f>
        <v>#DIV/0!</v>
      </c>
      <c r="I169" s="291" t="e">
        <f>DIST_ALC_LEV!AG23</f>
        <v>#DIV/0!</v>
      </c>
      <c r="J169" s="291" t="e">
        <f>DIST_DSL_CAM!N30</f>
        <v>#DIV/0!</v>
      </c>
      <c r="K169" s="291" t="e">
        <f>DIST_DSL_CAM!O30</f>
        <v>#DIV/0!</v>
      </c>
      <c r="L169" s="291">
        <f>DIST_DSL_CAM!P30</f>
        <v>6352</v>
      </c>
      <c r="M169" s="291">
        <f>DIST_DSL_ONI!N30</f>
        <v>8882</v>
      </c>
      <c r="N169" s="291" t="e">
        <f>DIST_DSL_ONI!O30</f>
        <v>#DIV/0!</v>
      </c>
      <c r="O169" s="291" t="e">
        <f>DIST_DSL_ONI!P30</f>
        <v>#DIV/0!</v>
      </c>
      <c r="P169" s="291" t="e">
        <f>DIST_DSL_LEV!N23</f>
        <v>#DIV/0!</v>
      </c>
      <c r="Q169" s="291" t="e">
        <f>DIST_DSL_LEV!O23</f>
        <v>#DIV/0!</v>
      </c>
      <c r="R169" s="291">
        <f>GNV!F16</f>
        <v>35222</v>
      </c>
      <c r="T169" s="2" t="e">
        <f t="shared" si="70"/>
        <v>#DIV/0!</v>
      </c>
      <c r="U169" s="2" t="e">
        <f t="shared" si="71"/>
        <v>#DIV/0!</v>
      </c>
      <c r="V169" s="2" t="e">
        <f t="shared" si="72"/>
        <v>#DIV/0!</v>
      </c>
      <c r="W169" s="2" t="e">
        <f t="shared" si="73"/>
        <v>#DIV/0!</v>
      </c>
      <c r="X169" s="2">
        <f>DEN!C159+DEN!F159+DEN!G159+DEN!L159</f>
        <v>1044374</v>
      </c>
      <c r="Y169" s="2">
        <f>DEN!I159+DEN!J159</f>
        <v>1098690</v>
      </c>
      <c r="Z169" s="2">
        <f>DEN!D159+DEN!E159</f>
        <v>65350</v>
      </c>
      <c r="AA169" s="2">
        <f>DEN!H159+DEN!K159</f>
        <v>22323</v>
      </c>
      <c r="AB169" s="562" t="e">
        <f t="shared" si="74"/>
        <v>#DIV/0!</v>
      </c>
      <c r="AC169" s="562" t="e">
        <f t="shared" si="66"/>
        <v>#DIV/0!</v>
      </c>
      <c r="AD169" s="562" t="e">
        <f t="shared" si="67"/>
        <v>#DIV/0!</v>
      </c>
      <c r="AE169" s="562" t="e">
        <f t="shared" si="68"/>
        <v>#DIV/0!</v>
      </c>
      <c r="AF169" s="774" t="e">
        <f>COMB_CORR!K15/FRO_TOT!T169</f>
        <v>#DIV/0!</v>
      </c>
      <c r="AG169" s="781" t="e">
        <f t="shared" si="75"/>
        <v>#DIV/0!</v>
      </c>
      <c r="AH169" s="3">
        <v>0.62380607812884581</v>
      </c>
      <c r="AJ169" s="742" t="e">
        <f t="shared" si="61"/>
        <v>#DIV/0!</v>
      </c>
      <c r="AK169" s="783">
        <v>-17158.549150127918</v>
      </c>
    </row>
    <row r="170" spans="1:37">
      <c r="A170" s="127" t="s">
        <v>24</v>
      </c>
      <c r="B170" s="291" t="e">
        <f>DIST_GAS_LEV!U24-AK170</f>
        <v>#DIV/0!</v>
      </c>
      <c r="C170" s="291" t="e">
        <f>DIST_GAS_LEV!AL24</f>
        <v>#DIV/0!</v>
      </c>
      <c r="D170" s="291">
        <f>DIST_GAS_MOT!R25</f>
        <v>96559</v>
      </c>
      <c r="E170" s="291" t="e">
        <f>DIST_GAS_MOT!S25</f>
        <v>#DIV/0!</v>
      </c>
      <c r="F170" s="291" t="e">
        <f>DIST_GAS_MOT!T25</f>
        <v>#DIV/0!</v>
      </c>
      <c r="G170" s="291" t="e">
        <f>DIST_GAS_MOT!U25</f>
        <v>#DIV/0!</v>
      </c>
      <c r="H170" s="291" t="e">
        <f>DIST_ALC_LEV!P24</f>
        <v>#DIV/0!</v>
      </c>
      <c r="I170" s="291" t="e">
        <f>DIST_ALC_LEV!AG24</f>
        <v>#DIV/0!</v>
      </c>
      <c r="J170" s="291" t="e">
        <f>DIST_DSL_CAM!N31</f>
        <v>#DIV/0!</v>
      </c>
      <c r="K170" s="291" t="e">
        <f>DIST_DSL_CAM!O31</f>
        <v>#DIV/0!</v>
      </c>
      <c r="L170" s="291">
        <f>DIST_DSL_CAM!P31</f>
        <v>2616</v>
      </c>
      <c r="M170" s="291">
        <f>DIST_DSL_ONI!N31</f>
        <v>3981</v>
      </c>
      <c r="N170" s="291" t="e">
        <f>DIST_DSL_ONI!O31</f>
        <v>#DIV/0!</v>
      </c>
      <c r="O170" s="291" t="e">
        <f>DIST_DSL_ONI!P31</f>
        <v>#DIV/0!</v>
      </c>
      <c r="P170" s="291" t="e">
        <f>DIST_DSL_LEV!N24</f>
        <v>#DIV/0!</v>
      </c>
      <c r="Q170" s="291" t="e">
        <f>DIST_DSL_LEV!O24</f>
        <v>#DIV/0!</v>
      </c>
      <c r="R170" s="291">
        <f>GNV!F17</f>
        <v>169</v>
      </c>
      <c r="T170" s="2" t="e">
        <f t="shared" si="70"/>
        <v>#DIV/0!</v>
      </c>
      <c r="U170" s="2" t="e">
        <f t="shared" si="71"/>
        <v>#DIV/0!</v>
      </c>
      <c r="V170" s="2" t="e">
        <f t="shared" si="72"/>
        <v>#DIV/0!</v>
      </c>
      <c r="W170" s="2" t="e">
        <f t="shared" si="73"/>
        <v>#DIV/0!</v>
      </c>
      <c r="X170" s="2">
        <f>DEN!C160+DEN!F160+DEN!G160+DEN!L160</f>
        <v>423092</v>
      </c>
      <c r="Y170" s="2">
        <f>DEN!I160+DEN!J160</f>
        <v>661875</v>
      </c>
      <c r="Z170" s="2">
        <f>DEN!D160+DEN!E160</f>
        <v>34421</v>
      </c>
      <c r="AA170" s="2">
        <f>DEN!H160+DEN!K160</f>
        <v>10630</v>
      </c>
      <c r="AB170" s="562" t="e">
        <f t="shared" si="74"/>
        <v>#DIV/0!</v>
      </c>
      <c r="AC170" s="562" t="e">
        <f t="shared" si="66"/>
        <v>#DIV/0!</v>
      </c>
      <c r="AD170" s="562" t="e">
        <f t="shared" si="67"/>
        <v>#DIV/0!</v>
      </c>
      <c r="AE170" s="562" t="e">
        <f t="shared" si="68"/>
        <v>#DIV/0!</v>
      </c>
      <c r="AF170" s="774" t="e">
        <f>COMB_CORR!K16/FRO_TOT!T170</f>
        <v>#DIV/0!</v>
      </c>
      <c r="AG170" s="781" t="e">
        <f t="shared" si="75"/>
        <v>#DIV/0!</v>
      </c>
      <c r="AH170" s="3">
        <v>1.2396913756147931</v>
      </c>
      <c r="AJ170" s="742" t="e">
        <f t="shared" si="61"/>
        <v>#DIV/0!</v>
      </c>
      <c r="AK170" s="783">
        <v>3808.1746144924255</v>
      </c>
    </row>
    <row r="171" spans="1:37">
      <c r="A171" s="127" t="s">
        <v>25</v>
      </c>
      <c r="B171" s="291" t="e">
        <f>DIST_GAS_LEV!U25-AK171</f>
        <v>#DIV/0!</v>
      </c>
      <c r="C171" s="291" t="e">
        <f>DIST_GAS_LEV!AL25</f>
        <v>#DIV/0!</v>
      </c>
      <c r="D171" s="291">
        <f>DIST_GAS_MOT!R26</f>
        <v>48579</v>
      </c>
      <c r="E171" s="291" t="e">
        <f>DIST_GAS_MOT!S26</f>
        <v>#DIV/0!</v>
      </c>
      <c r="F171" s="291" t="e">
        <f>DIST_GAS_MOT!T26</f>
        <v>#DIV/0!</v>
      </c>
      <c r="G171" s="291" t="e">
        <f>DIST_GAS_MOT!U26</f>
        <v>#DIV/0!</v>
      </c>
      <c r="H171" s="291" t="e">
        <f>DIST_ALC_LEV!P25</f>
        <v>#DIV/0!</v>
      </c>
      <c r="I171" s="291" t="e">
        <f>DIST_ALC_LEV!AG25</f>
        <v>#DIV/0!</v>
      </c>
      <c r="J171" s="291" t="e">
        <f>DIST_DSL_CAM!N32</f>
        <v>#DIV/0!</v>
      </c>
      <c r="K171" s="291" t="e">
        <f>DIST_DSL_CAM!O32</f>
        <v>#DIV/0!</v>
      </c>
      <c r="L171" s="291">
        <f>DIST_DSL_CAM!P32</f>
        <v>2202</v>
      </c>
      <c r="M171" s="291">
        <f>DIST_DSL_ONI!N32</f>
        <v>3764</v>
      </c>
      <c r="N171" s="291" t="e">
        <f>DIST_DSL_ONI!O32</f>
        <v>#DIV/0!</v>
      </c>
      <c r="O171" s="291" t="e">
        <f>DIST_DSL_ONI!P32</f>
        <v>#DIV/0!</v>
      </c>
      <c r="P171" s="291" t="e">
        <f>DIST_DSL_LEV!N25</f>
        <v>#DIV/0!</v>
      </c>
      <c r="Q171" s="291" t="e">
        <f>DIST_DSL_LEV!O25</f>
        <v>#DIV/0!</v>
      </c>
      <c r="R171" s="291">
        <f>GNV!F18</f>
        <v>20865</v>
      </c>
      <c r="T171" s="2" t="e">
        <f t="shared" si="70"/>
        <v>#DIV/0!</v>
      </c>
      <c r="U171" s="2" t="e">
        <f t="shared" si="71"/>
        <v>#DIV/0!</v>
      </c>
      <c r="V171" s="2" t="e">
        <f t="shared" si="72"/>
        <v>#DIV/0!</v>
      </c>
      <c r="W171" s="2" t="e">
        <f t="shared" si="73"/>
        <v>#DIV/0!</v>
      </c>
      <c r="X171" s="2">
        <f>DEN!C161+DEN!F161+DEN!G161+DEN!L161</f>
        <v>473379</v>
      </c>
      <c r="Y171" s="2">
        <f>DEN!I161+DEN!J161</f>
        <v>399813</v>
      </c>
      <c r="Z171" s="2">
        <f>DEN!D161+DEN!E161</f>
        <v>26983</v>
      </c>
      <c r="AA171" s="2">
        <f>DEN!H161+DEN!K161</f>
        <v>9780</v>
      </c>
      <c r="AB171" s="562" t="e">
        <f t="shared" si="74"/>
        <v>#DIV/0!</v>
      </c>
      <c r="AC171" s="562" t="e">
        <f t="shared" si="66"/>
        <v>#DIV/0!</v>
      </c>
      <c r="AD171" s="562" t="e">
        <f t="shared" si="67"/>
        <v>#DIV/0!</v>
      </c>
      <c r="AE171" s="562" t="e">
        <f t="shared" si="68"/>
        <v>#DIV/0!</v>
      </c>
      <c r="AF171" s="774" t="e">
        <f>COMB_CORR!K17/FRO_TOT!T171</f>
        <v>#DIV/0!</v>
      </c>
      <c r="AG171" s="781" t="e">
        <f t="shared" si="75"/>
        <v>#DIV/0!</v>
      </c>
      <c r="AH171" s="3">
        <v>0.80878008325104012</v>
      </c>
      <c r="AJ171" s="742" t="e">
        <f t="shared" si="61"/>
        <v>#DIV/0!</v>
      </c>
      <c r="AK171" s="783">
        <v>-3975.6932571596699</v>
      </c>
    </row>
    <row r="172" spans="1:37">
      <c r="A172" s="127" t="s">
        <v>26</v>
      </c>
      <c r="B172" s="291" t="e">
        <f>DIST_GAS_LEV!U26-AK172</f>
        <v>#DIV/0!</v>
      </c>
      <c r="C172" s="291" t="e">
        <f>DIST_GAS_LEV!AL26</f>
        <v>#DIV/0!</v>
      </c>
      <c r="D172" s="291">
        <f>DIST_GAS_MOT!R27</f>
        <v>79146</v>
      </c>
      <c r="E172" s="291" t="e">
        <f>DIST_GAS_MOT!S27</f>
        <v>#DIV/0!</v>
      </c>
      <c r="F172" s="291" t="e">
        <f>DIST_GAS_MOT!T27</f>
        <v>#DIV/0!</v>
      </c>
      <c r="G172" s="291" t="e">
        <f>DIST_GAS_MOT!U27</f>
        <v>#DIV/0!</v>
      </c>
      <c r="H172" s="291" t="e">
        <f>DIST_ALC_LEV!P26</f>
        <v>#DIV/0!</v>
      </c>
      <c r="I172" s="291" t="e">
        <f>DIST_ALC_LEV!AG26</f>
        <v>#DIV/0!</v>
      </c>
      <c r="J172" s="291" t="e">
        <f>DIST_DSL_CAM!N33</f>
        <v>#DIV/0!</v>
      </c>
      <c r="K172" s="291" t="e">
        <f>DIST_DSL_CAM!O33</f>
        <v>#DIV/0!</v>
      </c>
      <c r="L172" s="291">
        <f>DIST_DSL_CAM!P33</f>
        <v>9561</v>
      </c>
      <c r="M172" s="291">
        <f>DIST_DSL_ONI!N33</f>
        <v>14577</v>
      </c>
      <c r="N172" s="291" t="e">
        <f>DIST_DSL_ONI!O33</f>
        <v>#DIV/0!</v>
      </c>
      <c r="O172" s="291" t="e">
        <f>DIST_DSL_ONI!P33</f>
        <v>#DIV/0!</v>
      </c>
      <c r="P172" s="291" t="e">
        <f>DIST_DSL_LEV!N26</f>
        <v>#DIV/0!</v>
      </c>
      <c r="Q172" s="291" t="e">
        <f>DIST_DSL_LEV!O26</f>
        <v>#DIV/0!</v>
      </c>
      <c r="R172" s="291">
        <f>GNV!F19</f>
        <v>43724</v>
      </c>
      <c r="T172" s="2" t="e">
        <f t="shared" si="70"/>
        <v>#DIV/0!</v>
      </c>
      <c r="U172" s="2" t="e">
        <f t="shared" si="71"/>
        <v>#DIV/0!</v>
      </c>
      <c r="V172" s="2" t="e">
        <f t="shared" si="72"/>
        <v>#DIV/0!</v>
      </c>
      <c r="W172" s="2" t="e">
        <f t="shared" si="73"/>
        <v>#DIV/0!</v>
      </c>
      <c r="X172" s="2">
        <f>DEN!C162+DEN!F162+DEN!G162+DEN!L162</f>
        <v>1262205</v>
      </c>
      <c r="Y172" s="2">
        <f>DEN!I162+DEN!J162</f>
        <v>872560</v>
      </c>
      <c r="Z172" s="2">
        <f>DEN!D162+DEN!E162</f>
        <v>90556</v>
      </c>
      <c r="AA172" s="2">
        <f>DEN!H162+DEN!K162</f>
        <v>31944</v>
      </c>
      <c r="AB172" s="562" t="e">
        <f t="shared" si="74"/>
        <v>#DIV/0!</v>
      </c>
      <c r="AC172" s="562" t="e">
        <f t="shared" si="66"/>
        <v>#DIV/0!</v>
      </c>
      <c r="AD172" s="562" t="e">
        <f t="shared" si="67"/>
        <v>#DIV/0!</v>
      </c>
      <c r="AE172" s="562" t="e">
        <f t="shared" si="68"/>
        <v>#DIV/0!</v>
      </c>
      <c r="AF172" s="774" t="e">
        <f>COMB_CORR!K18/FRO_TOT!T172</f>
        <v>#DIV/0!</v>
      </c>
      <c r="AG172" s="781" t="e">
        <f t="shared" si="75"/>
        <v>#DIV/0!</v>
      </c>
      <c r="AH172" s="3">
        <v>0.93039761780204666</v>
      </c>
      <c r="AJ172" s="742" t="e">
        <f t="shared" si="61"/>
        <v>#DIV/0!</v>
      </c>
      <c r="AK172" s="783">
        <v>-3956.441989272018</v>
      </c>
    </row>
    <row r="173" spans="1:37">
      <c r="A173" s="127" t="s">
        <v>27</v>
      </c>
      <c r="B173" s="291" t="e">
        <f>DIST_GAS_LEV!U27-AK173</f>
        <v>#DIV/0!</v>
      </c>
      <c r="C173" s="291" t="e">
        <f>DIST_GAS_LEV!AL27</f>
        <v>#DIV/0!</v>
      </c>
      <c r="D173" s="291">
        <f>DIST_GAS_MOT!R28</f>
        <v>65746</v>
      </c>
      <c r="E173" s="291" t="e">
        <f>DIST_GAS_MOT!S28</f>
        <v>#DIV/0!</v>
      </c>
      <c r="F173" s="291" t="e">
        <f>DIST_GAS_MOT!T28</f>
        <v>#DIV/0!</v>
      </c>
      <c r="G173" s="291" t="e">
        <f>DIST_GAS_MOT!U28</f>
        <v>#DIV/0!</v>
      </c>
      <c r="H173" s="291" t="e">
        <f>DIST_ALC_LEV!P27</f>
        <v>#DIV/0!</v>
      </c>
      <c r="I173" s="291" t="e">
        <f>DIST_ALC_LEV!AG27</f>
        <v>#DIV/0!</v>
      </c>
      <c r="J173" s="291" t="e">
        <f>DIST_DSL_CAM!N34</f>
        <v>#DIV/0!</v>
      </c>
      <c r="K173" s="291" t="e">
        <f>DIST_DSL_CAM!O34</f>
        <v>#DIV/0!</v>
      </c>
      <c r="L173" s="291">
        <f>DIST_DSL_CAM!P34</f>
        <v>1758</v>
      </c>
      <c r="M173" s="291">
        <f>DIST_DSL_ONI!N34</f>
        <v>2444</v>
      </c>
      <c r="N173" s="291" t="e">
        <f>DIST_DSL_ONI!O34</f>
        <v>#DIV/0!</v>
      </c>
      <c r="O173" s="291" t="e">
        <f>DIST_DSL_ONI!P34</f>
        <v>#DIV/0!</v>
      </c>
      <c r="P173" s="291" t="e">
        <f>DIST_DSL_LEV!N27</f>
        <v>#DIV/0!</v>
      </c>
      <c r="Q173" s="291" t="e">
        <f>DIST_DSL_LEV!O27</f>
        <v>#DIV/0!</v>
      </c>
      <c r="R173" s="291">
        <f>GNV!F20</f>
        <v>522</v>
      </c>
      <c r="T173" s="2" t="e">
        <f t="shared" si="70"/>
        <v>#DIV/0!</v>
      </c>
      <c r="U173" s="2" t="e">
        <f t="shared" si="71"/>
        <v>#DIV/0!</v>
      </c>
      <c r="V173" s="2" t="e">
        <f t="shared" si="72"/>
        <v>#DIV/0!</v>
      </c>
      <c r="W173" s="2" t="e">
        <f t="shared" si="73"/>
        <v>#DIV/0!</v>
      </c>
      <c r="X173" s="2">
        <f>DEN!C163+DEN!F163+DEN!G163+DEN!L163</f>
        <v>311348</v>
      </c>
      <c r="Y173" s="2">
        <f>DEN!I163+DEN!J163</f>
        <v>452307</v>
      </c>
      <c r="Z173" s="2">
        <f>DEN!D163+DEN!E163</f>
        <v>22940</v>
      </c>
      <c r="AA173" s="2">
        <f>DEN!H163+DEN!K163</f>
        <v>7358</v>
      </c>
      <c r="AB173" s="562" t="e">
        <f t="shared" si="74"/>
        <v>#DIV/0!</v>
      </c>
      <c r="AC173" s="562" t="e">
        <f t="shared" si="66"/>
        <v>#DIV/0!</v>
      </c>
      <c r="AD173" s="562" t="e">
        <f t="shared" si="67"/>
        <v>#DIV/0!</v>
      </c>
      <c r="AE173" s="562" t="e">
        <f t="shared" si="68"/>
        <v>#DIV/0!</v>
      </c>
      <c r="AF173" s="774" t="e">
        <f>COMB_CORR!K19/FRO_TOT!T173</f>
        <v>#DIV/0!</v>
      </c>
      <c r="AG173" s="781" t="e">
        <f t="shared" si="75"/>
        <v>#DIV/0!</v>
      </c>
      <c r="AH173" s="3">
        <v>0.42256453157420132</v>
      </c>
      <c r="AJ173" s="742" t="e">
        <f t="shared" si="61"/>
        <v>#DIV/0!</v>
      </c>
      <c r="AK173" s="783">
        <v>-7069.8119066441141</v>
      </c>
    </row>
    <row r="174" spans="1:37" ht="25.5">
      <c r="A174" s="127" t="s">
        <v>28</v>
      </c>
      <c r="B174" s="291" t="e">
        <f>DIST_GAS_LEV!U28-AK174</f>
        <v>#DIV/0!</v>
      </c>
      <c r="C174" s="291" t="e">
        <f>DIST_GAS_LEV!AL28</f>
        <v>#DIV/0!</v>
      </c>
      <c r="D174" s="291">
        <f>DIST_GAS_MOT!R29</f>
        <v>44357</v>
      </c>
      <c r="E174" s="291" t="e">
        <f>DIST_GAS_MOT!S29</f>
        <v>#DIV/0!</v>
      </c>
      <c r="F174" s="291" t="e">
        <f>DIST_GAS_MOT!T29</f>
        <v>#DIV/0!</v>
      </c>
      <c r="G174" s="291" t="e">
        <f>DIST_GAS_MOT!U29</f>
        <v>#DIV/0!</v>
      </c>
      <c r="H174" s="291" t="e">
        <f>DIST_ALC_LEV!P28</f>
        <v>#DIV/0!</v>
      </c>
      <c r="I174" s="291" t="e">
        <f>DIST_ALC_LEV!AG28</f>
        <v>#DIV/0!</v>
      </c>
      <c r="J174" s="291" t="e">
        <f>DIST_DSL_CAM!N35</f>
        <v>#DIV/0!</v>
      </c>
      <c r="K174" s="291" t="e">
        <f>DIST_DSL_CAM!O35</f>
        <v>#DIV/0!</v>
      </c>
      <c r="L174" s="291">
        <f>DIST_DSL_CAM!P35</f>
        <v>2354</v>
      </c>
      <c r="M174" s="291">
        <f>DIST_DSL_ONI!N35</f>
        <v>4101</v>
      </c>
      <c r="N174" s="291" t="e">
        <f>DIST_DSL_ONI!O35</f>
        <v>#DIV/0!</v>
      </c>
      <c r="O174" s="291" t="e">
        <f>DIST_DSL_ONI!P35</f>
        <v>#DIV/0!</v>
      </c>
      <c r="P174" s="291" t="e">
        <f>DIST_DSL_LEV!N28</f>
        <v>#DIV/0!</v>
      </c>
      <c r="Q174" s="291" t="e">
        <f>DIST_DSL_LEV!O28</f>
        <v>#DIV/0!</v>
      </c>
      <c r="R174" s="291">
        <f>GNV!F21</f>
        <v>43722</v>
      </c>
      <c r="T174" s="2" t="e">
        <f t="shared" si="70"/>
        <v>#DIV/0!</v>
      </c>
      <c r="U174" s="2" t="e">
        <f t="shared" si="71"/>
        <v>#DIV/0!</v>
      </c>
      <c r="V174" s="2" t="e">
        <f t="shared" si="72"/>
        <v>#DIV/0!</v>
      </c>
      <c r="W174" s="2" t="e">
        <f t="shared" si="73"/>
        <v>#DIV/0!</v>
      </c>
      <c r="X174" s="2">
        <f>DEN!C164+DEN!F164+DEN!G164+DEN!L164</f>
        <v>503185</v>
      </c>
      <c r="Y174" s="2">
        <f>DEN!I164+DEN!J164</f>
        <v>370842</v>
      </c>
      <c r="Z174" s="2">
        <f>DEN!D164+DEN!E164</f>
        <v>28599</v>
      </c>
      <c r="AA174" s="2">
        <f>DEN!H164+DEN!K164</f>
        <v>9711</v>
      </c>
      <c r="AB174" s="562" t="e">
        <f t="shared" si="74"/>
        <v>#DIV/0!</v>
      </c>
      <c r="AC174" s="562" t="e">
        <f t="shared" si="66"/>
        <v>#DIV/0!</v>
      </c>
      <c r="AD174" s="562" t="e">
        <f t="shared" si="67"/>
        <v>#DIV/0!</v>
      </c>
      <c r="AE174" s="562" t="e">
        <f t="shared" si="68"/>
        <v>#DIV/0!</v>
      </c>
      <c r="AF174" s="774" t="e">
        <f>COMB_CORR!K20/FRO_TOT!T174</f>
        <v>#DIV/0!</v>
      </c>
      <c r="AG174" s="781" t="e">
        <f t="shared" si="75"/>
        <v>#DIV/0!</v>
      </c>
      <c r="AH174" s="3">
        <v>0.79192524154579769</v>
      </c>
      <c r="AJ174" s="742" t="e">
        <f t="shared" si="61"/>
        <v>#DIV/0!</v>
      </c>
      <c r="AK174" s="783">
        <v>-4659.7084112559096</v>
      </c>
    </row>
    <row r="175" spans="1:37" ht="15.75" thickBot="1">
      <c r="A175" s="128" t="s">
        <v>29</v>
      </c>
      <c r="B175" s="291" t="e">
        <f>DIST_GAS_LEV!U29-AK175</f>
        <v>#DIV/0!</v>
      </c>
      <c r="C175" s="291" t="e">
        <f>DIST_GAS_LEV!AL29</f>
        <v>#DIV/0!</v>
      </c>
      <c r="D175" s="291">
        <f>DIST_GAS_MOT!R30</f>
        <v>31133</v>
      </c>
      <c r="E175" s="291" t="e">
        <f>DIST_GAS_MOT!S30</f>
        <v>#DIV/0!</v>
      </c>
      <c r="F175" s="291" t="e">
        <f>DIST_GAS_MOT!T30</f>
        <v>#DIV/0!</v>
      </c>
      <c r="G175" s="291" t="e">
        <f>DIST_GAS_MOT!U30</f>
        <v>#DIV/0!</v>
      </c>
      <c r="H175" s="291" t="e">
        <f>DIST_ALC_LEV!P29</f>
        <v>#DIV/0!</v>
      </c>
      <c r="I175" s="291" t="e">
        <f>DIST_ALC_LEV!AG29</f>
        <v>#DIV/0!</v>
      </c>
      <c r="J175" s="291" t="e">
        <f>DIST_DSL_CAM!N36</f>
        <v>#DIV/0!</v>
      </c>
      <c r="K175" s="291" t="e">
        <f>DIST_DSL_CAM!O36</f>
        <v>#DIV/0!</v>
      </c>
      <c r="L175" s="291">
        <f>DIST_DSL_CAM!P36</f>
        <v>1679</v>
      </c>
      <c r="M175" s="291">
        <f>DIST_DSL_ONI!N36</f>
        <v>2977</v>
      </c>
      <c r="N175" s="291" t="e">
        <f>DIST_DSL_ONI!O36</f>
        <v>#DIV/0!</v>
      </c>
      <c r="O175" s="291" t="e">
        <f>DIST_DSL_ONI!P36</f>
        <v>#DIV/0!</v>
      </c>
      <c r="P175" s="291" t="e">
        <f>DIST_DSL_LEV!N29</f>
        <v>#DIV/0!</v>
      </c>
      <c r="Q175" s="291" t="e">
        <f>DIST_DSL_LEV!O29</f>
        <v>#DIV/0!</v>
      </c>
      <c r="R175" s="291">
        <f>GNV!F22</f>
        <v>19298</v>
      </c>
      <c r="T175" s="2" t="e">
        <f t="shared" si="70"/>
        <v>#DIV/0!</v>
      </c>
      <c r="U175" s="2" t="e">
        <f t="shared" si="71"/>
        <v>#DIV/0!</v>
      </c>
      <c r="V175" s="2" t="e">
        <f t="shared" si="72"/>
        <v>#DIV/0!</v>
      </c>
      <c r="W175" s="2" t="e">
        <f t="shared" si="73"/>
        <v>#DIV/0!</v>
      </c>
      <c r="X175" s="2">
        <f>DEN!C165+DEN!F165+DEN!G165+DEN!L165</f>
        <v>295333</v>
      </c>
      <c r="Y175" s="2">
        <f>DEN!I165+DEN!J165</f>
        <v>213386</v>
      </c>
      <c r="Z175" s="2">
        <f>DEN!D165+DEN!E165</f>
        <v>20269</v>
      </c>
      <c r="AA175" s="2">
        <f>DEN!H165+DEN!K165</f>
        <v>8361</v>
      </c>
      <c r="AB175" s="562" t="e">
        <f t="shared" si="74"/>
        <v>#DIV/0!</v>
      </c>
      <c r="AC175" s="562" t="e">
        <f t="shared" si="66"/>
        <v>#DIV/0!</v>
      </c>
      <c r="AD175" s="562" t="e">
        <f t="shared" si="67"/>
        <v>#DIV/0!</v>
      </c>
      <c r="AE175" s="562" t="e">
        <f t="shared" si="68"/>
        <v>#DIV/0!</v>
      </c>
      <c r="AF175" s="774" t="e">
        <f>COMB_CORR!K21/FRO_TOT!T175</f>
        <v>#DIV/0!</v>
      </c>
      <c r="AG175" s="781" t="e">
        <f t="shared" si="75"/>
        <v>#DIV/0!</v>
      </c>
      <c r="AH175" s="3">
        <v>0.42602782924500165</v>
      </c>
      <c r="AJ175" s="742" t="e">
        <f t="shared" si="61"/>
        <v>#DIV/0!</v>
      </c>
      <c r="AK175" s="783">
        <v>-7552.1455683955282</v>
      </c>
    </row>
    <row r="176" spans="1:37">
      <c r="A176" s="269" t="s">
        <v>64</v>
      </c>
      <c r="B176" s="291" t="e">
        <f t="shared" ref="B176:R176" si="77">SUM(B177:B180)</f>
        <v>#DIV/0!</v>
      </c>
      <c r="C176" s="291" t="e">
        <f t="shared" si="77"/>
        <v>#DIV/0!</v>
      </c>
      <c r="D176" s="291">
        <f t="shared" si="77"/>
        <v>1093365</v>
      </c>
      <c r="E176" s="291" t="e">
        <f t="shared" si="77"/>
        <v>#DIV/0!</v>
      </c>
      <c r="F176" s="291" t="e">
        <f t="shared" si="77"/>
        <v>#DIV/0!</v>
      </c>
      <c r="G176" s="291" t="e">
        <f t="shared" si="77"/>
        <v>#DIV/0!</v>
      </c>
      <c r="H176" s="291" t="e">
        <f t="shared" si="77"/>
        <v>#DIV/0!</v>
      </c>
      <c r="I176" s="291" t="e">
        <f t="shared" si="77"/>
        <v>#DIV/0!</v>
      </c>
      <c r="J176" s="291" t="e">
        <f t="shared" si="77"/>
        <v>#DIV/0!</v>
      </c>
      <c r="K176" s="291" t="e">
        <f t="shared" si="77"/>
        <v>#DIV/0!</v>
      </c>
      <c r="L176" s="291">
        <f t="shared" si="77"/>
        <v>225222</v>
      </c>
      <c r="M176" s="291">
        <f t="shared" si="77"/>
        <v>184187</v>
      </c>
      <c r="N176" s="291" t="e">
        <f t="shared" si="77"/>
        <v>#DIV/0!</v>
      </c>
      <c r="O176" s="291" t="e">
        <f t="shared" si="77"/>
        <v>#DIV/0!</v>
      </c>
      <c r="P176" s="291" t="e">
        <f t="shared" si="77"/>
        <v>#DIV/0!</v>
      </c>
      <c r="Q176" s="291" t="e">
        <f t="shared" si="77"/>
        <v>#DIV/0!</v>
      </c>
      <c r="R176" s="291">
        <f t="shared" si="77"/>
        <v>1288650</v>
      </c>
      <c r="T176" s="2" t="e">
        <f t="shared" si="70"/>
        <v>#DIV/0!</v>
      </c>
      <c r="U176" s="2" t="e">
        <f t="shared" si="71"/>
        <v>#DIV/0!</v>
      </c>
      <c r="V176" s="2" t="e">
        <f t="shared" si="72"/>
        <v>#DIV/0!</v>
      </c>
      <c r="W176" s="2" t="e">
        <f t="shared" si="73"/>
        <v>#DIV/0!</v>
      </c>
      <c r="X176" s="2">
        <f>DEN!C166+DEN!F166+DEN!G166+DEN!L166</f>
        <v>28669716</v>
      </c>
      <c r="Y176" s="2">
        <f>DEN!I166+DEN!J166</f>
        <v>8119793</v>
      </c>
      <c r="Z176" s="2">
        <f>DEN!D166+DEN!E166</f>
        <v>1345332</v>
      </c>
      <c r="AA176" s="2">
        <f>DEN!H166+DEN!K166</f>
        <v>449124</v>
      </c>
      <c r="AB176" s="562" t="e">
        <f t="shared" si="74"/>
        <v>#DIV/0!</v>
      </c>
      <c r="AC176" s="562" t="e">
        <f t="shared" si="66"/>
        <v>#DIV/0!</v>
      </c>
      <c r="AD176" s="562" t="e">
        <f t="shared" si="67"/>
        <v>#DIV/0!</v>
      </c>
      <c r="AE176" s="562" t="e">
        <f t="shared" si="68"/>
        <v>#DIV/0!</v>
      </c>
      <c r="AF176" s="774"/>
      <c r="AG176" s="781"/>
      <c r="AJ176" s="742"/>
      <c r="AK176" s="783"/>
    </row>
    <row r="177" spans="1:37">
      <c r="A177" s="127" t="s">
        <v>31</v>
      </c>
      <c r="B177" s="291" t="e">
        <f>DIST_GAS_LEV!U31-AK177</f>
        <v>#DIV/0!</v>
      </c>
      <c r="C177" s="291" t="e">
        <f>DIST_GAS_LEV!AL31</f>
        <v>#DIV/0!</v>
      </c>
      <c r="D177" s="291">
        <f>DIST_GAS_MOT!R32</f>
        <v>80042</v>
      </c>
      <c r="E177" s="291" t="e">
        <f>DIST_GAS_MOT!S32</f>
        <v>#DIV/0!</v>
      </c>
      <c r="F177" s="291" t="e">
        <f>DIST_GAS_MOT!T32</f>
        <v>#DIV/0!</v>
      </c>
      <c r="G177" s="291" t="e">
        <f>DIST_GAS_MOT!U32</f>
        <v>#DIV/0!</v>
      </c>
      <c r="H177" s="291" t="e">
        <f>DIST_ALC_LEV!P31</f>
        <v>#DIV/0!</v>
      </c>
      <c r="I177" s="291" t="e">
        <f>DIST_ALC_LEV!AG31</f>
        <v>#DIV/0!</v>
      </c>
      <c r="J177" s="291" t="e">
        <f>DIST_DSL_CAM!N38</f>
        <v>#DIV/0!</v>
      </c>
      <c r="K177" s="291" t="e">
        <f>DIST_DSL_CAM!O38</f>
        <v>#DIV/0!</v>
      </c>
      <c r="L177" s="291">
        <f>DIST_DSL_CAM!P38</f>
        <v>16018</v>
      </c>
      <c r="M177" s="291">
        <f>DIST_DSL_ONI!N38</f>
        <v>6645</v>
      </c>
      <c r="N177" s="291" t="e">
        <f>DIST_DSL_ONI!O38</f>
        <v>#DIV/0!</v>
      </c>
      <c r="O177" s="291" t="e">
        <f>DIST_DSL_ONI!P38</f>
        <v>#DIV/0!</v>
      </c>
      <c r="P177" s="291" t="e">
        <f>DIST_DSL_LEV!N31</f>
        <v>#DIV/0!</v>
      </c>
      <c r="Q177" s="291" t="e">
        <f>DIST_DSL_LEV!O31</f>
        <v>#DIV/0!</v>
      </c>
      <c r="R177" s="291">
        <f>GNV!F24</f>
        <v>27776</v>
      </c>
      <c r="T177" s="2" t="e">
        <f t="shared" si="70"/>
        <v>#DIV/0!</v>
      </c>
      <c r="U177" s="2" t="e">
        <f t="shared" si="71"/>
        <v>#DIV/0!</v>
      </c>
      <c r="V177" s="2" t="e">
        <f t="shared" si="72"/>
        <v>#DIV/0!</v>
      </c>
      <c r="W177" s="2" t="e">
        <f t="shared" si="73"/>
        <v>#DIV/0!</v>
      </c>
      <c r="X177" s="2">
        <f>DEN!C167+DEN!F167+DEN!G167+DEN!L167</f>
        <v>945765</v>
      </c>
      <c r="Y177" s="2">
        <f>DEN!I167+DEN!J167</f>
        <v>442883</v>
      </c>
      <c r="Z177" s="2">
        <f>DEN!D167+DEN!E167</f>
        <v>78980</v>
      </c>
      <c r="AA177" s="2">
        <f>DEN!H167+DEN!K167</f>
        <v>20005</v>
      </c>
      <c r="AB177" s="562" t="e">
        <f t="shared" si="74"/>
        <v>#DIV/0!</v>
      </c>
      <c r="AC177" s="562" t="e">
        <f t="shared" si="66"/>
        <v>#DIV/0!</v>
      </c>
      <c r="AD177" s="562" t="e">
        <f t="shared" si="67"/>
        <v>#DIV/0!</v>
      </c>
      <c r="AE177" s="562" t="e">
        <f t="shared" si="68"/>
        <v>#DIV/0!</v>
      </c>
      <c r="AF177" s="774" t="e">
        <f>COMB_CORR!K23/FRO_TOT!T177</f>
        <v>#DIV/0!</v>
      </c>
      <c r="AG177" s="781" t="e">
        <f t="shared" si="75"/>
        <v>#DIV/0!</v>
      </c>
      <c r="AH177" s="3">
        <v>0.57838924489415811</v>
      </c>
      <c r="AJ177" s="742" t="e">
        <f t="shared" si="61"/>
        <v>#DIV/0!</v>
      </c>
      <c r="AK177" s="783">
        <v>-18746.059579672408</v>
      </c>
    </row>
    <row r="178" spans="1:37">
      <c r="A178" s="127" t="s">
        <v>32</v>
      </c>
      <c r="B178" s="291" t="e">
        <f>DIST_GAS_LEV!U32-AK178</f>
        <v>#DIV/0!</v>
      </c>
      <c r="C178" s="291" t="e">
        <f>DIST_GAS_LEV!AL32</f>
        <v>#DIV/0!</v>
      </c>
      <c r="D178" s="291">
        <f>DIST_GAS_MOT!R33</f>
        <v>214821</v>
      </c>
      <c r="E178" s="291" t="e">
        <f>DIST_GAS_MOT!S33</f>
        <v>#DIV/0!</v>
      </c>
      <c r="F178" s="291" t="e">
        <f>DIST_GAS_MOT!T33</f>
        <v>#DIV/0!</v>
      </c>
      <c r="G178" s="291" t="e">
        <f>DIST_GAS_MOT!U33</f>
        <v>#DIV/0!</v>
      </c>
      <c r="H178" s="291" t="e">
        <f>DIST_ALC_LEV!P32</f>
        <v>#DIV/0!</v>
      </c>
      <c r="I178" s="291" t="e">
        <f>DIST_ALC_LEV!AG32</f>
        <v>#DIV/0!</v>
      </c>
      <c r="J178" s="291" t="e">
        <f>DIST_DSL_CAM!N39</f>
        <v>#DIV/0!</v>
      </c>
      <c r="K178" s="291" t="e">
        <f>DIST_DSL_CAM!O39</f>
        <v>#DIV/0!</v>
      </c>
      <c r="L178" s="291">
        <f>DIST_DSL_CAM!P39</f>
        <v>54395</v>
      </c>
      <c r="M178" s="291">
        <f>DIST_DSL_ONI!N39</f>
        <v>37672</v>
      </c>
      <c r="N178" s="291" t="e">
        <f>DIST_DSL_ONI!O39</f>
        <v>#DIV/0!</v>
      </c>
      <c r="O178" s="291" t="e">
        <f>DIST_DSL_ONI!P39</f>
        <v>#DIV/0!</v>
      </c>
      <c r="P178" s="291" t="e">
        <f>DIST_DSL_LEV!N32</f>
        <v>#DIV/0!</v>
      </c>
      <c r="Q178" s="291" t="e">
        <f>DIST_DSL_LEV!O32</f>
        <v>#DIV/0!</v>
      </c>
      <c r="R178" s="291">
        <f>GNV!F25</f>
        <v>34925</v>
      </c>
      <c r="T178" s="2" t="e">
        <f t="shared" si="70"/>
        <v>#DIV/0!</v>
      </c>
      <c r="U178" s="2" t="e">
        <f t="shared" si="71"/>
        <v>#DIV/0!</v>
      </c>
      <c r="V178" s="2" t="e">
        <f t="shared" si="72"/>
        <v>#DIV/0!</v>
      </c>
      <c r="W178" s="2" t="e">
        <f t="shared" si="73"/>
        <v>#DIV/0!</v>
      </c>
      <c r="X178" s="2">
        <f>DEN!C168+DEN!F168+DEN!G168+DEN!L168</f>
        <v>5663492</v>
      </c>
      <c r="Y178" s="2">
        <f>DEN!I168+DEN!J168</f>
        <v>2263845</v>
      </c>
      <c r="Z178" s="2">
        <f>DEN!D168+DEN!E168</f>
        <v>346673</v>
      </c>
      <c r="AA178" s="2">
        <f>DEN!H168+DEN!K168</f>
        <v>102978</v>
      </c>
      <c r="AB178" s="562" t="e">
        <f t="shared" si="74"/>
        <v>#DIV/0!</v>
      </c>
      <c r="AC178" s="562" t="e">
        <f t="shared" si="66"/>
        <v>#DIV/0!</v>
      </c>
      <c r="AD178" s="562" t="e">
        <f t="shared" si="67"/>
        <v>#DIV/0!</v>
      </c>
      <c r="AE178" s="562" t="e">
        <f t="shared" si="68"/>
        <v>#DIV/0!</v>
      </c>
      <c r="AF178" s="774" t="e">
        <f>COMB_CORR!K24/FRO_TOT!T178</f>
        <v>#DIV/0!</v>
      </c>
      <c r="AG178" s="781" t="e">
        <f t="shared" si="75"/>
        <v>#DIV/0!</v>
      </c>
      <c r="AH178" s="3">
        <v>0.69389918236450521</v>
      </c>
      <c r="AJ178" s="742" t="e">
        <f t="shared" si="61"/>
        <v>#DIV/0!</v>
      </c>
      <c r="AK178" s="783">
        <v>-79879.581544325221</v>
      </c>
    </row>
    <row r="179" spans="1:37">
      <c r="A179" s="127" t="s">
        <v>33</v>
      </c>
      <c r="B179" s="291" t="e">
        <f>DIST_GAS_LEV!U33-AK179</f>
        <v>#DIV/0!</v>
      </c>
      <c r="C179" s="291" t="e">
        <f>DIST_GAS_LEV!AL33</f>
        <v>#DIV/0!</v>
      </c>
      <c r="D179" s="291">
        <f>DIST_GAS_MOT!R34</f>
        <v>127583</v>
      </c>
      <c r="E179" s="291" t="e">
        <f>DIST_GAS_MOT!S34</f>
        <v>#DIV/0!</v>
      </c>
      <c r="F179" s="291" t="e">
        <f>DIST_GAS_MOT!T34</f>
        <v>#DIV/0!</v>
      </c>
      <c r="G179" s="291" t="e">
        <f>DIST_GAS_MOT!U34</f>
        <v>#DIV/0!</v>
      </c>
      <c r="H179" s="291" t="e">
        <f>DIST_ALC_LEV!P33</f>
        <v>#DIV/0!</v>
      </c>
      <c r="I179" s="291" t="e">
        <f>DIST_ALC_LEV!AG33</f>
        <v>#DIV/0!</v>
      </c>
      <c r="J179" s="291" t="e">
        <f>DIST_DSL_CAM!N40</f>
        <v>#DIV/0!</v>
      </c>
      <c r="K179" s="291" t="e">
        <f>DIST_DSL_CAM!O40</f>
        <v>#DIV/0!</v>
      </c>
      <c r="L179" s="291">
        <f>DIST_DSL_CAM!P40</f>
        <v>13885</v>
      </c>
      <c r="M179" s="291">
        <f>DIST_DSL_ONI!N40</f>
        <v>35147</v>
      </c>
      <c r="N179" s="291" t="e">
        <f>DIST_DSL_ONI!O40</f>
        <v>#DIV/0!</v>
      </c>
      <c r="O179" s="291" t="e">
        <f>DIST_DSL_ONI!P40</f>
        <v>#DIV/0!</v>
      </c>
      <c r="P179" s="291" t="e">
        <f>DIST_DSL_LEV!N33</f>
        <v>#DIV/0!</v>
      </c>
      <c r="Q179" s="291" t="e">
        <f>DIST_DSL_LEV!O33</f>
        <v>#DIV/0!</v>
      </c>
      <c r="R179" s="291">
        <f>GNV!F26</f>
        <v>932116</v>
      </c>
      <c r="T179" s="2" t="e">
        <f t="shared" si="70"/>
        <v>#DIV/0!</v>
      </c>
      <c r="U179" s="2" t="e">
        <f t="shared" si="71"/>
        <v>#DIV/0!</v>
      </c>
      <c r="V179" s="2" t="e">
        <f t="shared" si="72"/>
        <v>#DIV/0!</v>
      </c>
      <c r="W179" s="2" t="e">
        <f t="shared" si="73"/>
        <v>#DIV/0!</v>
      </c>
      <c r="X179" s="2">
        <f>DEN!C169+DEN!F169+DEN!G169+DEN!L169</f>
        <v>4251121</v>
      </c>
      <c r="Y179" s="2">
        <f>DEN!I169+DEN!J169</f>
        <v>846391</v>
      </c>
      <c r="Z179" s="2">
        <f>DEN!D169+DEN!E169</f>
        <v>143431</v>
      </c>
      <c r="AA179" s="2">
        <f>DEN!H169+DEN!K169</f>
        <v>78539</v>
      </c>
      <c r="AB179" s="562" t="e">
        <f t="shared" si="74"/>
        <v>#DIV/0!</v>
      </c>
      <c r="AC179" s="562" t="e">
        <f t="shared" si="66"/>
        <v>#DIV/0!</v>
      </c>
      <c r="AD179" s="562" t="e">
        <f t="shared" si="67"/>
        <v>#DIV/0!</v>
      </c>
      <c r="AE179" s="562" t="e">
        <f t="shared" si="68"/>
        <v>#DIV/0!</v>
      </c>
      <c r="AF179" s="774" t="e">
        <f>COMB_CORR!K25/FRO_TOT!T179</f>
        <v>#DIV/0!</v>
      </c>
      <c r="AG179" s="781" t="e">
        <f t="shared" si="75"/>
        <v>#DIV/0!</v>
      </c>
      <c r="AH179" s="3">
        <v>0.60649169744671483</v>
      </c>
      <c r="AJ179" s="742" t="e">
        <f t="shared" si="61"/>
        <v>#DIV/0!</v>
      </c>
      <c r="AK179" s="783">
        <v>-84570.716451381799</v>
      </c>
    </row>
    <row r="180" spans="1:37" ht="15.75" thickBot="1">
      <c r="A180" s="128" t="s">
        <v>34</v>
      </c>
      <c r="B180" s="291" t="e">
        <f>DIST_GAS_LEV!U34-AK180</f>
        <v>#DIV/0!</v>
      </c>
      <c r="C180" s="291" t="e">
        <f>DIST_GAS_LEV!AL34</f>
        <v>#DIV/0!</v>
      </c>
      <c r="D180" s="291">
        <f>DIST_GAS_MOT!R35</f>
        <v>670919</v>
      </c>
      <c r="E180" s="291" t="e">
        <f>DIST_GAS_MOT!S35</f>
        <v>#DIV/0!</v>
      </c>
      <c r="F180" s="291" t="e">
        <f>DIST_GAS_MOT!T35</f>
        <v>#DIV/0!</v>
      </c>
      <c r="G180" s="291" t="e">
        <f>DIST_GAS_MOT!U35</f>
        <v>#DIV/0!</v>
      </c>
      <c r="H180" s="291" t="e">
        <f>DIST_ALC_LEV!P34</f>
        <v>#DIV/0!</v>
      </c>
      <c r="I180" s="291" t="e">
        <f>DIST_ALC_LEV!AG34</f>
        <v>#DIV/0!</v>
      </c>
      <c r="J180" s="291" t="e">
        <f>DIST_DSL_CAM!N41</f>
        <v>#DIV/0!</v>
      </c>
      <c r="K180" s="291" t="e">
        <f>DIST_DSL_CAM!O41</f>
        <v>#DIV/0!</v>
      </c>
      <c r="L180" s="291">
        <f>DIST_DSL_CAM!P41</f>
        <v>140924</v>
      </c>
      <c r="M180" s="291">
        <f>DIST_DSL_ONI!N41</f>
        <v>104723</v>
      </c>
      <c r="N180" s="291" t="e">
        <f>DIST_DSL_ONI!O41</f>
        <v>#DIV/0!</v>
      </c>
      <c r="O180" s="291" t="e">
        <f>DIST_DSL_ONI!P41</f>
        <v>#DIV/0!</v>
      </c>
      <c r="P180" s="291" t="e">
        <f>DIST_DSL_LEV!N34</f>
        <v>#DIV/0!</v>
      </c>
      <c r="Q180" s="291" t="e">
        <f>DIST_DSL_LEV!O34</f>
        <v>#DIV/0!</v>
      </c>
      <c r="R180" s="291">
        <f>GNV!F27</f>
        <v>293833</v>
      </c>
      <c r="T180" s="2" t="e">
        <f t="shared" si="70"/>
        <v>#DIV/0!</v>
      </c>
      <c r="U180" s="2" t="e">
        <f t="shared" si="71"/>
        <v>#DIV/0!</v>
      </c>
      <c r="V180" s="2" t="e">
        <f t="shared" si="72"/>
        <v>#DIV/0!</v>
      </c>
      <c r="W180" s="2" t="e">
        <f t="shared" si="73"/>
        <v>#DIV/0!</v>
      </c>
      <c r="X180" s="2">
        <f>DEN!C170+DEN!F170+DEN!G170+DEN!L170</f>
        <v>17809338</v>
      </c>
      <c r="Y180" s="2">
        <f>DEN!I170+DEN!J170</f>
        <v>4566674</v>
      </c>
      <c r="Z180" s="2">
        <f>DEN!D170+DEN!E170</f>
        <v>776248</v>
      </c>
      <c r="AA180" s="2">
        <f>DEN!H170+DEN!K170</f>
        <v>247602</v>
      </c>
      <c r="AB180" s="562" t="e">
        <f t="shared" si="74"/>
        <v>#DIV/0!</v>
      </c>
      <c r="AC180" s="562" t="e">
        <f t="shared" si="66"/>
        <v>#DIV/0!</v>
      </c>
      <c r="AD180" s="562" t="e">
        <f t="shared" si="67"/>
        <v>#DIV/0!</v>
      </c>
      <c r="AE180" s="562" t="e">
        <f t="shared" si="68"/>
        <v>#DIV/0!</v>
      </c>
      <c r="AF180" s="774" t="e">
        <f>COMB_CORR!K26/FRO_TOT!T180</f>
        <v>#DIV/0!</v>
      </c>
      <c r="AG180" s="781" t="e">
        <f t="shared" si="75"/>
        <v>#DIV/0!</v>
      </c>
      <c r="AH180" s="3">
        <v>1.5171136093397459</v>
      </c>
      <c r="AJ180" s="742" t="e">
        <f t="shared" si="61"/>
        <v>#DIV/0!</v>
      </c>
      <c r="AK180" s="783">
        <v>471997.75023094378</v>
      </c>
    </row>
    <row r="181" spans="1:37">
      <c r="A181" s="269" t="s">
        <v>69</v>
      </c>
      <c r="B181" s="291" t="e">
        <f t="shared" ref="B181:R181" si="78">SUM(B182:B184)</f>
        <v>#DIV/0!</v>
      </c>
      <c r="C181" s="291" t="e">
        <f t="shared" si="78"/>
        <v>#DIV/0!</v>
      </c>
      <c r="D181" s="291">
        <f t="shared" si="78"/>
        <v>626059</v>
      </c>
      <c r="E181" s="291" t="e">
        <f t="shared" si="78"/>
        <v>#DIV/0!</v>
      </c>
      <c r="F181" s="291" t="e">
        <f t="shared" si="78"/>
        <v>#DIV/0!</v>
      </c>
      <c r="G181" s="291" t="e">
        <f t="shared" si="78"/>
        <v>#DIV/0!</v>
      </c>
      <c r="H181" s="291" t="e">
        <f t="shared" si="78"/>
        <v>#DIV/0!</v>
      </c>
      <c r="I181" s="291" t="e">
        <f t="shared" si="78"/>
        <v>#DIV/0!</v>
      </c>
      <c r="J181" s="291" t="e">
        <f t="shared" si="78"/>
        <v>#DIV/0!</v>
      </c>
      <c r="K181" s="291" t="e">
        <f t="shared" si="78"/>
        <v>#DIV/0!</v>
      </c>
      <c r="L181" s="291">
        <f t="shared" si="78"/>
        <v>166210</v>
      </c>
      <c r="M181" s="291">
        <f t="shared" si="78"/>
        <v>46295</v>
      </c>
      <c r="N181" s="291" t="e">
        <f t="shared" si="78"/>
        <v>#DIV/0!</v>
      </c>
      <c r="O181" s="291" t="e">
        <f t="shared" si="78"/>
        <v>#DIV/0!</v>
      </c>
      <c r="P181" s="291" t="e">
        <f t="shared" si="78"/>
        <v>#DIV/0!</v>
      </c>
      <c r="Q181" s="291" t="e">
        <f t="shared" si="78"/>
        <v>#DIV/0!</v>
      </c>
      <c r="R181" s="291">
        <f t="shared" si="78"/>
        <v>188010</v>
      </c>
      <c r="T181" s="2" t="e">
        <f t="shared" si="70"/>
        <v>#DIV/0!</v>
      </c>
      <c r="U181" s="2" t="e">
        <f t="shared" si="71"/>
        <v>#DIV/0!</v>
      </c>
      <c r="V181" s="2" t="e">
        <f t="shared" si="72"/>
        <v>#DIV/0!</v>
      </c>
      <c r="W181" s="2" t="e">
        <f t="shared" si="73"/>
        <v>#DIV/0!</v>
      </c>
      <c r="X181" s="2">
        <f>DEN!C171+DEN!F171+DEN!G171+DEN!L171</f>
        <v>11160638</v>
      </c>
      <c r="Y181" s="2">
        <f>DEN!I171+DEN!J171</f>
        <v>3306013</v>
      </c>
      <c r="Z181" s="2">
        <f>DEN!D171+DEN!E171</f>
        <v>746692</v>
      </c>
      <c r="AA181" s="2">
        <f>DEN!H171+DEN!K171</f>
        <v>135266</v>
      </c>
      <c r="AB181" s="562" t="e">
        <f t="shared" si="74"/>
        <v>#DIV/0!</v>
      </c>
      <c r="AC181" s="562" t="e">
        <f t="shared" si="66"/>
        <v>#DIV/0!</v>
      </c>
      <c r="AD181" s="562" t="e">
        <f t="shared" si="67"/>
        <v>#DIV/0!</v>
      </c>
      <c r="AE181" s="562" t="e">
        <f t="shared" si="68"/>
        <v>#DIV/0!</v>
      </c>
      <c r="AF181" s="774"/>
      <c r="AG181" s="781"/>
      <c r="AJ181" s="742"/>
      <c r="AK181" s="783"/>
    </row>
    <row r="182" spans="1:37">
      <c r="A182" s="127" t="s">
        <v>36</v>
      </c>
      <c r="B182" s="291" t="e">
        <f>DIST_GAS_LEV!U36-AK182</f>
        <v>#DIV/0!</v>
      </c>
      <c r="C182" s="291" t="e">
        <f>DIST_GAS_LEV!AL36</f>
        <v>#DIV/0!</v>
      </c>
      <c r="D182" s="291">
        <f>DIST_GAS_MOT!R37</f>
        <v>242709</v>
      </c>
      <c r="E182" s="291" t="e">
        <f>DIST_GAS_MOT!S37</f>
        <v>#DIV/0!</v>
      </c>
      <c r="F182" s="291" t="e">
        <f>DIST_GAS_MOT!T37</f>
        <v>#DIV/0!</v>
      </c>
      <c r="G182" s="291" t="e">
        <f>DIST_GAS_MOT!U37</f>
        <v>#DIV/0!</v>
      </c>
      <c r="H182" s="291" t="e">
        <f>DIST_ALC_LEV!P36</f>
        <v>#DIV/0!</v>
      </c>
      <c r="I182" s="291" t="e">
        <f>DIST_ALC_LEV!AG36</f>
        <v>#DIV/0!</v>
      </c>
      <c r="J182" s="291" t="e">
        <f>DIST_DSL_CAM!N43</f>
        <v>#DIV/0!</v>
      </c>
      <c r="K182" s="291" t="e">
        <f>DIST_DSL_CAM!O43</f>
        <v>#DIV/0!</v>
      </c>
      <c r="L182" s="291">
        <f>DIST_DSL_CAM!P43</f>
        <v>75152</v>
      </c>
      <c r="M182" s="291">
        <f>DIST_DSL_ONI!N43</f>
        <v>18149</v>
      </c>
      <c r="N182" s="291" t="e">
        <f>DIST_DSL_ONI!O43</f>
        <v>#DIV/0!</v>
      </c>
      <c r="O182" s="291" t="e">
        <f>DIST_DSL_ONI!P43</f>
        <v>#DIV/0!</v>
      </c>
      <c r="P182" s="291" t="e">
        <f>DIST_DSL_LEV!N36</f>
        <v>#DIV/0!</v>
      </c>
      <c r="Q182" s="291" t="e">
        <f>DIST_DSL_LEV!O36</f>
        <v>#DIV/0!</v>
      </c>
      <c r="R182" s="291">
        <f>GNV!F29</f>
        <v>33684</v>
      </c>
      <c r="T182" s="2" t="e">
        <f t="shared" si="70"/>
        <v>#DIV/0!</v>
      </c>
      <c r="U182" s="2" t="e">
        <f t="shared" si="71"/>
        <v>#DIV/0!</v>
      </c>
      <c r="V182" s="2" t="e">
        <f t="shared" si="72"/>
        <v>#DIV/0!</v>
      </c>
      <c r="W182" s="2" t="e">
        <f t="shared" si="73"/>
        <v>#DIV/0!</v>
      </c>
      <c r="X182" s="2">
        <f>DEN!C172+DEN!F172+DEN!G172+DEN!L172</f>
        <v>4324271</v>
      </c>
      <c r="Y182" s="2">
        <f>DEN!I172+DEN!J172</f>
        <v>1234887</v>
      </c>
      <c r="Z182" s="2">
        <f>DEN!D172+DEN!E172</f>
        <v>316239</v>
      </c>
      <c r="AA182" s="2">
        <f>DEN!H172+DEN!K172</f>
        <v>54020</v>
      </c>
      <c r="AB182" s="562" t="e">
        <f t="shared" si="74"/>
        <v>#DIV/0!</v>
      </c>
      <c r="AC182" s="562" t="e">
        <f t="shared" si="66"/>
        <v>#DIV/0!</v>
      </c>
      <c r="AD182" s="562" t="e">
        <f t="shared" si="67"/>
        <v>#DIV/0!</v>
      </c>
      <c r="AE182" s="562" t="e">
        <f t="shared" si="68"/>
        <v>#DIV/0!</v>
      </c>
      <c r="AF182" s="774" t="e">
        <f>COMB_CORR!K28/FRO_TOT!T182</f>
        <v>#DIV/0!</v>
      </c>
      <c r="AG182" s="781" t="e">
        <f t="shared" si="75"/>
        <v>#DIV/0!</v>
      </c>
      <c r="AH182" s="3">
        <v>0.81715678110578172</v>
      </c>
      <c r="AJ182" s="742" t="e">
        <f t="shared" si="61"/>
        <v>#DIV/0!</v>
      </c>
      <c r="AK182" s="783">
        <v>-38327.370378804393</v>
      </c>
    </row>
    <row r="183" spans="1:37">
      <c r="A183" s="127" t="s">
        <v>37</v>
      </c>
      <c r="B183" s="291" t="e">
        <f>DIST_GAS_LEV!U37-AK183</f>
        <v>#DIV/0!</v>
      </c>
      <c r="C183" s="291" t="e">
        <f>DIST_GAS_LEV!AL37</f>
        <v>#DIV/0!</v>
      </c>
      <c r="D183" s="291">
        <f>DIST_GAS_MOT!R38</f>
        <v>159328</v>
      </c>
      <c r="E183" s="291" t="e">
        <f>DIST_GAS_MOT!S38</f>
        <v>#DIV/0!</v>
      </c>
      <c r="F183" s="291" t="e">
        <f>DIST_GAS_MOT!T38</f>
        <v>#DIV/0!</v>
      </c>
      <c r="G183" s="291" t="e">
        <f>DIST_GAS_MOT!U38</f>
        <v>#DIV/0!</v>
      </c>
      <c r="H183" s="291" t="e">
        <f>DIST_ALC_LEV!P37</f>
        <v>#DIV/0!</v>
      </c>
      <c r="I183" s="291" t="e">
        <f>DIST_ALC_LEV!AG37</f>
        <v>#DIV/0!</v>
      </c>
      <c r="J183" s="291" t="e">
        <f>DIST_DSL_CAM!N44</f>
        <v>#DIV/0!</v>
      </c>
      <c r="K183" s="291" t="e">
        <f>DIST_DSL_CAM!O44</f>
        <v>#DIV/0!</v>
      </c>
      <c r="L183" s="291">
        <f>DIST_DSL_CAM!P44</f>
        <v>48063</v>
      </c>
      <c r="M183" s="291">
        <f>DIST_DSL_ONI!N44</f>
        <v>17957</v>
      </c>
      <c r="N183" s="291" t="e">
        <f>DIST_DSL_ONI!O44</f>
        <v>#DIV/0!</v>
      </c>
      <c r="O183" s="291" t="e">
        <f>DIST_DSL_ONI!P44</f>
        <v>#DIV/0!</v>
      </c>
      <c r="P183" s="291" t="e">
        <f>DIST_DSL_LEV!N37</f>
        <v>#DIV/0!</v>
      </c>
      <c r="Q183" s="291" t="e">
        <f>DIST_DSL_LEV!O37</f>
        <v>#DIV/0!</v>
      </c>
      <c r="R183" s="291">
        <f>GNV!F30</f>
        <v>59291</v>
      </c>
      <c r="T183" s="2" t="e">
        <f t="shared" si="70"/>
        <v>#DIV/0!</v>
      </c>
      <c r="U183" s="2" t="e">
        <f t="shared" si="71"/>
        <v>#DIV/0!</v>
      </c>
      <c r="V183" s="2" t="e">
        <f t="shared" si="72"/>
        <v>#DIV/0!</v>
      </c>
      <c r="W183" s="2" t="e">
        <f t="shared" si="73"/>
        <v>#DIV/0!</v>
      </c>
      <c r="X183" s="2">
        <f>DEN!C173+DEN!F173+DEN!G173+DEN!L173</f>
        <v>4075341</v>
      </c>
      <c r="Y183" s="2">
        <f>DEN!I173+DEN!J173</f>
        <v>1099222</v>
      </c>
      <c r="Z183" s="2">
        <f>DEN!D173+DEN!E173</f>
        <v>250490</v>
      </c>
      <c r="AA183" s="2">
        <f>DEN!H173+DEN!K173</f>
        <v>53801</v>
      </c>
      <c r="AB183" s="562" t="e">
        <f t="shared" si="74"/>
        <v>#DIV/0!</v>
      </c>
      <c r="AC183" s="562" t="e">
        <f t="shared" si="66"/>
        <v>#DIV/0!</v>
      </c>
      <c r="AD183" s="562" t="e">
        <f t="shared" si="67"/>
        <v>#DIV/0!</v>
      </c>
      <c r="AE183" s="562" t="e">
        <f t="shared" si="68"/>
        <v>#DIV/0!</v>
      </c>
      <c r="AF183" s="774" t="e">
        <f>COMB_CORR!K29/FRO_TOT!T183</f>
        <v>#DIV/0!</v>
      </c>
      <c r="AG183" s="781" t="e">
        <f t="shared" si="75"/>
        <v>#DIV/0!</v>
      </c>
      <c r="AH183" s="3">
        <v>0.30567163404537923</v>
      </c>
      <c r="AJ183" s="742" t="e">
        <f t="shared" si="61"/>
        <v>#DIV/0!</v>
      </c>
      <c r="AK183" s="783">
        <v>-140875.14790869458</v>
      </c>
    </row>
    <row r="184" spans="1:37" ht="15.75" thickBot="1">
      <c r="A184" s="128" t="s">
        <v>38</v>
      </c>
      <c r="B184" s="291" t="e">
        <f>DIST_GAS_LEV!U38-AK184</f>
        <v>#DIV/0!</v>
      </c>
      <c r="C184" s="291" t="e">
        <f>DIST_GAS_LEV!AL38</f>
        <v>#DIV/0!</v>
      </c>
      <c r="D184" s="291">
        <f>DIST_GAS_MOT!R39</f>
        <v>224022</v>
      </c>
      <c r="E184" s="291" t="e">
        <f>DIST_GAS_MOT!S39</f>
        <v>#DIV/0!</v>
      </c>
      <c r="F184" s="291" t="e">
        <f>DIST_GAS_MOT!T39</f>
        <v>#DIV/0!</v>
      </c>
      <c r="G184" s="291" t="e">
        <f>DIST_GAS_MOT!U39</f>
        <v>#DIV/0!</v>
      </c>
      <c r="H184" s="291" t="e">
        <f>DIST_ALC_LEV!P38</f>
        <v>#DIV/0!</v>
      </c>
      <c r="I184" s="291" t="e">
        <f>DIST_ALC_LEV!AG38</f>
        <v>#DIV/0!</v>
      </c>
      <c r="J184" s="291" t="e">
        <f>DIST_DSL_CAM!N45</f>
        <v>#DIV/0!</v>
      </c>
      <c r="K184" s="291" t="e">
        <f>DIST_DSL_CAM!O45</f>
        <v>#DIV/0!</v>
      </c>
      <c r="L184" s="291">
        <f>DIST_DSL_CAM!P45</f>
        <v>42995</v>
      </c>
      <c r="M184" s="291">
        <f>DIST_DSL_ONI!N45</f>
        <v>10189</v>
      </c>
      <c r="N184" s="291" t="e">
        <f>DIST_DSL_ONI!O45</f>
        <v>#DIV/0!</v>
      </c>
      <c r="O184" s="291" t="e">
        <f>DIST_DSL_ONI!P45</f>
        <v>#DIV/0!</v>
      </c>
      <c r="P184" s="291" t="e">
        <f>DIST_DSL_LEV!N38</f>
        <v>#DIV/0!</v>
      </c>
      <c r="Q184" s="291" t="e">
        <f>DIST_DSL_LEV!O38</f>
        <v>#DIV/0!</v>
      </c>
      <c r="R184" s="291">
        <f>GNV!F31</f>
        <v>95035</v>
      </c>
      <c r="T184" s="2" t="e">
        <f t="shared" si="70"/>
        <v>#DIV/0!</v>
      </c>
      <c r="U184" s="2" t="e">
        <f t="shared" si="71"/>
        <v>#DIV/0!</v>
      </c>
      <c r="V184" s="2" t="e">
        <f t="shared" si="72"/>
        <v>#DIV/0!</v>
      </c>
      <c r="W184" s="2" t="e">
        <f t="shared" si="73"/>
        <v>#DIV/0!</v>
      </c>
      <c r="X184" s="2">
        <f>DEN!C174+DEN!F174+DEN!G174+DEN!L174</f>
        <v>2761026</v>
      </c>
      <c r="Y184" s="2">
        <f>DEN!I174+DEN!J174</f>
        <v>971904</v>
      </c>
      <c r="Z184" s="2">
        <f>DEN!D174+DEN!E174</f>
        <v>179963</v>
      </c>
      <c r="AA184" s="2">
        <f>DEN!H174+DEN!K174</f>
        <v>27445</v>
      </c>
      <c r="AB184" s="562" t="e">
        <f t="shared" si="74"/>
        <v>#DIV/0!</v>
      </c>
      <c r="AC184" s="562" t="e">
        <f t="shared" si="66"/>
        <v>#DIV/0!</v>
      </c>
      <c r="AD184" s="562" t="e">
        <f t="shared" si="67"/>
        <v>#DIV/0!</v>
      </c>
      <c r="AE184" s="562" t="e">
        <f t="shared" si="68"/>
        <v>#DIV/0!</v>
      </c>
      <c r="AF184" s="774" t="e">
        <f>COMB_CORR!K30/FRO_TOT!T184</f>
        <v>#DIV/0!</v>
      </c>
      <c r="AG184" s="781" t="e">
        <f t="shared" si="75"/>
        <v>#DIV/0!</v>
      </c>
      <c r="AH184" s="3">
        <v>0.54364165661947628</v>
      </c>
      <c r="AJ184" s="742" t="e">
        <f t="shared" si="61"/>
        <v>#DIV/0!</v>
      </c>
      <c r="AK184" s="783">
        <v>-60142.170731070917</v>
      </c>
    </row>
    <row r="185" spans="1:37" ht="25.5">
      <c r="A185" s="274" t="s">
        <v>73</v>
      </c>
      <c r="B185" s="291" t="e">
        <f t="shared" ref="B185:R185" si="79">SUM(B186:B189)</f>
        <v>#DIV/0!</v>
      </c>
      <c r="C185" s="291" t="e">
        <f t="shared" si="79"/>
        <v>#DIV/0!</v>
      </c>
      <c r="D185" s="291">
        <f t="shared" si="79"/>
        <v>459848</v>
      </c>
      <c r="E185" s="291" t="e">
        <f t="shared" si="79"/>
        <v>#DIV/0!</v>
      </c>
      <c r="F185" s="291" t="e">
        <f t="shared" si="79"/>
        <v>#DIV/0!</v>
      </c>
      <c r="G185" s="291" t="e">
        <f t="shared" si="79"/>
        <v>#DIV/0!</v>
      </c>
      <c r="H185" s="291" t="e">
        <f t="shared" si="79"/>
        <v>#DIV/0!</v>
      </c>
      <c r="I185" s="291" t="e">
        <f t="shared" si="79"/>
        <v>#DIV/0!</v>
      </c>
      <c r="J185" s="291" t="e">
        <f t="shared" si="79"/>
        <v>#DIV/0!</v>
      </c>
      <c r="K185" s="291" t="e">
        <f t="shared" si="79"/>
        <v>#DIV/0!</v>
      </c>
      <c r="L185" s="291">
        <f t="shared" si="79"/>
        <v>61537</v>
      </c>
      <c r="M185" s="291">
        <f t="shared" si="79"/>
        <v>17889</v>
      </c>
      <c r="N185" s="291" t="e">
        <f t="shared" si="79"/>
        <v>#DIV/0!</v>
      </c>
      <c r="O185" s="291" t="e">
        <f t="shared" si="79"/>
        <v>#DIV/0!</v>
      </c>
      <c r="P185" s="291" t="e">
        <f t="shared" si="79"/>
        <v>#DIV/0!</v>
      </c>
      <c r="Q185" s="291" t="e">
        <f t="shared" si="79"/>
        <v>#DIV/0!</v>
      </c>
      <c r="R185" s="291">
        <f t="shared" si="79"/>
        <v>12840</v>
      </c>
      <c r="T185" s="2" t="e">
        <f t="shared" si="70"/>
        <v>#DIV/0!</v>
      </c>
      <c r="U185" s="2" t="e">
        <f t="shared" si="71"/>
        <v>#DIV/0!</v>
      </c>
      <c r="V185" s="2" t="e">
        <f t="shared" si="72"/>
        <v>#DIV/0!</v>
      </c>
      <c r="W185" s="2" t="e">
        <f t="shared" si="73"/>
        <v>#DIV/0!</v>
      </c>
      <c r="X185" s="2">
        <f>DEN!C175+DEN!F175+DEN!G175+DEN!L175</f>
        <v>4449478</v>
      </c>
      <c r="Y185" s="2">
        <f>DEN!I175+DEN!J175</f>
        <v>2115649</v>
      </c>
      <c r="Z185" s="2">
        <f>DEN!D175+DEN!E175</f>
        <v>282473</v>
      </c>
      <c r="AA185" s="2">
        <f>DEN!H175+DEN!K175</f>
        <v>62928</v>
      </c>
      <c r="AB185" s="562" t="e">
        <f t="shared" si="74"/>
        <v>#DIV/0!</v>
      </c>
      <c r="AC185" s="562" t="e">
        <f t="shared" si="66"/>
        <v>#DIV/0!</v>
      </c>
      <c r="AD185" s="562" t="e">
        <f t="shared" si="67"/>
        <v>#DIV/0!</v>
      </c>
      <c r="AE185" s="562" t="e">
        <f t="shared" si="68"/>
        <v>#DIV/0!</v>
      </c>
      <c r="AF185" s="774"/>
      <c r="AG185" s="781"/>
      <c r="AJ185" s="742"/>
      <c r="AK185" s="783"/>
    </row>
    <row r="186" spans="1:37">
      <c r="A186" s="127" t="s">
        <v>40</v>
      </c>
      <c r="B186" s="291" t="e">
        <f>DIST_GAS_LEV!U40-AK186</f>
        <v>#DIV/0!</v>
      </c>
      <c r="C186" s="291" t="e">
        <f>DIST_GAS_LEV!AL40</f>
        <v>#DIV/0!</v>
      </c>
      <c r="D186" s="291">
        <f>DIST_GAS_MOT!R41</f>
        <v>14118</v>
      </c>
      <c r="E186" s="291" t="e">
        <f>DIST_GAS_MOT!S41</f>
        <v>#DIV/0!</v>
      </c>
      <c r="F186" s="291" t="e">
        <f>DIST_GAS_MOT!T41</f>
        <v>#DIV/0!</v>
      </c>
      <c r="G186" s="291" t="e">
        <f>DIST_GAS_MOT!U41</f>
        <v>#DIV/0!</v>
      </c>
      <c r="H186" s="291" t="e">
        <f>DIST_ALC_LEV!P40</f>
        <v>#DIV/0!</v>
      </c>
      <c r="I186" s="291" t="e">
        <f>DIST_ALC_LEV!AG40</f>
        <v>#DIV/0!</v>
      </c>
      <c r="J186" s="291" t="e">
        <f>DIST_DSL_CAM!N47</f>
        <v>#DIV/0!</v>
      </c>
      <c r="K186" s="291" t="e">
        <f>DIST_DSL_CAM!O47</f>
        <v>#DIV/0!</v>
      </c>
      <c r="L186" s="291">
        <f>DIST_DSL_CAM!P47</f>
        <v>2840</v>
      </c>
      <c r="M186" s="291">
        <f>DIST_DSL_ONI!N47</f>
        <v>4817</v>
      </c>
      <c r="N186" s="291" t="e">
        <f>DIST_DSL_ONI!O47</f>
        <v>#DIV/0!</v>
      </c>
      <c r="O186" s="291" t="e">
        <f>DIST_DSL_ONI!P47</f>
        <v>#DIV/0!</v>
      </c>
      <c r="P186" s="291" t="e">
        <f>DIST_DSL_LEV!N40</f>
        <v>#DIV/0!</v>
      </c>
      <c r="Q186" s="291" t="e">
        <f>DIST_DSL_LEV!O40</f>
        <v>#DIV/0!</v>
      </c>
      <c r="R186" s="291">
        <f>GNV!F33</f>
        <v>1912</v>
      </c>
      <c r="T186" s="2" t="e">
        <f t="shared" si="70"/>
        <v>#DIV/0!</v>
      </c>
      <c r="U186" s="2" t="e">
        <f t="shared" si="71"/>
        <v>#DIV/0!</v>
      </c>
      <c r="V186" s="2" t="e">
        <f t="shared" si="72"/>
        <v>#DIV/0!</v>
      </c>
      <c r="W186" s="2" t="e">
        <f t="shared" si="73"/>
        <v>#DIV/0!</v>
      </c>
      <c r="X186" s="2">
        <f>DEN!C176+DEN!F176+DEN!G176+DEN!L176</f>
        <v>1241072</v>
      </c>
      <c r="Y186" s="2">
        <f>DEN!I176+DEN!J176</f>
        <v>164278</v>
      </c>
      <c r="Z186" s="2">
        <f>DEN!D176+DEN!E176</f>
        <v>24176</v>
      </c>
      <c r="AA186" s="2">
        <f>DEN!H176+DEN!K176</f>
        <v>13962</v>
      </c>
      <c r="AB186" s="562" t="e">
        <f t="shared" si="74"/>
        <v>#DIV/0!</v>
      </c>
      <c r="AC186" s="562" t="e">
        <f t="shared" si="66"/>
        <v>#DIV/0!</v>
      </c>
      <c r="AD186" s="562" t="e">
        <f t="shared" si="67"/>
        <v>#DIV/0!</v>
      </c>
      <c r="AE186" s="562" t="e">
        <f t="shared" si="68"/>
        <v>#DIV/0!</v>
      </c>
      <c r="AF186" s="774" t="e">
        <f>COMB_CORR!K32/FRO_TOT!T186</f>
        <v>#DIV/0!</v>
      </c>
      <c r="AG186" s="781" t="e">
        <f t="shared" si="75"/>
        <v>#DIV/0!</v>
      </c>
      <c r="AH186" s="3">
        <v>0.54553650292091449</v>
      </c>
      <c r="AJ186" s="742" t="e">
        <f t="shared" si="61"/>
        <v>#DIV/0!</v>
      </c>
      <c r="AK186" s="783">
        <v>-27942.703385978355</v>
      </c>
    </row>
    <row r="187" spans="1:37">
      <c r="A187" s="127" t="s">
        <v>41</v>
      </c>
      <c r="B187" s="291" t="e">
        <f>DIST_GAS_LEV!U41-AK187</f>
        <v>#DIV/0!</v>
      </c>
      <c r="C187" s="291" t="e">
        <f>DIST_GAS_LEV!AL41</f>
        <v>#DIV/0!</v>
      </c>
      <c r="D187" s="291">
        <f>DIST_GAS_MOT!R42</f>
        <v>208985</v>
      </c>
      <c r="E187" s="291" t="e">
        <f>DIST_GAS_MOT!S42</f>
        <v>#DIV/0!</v>
      </c>
      <c r="F187" s="291" t="e">
        <f>DIST_GAS_MOT!T42</f>
        <v>#DIV/0!</v>
      </c>
      <c r="G187" s="291" t="e">
        <f>DIST_GAS_MOT!U42</f>
        <v>#DIV/0!</v>
      </c>
      <c r="H187" s="291" t="e">
        <f>DIST_ALC_LEV!P41</f>
        <v>#DIV/0!</v>
      </c>
      <c r="I187" s="291" t="e">
        <f>DIST_ALC_LEV!AG41</f>
        <v>#DIV/0!</v>
      </c>
      <c r="J187" s="291" t="e">
        <f>DIST_DSL_CAM!N48</f>
        <v>#DIV/0!</v>
      </c>
      <c r="K187" s="291" t="e">
        <f>DIST_DSL_CAM!O48</f>
        <v>#DIV/0!</v>
      </c>
      <c r="L187" s="291">
        <f>DIST_DSL_CAM!P48</f>
        <v>23252</v>
      </c>
      <c r="M187" s="291">
        <f>DIST_DSL_ONI!N48</f>
        <v>7386</v>
      </c>
      <c r="N187" s="291" t="e">
        <f>DIST_DSL_ONI!O48</f>
        <v>#DIV/0!</v>
      </c>
      <c r="O187" s="291" t="e">
        <f>DIST_DSL_ONI!P48</f>
        <v>#DIV/0!</v>
      </c>
      <c r="P187" s="291" t="e">
        <f>DIST_DSL_LEV!N41</f>
        <v>#DIV/0!</v>
      </c>
      <c r="Q187" s="291" t="e">
        <f>DIST_DSL_LEV!O41</f>
        <v>#DIV/0!</v>
      </c>
      <c r="R187" s="291">
        <f>GNV!F34</f>
        <v>3427</v>
      </c>
      <c r="T187" s="2" t="e">
        <f t="shared" si="70"/>
        <v>#DIV/0!</v>
      </c>
      <c r="U187" s="2" t="e">
        <f t="shared" si="71"/>
        <v>#DIV/0!</v>
      </c>
      <c r="V187" s="2" t="e">
        <f t="shared" si="72"/>
        <v>#DIV/0!</v>
      </c>
      <c r="W187" s="2" t="e">
        <f t="shared" si="73"/>
        <v>#DIV/0!</v>
      </c>
      <c r="X187" s="2">
        <f>DEN!C177+DEN!F177+DEN!G177+DEN!L177</f>
        <v>1803592</v>
      </c>
      <c r="Y187" s="2">
        <f>DEN!I177+DEN!J177</f>
        <v>931308</v>
      </c>
      <c r="Z187" s="2">
        <f>DEN!D177+DEN!E177</f>
        <v>120558</v>
      </c>
      <c r="AA187" s="2">
        <f>DEN!H177+DEN!K177</f>
        <v>26275</v>
      </c>
      <c r="AB187" s="562" t="e">
        <f t="shared" si="74"/>
        <v>#DIV/0!</v>
      </c>
      <c r="AC187" s="562" t="e">
        <f t="shared" si="66"/>
        <v>#DIV/0!</v>
      </c>
      <c r="AD187" s="562" t="e">
        <f t="shared" si="67"/>
        <v>#DIV/0!</v>
      </c>
      <c r="AE187" s="562" t="e">
        <f t="shared" si="68"/>
        <v>#DIV/0!</v>
      </c>
      <c r="AF187" s="774" t="e">
        <f>COMB_CORR!K33/FRO_TOT!T187</f>
        <v>#DIV/0!</v>
      </c>
      <c r="AG187" s="781" t="e">
        <f t="shared" si="75"/>
        <v>#DIV/0!</v>
      </c>
      <c r="AH187" s="3">
        <v>1.4432834546617486</v>
      </c>
      <c r="AJ187" s="742" t="e">
        <f t="shared" si="61"/>
        <v>#DIV/0!</v>
      </c>
      <c r="AK187" s="783">
        <v>34854.171187068103</v>
      </c>
    </row>
    <row r="188" spans="1:37">
      <c r="A188" s="127" t="s">
        <v>42</v>
      </c>
      <c r="B188" s="291" t="e">
        <f>DIST_GAS_LEV!U42-AK188</f>
        <v>#DIV/0!</v>
      </c>
      <c r="C188" s="291" t="e">
        <f>DIST_GAS_LEV!AL42</f>
        <v>#DIV/0!</v>
      </c>
      <c r="D188" s="291">
        <f>DIST_GAS_MOT!R43</f>
        <v>151818</v>
      </c>
      <c r="E188" s="291" t="e">
        <f>DIST_GAS_MOT!S43</f>
        <v>#DIV/0!</v>
      </c>
      <c r="F188" s="291" t="e">
        <f>DIST_GAS_MOT!T43</f>
        <v>#DIV/0!</v>
      </c>
      <c r="G188" s="291" t="e">
        <f>DIST_GAS_MOT!U43</f>
        <v>#DIV/0!</v>
      </c>
      <c r="H188" s="291" t="e">
        <f>DIST_ALC_LEV!P42</f>
        <v>#DIV/0!</v>
      </c>
      <c r="I188" s="291" t="e">
        <f>DIST_ALC_LEV!AG42</f>
        <v>#DIV/0!</v>
      </c>
      <c r="J188" s="291" t="e">
        <f>DIST_DSL_CAM!N49</f>
        <v>#DIV/0!</v>
      </c>
      <c r="K188" s="291" t="e">
        <f>DIST_DSL_CAM!O49</f>
        <v>#DIV/0!</v>
      </c>
      <c r="L188" s="291">
        <f>DIST_DSL_CAM!P49</f>
        <v>23246</v>
      </c>
      <c r="M188" s="291">
        <f>DIST_DSL_ONI!N49</f>
        <v>2742</v>
      </c>
      <c r="N188" s="291" t="e">
        <f>DIST_DSL_ONI!O49</f>
        <v>#DIV/0!</v>
      </c>
      <c r="O188" s="291" t="e">
        <f>DIST_DSL_ONI!P49</f>
        <v>#DIV/0!</v>
      </c>
      <c r="P188" s="291" t="e">
        <f>DIST_DSL_LEV!N42</f>
        <v>#DIV/0!</v>
      </c>
      <c r="Q188" s="291" t="e">
        <f>DIST_DSL_LEV!O42</f>
        <v>#DIV/0!</v>
      </c>
      <c r="R188" s="291">
        <f>GNV!F35</f>
        <v>1556</v>
      </c>
      <c r="T188" s="2" t="e">
        <f t="shared" si="70"/>
        <v>#DIV/0!</v>
      </c>
      <c r="U188" s="2" t="e">
        <f t="shared" si="71"/>
        <v>#DIV/0!</v>
      </c>
      <c r="V188" s="2" t="e">
        <f t="shared" si="72"/>
        <v>#DIV/0!</v>
      </c>
      <c r="W188" s="2" t="e">
        <f t="shared" si="73"/>
        <v>#DIV/0!</v>
      </c>
      <c r="X188" s="2">
        <f>DEN!C178+DEN!F178+DEN!G178+DEN!L178</f>
        <v>702407</v>
      </c>
      <c r="Y188" s="2">
        <f>DEN!I178+DEN!J178</f>
        <v>630177</v>
      </c>
      <c r="Z188" s="2">
        <f>DEN!D178+DEN!E178</f>
        <v>81164</v>
      </c>
      <c r="AA188" s="2">
        <f>DEN!H178+DEN!K178</f>
        <v>11847</v>
      </c>
      <c r="AB188" s="562" t="e">
        <f t="shared" si="74"/>
        <v>#DIV/0!</v>
      </c>
      <c r="AC188" s="562" t="e">
        <f t="shared" si="66"/>
        <v>#DIV/0!</v>
      </c>
      <c r="AD188" s="562" t="e">
        <f t="shared" si="67"/>
        <v>#DIV/0!</v>
      </c>
      <c r="AE188" s="562" t="e">
        <f t="shared" si="68"/>
        <v>#DIV/0!</v>
      </c>
      <c r="AF188" s="774" t="e">
        <f>COMB_CORR!K34/FRO_TOT!T188</f>
        <v>#DIV/0!</v>
      </c>
      <c r="AG188" s="781" t="e">
        <f t="shared" si="75"/>
        <v>#DIV/0!</v>
      </c>
      <c r="AH188" s="3">
        <v>1.7609016143111105</v>
      </c>
      <c r="AJ188" s="742" t="e">
        <f t="shared" si="61"/>
        <v>#DIV/0!</v>
      </c>
      <c r="AK188" s="783">
        <v>21454.597636276041</v>
      </c>
    </row>
    <row r="189" spans="1:37" ht="26.25" thickBot="1">
      <c r="A189" s="128" t="s">
        <v>43</v>
      </c>
      <c r="B189" s="291" t="e">
        <f>DIST_GAS_LEV!U43-AK189</f>
        <v>#DIV/0!</v>
      </c>
      <c r="C189" s="291" t="e">
        <f>DIST_GAS_LEV!AL43</f>
        <v>#DIV/0!</v>
      </c>
      <c r="D189" s="291">
        <f>DIST_GAS_MOT!R44</f>
        <v>84927</v>
      </c>
      <c r="E189" s="291" t="e">
        <f>DIST_GAS_MOT!S44</f>
        <v>#DIV/0!</v>
      </c>
      <c r="F189" s="291" t="e">
        <f>DIST_GAS_MOT!T44</f>
        <v>#DIV/0!</v>
      </c>
      <c r="G189" s="291" t="e">
        <f>DIST_GAS_MOT!U44</f>
        <v>#DIV/0!</v>
      </c>
      <c r="H189" s="291" t="e">
        <f>DIST_ALC_LEV!P43</f>
        <v>#DIV/0!</v>
      </c>
      <c r="I189" s="291" t="e">
        <f>DIST_ALC_LEV!AG43</f>
        <v>#DIV/0!</v>
      </c>
      <c r="J189" s="291" t="e">
        <f>DIST_DSL_CAM!N50</f>
        <v>#DIV/0!</v>
      </c>
      <c r="K189" s="291" t="e">
        <f>DIST_DSL_CAM!O50</f>
        <v>#DIV/0!</v>
      </c>
      <c r="L189" s="291">
        <f>DIST_DSL_CAM!P50</f>
        <v>12199</v>
      </c>
      <c r="M189" s="291">
        <f>DIST_DSL_ONI!N50</f>
        <v>2944</v>
      </c>
      <c r="N189" s="291" t="e">
        <f>DIST_DSL_ONI!O50</f>
        <v>#DIV/0!</v>
      </c>
      <c r="O189" s="291" t="e">
        <f>DIST_DSL_ONI!P50</f>
        <v>#DIV/0!</v>
      </c>
      <c r="P189" s="291" t="e">
        <f>DIST_DSL_LEV!N43</f>
        <v>#DIV/0!</v>
      </c>
      <c r="Q189" s="291" t="e">
        <f>DIST_DSL_LEV!O43</f>
        <v>#DIV/0!</v>
      </c>
      <c r="R189" s="291">
        <f>GNV!F36</f>
        <v>5945</v>
      </c>
      <c r="T189" s="2" t="e">
        <f t="shared" si="70"/>
        <v>#DIV/0!</v>
      </c>
      <c r="U189" s="2" t="e">
        <f t="shared" si="71"/>
        <v>#DIV/0!</v>
      </c>
      <c r="V189" s="2" t="e">
        <f t="shared" si="72"/>
        <v>#DIV/0!</v>
      </c>
      <c r="W189" s="2" t="e">
        <f t="shared" si="73"/>
        <v>#DIV/0!</v>
      </c>
      <c r="X189" s="2">
        <f>DEN!C179+DEN!F179+DEN!G179+DEN!L179</f>
        <v>702407</v>
      </c>
      <c r="Y189" s="2">
        <f>DEN!I179+DEN!J179</f>
        <v>389886</v>
      </c>
      <c r="Z189" s="2">
        <f>DEN!D179+DEN!E179</f>
        <v>56575</v>
      </c>
      <c r="AA189" s="2">
        <f>DEN!H179+DEN!K179</f>
        <v>10844</v>
      </c>
      <c r="AB189" s="562" t="e">
        <f t="shared" si="74"/>
        <v>#DIV/0!</v>
      </c>
      <c r="AC189" s="562" t="e">
        <f t="shared" si="66"/>
        <v>#DIV/0!</v>
      </c>
      <c r="AD189" s="562" t="e">
        <f t="shared" si="67"/>
        <v>#DIV/0!</v>
      </c>
      <c r="AE189" s="562" t="e">
        <f t="shared" si="68"/>
        <v>#DIV/0!</v>
      </c>
      <c r="AF189" s="775" t="e">
        <f>COMB_CORR!K35/FRO_TOT!T189</f>
        <v>#DIV/0!</v>
      </c>
      <c r="AG189" s="782" t="e">
        <f t="shared" si="75"/>
        <v>#DIV/0!</v>
      </c>
      <c r="AH189" s="3">
        <v>0.98973418800619828</v>
      </c>
      <c r="AJ189" s="779" t="e">
        <f t="shared" si="61"/>
        <v>#DIV/0!</v>
      </c>
      <c r="AK189" s="784">
        <v>-317.67126269033179</v>
      </c>
    </row>
    <row r="190" spans="1:37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</row>
    <row r="191" spans="1:37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</row>
    <row r="192" spans="1:37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</row>
    <row r="193" spans="1:18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</row>
    <row r="194" spans="1:18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</row>
    <row r="195" spans="1:18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</row>
    <row r="196" spans="1:18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</row>
    <row r="197" spans="1:18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</row>
    <row r="198" spans="1:18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</row>
    <row r="199" spans="1:18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</row>
    <row r="200" spans="1:18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</row>
    <row r="201" spans="1:18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</row>
    <row r="202" spans="1:18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</row>
    <row r="203" spans="1:18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</row>
    <row r="204" spans="1:18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</row>
    <row r="205" spans="1:18">
      <c r="A205" s="1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</row>
    <row r="206" spans="1:18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</row>
    <row r="207" spans="1:18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</row>
    <row r="208" spans="1:18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</row>
    <row r="209" spans="1:18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</row>
    <row r="210" spans="1:18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</row>
  </sheetData>
  <mergeCells count="90">
    <mergeCell ref="X79:AA79"/>
    <mergeCell ref="AB79:AE79"/>
    <mergeCell ref="T117:W117"/>
    <mergeCell ref="X117:AA117"/>
    <mergeCell ref="AB117:AE117"/>
    <mergeCell ref="T79:W79"/>
    <mergeCell ref="X41:AA41"/>
    <mergeCell ref="AB41:AE41"/>
    <mergeCell ref="T3:W3"/>
    <mergeCell ref="X3:AA3"/>
    <mergeCell ref="AB3:AE3"/>
    <mergeCell ref="T41:W41"/>
    <mergeCell ref="B117:B118"/>
    <mergeCell ref="C117:C118"/>
    <mergeCell ref="Q117:Q118"/>
    <mergeCell ref="R117:R118"/>
    <mergeCell ref="D117:G117"/>
    <mergeCell ref="H117:H118"/>
    <mergeCell ref="I117:I118"/>
    <mergeCell ref="J117:L117"/>
    <mergeCell ref="M117:O117"/>
    <mergeCell ref="P117:P118"/>
    <mergeCell ref="A77:A80"/>
    <mergeCell ref="B115:R115"/>
    <mergeCell ref="B116:G116"/>
    <mergeCell ref="H116:I116"/>
    <mergeCell ref="J116:Q116"/>
    <mergeCell ref="A115:A118"/>
    <mergeCell ref="B77:R77"/>
    <mergeCell ref="B78:G78"/>
    <mergeCell ref="H78:I78"/>
    <mergeCell ref="J78:Q78"/>
    <mergeCell ref="B79:B80"/>
    <mergeCell ref="P79:P80"/>
    <mergeCell ref="Q79:Q80"/>
    <mergeCell ref="R79:R80"/>
    <mergeCell ref="C79:C80"/>
    <mergeCell ref="D79:G79"/>
    <mergeCell ref="H79:H80"/>
    <mergeCell ref="I79:I80"/>
    <mergeCell ref="J79:L79"/>
    <mergeCell ref="M79:O79"/>
    <mergeCell ref="M41:O41"/>
    <mergeCell ref="A1:A4"/>
    <mergeCell ref="B39:R39"/>
    <mergeCell ref="B40:G40"/>
    <mergeCell ref="H40:I40"/>
    <mergeCell ref="J40:Q40"/>
    <mergeCell ref="A39:A42"/>
    <mergeCell ref="P41:P42"/>
    <mergeCell ref="Q41:Q42"/>
    <mergeCell ref="R41:R42"/>
    <mergeCell ref="B41:B42"/>
    <mergeCell ref="C41:C42"/>
    <mergeCell ref="D41:G41"/>
    <mergeCell ref="H41:H42"/>
    <mergeCell ref="I41:I42"/>
    <mergeCell ref="J41:L41"/>
    <mergeCell ref="R155:R156"/>
    <mergeCell ref="A153:A156"/>
    <mergeCell ref="B1:R1"/>
    <mergeCell ref="B2:G2"/>
    <mergeCell ref="H2:I2"/>
    <mergeCell ref="J2:Q2"/>
    <mergeCell ref="B3:B4"/>
    <mergeCell ref="C3:C4"/>
    <mergeCell ref="D3:G3"/>
    <mergeCell ref="H3:H4"/>
    <mergeCell ref="I3:I4"/>
    <mergeCell ref="J3:L3"/>
    <mergeCell ref="M3:O3"/>
    <mergeCell ref="P3:P4"/>
    <mergeCell ref="Q3:Q4"/>
    <mergeCell ref="R3:R4"/>
    <mergeCell ref="T155:W155"/>
    <mergeCell ref="X155:AA155"/>
    <mergeCell ref="AB155:AE155"/>
    <mergeCell ref="B153:R153"/>
    <mergeCell ref="B154:G154"/>
    <mergeCell ref="H154:I154"/>
    <mergeCell ref="J154:Q154"/>
    <mergeCell ref="B155:B156"/>
    <mergeCell ref="C155:C156"/>
    <mergeCell ref="D155:G155"/>
    <mergeCell ref="H155:H156"/>
    <mergeCell ref="I155:I156"/>
    <mergeCell ref="J155:L155"/>
    <mergeCell ref="M155:O155"/>
    <mergeCell ref="P155:P156"/>
    <mergeCell ref="Q155:Q156"/>
  </mergeCells>
  <pageMargins left="0.511811024" right="0.511811024" top="0.78740157499999996" bottom="0.78740157499999996" header="0.31496062000000002" footer="0.31496062000000002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FFC000"/>
  </sheetPr>
  <dimension ref="A1:BF90"/>
  <sheetViews>
    <sheetView workbookViewId="0">
      <pane xSplit="1" topLeftCell="X22" activePane="topRight" state="frozen"/>
      <selection pane="topRight" activeCell="X22" sqref="X22"/>
    </sheetView>
  </sheetViews>
  <sheetFormatPr defaultColWidth="8.85546875" defaultRowHeight="15"/>
  <cols>
    <col min="1" max="1" width="17.7109375" style="45" customWidth="1"/>
    <col min="2" max="2" width="13.85546875" style="45" bestFit="1" customWidth="1"/>
    <col min="3" max="3" width="12.85546875" style="45" customWidth="1"/>
    <col min="4" max="4" width="13.85546875" style="45" bestFit="1" customWidth="1"/>
    <col min="5" max="5" width="15.42578125" style="45" bestFit="1" customWidth="1"/>
    <col min="6" max="6" width="13.85546875" style="45" bestFit="1" customWidth="1"/>
    <col min="7" max="7" width="12.85546875" style="45" customWidth="1"/>
    <col min="8" max="8" width="13.85546875" style="45" bestFit="1" customWidth="1"/>
    <col min="9" max="9" width="17.42578125" style="45" bestFit="1" customWidth="1"/>
    <col min="10" max="10" width="13.85546875" style="45" bestFit="1" customWidth="1"/>
    <col min="11" max="11" width="13.42578125" style="45" customWidth="1"/>
    <col min="12" max="12" width="13.85546875" style="45" customWidth="1"/>
    <col min="13" max="14" width="12.42578125" style="46" customWidth="1"/>
    <col min="15" max="15" width="12.42578125" style="46" bestFit="1" customWidth="1"/>
    <col min="16" max="16" width="13.42578125" style="46" customWidth="1"/>
    <col min="17" max="21" width="12.28515625" style="46" customWidth="1"/>
    <col min="22" max="22" width="13" style="46" customWidth="1"/>
    <col min="23" max="23" width="19.85546875" style="46" customWidth="1"/>
    <col min="24" max="24" width="12.7109375" style="46" bestFit="1" customWidth="1"/>
    <col min="25" max="25" width="11.85546875" style="46" customWidth="1"/>
    <col min="26" max="26" width="13.7109375" style="46" customWidth="1"/>
    <col min="27" max="27" width="13.85546875" style="46" bestFit="1" customWidth="1"/>
    <col min="28" max="28" width="12.7109375" style="46" bestFit="1" customWidth="1"/>
    <col min="29" max="29" width="13.140625" style="46" customWidth="1"/>
    <col min="30" max="30" width="12.7109375" style="46" bestFit="1" customWidth="1"/>
    <col min="31" max="32" width="13.42578125" style="1" customWidth="1"/>
    <col min="33" max="33" width="13.85546875" style="1" bestFit="1" customWidth="1"/>
    <col min="34" max="42" width="12.7109375" style="1" bestFit="1" customWidth="1"/>
    <col min="43" max="44" width="8.85546875" style="1"/>
    <col min="45" max="45" width="17.42578125" style="1" bestFit="1" customWidth="1"/>
    <col min="46" max="47" width="18.42578125" style="1" bestFit="1" customWidth="1"/>
    <col min="48" max="56" width="12.7109375" style="1" bestFit="1" customWidth="1"/>
    <col min="57" max="58" width="8.85546875" style="1"/>
  </cols>
  <sheetData>
    <row r="1" spans="1:38" ht="15.75" thickBot="1">
      <c r="A1" s="175" t="s">
        <v>440</v>
      </c>
      <c r="B1" s="1204">
        <v>2004</v>
      </c>
      <c r="C1" s="1205"/>
      <c r="D1" s="1204">
        <v>2005</v>
      </c>
      <c r="E1" s="1205"/>
      <c r="F1" s="1204">
        <v>2006</v>
      </c>
      <c r="G1" s="1205"/>
      <c r="H1" s="1204">
        <v>2007</v>
      </c>
      <c r="I1" s="1039"/>
      <c r="J1" s="1204">
        <v>2008</v>
      </c>
      <c r="K1" s="1039"/>
    </row>
    <row r="2" spans="1:38">
      <c r="A2" s="15" t="s">
        <v>441</v>
      </c>
      <c r="B2" s="161">
        <f>LEV!B129</f>
        <v>14216155</v>
      </c>
      <c r="C2" s="551">
        <f>LEV!C129</f>
        <v>0.59256323738743155</v>
      </c>
      <c r="D2" s="161">
        <f>LEV!D129</f>
        <v>13575465</v>
      </c>
      <c r="E2" s="551">
        <f>LEV!E129</f>
        <v>0.54170816461314764</v>
      </c>
      <c r="F2" s="161">
        <f>LEV!F129</f>
        <v>13575465</v>
      </c>
      <c r="G2" s="551">
        <f>LEV!G129</f>
        <v>0.54170816461314764</v>
      </c>
      <c r="H2" s="161">
        <f>LEV!H129</f>
        <v>13575465</v>
      </c>
      <c r="I2" s="551">
        <f>LEV!I129</f>
        <v>0.54170816461314764</v>
      </c>
      <c r="J2" s="161">
        <f>LEV!J129</f>
        <v>0</v>
      </c>
      <c r="K2" s="553" t="e">
        <f>LEV!K129</f>
        <v>#DIV/0!</v>
      </c>
    </row>
    <row r="3" spans="1:38">
      <c r="A3" s="24" t="s">
        <v>442</v>
      </c>
      <c r="B3" s="161">
        <f>LEV!B138</f>
        <v>1888074</v>
      </c>
      <c r="C3" s="551">
        <f>LEV!C138</f>
        <v>0.43910883006735685</v>
      </c>
      <c r="D3" s="161">
        <f>LEV!D138</f>
        <v>1827671</v>
      </c>
      <c r="E3" s="551">
        <f>LEV!E138</f>
        <v>0.39996380420041971</v>
      </c>
      <c r="F3" s="161">
        <f>LEV!F138</f>
        <v>1827671</v>
      </c>
      <c r="G3" s="551">
        <f>LEV!G138</f>
        <v>0.39996380420041971</v>
      </c>
      <c r="H3" s="161">
        <f>LEV!H138</f>
        <v>1827671</v>
      </c>
      <c r="I3" s="551">
        <f>LEV!I138</f>
        <v>0.39996380420041971</v>
      </c>
      <c r="J3" s="161">
        <f>LEV!J138</f>
        <v>0</v>
      </c>
      <c r="K3" s="553" t="e">
        <f>LEV!K138</f>
        <v>#DIV/0!</v>
      </c>
    </row>
    <row r="4" spans="1:38">
      <c r="A4" s="211" t="s">
        <v>443</v>
      </c>
      <c r="B4" s="212">
        <f>LEV!B130</f>
        <v>8200344</v>
      </c>
      <c r="C4" s="552">
        <f>LEV!C130</f>
        <v>0.34180989081299407</v>
      </c>
      <c r="D4" s="212">
        <f>LEV!D130</f>
        <v>10380645</v>
      </c>
      <c r="E4" s="552">
        <f>LEV!E130</f>
        <v>0.41422375958765667</v>
      </c>
      <c r="F4" s="212">
        <f>LEV!F130</f>
        <v>10380645</v>
      </c>
      <c r="G4" s="552">
        <f>LEV!G130</f>
        <v>0.41422375958765667</v>
      </c>
      <c r="H4" s="212">
        <f>LEV!H130</f>
        <v>10380645</v>
      </c>
      <c r="I4" s="552">
        <f>LEV!I130</f>
        <v>0.41422375958765667</v>
      </c>
      <c r="J4" s="212">
        <f>LEV!J130</f>
        <v>0</v>
      </c>
      <c r="K4" s="554" t="e">
        <f>LEV!K130</f>
        <v>#DIV/0!</v>
      </c>
    </row>
    <row r="5" spans="1:38" ht="15.75" thickBot="1">
      <c r="A5" s="39" t="s">
        <v>444</v>
      </c>
      <c r="B5" s="150">
        <f>LEV!B139</f>
        <v>1015330</v>
      </c>
      <c r="C5" s="555">
        <f>LEV!C139</f>
        <v>0.23613500764921788</v>
      </c>
      <c r="D5" s="150">
        <f>LEV!D139</f>
        <v>1343536</v>
      </c>
      <c r="E5" s="555">
        <f>LEV!E139</f>
        <v>0.29401668551955745</v>
      </c>
      <c r="F5" s="150">
        <f>LEV!F139</f>
        <v>1343536</v>
      </c>
      <c r="G5" s="555">
        <f>LEV!G139</f>
        <v>0.29401668551955745</v>
      </c>
      <c r="H5" s="150">
        <f>LEV!H139</f>
        <v>1343536</v>
      </c>
      <c r="I5" s="555">
        <f>LEV!I139</f>
        <v>0.29401668551955745</v>
      </c>
      <c r="J5" s="150">
        <f>LEV!J139</f>
        <v>0</v>
      </c>
      <c r="K5" s="556" t="e">
        <f>LEV!K139</f>
        <v>#DIV/0!</v>
      </c>
    </row>
    <row r="6" spans="1:38">
      <c r="B6" s="199"/>
      <c r="C6" s="200"/>
      <c r="D6" s="199"/>
      <c r="E6" s="200"/>
      <c r="F6" s="199"/>
      <c r="G6" s="200"/>
      <c r="H6" s="199"/>
      <c r="I6" s="200"/>
      <c r="J6" s="199"/>
      <c r="K6" s="200"/>
    </row>
    <row r="7" spans="1:38" ht="15.75" thickBot="1">
      <c r="B7" s="199"/>
      <c r="C7" s="200"/>
      <c r="D7" s="199"/>
      <c r="E7" s="200"/>
      <c r="F7" s="199"/>
      <c r="G7" s="200"/>
      <c r="H7" s="199"/>
      <c r="I7" s="200"/>
    </row>
    <row r="8" spans="1:38" ht="15.75" thickBot="1">
      <c r="B8" s="1037" t="s">
        <v>78</v>
      </c>
      <c r="C8" s="1038"/>
      <c r="D8" s="1038"/>
      <c r="E8" s="1038"/>
      <c r="F8" s="1038"/>
      <c r="G8" s="1038"/>
      <c r="H8" s="1038"/>
      <c r="I8" s="1038"/>
      <c r="J8" s="1038"/>
      <c r="K8" s="1038"/>
      <c r="L8" s="1038"/>
      <c r="M8" s="1038"/>
      <c r="N8" s="1038"/>
      <c r="O8" s="1038"/>
      <c r="P8" s="1038"/>
      <c r="Q8" s="1038"/>
      <c r="R8" s="1038"/>
      <c r="S8" s="1038"/>
      <c r="T8" s="1038"/>
      <c r="U8" s="1039"/>
      <c r="W8" s="45"/>
      <c r="X8" s="1209" t="s">
        <v>445</v>
      </c>
      <c r="Y8" s="1210"/>
      <c r="Z8" s="1210"/>
      <c r="AA8" s="1210"/>
      <c r="AB8" s="1210"/>
      <c r="AC8" s="1210"/>
      <c r="AD8" s="1210"/>
      <c r="AE8" s="1210"/>
      <c r="AF8" s="1210"/>
      <c r="AG8" s="1210"/>
      <c r="AH8" s="1210"/>
      <c r="AI8" s="1210"/>
      <c r="AJ8" s="1210"/>
      <c r="AK8" s="1210"/>
      <c r="AL8" s="1211"/>
    </row>
    <row r="9" spans="1:38">
      <c r="A9" s="46"/>
      <c r="B9" s="1197">
        <v>2004</v>
      </c>
      <c r="C9" s="1198"/>
      <c r="D9" s="1198"/>
      <c r="E9" s="1199"/>
      <c r="F9" s="1197">
        <v>2005</v>
      </c>
      <c r="G9" s="1198"/>
      <c r="H9" s="1198"/>
      <c r="I9" s="1199"/>
      <c r="J9" s="1197">
        <v>2006</v>
      </c>
      <c r="K9" s="1198"/>
      <c r="L9" s="1198"/>
      <c r="M9" s="1199"/>
      <c r="N9" s="1197">
        <v>2007</v>
      </c>
      <c r="O9" s="1198"/>
      <c r="P9" s="1198"/>
      <c r="Q9" s="1199"/>
      <c r="R9" s="1197">
        <v>2008</v>
      </c>
      <c r="S9" s="1198"/>
      <c r="T9" s="1198"/>
      <c r="U9" s="1199"/>
      <c r="X9" s="1206">
        <v>2004</v>
      </c>
      <c r="Y9" s="1207"/>
      <c r="Z9" s="1208"/>
      <c r="AA9" s="1206">
        <v>2005</v>
      </c>
      <c r="AB9" s="1207"/>
      <c r="AC9" s="1208"/>
      <c r="AD9" s="1206">
        <v>2006</v>
      </c>
      <c r="AE9" s="1207"/>
      <c r="AF9" s="1208"/>
      <c r="AG9" s="1206">
        <v>2007</v>
      </c>
      <c r="AH9" s="1207"/>
      <c r="AI9" s="1208"/>
      <c r="AJ9" s="1206">
        <v>2008</v>
      </c>
      <c r="AK9" s="1207"/>
      <c r="AL9" s="1208"/>
    </row>
    <row r="10" spans="1:38" ht="15.75" thickBot="1">
      <c r="B10" s="216" t="s">
        <v>97</v>
      </c>
      <c r="C10" s="217" t="s">
        <v>100</v>
      </c>
      <c r="D10" s="218" t="s">
        <v>434</v>
      </c>
      <c r="E10" s="219" t="s">
        <v>1</v>
      </c>
      <c r="F10" s="216" t="s">
        <v>97</v>
      </c>
      <c r="G10" s="217" t="s">
        <v>100</v>
      </c>
      <c r="H10" s="218" t="s">
        <v>434</v>
      </c>
      <c r="I10" s="219" t="s">
        <v>1</v>
      </c>
      <c r="J10" s="216" t="s">
        <v>97</v>
      </c>
      <c r="K10" s="217" t="s">
        <v>100</v>
      </c>
      <c r="L10" s="218" t="s">
        <v>434</v>
      </c>
      <c r="M10" s="219" t="s">
        <v>1</v>
      </c>
      <c r="N10" s="216" t="s">
        <v>97</v>
      </c>
      <c r="O10" s="217" t="s">
        <v>100</v>
      </c>
      <c r="P10" s="218" t="s">
        <v>434</v>
      </c>
      <c r="Q10" s="219" t="s">
        <v>1</v>
      </c>
      <c r="R10" s="216" t="s">
        <v>97</v>
      </c>
      <c r="S10" s="217" t="s">
        <v>100</v>
      </c>
      <c r="T10" s="218" t="s">
        <v>434</v>
      </c>
      <c r="U10" s="219" t="s">
        <v>1</v>
      </c>
      <c r="V10" s="214"/>
      <c r="W10" s="45"/>
      <c r="X10" s="220" t="s">
        <v>97</v>
      </c>
      <c r="Y10" s="221" t="s">
        <v>434</v>
      </c>
      <c r="Z10" s="222" t="s">
        <v>1</v>
      </c>
      <c r="AA10" s="220" t="s">
        <v>97</v>
      </c>
      <c r="AB10" s="221" t="s">
        <v>434</v>
      </c>
      <c r="AC10" s="222" t="s">
        <v>1</v>
      </c>
      <c r="AD10" s="220" t="s">
        <v>97</v>
      </c>
      <c r="AE10" s="221" t="s">
        <v>434</v>
      </c>
      <c r="AF10" s="222" t="s">
        <v>1</v>
      </c>
      <c r="AG10" s="220" t="s">
        <v>97</v>
      </c>
      <c r="AH10" s="221" t="s">
        <v>434</v>
      </c>
      <c r="AI10" s="222" t="s">
        <v>1</v>
      </c>
      <c r="AJ10" s="220" t="s">
        <v>97</v>
      </c>
      <c r="AK10" s="221" t="s">
        <v>434</v>
      </c>
      <c r="AL10" s="222" t="s">
        <v>1</v>
      </c>
    </row>
    <row r="11" spans="1:38" s="273" customFormat="1" ht="15.75" thickBot="1">
      <c r="A11" s="268" t="s">
        <v>11</v>
      </c>
      <c r="B11" s="275">
        <f t="shared" ref="B11:U11" si="0">B12+B20+B30+B35+B39</f>
        <v>15554040.433612132</v>
      </c>
      <c r="C11" s="275">
        <f t="shared" si="0"/>
        <v>1618643</v>
      </c>
      <c r="D11" s="275">
        <f t="shared" si="0"/>
        <v>8983104.5991543792</v>
      </c>
      <c r="E11" s="275">
        <f t="shared" si="0"/>
        <v>22918502.032766514</v>
      </c>
      <c r="F11" s="275">
        <f t="shared" si="0"/>
        <v>16695215.061029295</v>
      </c>
      <c r="G11" s="275">
        <f t="shared" si="0"/>
        <v>1625953</v>
      </c>
      <c r="H11" s="275">
        <f t="shared" si="0"/>
        <v>10464920.431369169</v>
      </c>
      <c r="I11" s="275">
        <f t="shared" si="0"/>
        <v>25534182.492398459</v>
      </c>
      <c r="J11" s="275">
        <f t="shared" si="0"/>
        <v>17930609.094645079</v>
      </c>
      <c r="K11" s="275">
        <f t="shared" si="0"/>
        <v>1668058.2631578948</v>
      </c>
      <c r="L11" s="275">
        <f t="shared" si="0"/>
        <v>12993566.56119772</v>
      </c>
      <c r="M11" s="275">
        <f t="shared" si="0"/>
        <v>29256117.392684903</v>
      </c>
      <c r="N11" s="275">
        <f t="shared" si="0"/>
        <v>19132730.227115415</v>
      </c>
      <c r="O11" s="275">
        <f t="shared" si="0"/>
        <v>1694035.6315789472</v>
      </c>
      <c r="P11" s="275">
        <f t="shared" si="0"/>
        <v>14507622.59213201</v>
      </c>
      <c r="Q11" s="275">
        <f t="shared" si="0"/>
        <v>31946317.187668476</v>
      </c>
      <c r="R11" s="275" t="e">
        <f t="shared" si="0"/>
        <v>#DIV/0!</v>
      </c>
      <c r="S11" s="275">
        <f t="shared" si="0"/>
        <v>1720013</v>
      </c>
      <c r="T11" s="275" t="e">
        <f t="shared" si="0"/>
        <v>#DIV/0!</v>
      </c>
      <c r="U11" s="275" t="e">
        <f t="shared" si="0"/>
        <v>#DIV/0!</v>
      </c>
      <c r="V11" s="276"/>
      <c r="W11" s="268" t="s">
        <v>11</v>
      </c>
      <c r="X11" s="275">
        <f t="shared" ref="X11:AL11" si="1">X12+X20+X30+X35+X39</f>
        <v>1917023.5544416292</v>
      </c>
      <c r="Y11" s="275">
        <f t="shared" si="1"/>
        <v>1093409.5661067262</v>
      </c>
      <c r="Z11" s="275">
        <f t="shared" si="1"/>
        <v>3010433.1205483554</v>
      </c>
      <c r="AA11" s="275">
        <f t="shared" si="1"/>
        <v>2114892.1605666615</v>
      </c>
      <c r="AB11" s="275">
        <f t="shared" si="1"/>
        <v>1306227.5852372276</v>
      </c>
      <c r="AC11" s="275">
        <f t="shared" si="1"/>
        <v>3421119.7458038898</v>
      </c>
      <c r="AD11" s="275">
        <f t="shared" si="1"/>
        <v>2361598.3381967195</v>
      </c>
      <c r="AE11" s="275">
        <f t="shared" si="1"/>
        <v>1679577.3184990524</v>
      </c>
      <c r="AF11" s="275">
        <f t="shared" si="1"/>
        <v>4041175.656695772</v>
      </c>
      <c r="AG11" s="275">
        <f t="shared" si="1"/>
        <v>2621038.512214574</v>
      </c>
      <c r="AH11" s="275">
        <f t="shared" si="1"/>
        <v>1944728.0835137134</v>
      </c>
      <c r="AI11" s="275">
        <f t="shared" si="1"/>
        <v>4565766.5957282875</v>
      </c>
      <c r="AJ11" s="275" t="e">
        <f t="shared" si="1"/>
        <v>#DIV/0!</v>
      </c>
      <c r="AK11" s="275" t="e">
        <f t="shared" si="1"/>
        <v>#DIV/0!</v>
      </c>
      <c r="AL11" s="275" t="e">
        <f t="shared" si="1"/>
        <v>#DIV/0!</v>
      </c>
    </row>
    <row r="12" spans="1:38" s="273" customFormat="1" ht="15.75" thickBot="1">
      <c r="A12" s="268" t="s">
        <v>46</v>
      </c>
      <c r="B12" s="277">
        <f t="shared" ref="B12:U12" si="2">SUM(B13:B19)</f>
        <v>192944.99567239947</v>
      </c>
      <c r="C12" s="277">
        <f t="shared" si="2"/>
        <v>164</v>
      </c>
      <c r="D12" s="277">
        <f t="shared" si="2"/>
        <v>529027.92099153844</v>
      </c>
      <c r="E12" s="277">
        <f t="shared" si="2"/>
        <v>721808.91666393785</v>
      </c>
      <c r="F12" s="277">
        <f t="shared" si="2"/>
        <v>214807.59551279052</v>
      </c>
      <c r="G12" s="277">
        <f t="shared" si="2"/>
        <v>237</v>
      </c>
      <c r="H12" s="277">
        <f t="shared" si="2"/>
        <v>617713.38774905505</v>
      </c>
      <c r="I12" s="277">
        <f t="shared" si="2"/>
        <v>832283.98326184566</v>
      </c>
      <c r="J12" s="277">
        <f t="shared" si="2"/>
        <v>238201.80095968815</v>
      </c>
      <c r="K12" s="277">
        <f t="shared" si="2"/>
        <v>657.47663618691058</v>
      </c>
      <c r="L12" s="277">
        <f t="shared" si="2"/>
        <v>718288.27656615083</v>
      </c>
      <c r="M12" s="277">
        <f t="shared" si="2"/>
        <v>955832.60088965204</v>
      </c>
      <c r="N12" s="277">
        <f t="shared" si="2"/>
        <v>258287.40925846243</v>
      </c>
      <c r="O12" s="277">
        <f t="shared" si="2"/>
        <v>1236.2383180934553</v>
      </c>
      <c r="P12" s="277">
        <f t="shared" si="2"/>
        <v>801449.52357677417</v>
      </c>
      <c r="Q12" s="277">
        <f t="shared" si="2"/>
        <v>1058500.6945171431</v>
      </c>
      <c r="R12" s="277" t="e">
        <f t="shared" si="2"/>
        <v>#DIV/0!</v>
      </c>
      <c r="S12" s="277">
        <f t="shared" si="2"/>
        <v>1815</v>
      </c>
      <c r="T12" s="277" t="e">
        <f t="shared" si="2"/>
        <v>#DIV/0!</v>
      </c>
      <c r="U12" s="277" t="e">
        <f t="shared" si="2"/>
        <v>#DIV/0!</v>
      </c>
      <c r="V12" s="278"/>
      <c r="W12" s="268" t="s">
        <v>46</v>
      </c>
      <c r="X12" s="277">
        <f t="shared" ref="X12:AL12" si="3">SUM(X13:X19)</f>
        <v>34364.008945091562</v>
      </c>
      <c r="Y12" s="277">
        <f t="shared" si="3"/>
        <v>85186.316024441738</v>
      </c>
      <c r="Z12" s="277">
        <f t="shared" si="3"/>
        <v>119550.32496953331</v>
      </c>
      <c r="AA12" s="277">
        <f t="shared" si="3"/>
        <v>38699.967588111744</v>
      </c>
      <c r="AB12" s="277">
        <f t="shared" si="3"/>
        <v>100400.86599549209</v>
      </c>
      <c r="AC12" s="277">
        <f t="shared" si="3"/>
        <v>139100.83358360382</v>
      </c>
      <c r="AD12" s="277">
        <f t="shared" si="3"/>
        <v>43720.552045944045</v>
      </c>
      <c r="AE12" s="277">
        <f t="shared" si="3"/>
        <v>118671.49724022964</v>
      </c>
      <c r="AF12" s="277">
        <f t="shared" si="3"/>
        <v>162392.04928617366</v>
      </c>
      <c r="AG12" s="277">
        <f t="shared" si="3"/>
        <v>48553.8718787693</v>
      </c>
      <c r="AH12" s="277">
        <f t="shared" si="3"/>
        <v>135433.85100563819</v>
      </c>
      <c r="AI12" s="277">
        <f t="shared" si="3"/>
        <v>183987.7228844075</v>
      </c>
      <c r="AJ12" s="277" t="e">
        <f t="shared" si="3"/>
        <v>#DIV/0!</v>
      </c>
      <c r="AK12" s="277" t="e">
        <f t="shared" si="3"/>
        <v>#DIV/0!</v>
      </c>
      <c r="AL12" s="277" t="e">
        <f t="shared" si="3"/>
        <v>#DIV/0!</v>
      </c>
    </row>
    <row r="13" spans="1:38" ht="15.75" thickBot="1">
      <c r="A13" s="190" t="s">
        <v>13</v>
      </c>
      <c r="B13" s="920">
        <f>(DEN!$C5)*ONSV_2013!B4</f>
        <v>10742.386880324902</v>
      </c>
      <c r="C13" s="204">
        <f>GNV!B6</f>
        <v>0</v>
      </c>
      <c r="D13" s="940">
        <f>DEN!$C5*ONSV_2013!$C4*(COMB_CORR!B5-SUM(DIST_GAS_MOT!X14:AA14))/(COMB_CORR!B5-SUM(DIST_GAS_MOT!X14:AA14)+0.75*(COMB_CORR!G5))</f>
        <v>24384.56411774033</v>
      </c>
      <c r="E13" s="204">
        <f>B13-C13+D13</f>
        <v>35126.950998065236</v>
      </c>
      <c r="F13" s="920">
        <f>(DEN!$C41)*ONSV_2013!B4</f>
        <v>12191.64045968893</v>
      </c>
      <c r="G13" s="204">
        <f>GNV!C6</f>
        <v>0</v>
      </c>
      <c r="H13" s="940">
        <f>DEN!$C41*ONSV_2013!$C4*(COMB_CORR!C5-SUM(DIST_GAS_MOT!AB14:AE14))/(COMB_CORR!C5-SUM(DIST_GAS_MOT!AB14:AE14)+0.75*(COMB_CORR!H5))</f>
        <v>29175.391526045136</v>
      </c>
      <c r="I13" s="204">
        <f t="shared" ref="I13:I43" si="4">F13-G13+H13</f>
        <v>41367.031985734066</v>
      </c>
      <c r="J13" s="920">
        <f>(DEN!$C77)*ONSV_2013!B4</f>
        <v>13686.824703129829</v>
      </c>
      <c r="K13" s="204">
        <f>GNV!D6</f>
        <v>0</v>
      </c>
      <c r="L13" s="940">
        <f>DEN!$C77*ONSV_2013!$C4*(COMB_CORR!D5-SUM(DIST_GAS_MOT!AF14:AI14))/(COMB_CORR!D5-SUM(DIST_GAS_MOT!AF14:AI14)+0.75*(COMB_CORR!I5))</f>
        <v>33256.351205067687</v>
      </c>
      <c r="M13" s="204">
        <f t="shared" ref="M13:M19" si="5">J13-K13+L13</f>
        <v>46943.175908197518</v>
      </c>
      <c r="N13" s="920">
        <f>(DEN!$C113)*ONSV_2013!B4</f>
        <v>15007.780338145058</v>
      </c>
      <c r="O13" s="204">
        <f>GNV!E6</f>
        <v>4</v>
      </c>
      <c r="P13" s="941">
        <f>DEN!$C113*ONSV_2013!$C4*(COMB_CORR!E5-SUM(DIST_GAS_MOT!AJ14:AM14))/(COMB_CORR!E5-SUM(DIST_GAS_MOT!AJ14:AM14)+0.75*(COMB_CORR!J5))</f>
        <v>37856.688845033845</v>
      </c>
      <c r="Q13" s="204">
        <f t="shared" ref="Q13:Q19" si="6">N13-O13+P13</f>
        <v>52860.469183178902</v>
      </c>
      <c r="R13" s="56" t="e">
        <f>(DEN!$C149)*DIST_GAS_LEV!$K$2</f>
        <v>#DIV/0!</v>
      </c>
      <c r="S13" s="204">
        <f>GNV!F6</f>
        <v>8</v>
      </c>
      <c r="T13" s="205" t="e">
        <f>IF(FLEX!Q7="GAS",(DEN!$C149*$K$4),(DEN!$C149*$K$4*0.05))</f>
        <v>#DIV/0!</v>
      </c>
      <c r="U13" s="206" t="e">
        <f t="shared" ref="U13:U19" si="7">R13-S13+T13</f>
        <v>#DIV/0!</v>
      </c>
      <c r="W13" s="190" t="s">
        <v>13</v>
      </c>
      <c r="X13" s="943">
        <f>(DEN!$F5+DEN!$G5+DEN!$L5)*ONSV_2013!H4</f>
        <v>1737.0467219291636</v>
      </c>
      <c r="Y13" s="942">
        <f>(DEN!$F5+DEN!$G5+DEN!$L5)*ONSV_2013!$I4*(COMB_CORR!B5-SUM(DIST_GAS_MOT!X14:AA14))/(COMB_CORR!B5-SUM(DIST_GAS_MOT!X14:AA14)+0.75*(COMB_CORR!G5))</f>
        <v>3752.7804253363383</v>
      </c>
      <c r="Z13" s="204">
        <f>X13+Y13</f>
        <v>5489.8271472655015</v>
      </c>
      <c r="AA13" s="943">
        <f>(DEN!$F41+DEN!$G41+DEN!$L41)*ONSV_2013!H4</f>
        <v>1946.8542577241901</v>
      </c>
      <c r="AB13" s="942">
        <f>(DEN!$F41+DEN!$G41+DEN!$L41)*ONSV_2013!$I4*(COMB_CORR!C5-SUM(DIST_GAS_MOT!AB14:AE14))/(COMB_CORR!C5-SUM(DIST_GAS_MOT!AB14:AE14)+0.75*(COMB_CORR!H5))</f>
        <v>4434.20160309936</v>
      </c>
      <c r="AC13" s="204">
        <f>AA13+AB13</f>
        <v>6381.0558608235497</v>
      </c>
      <c r="AD13" s="943">
        <f>(DEN!$F77+DEN!$G77+DEN!$L77)*ONSV_2013!H4</f>
        <v>2185.7788997739262</v>
      </c>
      <c r="AE13" s="942">
        <f>(DEN!$F77+DEN!$G77+DEN!$L77)*ONSV_2013!$I4*(COMB_CORR!D5-SUM(DIST_GAS_MOT!AF14:AI14))/(COMB_CORR!D5-SUM(DIST_GAS_MOT!AF14:AI14)+0.75*(COMB_CORR!I5))</f>
        <v>5054.8185334651789</v>
      </c>
      <c r="AF13" s="204">
        <f>AD13+AE13</f>
        <v>7240.5974332391052</v>
      </c>
      <c r="AG13" s="943">
        <f>(DEN!$F113+DEN!$G113+DEN!$L113)*ONSV_2013!H4</f>
        <v>2413.5498116051244</v>
      </c>
      <c r="AH13" s="942">
        <f>(DEN!$F113+DEN!$G113+DEN!$L113)*ONSV_2013!$I4*(COMB_CORR!E5-SUM(DIST_GAS_MOT!AJ14:AM14))/(COMB_CORR!E5-SUM(DIST_GAS_MOT!AJ14:AM14)+0.75*(COMB_CORR!J5))</f>
        <v>5794.4187076006392</v>
      </c>
      <c r="AI13" s="206">
        <f>AG13+AH13</f>
        <v>8207.9685192057641</v>
      </c>
      <c r="AJ13" s="55" t="e">
        <f>(DEN!$F149+DEN!$G149+DEN!$L149)*$K$3</f>
        <v>#DIV/0!</v>
      </c>
      <c r="AK13" s="205" t="e">
        <f>IF(FLEX!Q7="GAS",((DEN!$F149+DEN!$G149+DEN!$L149)*$K$5),((DEN!$F149+DEN!$G149+DEN!$L149)*$K$5*0.05))</f>
        <v>#DIV/0!</v>
      </c>
      <c r="AL13" s="206" t="e">
        <f>AJ13+AK13</f>
        <v>#DIV/0!</v>
      </c>
    </row>
    <row r="14" spans="1:38" ht="15.75" thickBot="1">
      <c r="A14" s="130" t="s">
        <v>14</v>
      </c>
      <c r="B14" s="920">
        <f>(DEN!$C6)*ONSV_2013!B5</f>
        <v>11040.417235758028</v>
      </c>
      <c r="C14" s="202">
        <f>GNV!B7</f>
        <v>0</v>
      </c>
      <c r="D14" s="940">
        <f>DEN!$C6*ONSV_2013!$C5*(COMB_CORR!B6-SUM(DIST_GAS_MOT!X15:AA15))/(COMB_CORR!B6-SUM(DIST_GAS_MOT!X15:AA15)+0.75*(COMB_CORR!G6))</f>
        <v>28291.74624627264</v>
      </c>
      <c r="E14" s="202">
        <f t="shared" ref="E14:E43" si="8">B14-C14+D14</f>
        <v>39332.163482030664</v>
      </c>
      <c r="F14" s="920">
        <f>(DEN!$C42)*ONSV_2013!B5</f>
        <v>12472.156011807727</v>
      </c>
      <c r="G14" s="204">
        <f>GNV!C7</f>
        <v>0</v>
      </c>
      <c r="H14" s="940">
        <f>DEN!$C42*ONSV_2013!$C5*(COMB_CORR!C6-SUM(DIST_GAS_MOT!AB15:AE15))/(COMB_CORR!C6-SUM(DIST_GAS_MOT!AB15:AE15)+0.75*(COMB_CORR!H6))</f>
        <v>32616.939340826659</v>
      </c>
      <c r="I14" s="202">
        <f t="shared" si="4"/>
        <v>45089.095352634387</v>
      </c>
      <c r="J14" s="920">
        <f>(DEN!$C78)*ONSV_2013!B5</f>
        <v>13944.160021148167</v>
      </c>
      <c r="K14" s="202">
        <f>GNV!D7</f>
        <v>0</v>
      </c>
      <c r="L14" s="940">
        <f>DEN!$C78*ONSV_2013!$C5*(COMB_CORR!D6-SUM(DIST_GAS_MOT!AF15:AI15))/(COMB_CORR!D6-SUM(DIST_GAS_MOT!AF15:AI15)+0.75*(COMB_CORR!I6))</f>
        <v>37135.687288785695</v>
      </c>
      <c r="M14" s="202">
        <f t="shared" si="5"/>
        <v>51079.847309933859</v>
      </c>
      <c r="N14" s="920">
        <f>(DEN!$C114)*ONSV_2013!B5</f>
        <v>14769.855414078218</v>
      </c>
      <c r="O14" s="204">
        <f>GNV!E7</f>
        <v>3</v>
      </c>
      <c r="P14" s="941">
        <f>DEN!$C114*ONSV_2013!$C5*(COMB_CORR!E6-SUM(DIST_GAS_MOT!AJ15:AM15))/(COMB_CORR!E6-SUM(DIST_GAS_MOT!AJ15:AM15)+0.75*(COMB_CORR!J6))</f>
        <v>40101.225662763594</v>
      </c>
      <c r="Q14" s="202">
        <f t="shared" si="6"/>
        <v>54868.081076841816</v>
      </c>
      <c r="R14" s="30" t="e">
        <f>(DEN!$C150)*DIST_GAS_LEV!$K$2</f>
        <v>#DIV/0!</v>
      </c>
      <c r="S14" s="202">
        <f>GNV!F7</f>
        <v>6</v>
      </c>
      <c r="T14" s="205" t="e">
        <f>IF(FLEX!Q8="GAS",(DEN!$C150*$K$4),(DEN!$C150*$K$4*0.05))</f>
        <v>#DIV/0!</v>
      </c>
      <c r="U14" s="207" t="e">
        <f t="shared" si="7"/>
        <v>#DIV/0!</v>
      </c>
      <c r="W14" s="130" t="s">
        <v>14</v>
      </c>
      <c r="X14" s="943">
        <f>(DEN!$F6+DEN!$G6+DEN!$L6)*ONSV_2013!H5</f>
        <v>1998.7084870848707</v>
      </c>
      <c r="Y14" s="942">
        <f>(DEN!$F6+DEN!$G6+DEN!$L6)*ONSV_2013!$I5*(COMB_CORR!B6-SUM(DIST_GAS_MOT!X15:AA15))/(COMB_CORR!B6-SUM(DIST_GAS_MOT!X15:AA15)+0.75*(COMB_CORR!G6))</f>
        <v>4875.5755530514271</v>
      </c>
      <c r="Z14" s="204">
        <f t="shared" ref="Z14:Z43" si="9">X14+Y14</f>
        <v>6874.2840401362973</v>
      </c>
      <c r="AA14" s="943">
        <f>(DEN!$F42+DEN!$G42+DEN!$L42)*ONSV_2013!H5</f>
        <v>2283.2676954042267</v>
      </c>
      <c r="AB14" s="942">
        <f>(DEN!$F42+DEN!$G42+DEN!$L42)*ONSV_2013!$I5*(COMB_CORR!C6-SUM(DIST_GAS_MOT!AB15:AE15))/(COMB_CORR!C6-SUM(DIST_GAS_MOT!AB15:AE15)+0.75*(COMB_CORR!H6))</f>
        <v>5684.0863872701493</v>
      </c>
      <c r="AC14" s="204">
        <f t="shared" ref="AC14:AC43" si="10">AA14+AB14</f>
        <v>7967.3540826743756</v>
      </c>
      <c r="AD14" s="943">
        <f>(DEN!$F78+DEN!$G78+DEN!$L78)*ONSV_2013!H5</f>
        <v>2582.0469641060045</v>
      </c>
      <c r="AE14" s="942">
        <f>(DEN!$F78+DEN!$G78+DEN!$L78)*ONSV_2013!$I5*(COMB_CORR!D6-SUM(DIST_GAS_MOT!AF15:AI15))/(COMB_CORR!D6-SUM(DIST_GAS_MOT!AF15:AI15)+0.75*(COMB_CORR!I6))</f>
        <v>6545.8403921704094</v>
      </c>
      <c r="AF14" s="204">
        <f t="shared" ref="AF14:AF43" si="11">AD14+AE14</f>
        <v>9127.8873562764129</v>
      </c>
      <c r="AG14" s="943">
        <f>(DEN!$F114+DEN!$G114+DEN!$L114)*ONSV_2013!H5</f>
        <v>2852.8601140556857</v>
      </c>
      <c r="AH14" s="942">
        <f>(DEN!$F114+DEN!$G114+DEN!$L114)*ONSV_2013!$I5*(COMB_CORR!E6-SUM(DIST_GAS_MOT!AJ15:AM15))/(COMB_CORR!E6-SUM(DIST_GAS_MOT!AJ15:AM15)+0.75*(COMB_CORR!J6))</f>
        <v>7373.3363627625349</v>
      </c>
      <c r="AI14" s="206">
        <f t="shared" ref="AI14:AI43" si="12">AG14+AH14</f>
        <v>10226.196476818221</v>
      </c>
      <c r="AJ14" s="55" t="e">
        <f>(DEN!$F150+DEN!$G150+DEN!$L150)*$K$3</f>
        <v>#DIV/0!</v>
      </c>
      <c r="AK14" s="205" t="e">
        <f>IF(FLEX!Q8="GAS",((DEN!$F150+DEN!$G150+DEN!$L150)*$K$5),((DEN!$F150+DEN!$G150+DEN!$L150)*$K$5*0.05))</f>
        <v>#DIV/0!</v>
      </c>
      <c r="AL14" s="206" t="e">
        <f t="shared" ref="AL14:AL19" si="13">AJ14+AK14</f>
        <v>#DIV/0!</v>
      </c>
    </row>
    <row r="15" spans="1:38" ht="15.75" thickBot="1">
      <c r="A15" s="130" t="s">
        <v>15</v>
      </c>
      <c r="B15" s="920">
        <f>(DEN!$C7)*ONSV_2013!B6</f>
        <v>81463.04584500764</v>
      </c>
      <c r="C15" s="202">
        <f>GNV!B8</f>
        <v>164</v>
      </c>
      <c r="D15" s="940">
        <f>DEN!$C7*ONSV_2013!$C6*(COMB_CORR!B7-SUM(DIST_GAS_MOT!X16:AA16))/(COMB_CORR!B7-SUM(DIST_GAS_MOT!X16:AA16)+0.75*(COMB_CORR!G7))</f>
        <v>115645.09986594472</v>
      </c>
      <c r="E15" s="202">
        <f t="shared" si="8"/>
        <v>196944.14571095235</v>
      </c>
      <c r="F15" s="920">
        <f>(DEN!$C43)*ONSV_2013!B6</f>
        <v>89703.076748836422</v>
      </c>
      <c r="G15" s="204">
        <f>GNV!C8</f>
        <v>177</v>
      </c>
      <c r="H15" s="940">
        <f>DEN!$C43*ONSV_2013!$C6*(COMB_CORR!C7-SUM(DIST_GAS_MOT!AB16:AE16))/(COMB_CORR!C7-SUM(DIST_GAS_MOT!AB16:AE16)+0.75*(COMB_CORR!H7))</f>
        <v>134618.72232875577</v>
      </c>
      <c r="I15" s="202">
        <f t="shared" si="4"/>
        <v>224144.79907759221</v>
      </c>
      <c r="J15" s="920">
        <f>(DEN!$C79)*ONSV_2013!B6</f>
        <v>97897.23014263084</v>
      </c>
      <c r="K15" s="202">
        <f>GNV!D8</f>
        <v>251.8794009647923</v>
      </c>
      <c r="L15" s="940">
        <f>DEN!$C79*ONSV_2013!$C6*(COMB_CORR!D7-SUM(DIST_GAS_MOT!AF16:AI16))/(COMB_CORR!D7-SUM(DIST_GAS_MOT!AF16:AI16)+0.75*(COMB_CORR!I7))</f>
        <v>151422.88522061313</v>
      </c>
      <c r="M15" s="202">
        <f t="shared" si="5"/>
        <v>249068.23596227917</v>
      </c>
      <c r="N15" s="920">
        <f>(DEN!$C115)*ONSV_2013!B6</f>
        <v>104607.53282125122</v>
      </c>
      <c r="O15" s="204">
        <f>GNV!E8</f>
        <v>756.43970048239612</v>
      </c>
      <c r="P15" s="941">
        <f>DEN!$C115*ONSV_2013!$C6*(COMB_CORR!E7-SUM(DIST_GAS_MOT!AJ16:AM16))/(COMB_CORR!E7-SUM(DIST_GAS_MOT!AJ16:AM16)+0.75*(COMB_CORR!J7))</f>
        <v>162545.99238746677</v>
      </c>
      <c r="Q15" s="202">
        <f t="shared" si="6"/>
        <v>266397.08550823561</v>
      </c>
      <c r="R15" s="30" t="e">
        <f>(DEN!$C151)*DIST_GAS_LEV!$K$2</f>
        <v>#DIV/0!</v>
      </c>
      <c r="S15" s="202">
        <f>GNV!F8</f>
        <v>1261</v>
      </c>
      <c r="T15" s="205" t="e">
        <f>IF(FLEX!Q9="GAS",(DEN!$C151*$K$4),(DEN!$C151*$K$4*0.05))</f>
        <v>#DIV/0!</v>
      </c>
      <c r="U15" s="207" t="e">
        <f t="shared" si="7"/>
        <v>#DIV/0!</v>
      </c>
      <c r="W15" s="130" t="s">
        <v>15</v>
      </c>
      <c r="X15" s="943">
        <f>(DEN!$F7+DEN!$G7+DEN!$L7)*ONSV_2013!H6</f>
        <v>15513.915258243707</v>
      </c>
      <c r="Y15" s="942">
        <f>(DEN!$F7+DEN!$G7+DEN!$L7)*ONSV_2013!$I6*(COMB_CORR!B7-SUM(DIST_GAS_MOT!X16:AA16))/(COMB_CORR!B7-SUM(DIST_GAS_MOT!X16:AA16)+0.75*(COMB_CORR!G7))</f>
        <v>20959.023925880014</v>
      </c>
      <c r="Z15" s="204">
        <f t="shared" si="9"/>
        <v>36472.939184123723</v>
      </c>
      <c r="AA15" s="943">
        <f>(DEN!$F43+DEN!$G43+DEN!$L43)*ONSV_2013!H6</f>
        <v>17581.633849426784</v>
      </c>
      <c r="AB15" s="942">
        <f>(DEN!$F43+DEN!$G43+DEN!$L43)*ONSV_2013!$I6*(COMB_CORR!C7-SUM(DIST_GAS_MOT!AB16:AE16))/(COMB_CORR!C7-SUM(DIST_GAS_MOT!AB16:AE16)+0.75*(COMB_CORR!H7))</f>
        <v>25109.635214253663</v>
      </c>
      <c r="AC15" s="204">
        <f t="shared" si="10"/>
        <v>42691.269063680447</v>
      </c>
      <c r="AD15" s="943">
        <f>(DEN!$F79+DEN!$G79+DEN!$L79)*ONSV_2013!H6</f>
        <v>19826.437891502188</v>
      </c>
      <c r="AE15" s="942">
        <f>(DEN!$F79+DEN!$G79+DEN!$L79)*ONSV_2013!$I6*(COMB_CORR!D7-SUM(DIST_GAS_MOT!AF16:AI16))/(COMB_CORR!D7-SUM(DIST_GAS_MOT!AF16:AI16)+0.75*(COMB_CORR!I7))</f>
        <v>29184.271286242918</v>
      </c>
      <c r="AF15" s="204">
        <f t="shared" si="11"/>
        <v>49010.709177745106</v>
      </c>
      <c r="AG15" s="943">
        <f>(DEN!$F115+DEN!$G115+DEN!$L115)*ONSV_2013!H6</f>
        <v>21845.212031674742</v>
      </c>
      <c r="AH15" s="942">
        <f>(DEN!$F115+DEN!$G115+DEN!$L115)*ONSV_2013!$I6*(COMB_CORR!E7-SUM(DIST_GAS_MOT!AJ16:AM16))/(COMB_CORR!E7-SUM(DIST_GAS_MOT!AJ16:AM16)+0.75*(COMB_CORR!J7))</f>
        <v>32303.726037640998</v>
      </c>
      <c r="AI15" s="206">
        <f t="shared" si="12"/>
        <v>54148.938069315744</v>
      </c>
      <c r="AJ15" s="55" t="e">
        <f>(DEN!$F151+DEN!$G151+DEN!$L151)*$K$3</f>
        <v>#DIV/0!</v>
      </c>
      <c r="AK15" s="205" t="e">
        <f>IF(FLEX!Q9="GAS",((DEN!$F151+DEN!$G151+DEN!$L151)*$K$5),((DEN!$F151+DEN!$G151+DEN!$L151)*$K$5*0.05))</f>
        <v>#DIV/0!</v>
      </c>
      <c r="AL15" s="206" t="e">
        <f t="shared" si="13"/>
        <v>#DIV/0!</v>
      </c>
    </row>
    <row r="16" spans="1:38" ht="15.75" thickBot="1">
      <c r="A16" s="130" t="s">
        <v>16</v>
      </c>
      <c r="B16" s="920">
        <f>(DEN!$C8)*ONSV_2013!B7</f>
        <v>42870.803354077958</v>
      </c>
      <c r="C16" s="202">
        <f>GNV!B9</f>
        <v>0</v>
      </c>
      <c r="D16" s="940">
        <f>DEN!$C8*ONSV_2013!$C7*(COMB_CORR!B8-SUM(DIST_GAS_MOT!X17:AA17))/(COMB_CORR!B8-SUM(DIST_GAS_MOT!X17:AA17)+0.75*(COMB_CORR!G8))</f>
        <v>217946.82065742422</v>
      </c>
      <c r="E16" s="202">
        <f t="shared" si="8"/>
        <v>260817.62401150219</v>
      </c>
      <c r="F16" s="920">
        <f>(DEN!$C44)*ONSV_2013!B7</f>
        <v>47565.282506823889</v>
      </c>
      <c r="G16" s="204">
        <f>GNV!C9</f>
        <v>60</v>
      </c>
      <c r="H16" s="940">
        <f>DEN!$C44*ONSV_2013!$C7*(COMB_CORR!C8-SUM(DIST_GAS_MOT!AB17:AE17))/(COMB_CORR!C8-SUM(DIST_GAS_MOT!AB17:AE17)+0.75*(COMB_CORR!H8))</f>
        <v>242565.5825587186</v>
      </c>
      <c r="I16" s="202">
        <f t="shared" si="4"/>
        <v>290070.86506554252</v>
      </c>
      <c r="J16" s="920">
        <f>(DEN!$C80)*ONSV_2013!B7</f>
        <v>52846.097172180365</v>
      </c>
      <c r="K16" s="202">
        <f>GNV!D9</f>
        <v>405.59723522211823</v>
      </c>
      <c r="L16" s="940">
        <f>DEN!$C80*ONSV_2013!$C7*(COMB_CORR!D8-SUM(DIST_GAS_MOT!AF17:AI17))/(COMB_CORR!D8-SUM(DIST_GAS_MOT!AF17:AI17)+0.75*(COMB_CORR!I8))</f>
        <v>276270.68249472778</v>
      </c>
      <c r="M16" s="202">
        <f t="shared" si="5"/>
        <v>328711.18243168603</v>
      </c>
      <c r="N16" s="920">
        <f>(DEN!$C116)*ONSV_2013!B7</f>
        <v>57771.198707282456</v>
      </c>
      <c r="O16" s="204">
        <f>GNV!E9</f>
        <v>313.29861761105911</v>
      </c>
      <c r="P16" s="941">
        <f>DEN!$C116*ONSV_2013!$C7*(COMB_CORR!E8-SUM(DIST_GAS_MOT!AJ17:AM17))/(COMB_CORR!E8-SUM(DIST_GAS_MOT!AJ17:AM17)+0.75*(COMB_CORR!J8))</f>
        <v>305222.12687176443</v>
      </c>
      <c r="Q16" s="202">
        <f t="shared" si="6"/>
        <v>362680.0269614358</v>
      </c>
      <c r="R16" s="30" t="e">
        <f>(DEN!$C152)*DIST_GAS_LEV!$K$2</f>
        <v>#DIV/0!</v>
      </c>
      <c r="S16" s="202">
        <f>GNV!F9</f>
        <v>221</v>
      </c>
      <c r="T16" s="205" t="e">
        <f>IF(FLEX!Q10="GAS",(DEN!$C152*$K$4),(DEN!$C152*$K$4*0.05))</f>
        <v>#DIV/0!</v>
      </c>
      <c r="U16" s="207" t="e">
        <f t="shared" si="7"/>
        <v>#DIV/0!</v>
      </c>
      <c r="W16" s="130" t="s">
        <v>16</v>
      </c>
      <c r="X16" s="943">
        <f>(DEN!$F8+DEN!$G8+DEN!$L8)*ONSV_2013!H7</f>
        <v>6244.9916734344952</v>
      </c>
      <c r="Y16" s="942">
        <f>(DEN!$F8+DEN!$G8+DEN!$L8)*ONSV_2013!$I7*(COMB_CORR!B8-SUM(DIST_GAS_MOT!X17:AA17))/(COMB_CORR!B8-SUM(DIST_GAS_MOT!X17:AA17)+0.75*(COMB_CORR!G8))</f>
        <v>30214.141128313429</v>
      </c>
      <c r="Z16" s="204">
        <f t="shared" si="9"/>
        <v>36459.132801747925</v>
      </c>
      <c r="AA16" s="943">
        <f>(DEN!$F44+DEN!$G44+DEN!$L44)*ONSV_2013!H7</f>
        <v>6998.3978114981837</v>
      </c>
      <c r="AB16" s="942">
        <f>(DEN!$F44+DEN!$G44+DEN!$L44)*ONSV_2013!$I7*(COMB_CORR!C8-SUM(DIST_GAS_MOT!AB17:AE17))/(COMB_CORR!C8-SUM(DIST_GAS_MOT!AB17:AE17)+0.75*(COMB_CORR!H8))</f>
        <v>33964.654235690265</v>
      </c>
      <c r="AC16" s="204">
        <f t="shared" si="10"/>
        <v>40963.052047188452</v>
      </c>
      <c r="AD16" s="943">
        <f>(DEN!$F80+DEN!$G80+DEN!$L80)*ONSV_2013!H7</f>
        <v>7965.5638897200261</v>
      </c>
      <c r="AE16" s="942">
        <f>(DEN!$F80+DEN!$G80+DEN!$L80)*ONSV_2013!$I7*(COMB_CORR!D8-SUM(DIST_GAS_MOT!AF17:AI17))/(COMB_CORR!D8-SUM(DIST_GAS_MOT!AF17:AI17)+0.75*(COMB_CORR!I8))</f>
        <v>39630.347497987728</v>
      </c>
      <c r="AF16" s="204">
        <f t="shared" si="11"/>
        <v>47595.911387707754</v>
      </c>
      <c r="AG16" s="943">
        <f>(DEN!$F116+DEN!$G116+DEN!$L116)*ONSV_2013!H7</f>
        <v>9047.230544988246</v>
      </c>
      <c r="AH16" s="942">
        <f>(DEN!$F116+DEN!$G116+DEN!$L116)*ONSV_2013!$I7*(COMB_CORR!E8-SUM(DIST_GAS_MOT!AJ17:AM17))/(COMB_CORR!E8-SUM(DIST_GAS_MOT!AJ17:AM17)+0.75*(COMB_CORR!J8))</f>
        <v>45489.353671786484</v>
      </c>
      <c r="AI16" s="206">
        <f t="shared" si="12"/>
        <v>54536.584216774732</v>
      </c>
      <c r="AJ16" s="55" t="e">
        <f>(DEN!$F152+DEN!$G152+DEN!$L152)*$K$3</f>
        <v>#DIV/0!</v>
      </c>
      <c r="AK16" s="205" t="e">
        <f>IF(FLEX!Q10="GAS",((DEN!$F152+DEN!$G152+DEN!$L152)*$K$5),((DEN!$F152+DEN!$G152+DEN!$L152)*$K$5*0.05))</f>
        <v>#DIV/0!</v>
      </c>
      <c r="AL16" s="206" t="e">
        <f t="shared" si="13"/>
        <v>#DIV/0!</v>
      </c>
    </row>
    <row r="17" spans="1:38" ht="15.75" thickBot="1">
      <c r="A17" s="130" t="s">
        <v>17</v>
      </c>
      <c r="B17" s="920">
        <f>(DEN!$C9)*ONSV_2013!B8</f>
        <v>15627.484826705364</v>
      </c>
      <c r="C17" s="202">
        <f>GNV!B10</f>
        <v>0</v>
      </c>
      <c r="D17" s="940">
        <f>DEN!$C9*ONSV_2013!$C8*(COMB_CORR!B9-SUM(DIST_GAS_MOT!X18:AA18))/(COMB_CORR!B9-SUM(DIST_GAS_MOT!X18:AA18)+0.75*(COMB_CORR!G9))</f>
        <v>73597.215641544564</v>
      </c>
      <c r="E17" s="202">
        <f t="shared" si="8"/>
        <v>89224.700468249925</v>
      </c>
      <c r="F17" s="920">
        <f>(DEN!$C45)*ONSV_2013!B8</f>
        <v>18029.080437459656</v>
      </c>
      <c r="G17" s="204">
        <f>GNV!C10</f>
        <v>0</v>
      </c>
      <c r="H17" s="940">
        <f>DEN!$C45*ONSV_2013!$C8*(COMB_CORR!C9-SUM(DIST_GAS_MOT!AB18:AE18))/(COMB_CORR!C9-SUM(DIST_GAS_MOT!AB18:AE18)+0.75*(COMB_CORR!H9))</f>
        <v>96066.930201075083</v>
      </c>
      <c r="I17" s="202">
        <f t="shared" si="4"/>
        <v>114096.01063853473</v>
      </c>
      <c r="J17" s="920">
        <f>(DEN!$C81)*ONSV_2013!B8</f>
        <v>20719.885416332865</v>
      </c>
      <c r="K17" s="202">
        <f>GNV!D10</f>
        <v>0</v>
      </c>
      <c r="L17" s="940">
        <f>DEN!$C81*ONSV_2013!$C8*(COMB_CORR!D9-SUM(DIST_GAS_MOT!AF18:AI18))/(COMB_CORR!D9-SUM(DIST_GAS_MOT!AF18:AI18)+0.75*(COMB_CORR!I9))</f>
        <v>118665.75593278915</v>
      </c>
      <c r="M17" s="202">
        <f t="shared" si="5"/>
        <v>139385.64134912202</v>
      </c>
      <c r="N17" s="920">
        <f>(DEN!$C117)*ONSV_2013!B8</f>
        <v>23166.904583804469</v>
      </c>
      <c r="O17" s="204">
        <f>GNV!E10</f>
        <v>49.5</v>
      </c>
      <c r="P17" s="941">
        <f>DEN!$C117*ONSV_2013!$C8*(COMB_CORR!E9-SUM(DIST_GAS_MOT!AJ18:AM18))/(COMB_CORR!E9-SUM(DIST_GAS_MOT!AJ18:AM18)+0.75*(COMB_CORR!J9))</f>
        <v>138047.84877479923</v>
      </c>
      <c r="Q17" s="202">
        <f t="shared" si="6"/>
        <v>161165.25335860369</v>
      </c>
      <c r="R17" s="30" t="e">
        <f>(DEN!$C153)*DIST_GAS_LEV!$K$2</f>
        <v>#DIV/0!</v>
      </c>
      <c r="S17" s="202">
        <f>GNV!F10</f>
        <v>99</v>
      </c>
      <c r="T17" s="205" t="e">
        <f>IF(FLEX!Q11="GAS",(DEN!$C153*$K$4),(DEN!$C153*$K$4*0.05))</f>
        <v>#DIV/0!</v>
      </c>
      <c r="U17" s="207" t="e">
        <f t="shared" si="7"/>
        <v>#DIV/0!</v>
      </c>
      <c r="W17" s="130" t="s">
        <v>17</v>
      </c>
      <c r="X17" s="943">
        <f>(DEN!$F9+DEN!$G9+DEN!$L9)*ONSV_2013!H8</f>
        <v>2879.8292860283423</v>
      </c>
      <c r="Y17" s="942">
        <f>(DEN!$F9+DEN!$G9+DEN!$L9)*ONSV_2013!$I8*(COMB_CORR!B9-SUM(DIST_GAS_MOT!X18:AA18))/(COMB_CORR!B9-SUM(DIST_GAS_MOT!X18:AA18)+0.75*(COMB_CORR!G9))</f>
        <v>12907.767151715743</v>
      </c>
      <c r="Z17" s="204">
        <f t="shared" si="9"/>
        <v>15787.596437744085</v>
      </c>
      <c r="AA17" s="943">
        <f>(DEN!$F45+DEN!$G45+DEN!$L45)*ONSV_2013!H8</f>
        <v>3237.3748604863531</v>
      </c>
      <c r="AB17" s="942">
        <f>(DEN!$F45+DEN!$G45+DEN!$L45)*ONSV_2013!$I8*(COMB_CORR!C9-SUM(DIST_GAS_MOT!AB18:AE18))/(COMB_CORR!C9-SUM(DIST_GAS_MOT!AB18:AE18)+0.75*(COMB_CORR!H9))</f>
        <v>16417.438831328687</v>
      </c>
      <c r="AC17" s="204">
        <f t="shared" si="10"/>
        <v>19654.813691815041</v>
      </c>
      <c r="AD17" s="943">
        <f>(DEN!$F81+DEN!$G81+DEN!$L81)*ONSV_2013!H8</f>
        <v>3716.1810464369059</v>
      </c>
      <c r="AE17" s="942">
        <f>(DEN!$F81+DEN!$G81+DEN!$L81)*ONSV_2013!$I8*(COMB_CORR!D9-SUM(DIST_GAS_MOT!AF18:AI18))/(COMB_CORR!D9-SUM(DIST_GAS_MOT!AF18:AI18)+0.75*(COMB_CORR!I9))</f>
        <v>20255.688279198555</v>
      </c>
      <c r="AF17" s="204">
        <f t="shared" si="11"/>
        <v>23971.86932563546</v>
      </c>
      <c r="AG17" s="943">
        <f>(DEN!$F117+DEN!$G117+DEN!$L117)*ONSV_2013!H8</f>
        <v>4160.5303209659414</v>
      </c>
      <c r="AH17" s="942">
        <f>(DEN!$F117+DEN!$G117+DEN!$L117)*ONSV_2013!$I8*(COMB_CORR!E9-SUM(DIST_GAS_MOT!AJ18:AM18))/(COMB_CORR!E9-SUM(DIST_GAS_MOT!AJ18:AM18)+0.75*(COMB_CORR!J9))</f>
        <v>23595.131653580302</v>
      </c>
      <c r="AI17" s="206">
        <f t="shared" si="12"/>
        <v>27755.661974546245</v>
      </c>
      <c r="AJ17" s="55" t="e">
        <f>(DEN!$F153+DEN!$G153+DEN!$L153)*$K$3</f>
        <v>#DIV/0!</v>
      </c>
      <c r="AK17" s="205" t="e">
        <f>IF(FLEX!Q11="GAS",((DEN!$F153+DEN!$G153+DEN!$L153)*$K$5),((DEN!$F153+DEN!$G153+DEN!$L153)*$K$5*0.05))</f>
        <v>#DIV/0!</v>
      </c>
      <c r="AL17" s="206" t="e">
        <f t="shared" si="13"/>
        <v>#DIV/0!</v>
      </c>
    </row>
    <row r="18" spans="1:38" ht="15.75" thickBot="1">
      <c r="A18" s="130" t="s">
        <v>18</v>
      </c>
      <c r="B18" s="920">
        <f>(DEN!$C10)*ONSV_2013!B9</f>
        <v>10864.135029387355</v>
      </c>
      <c r="C18" s="202">
        <f>GNV!B11</f>
        <v>0</v>
      </c>
      <c r="D18" s="940">
        <f>DEN!$C10*ONSV_2013!$C9*(COMB_CORR!B10-SUM(DIST_GAS_MOT!X19:AA19))/(COMB_CORR!B10-SUM(DIST_GAS_MOT!X19:AA19)+0.75*(COMB_CORR!G10))</f>
        <v>20432.866569885584</v>
      </c>
      <c r="E18" s="202">
        <f t="shared" si="8"/>
        <v>31297.001599272939</v>
      </c>
      <c r="F18" s="920">
        <f>(DEN!$C46)*ONSV_2013!B9</f>
        <v>12455.356696421009</v>
      </c>
      <c r="G18" s="204">
        <f>GNV!C11</f>
        <v>0</v>
      </c>
      <c r="H18" s="940">
        <f>DEN!$C46*ONSV_2013!$C9*(COMB_CORR!C10-SUM(DIST_GAS_MOT!AB19:AE19))/(COMB_CORR!C10-SUM(DIST_GAS_MOT!AB19:AE19)+0.75*(COMB_CORR!H10))</f>
        <v>23540.56321172871</v>
      </c>
      <c r="I18" s="202">
        <f t="shared" si="4"/>
        <v>35995.919908149721</v>
      </c>
      <c r="J18" s="920">
        <f>(DEN!$C82)*ONSV_2013!B9</f>
        <v>14166.347736242145</v>
      </c>
      <c r="K18" s="202">
        <f>GNV!D11</f>
        <v>0</v>
      </c>
      <c r="L18" s="940">
        <f>DEN!$C82*ONSV_2013!$C9*(COMB_CORR!D10-SUM(DIST_GAS_MOT!AF19:AI19))/(COMB_CORR!D10-SUM(DIST_GAS_MOT!AF19:AI19)+0.75*(COMB_CORR!I10))</f>
        <v>26817.109984129485</v>
      </c>
      <c r="M18" s="202">
        <f t="shared" si="5"/>
        <v>40983.457720371633</v>
      </c>
      <c r="N18" s="920">
        <f>(DEN!$C118)*ONSV_2013!B9</f>
        <v>15439.061840478327</v>
      </c>
      <c r="O18" s="204">
        <f>GNV!E11</f>
        <v>13</v>
      </c>
      <c r="P18" s="941">
        <f>DEN!$C118*ONSV_2013!$C9*(COMB_CORR!E10-SUM(DIST_GAS_MOT!AJ19:AM19))/(COMB_CORR!E10-SUM(DIST_GAS_MOT!AJ19:AM19)+0.75*(COMB_CORR!J10))</f>
        <v>29543.393373957337</v>
      </c>
      <c r="Q18" s="202">
        <f t="shared" si="6"/>
        <v>44969.455214435664</v>
      </c>
      <c r="R18" s="30" t="e">
        <f>(DEN!$C154)*DIST_GAS_LEV!$K$2</f>
        <v>#DIV/0!</v>
      </c>
      <c r="S18" s="202">
        <f>GNV!F11</f>
        <v>26</v>
      </c>
      <c r="T18" s="205" t="e">
        <f>IF(FLEX!Q12="GAS",(DEN!$C154*$K$4),(DEN!$C154*$K$4*0.05))</f>
        <v>#DIV/0!</v>
      </c>
      <c r="U18" s="207" t="e">
        <f t="shared" si="7"/>
        <v>#DIV/0!</v>
      </c>
      <c r="W18" s="130" t="s">
        <v>18</v>
      </c>
      <c r="X18" s="943">
        <f>(DEN!$F10+DEN!$G10+DEN!$L10)*ONSV_2013!H9</f>
        <v>2408.6652429257874</v>
      </c>
      <c r="Y18" s="942">
        <f>(DEN!$F10+DEN!$G10+DEN!$L10)*ONSV_2013!$I9*(COMB_CORR!B10-SUM(DIST_GAS_MOT!X19:AA19))/(COMB_CORR!B10-SUM(DIST_GAS_MOT!X19:AA19)+0.75*(COMB_CORR!G10))</f>
        <v>4310.3389397313213</v>
      </c>
      <c r="Z18" s="204">
        <f t="shared" si="9"/>
        <v>6719.0041826571087</v>
      </c>
      <c r="AA18" s="943">
        <f>(DEN!$F46+DEN!$G46+DEN!$L46)*ONSV_2013!H9</f>
        <v>2698.5392418579818</v>
      </c>
      <c r="AB18" s="942">
        <f>(DEN!$F46+DEN!$G46+DEN!$L46)*ONSV_2013!$I9*(COMB_CORR!C10-SUM(DIST_GAS_MOT!AB19:AE19))/(COMB_CORR!C10-SUM(DIST_GAS_MOT!AB19:AE19)+0.75*(COMB_CORR!H10))</f>
        <v>4852.7760499117976</v>
      </c>
      <c r="AC18" s="204">
        <f t="shared" si="10"/>
        <v>7551.3152917697789</v>
      </c>
      <c r="AD18" s="943">
        <f>(DEN!$F82+DEN!$G82+DEN!$L82)*ONSV_2013!H9</f>
        <v>3072.6991457554727</v>
      </c>
      <c r="AE18" s="942">
        <f>(DEN!$F82+DEN!$G82+DEN!$L82)*ONSV_2013!$I9*(COMB_CORR!D10-SUM(DIST_GAS_MOT!AF19:AI19))/(COMB_CORR!D10-SUM(DIST_GAS_MOT!AF19:AI19)+0.75*(COMB_CORR!I10))</f>
        <v>5534.456096249658</v>
      </c>
      <c r="AF18" s="204">
        <f t="shared" si="11"/>
        <v>8607.1552420051303</v>
      </c>
      <c r="AG18" s="943">
        <f>(DEN!$F118+DEN!$G118+DEN!$L118)*ONSV_2013!H9</f>
        <v>3437.4746396155901</v>
      </c>
      <c r="AH18" s="942">
        <f>(DEN!$F118+DEN!$G118+DEN!$L118)*ONSV_2013!$I9*(COMB_CORR!E10-SUM(DIST_GAS_MOT!AJ19:AM19))/(COMB_CORR!E10-SUM(DIST_GAS_MOT!AJ19:AM19)+0.75*(COMB_CORR!J10))</f>
        <v>6258.6376024898336</v>
      </c>
      <c r="AI18" s="206">
        <f t="shared" si="12"/>
        <v>9696.1122421054242</v>
      </c>
      <c r="AJ18" s="55" t="e">
        <f>(DEN!$F154+DEN!$G154+DEN!$L154)*$K$3</f>
        <v>#DIV/0!</v>
      </c>
      <c r="AK18" s="205" t="e">
        <f>IF(FLEX!Q12="GAS",((DEN!$F154+DEN!$G154+DEN!$L154)*$K$5),((DEN!$F154+DEN!$G154+DEN!$L154)*$K$5*0.05))</f>
        <v>#DIV/0!</v>
      </c>
      <c r="AL18" s="206" t="e">
        <f t="shared" si="13"/>
        <v>#DIV/0!</v>
      </c>
    </row>
    <row r="19" spans="1:38" ht="15.75" thickBot="1">
      <c r="A19" s="210" t="s">
        <v>19</v>
      </c>
      <c r="B19" s="920">
        <f>(DEN!$C11)*ONSV_2013!B10</f>
        <v>20336.722501138222</v>
      </c>
      <c r="C19" s="208">
        <f>GNV!B12</f>
        <v>0</v>
      </c>
      <c r="D19" s="940">
        <f>DEN!$C11*ONSV_2013!$C10*(COMB_CORR!B11-SUM(DIST_GAS_MOT!X20:AA20))/(COMB_CORR!B11-SUM(DIST_GAS_MOT!X20:AA20)+0.75*(COMB_CORR!G11))</f>
        <v>48729.60789272633</v>
      </c>
      <c r="E19" s="208">
        <f t="shared" si="8"/>
        <v>69066.330393864555</v>
      </c>
      <c r="F19" s="920">
        <f>(DEN!$C47)*ONSV_2013!B10</f>
        <v>22391.002651752864</v>
      </c>
      <c r="G19" s="204">
        <f>GNV!C12</f>
        <v>0</v>
      </c>
      <c r="H19" s="940">
        <f>DEN!$C47*ONSV_2013!$C10*(COMB_CORR!C11-SUM(DIST_GAS_MOT!AB20:AE20))/(COMB_CORR!C11-SUM(DIST_GAS_MOT!AB20:AE20)+0.75*(COMB_CORR!H11))</f>
        <v>59129.258581905175</v>
      </c>
      <c r="I19" s="208">
        <f t="shared" si="4"/>
        <v>81520.261233658035</v>
      </c>
      <c r="J19" s="920">
        <f>(DEN!$C83)*ONSV_2013!B10</f>
        <v>24941.255768023919</v>
      </c>
      <c r="K19" s="208">
        <f>GNV!D12</f>
        <v>0</v>
      </c>
      <c r="L19" s="940">
        <f>DEN!$C83*ONSV_2013!$C10*(COMB_CORR!D11-SUM(DIST_GAS_MOT!AF20:AI20))/(COMB_CORR!D11-SUM(DIST_GAS_MOT!AF20:AI20)+0.75*(COMB_CORR!I11))</f>
        <v>74719.804440037886</v>
      </c>
      <c r="M19" s="208">
        <f t="shared" si="5"/>
        <v>99661.060208061797</v>
      </c>
      <c r="N19" s="920">
        <f>(DEN!$C119)*ONSV_2013!B10</f>
        <v>27525.075553422666</v>
      </c>
      <c r="O19" s="204">
        <f>GNV!E12</f>
        <v>97</v>
      </c>
      <c r="P19" s="941">
        <f>DEN!$C119*ONSV_2013!$C10*(COMB_CORR!E11-SUM(DIST_GAS_MOT!AJ20:AM20))/(COMB_CORR!E11-SUM(DIST_GAS_MOT!AJ20:AM20)+0.75*(COMB_CORR!J11))</f>
        <v>88132.247660988782</v>
      </c>
      <c r="Q19" s="208">
        <f t="shared" si="6"/>
        <v>115560.32321441144</v>
      </c>
      <c r="R19" s="35" t="e">
        <f>(DEN!$C155)*DIST_GAS_LEV!$K$2</f>
        <v>#DIV/0!</v>
      </c>
      <c r="S19" s="208">
        <f>GNV!F12</f>
        <v>194</v>
      </c>
      <c r="T19" s="205" t="e">
        <f>IF(FLEX!Q13="GAS",(DEN!$C155*$K$4),(DEN!$C155*$K$4*0.05))</f>
        <v>#DIV/0!</v>
      </c>
      <c r="U19" s="209" t="e">
        <f t="shared" si="7"/>
        <v>#DIV/0!</v>
      </c>
      <c r="W19" s="210" t="s">
        <v>19</v>
      </c>
      <c r="X19" s="943">
        <f>(DEN!$F11+DEN!$G11+DEN!$L11)*ONSV_2013!H10</f>
        <v>3580.852275445196</v>
      </c>
      <c r="Y19" s="942">
        <f>(DEN!$F11+DEN!$G11+DEN!$L11)*ONSV_2013!$I10*(COMB_CORR!B11-SUM(DIST_GAS_MOT!X20:AA20))/(COMB_CORR!B11-SUM(DIST_GAS_MOT!X20:AA20)+0.75*(COMB_CORR!G11))</f>
        <v>8166.6889004134746</v>
      </c>
      <c r="Z19" s="204">
        <f t="shared" si="9"/>
        <v>11747.541175858671</v>
      </c>
      <c r="AA19" s="943">
        <f>(DEN!$F47+DEN!$G47+DEN!$L47)*ONSV_2013!H10</f>
        <v>3953.8998717140312</v>
      </c>
      <c r="AB19" s="942">
        <f>(DEN!$F47+DEN!$G47+DEN!$L47)*ONSV_2013!$I10*(COMB_CORR!C11-SUM(DIST_GAS_MOT!AB20:AE20))/(COMB_CORR!C11-SUM(DIST_GAS_MOT!AB20:AE20)+0.75*(COMB_CORR!H11))</f>
        <v>9938.0736739381518</v>
      </c>
      <c r="AC19" s="204">
        <f t="shared" si="10"/>
        <v>13891.973545652183</v>
      </c>
      <c r="AD19" s="943">
        <f>(DEN!$F83+DEN!$G83+DEN!$L83)*ONSV_2013!H10</f>
        <v>4371.8442086495188</v>
      </c>
      <c r="AE19" s="942">
        <f>(DEN!$F83+DEN!$G83+DEN!$L83)*ONSV_2013!$I10*(COMB_CORR!D11-SUM(DIST_GAS_MOT!AF20:AI20))/(COMB_CORR!D11-SUM(DIST_GAS_MOT!AF20:AI20)+0.75*(COMB_CORR!I11))</f>
        <v>12466.07515491519</v>
      </c>
      <c r="AF19" s="204">
        <f t="shared" si="11"/>
        <v>16837.91936356471</v>
      </c>
      <c r="AG19" s="943">
        <f>(DEN!$F119+DEN!$G119+DEN!$L119)*ONSV_2013!H10</f>
        <v>4797.0144158639741</v>
      </c>
      <c r="AH19" s="942">
        <f>(DEN!$F119+DEN!$G119+DEN!$L119)*ONSV_2013!$I10*(COMB_CORR!E11-SUM(DIST_GAS_MOT!AJ20:AM20))/(COMB_CORR!E11-SUM(DIST_GAS_MOT!AJ20:AM20)+0.75*(COMB_CORR!J11))</f>
        <v>14619.246969777398</v>
      </c>
      <c r="AI19" s="206">
        <f t="shared" si="12"/>
        <v>19416.261385641374</v>
      </c>
      <c r="AJ19" s="55" t="e">
        <f>(DEN!$F155+DEN!$G155+DEN!$L155)*$K$3</f>
        <v>#DIV/0!</v>
      </c>
      <c r="AK19" s="205" t="e">
        <f>IF(FLEX!Q13="GAS",((DEN!$F155+DEN!$G155+DEN!$L155)*$K$5),((DEN!$F155+DEN!$G155+DEN!$L155)*$K$5*0.05))</f>
        <v>#DIV/0!</v>
      </c>
      <c r="AL19" s="206" t="e">
        <f t="shared" si="13"/>
        <v>#DIV/0!</v>
      </c>
    </row>
    <row r="20" spans="1:38" s="273" customFormat="1" ht="15.75" thickBot="1">
      <c r="A20" s="268" t="s">
        <v>54</v>
      </c>
      <c r="B20" s="279">
        <f t="shared" ref="B20:U20" si="14">SUM(B21:B29)</f>
        <v>1045305.9382850514</v>
      </c>
      <c r="C20" s="279">
        <f t="shared" si="14"/>
        <v>257395</v>
      </c>
      <c r="D20" s="279">
        <f t="shared" si="14"/>
        <v>1542938.2605778973</v>
      </c>
      <c r="E20" s="279">
        <f t="shared" si="14"/>
        <v>2330849.1988629489</v>
      </c>
      <c r="F20" s="279">
        <f t="shared" si="14"/>
        <v>1149847.9174836355</v>
      </c>
      <c r="G20" s="279">
        <f t="shared" si="14"/>
        <v>258022</v>
      </c>
      <c r="H20" s="279">
        <f t="shared" si="14"/>
        <v>1867940.2817218092</v>
      </c>
      <c r="I20" s="279">
        <f t="shared" si="14"/>
        <v>2759766.1992054447</v>
      </c>
      <c r="J20" s="279">
        <f t="shared" si="14"/>
        <v>1268441.7379034967</v>
      </c>
      <c r="K20" s="279">
        <f t="shared" si="14"/>
        <v>261633.49110807112</v>
      </c>
      <c r="L20" s="279">
        <f t="shared" si="14"/>
        <v>2332308.7622101842</v>
      </c>
      <c r="M20" s="279">
        <f t="shared" si="14"/>
        <v>3339117.009005609</v>
      </c>
      <c r="N20" s="279">
        <f t="shared" si="14"/>
        <v>1382290.1034555105</v>
      </c>
      <c r="O20" s="279">
        <f t="shared" si="14"/>
        <v>245165.74555403556</v>
      </c>
      <c r="P20" s="279">
        <f t="shared" si="14"/>
        <v>2651968.9961598576</v>
      </c>
      <c r="Q20" s="279">
        <f t="shared" si="14"/>
        <v>3789093.3540613321</v>
      </c>
      <c r="R20" s="279" t="e">
        <f t="shared" si="14"/>
        <v>#DIV/0!</v>
      </c>
      <c r="S20" s="279">
        <f t="shared" si="14"/>
        <v>228698</v>
      </c>
      <c r="T20" s="279" t="e">
        <f t="shared" si="14"/>
        <v>#DIV/0!</v>
      </c>
      <c r="U20" s="279" t="e">
        <f t="shared" si="14"/>
        <v>#DIV/0!</v>
      </c>
      <c r="V20" s="278"/>
      <c r="W20" s="268" t="s">
        <v>54</v>
      </c>
      <c r="X20" s="280">
        <f t="shared" ref="X20:AK20" si="15">SUM(X21:X29)</f>
        <v>149021.90172482422</v>
      </c>
      <c r="Y20" s="280">
        <f t="shared" si="15"/>
        <v>206656.74747381613</v>
      </c>
      <c r="Z20" s="280">
        <f t="shared" si="15"/>
        <v>355678.64919864031</v>
      </c>
      <c r="AA20" s="280">
        <f t="shared" si="15"/>
        <v>167461.98783791892</v>
      </c>
      <c r="AB20" s="280">
        <f t="shared" si="15"/>
        <v>255361.67886768756</v>
      </c>
      <c r="AC20" s="280">
        <f t="shared" si="15"/>
        <v>422823.66670560656</v>
      </c>
      <c r="AD20" s="280">
        <f t="shared" si="15"/>
        <v>189487.21115124418</v>
      </c>
      <c r="AE20" s="280">
        <f t="shared" si="15"/>
        <v>327351.70141316089</v>
      </c>
      <c r="AF20" s="280">
        <f t="shared" si="15"/>
        <v>516838.91256440501</v>
      </c>
      <c r="AG20" s="280">
        <f t="shared" si="15"/>
        <v>212176.27503160006</v>
      </c>
      <c r="AH20" s="280">
        <f t="shared" si="15"/>
        <v>382213.62742611475</v>
      </c>
      <c r="AI20" s="280">
        <f t="shared" si="15"/>
        <v>594389.90245771478</v>
      </c>
      <c r="AJ20" s="280" t="e">
        <f t="shared" si="15"/>
        <v>#DIV/0!</v>
      </c>
      <c r="AK20" s="280" t="e">
        <f t="shared" si="15"/>
        <v>#DIV/0!</v>
      </c>
      <c r="AL20" s="280" t="e">
        <f>SUM(AL21:AL29)</f>
        <v>#DIV/0!</v>
      </c>
    </row>
    <row r="21" spans="1:38" ht="15.75" thickBot="1">
      <c r="A21" s="190" t="s">
        <v>21</v>
      </c>
      <c r="B21" s="920">
        <f>(DEN!$C13)*ONSV_2013!B12</f>
        <v>43839.638119953866</v>
      </c>
      <c r="C21" s="204">
        <f>GNV!B14</f>
        <v>18443</v>
      </c>
      <c r="D21" s="940">
        <f>DEN!$C13*ONSV_2013!$C12*(COMB_CORR!B13-SUM(DIST_GAS_MOT!X22:AA22))/(COMB_CORR!B13-SUM(DIST_GAS_MOT!X22:AA22)+0.75*(COMB_CORR!G13))</f>
        <v>73518.35758650674</v>
      </c>
      <c r="E21" s="204">
        <f t="shared" si="8"/>
        <v>98914.995706460613</v>
      </c>
      <c r="F21" s="920">
        <f>(DEN!$C49)*ONSV_2013!B12</f>
        <v>48310.864331026532</v>
      </c>
      <c r="G21" s="204">
        <f>GNV!C14</f>
        <v>18459</v>
      </c>
      <c r="H21" s="940">
        <f>DEN!$C49*ONSV_2013!$C12*(COMB_CORR!C13-SUM(DIST_GAS_MOT!AB22:AE22))/(COMB_CORR!C13-SUM(DIST_GAS_MOT!AB22:AE22)+0.75*(COMB_CORR!H13))</f>
        <v>99122.190032573693</v>
      </c>
      <c r="I21" s="204">
        <f t="shared" si="4"/>
        <v>128974.05436360023</v>
      </c>
      <c r="J21" s="920">
        <f>(DEN!$C85)*ONSV_2013!B12</f>
        <v>53402.547577854675</v>
      </c>
      <c r="K21" s="204">
        <f>GNV!D14</f>
        <v>18551.159262725898</v>
      </c>
      <c r="L21" s="940">
        <f>DEN!$C85*ONSV_2013!$C12*(COMB_CORR!D13-SUM(DIST_GAS_MOT!AF22:AI22))/(COMB_CORR!D13-SUM(DIST_GAS_MOT!AF22:AI22)+0.75*(COMB_CORR!I13))</f>
        <v>122836.96870685478</v>
      </c>
      <c r="M21" s="204">
        <f t="shared" ref="M21:M29" si="16">J21-K21+L21</f>
        <v>157688.35702198354</v>
      </c>
      <c r="N21" s="920">
        <f>(DEN!$C121)*ONSV_2013!B12</f>
        <v>58461.677479815458</v>
      </c>
      <c r="O21" s="204">
        <f>GNV!E14</f>
        <v>18352.579631362947</v>
      </c>
      <c r="P21" s="941">
        <f>DEN!$C121*ONSV_2013!$C12*(COMB_CORR!E13-SUM(DIST_GAS_MOT!AJ22:AM22))/(COMB_CORR!E13-SUM(DIST_GAS_MOT!AJ22:AM22)+0.75*(COMB_CORR!J13))</f>
        <v>143410.8385559505</v>
      </c>
      <c r="Q21" s="204">
        <f t="shared" ref="Q21:Q29" si="17">N21-O21+P21</f>
        <v>183519.93640440301</v>
      </c>
      <c r="R21" s="56" t="e">
        <f>(DEN!$C157)*DIST_GAS_LEV!$K$2</f>
        <v>#DIV/0!</v>
      </c>
      <c r="S21" s="204">
        <f>GNV!F14</f>
        <v>18154</v>
      </c>
      <c r="T21" s="205" t="e">
        <f>IF(FLEX!Q15="GAS",(DEN!$C157*$K$4),(DEN!$C157*$K$4*0.05))</f>
        <v>#DIV/0!</v>
      </c>
      <c r="U21" s="206" t="e">
        <f t="shared" ref="U21:U29" si="18">R21-S21+T21</f>
        <v>#DIV/0!</v>
      </c>
      <c r="W21" s="190" t="s">
        <v>21</v>
      </c>
      <c r="X21" s="943">
        <f>(DEN!$F13+DEN!$G13+DEN!$L13)*ONSV_2013!H12</f>
        <v>6188.4231980764571</v>
      </c>
      <c r="Y21" s="942">
        <f>(DEN!$F13+DEN!$G13+DEN!$L13)*ONSV_2013!$I12*(COMB_CORR!B13-SUM(DIST_GAS_MOT!X22:AA22))/(COMB_CORR!B13-SUM(DIST_GAS_MOT!X22:AA22)+0.75*(COMB_CORR!G13))</f>
        <v>9877.2659233019967</v>
      </c>
      <c r="Z21" s="204">
        <f t="shared" si="9"/>
        <v>16065.689121378455</v>
      </c>
      <c r="AA21" s="943">
        <f>(DEN!$F49+DEN!$G49+DEN!$L49)*ONSV_2013!H12</f>
        <v>6814.8329947251677</v>
      </c>
      <c r="AB21" s="942">
        <f>(DEN!$F49+DEN!$G49+DEN!$L49)*ONSV_2013!$I12*(COMB_CORR!C13-SUM(DIST_GAS_MOT!AB22:AE22))/(COMB_CORR!C13-SUM(DIST_GAS_MOT!AB22:AE22)+0.75*(COMB_CORR!H13))</f>
        <v>13307.890045991502</v>
      </c>
      <c r="AC21" s="204">
        <f t="shared" si="10"/>
        <v>20122.723040716672</v>
      </c>
      <c r="AD21" s="943">
        <f>(DEN!$F85+DEN!$G85+DEN!$L85)*ONSV_2013!H12</f>
        <v>7673.6841624573626</v>
      </c>
      <c r="AE21" s="942">
        <f>(DEN!$F85+DEN!$G85+DEN!$L85)*ONSV_2013!$I12*(COMB_CORR!D13-SUM(DIST_GAS_MOT!AF22:AI22))/(COMB_CORR!D13-SUM(DIST_GAS_MOT!AF22:AI22)+0.75*(COMB_CORR!I13))</f>
        <v>16799.599970731055</v>
      </c>
      <c r="AF21" s="204">
        <f t="shared" si="11"/>
        <v>24473.284133188419</v>
      </c>
      <c r="AG21" s="943">
        <f>(DEN!$F121+DEN!$G121+DEN!$L121)*ONSV_2013!H12</f>
        <v>8563.3961901921666</v>
      </c>
      <c r="AH21" s="942">
        <f>(DEN!$F121+DEN!$G121+DEN!$L121)*ONSV_2013!$I12*(COMB_CORR!E13-SUM(DIST_GAS_MOT!AJ22:AM22))/(COMB_CORR!E13-SUM(DIST_GAS_MOT!AJ22:AM22)+0.75*(COMB_CORR!J13))</f>
        <v>19993.307476351329</v>
      </c>
      <c r="AI21" s="206">
        <f t="shared" si="12"/>
        <v>28556.703666543493</v>
      </c>
      <c r="AJ21" s="55" t="e">
        <f>(DEN!$F157+DEN!$G157+DEN!$L157)*$K$3</f>
        <v>#DIV/0!</v>
      </c>
      <c r="AK21" s="205" t="e">
        <f>IF(FLEX!Q15="GAS",((DEN!$F157+DEN!$G157+DEN!$L157)*$K$5),((DEN!$F157+DEN!$G157+DEN!$L157)*$K$5*0.05))</f>
        <v>#DIV/0!</v>
      </c>
      <c r="AL21" s="206" t="e">
        <f t="shared" ref="AL21:AL29" si="19">AJ21+AK21</f>
        <v>#DIV/0!</v>
      </c>
    </row>
    <row r="22" spans="1:38" ht="15.75" thickBot="1">
      <c r="A22" s="130" t="s">
        <v>22</v>
      </c>
      <c r="B22" s="920">
        <f>(DEN!$C14)*ONSV_2013!B13</f>
        <v>304670.00361823366</v>
      </c>
      <c r="C22" s="202">
        <f>GNV!B15</f>
        <v>68804</v>
      </c>
      <c r="D22" s="940">
        <f>DEN!$C14*ONSV_2013!$C13*(COMB_CORR!B14-SUM(DIST_GAS_MOT!X23:AA23))/(COMB_CORR!B14-SUM(DIST_GAS_MOT!X23:AA23)+0.75*(COMB_CORR!G14))</f>
        <v>366793.79503939871</v>
      </c>
      <c r="E22" s="202">
        <f t="shared" si="8"/>
        <v>602659.79865763243</v>
      </c>
      <c r="F22" s="920">
        <f>(DEN!$C50)*ONSV_2013!B13</f>
        <v>335185.86622753303</v>
      </c>
      <c r="G22" s="204">
        <f>GNV!C15</f>
        <v>68866</v>
      </c>
      <c r="H22" s="940">
        <f>DEN!$C50*ONSV_2013!$C13*(COMB_CORR!C14-SUM(DIST_GAS_MOT!AB23:AE23))/(COMB_CORR!C14-SUM(DIST_GAS_MOT!AB23:AE23)+0.75*(COMB_CORR!H14))</f>
        <v>431688.29963352793</v>
      </c>
      <c r="I22" s="202">
        <f t="shared" si="4"/>
        <v>698008.16586106096</v>
      </c>
      <c r="J22" s="920">
        <f>(DEN!$C86)*ONSV_2013!B13</f>
        <v>369268.1826459156</v>
      </c>
      <c r="K22" s="202">
        <f>GNV!D15</f>
        <v>69223.11714306286</v>
      </c>
      <c r="L22" s="940">
        <f>DEN!$C86*ONSV_2013!$C13*(COMB_CORR!D14-SUM(DIST_GAS_MOT!AF23:AI23))/(COMB_CORR!D14-SUM(DIST_GAS_MOT!AF23:AI23)+0.75*(COMB_CORR!I14))</f>
        <v>580437.6394640645</v>
      </c>
      <c r="M22" s="202">
        <f t="shared" si="16"/>
        <v>880482.70496691717</v>
      </c>
      <c r="N22" s="920">
        <f>(DEN!$C122)*ONSV_2013!B13</f>
        <v>402518.0432494398</v>
      </c>
      <c r="O22" s="204">
        <f>GNV!E15</f>
        <v>58122.55857153143</v>
      </c>
      <c r="P22" s="941">
        <f>DEN!$C122*ONSV_2013!$C13*(COMB_CORR!E14-SUM(DIST_GAS_MOT!AJ23:AM23))/(COMB_CORR!E14-SUM(DIST_GAS_MOT!AJ23:AM23)+0.75*(COMB_CORR!J14))</f>
        <v>666130.18936564785</v>
      </c>
      <c r="Q22" s="202">
        <f t="shared" si="17"/>
        <v>1010525.6740435562</v>
      </c>
      <c r="R22" s="30" t="e">
        <f>(DEN!$C158)*DIST_GAS_LEV!$K$2</f>
        <v>#DIV/0!</v>
      </c>
      <c r="S22" s="202">
        <f>GNV!F15</f>
        <v>47022</v>
      </c>
      <c r="T22" s="205" t="e">
        <f>IF(FLEX!Q16="GAS",(DEN!$C158*$K$4),(DEN!$C158*$K$4*0.05))</f>
        <v>#DIV/0!</v>
      </c>
      <c r="U22" s="207" t="e">
        <f t="shared" si="18"/>
        <v>#DIV/0!</v>
      </c>
      <c r="W22" s="130" t="s">
        <v>22</v>
      </c>
      <c r="X22" s="943">
        <f>(DEN!$F14+DEN!$G14+DEN!$L14)*ONSV_2013!H13</f>
        <v>47813.797548120994</v>
      </c>
      <c r="Y22" s="942">
        <f>(DEN!$F14+DEN!$G14+DEN!$L14)*ONSV_2013!$I13*(COMB_CORR!B14-SUM(DIST_GAS_MOT!X23:AA23))/(COMB_CORR!B14-SUM(DIST_GAS_MOT!X23:AA23)+0.75*(COMB_CORR!G14))</f>
        <v>54783.413875173406</v>
      </c>
      <c r="Z22" s="204">
        <f t="shared" si="9"/>
        <v>102597.2114232944</v>
      </c>
      <c r="AA22" s="943">
        <f>(DEN!$F50+DEN!$G50+DEN!$L50)*ONSV_2013!H13</f>
        <v>53643.513190307058</v>
      </c>
      <c r="AB22" s="942">
        <f>(DEN!$F50+DEN!$G50+DEN!$L50)*ONSV_2013!$I13*(COMB_CORR!C14-SUM(DIST_GAS_MOT!AB23:AE23))/(COMB_CORR!C14-SUM(DIST_GAS_MOT!AB23:AE23)+0.75*(COMB_CORR!H14))</f>
        <v>65751.454504270121</v>
      </c>
      <c r="AC22" s="204">
        <f t="shared" si="10"/>
        <v>119394.96769457718</v>
      </c>
      <c r="AD22" s="943">
        <f>(DEN!$F86+DEN!$G86+DEN!$L86)*ONSV_2013!H13</f>
        <v>60758.437535804311</v>
      </c>
      <c r="AE22" s="942">
        <f>(DEN!$F86+DEN!$G86+DEN!$L86)*ONSV_2013!$I13*(COMB_CORR!D14-SUM(DIST_GAS_MOT!AF23:AI23))/(COMB_CORR!D14-SUM(DIST_GAS_MOT!AF23:AI23)+0.75*(COMB_CORR!I14))</f>
        <v>90891.620522610436</v>
      </c>
      <c r="AF22" s="204">
        <f t="shared" si="11"/>
        <v>151650.05805841475</v>
      </c>
      <c r="AG22" s="943">
        <f>(DEN!$F122+DEN!$G122+DEN!$L122)*ONSV_2013!H13</f>
        <v>67932.972258822178</v>
      </c>
      <c r="AH22" s="942">
        <f>(DEN!$F122+DEN!$G122+DEN!$L122)*ONSV_2013!$I13*(COMB_CORR!E14-SUM(DIST_GAS_MOT!AJ23:AM23))/(COMB_CORR!E14-SUM(DIST_GAS_MOT!AJ23:AM23)+0.75*(COMB_CORR!J14))</f>
        <v>106993.63728186625</v>
      </c>
      <c r="AI22" s="206">
        <f t="shared" si="12"/>
        <v>174926.60954068843</v>
      </c>
      <c r="AJ22" s="55" t="e">
        <f>(DEN!$F158+DEN!$G158+DEN!$L158)*$K$3</f>
        <v>#DIV/0!</v>
      </c>
      <c r="AK22" s="205" t="e">
        <f>IF(FLEX!Q16="GAS",((DEN!$F158+DEN!$G158+DEN!$L158)*$K$5),((DEN!$F158+DEN!$G158+DEN!$L158)*$K$5*0.05))</f>
        <v>#DIV/0!</v>
      </c>
      <c r="AL22" s="206" t="e">
        <f t="shared" si="19"/>
        <v>#DIV/0!</v>
      </c>
    </row>
    <row r="23" spans="1:38" ht="15.75" thickBot="1">
      <c r="A23" s="130" t="s">
        <v>23</v>
      </c>
      <c r="B23" s="920">
        <f>(DEN!$C15)*ONSV_2013!B14</f>
        <v>149234.00420116758</v>
      </c>
      <c r="C23" s="202">
        <f>GNV!B16</f>
        <v>46748</v>
      </c>
      <c r="D23" s="940">
        <f>DEN!$C15*ONSV_2013!$C14*(COMB_CORR!B15-SUM(DIST_GAS_MOT!X24:AA24))/(COMB_CORR!B15-SUM(DIST_GAS_MOT!X24:AA24)+0.75*(COMB_CORR!G15))</f>
        <v>286859.70818028122</v>
      </c>
      <c r="E23" s="202">
        <f t="shared" si="8"/>
        <v>389345.71238144883</v>
      </c>
      <c r="F23" s="920">
        <f>(DEN!$C51)*ONSV_2013!B14</f>
        <v>163362.95702315925</v>
      </c>
      <c r="G23" s="204">
        <f>GNV!C16</f>
        <v>47027</v>
      </c>
      <c r="H23" s="940">
        <f>DEN!$C51*ONSV_2013!$C14*(COMB_CORR!C15-SUM(DIST_GAS_MOT!AB24:AE24))/(COMB_CORR!C15-SUM(DIST_GAS_MOT!AB24:AE24)+0.75*(COMB_CORR!H15))</f>
        <v>335732.8963110469</v>
      </c>
      <c r="I23" s="202">
        <f t="shared" si="4"/>
        <v>452068.85333420616</v>
      </c>
      <c r="J23" s="920">
        <f>(DEN!$C87)*ONSV_2013!B14</f>
        <v>179451.0627568489</v>
      </c>
      <c r="K23" s="202">
        <f>GNV!D16</f>
        <v>48634.027143782849</v>
      </c>
      <c r="L23" s="940">
        <f>DEN!$C87*ONSV_2013!$C14*(COMB_CORR!D15-SUM(DIST_GAS_MOT!AF24:AI24))/(COMB_CORR!D15-SUM(DIST_GAS_MOT!AF24:AI24)+0.75*(COMB_CORR!I15))</f>
        <v>397052.83429443708</v>
      </c>
      <c r="M23" s="202">
        <f t="shared" si="16"/>
        <v>527869.86990750313</v>
      </c>
      <c r="N23" s="920">
        <f>(DEN!$C123)*ONSV_2013!B14</f>
        <v>195464.70894996641</v>
      </c>
      <c r="O23" s="204">
        <f>GNV!E16</f>
        <v>41928.013571891424</v>
      </c>
      <c r="P23" s="941">
        <f>DEN!$C123*ONSV_2013!$C14*(COMB_CORR!E15-SUM(DIST_GAS_MOT!AJ24:AM24))/(COMB_CORR!E15-SUM(DIST_GAS_MOT!AJ24:AM24)+0.75*(COMB_CORR!J15))</f>
        <v>455064.25134222134</v>
      </c>
      <c r="Q23" s="202">
        <f t="shared" si="17"/>
        <v>608600.94672029628</v>
      </c>
      <c r="R23" s="30" t="e">
        <f>(DEN!$C159)*DIST_GAS_LEV!$K$2</f>
        <v>#DIV/0!</v>
      </c>
      <c r="S23" s="202">
        <f>GNV!F16</f>
        <v>35222</v>
      </c>
      <c r="T23" s="205" t="e">
        <f>IF(FLEX!Q17="GAS",(DEN!$C159*$K$4),(DEN!$C159*$K$4*0.05))</f>
        <v>#DIV/0!</v>
      </c>
      <c r="U23" s="207" t="e">
        <f t="shared" si="18"/>
        <v>#DIV/0!</v>
      </c>
      <c r="W23" s="130" t="s">
        <v>23</v>
      </c>
      <c r="X23" s="943">
        <f>(DEN!$F15+DEN!$G15+DEN!$L15)*ONSV_2013!H14</f>
        <v>19724.762945436443</v>
      </c>
      <c r="Y23" s="942">
        <f>(DEN!$F15+DEN!$G15+DEN!$L15)*ONSV_2013!$I14*(COMB_CORR!B15-SUM(DIST_GAS_MOT!X24:AA24))/(COMB_CORR!B15-SUM(DIST_GAS_MOT!X24:AA24)+0.75*(COMB_CORR!G15))</f>
        <v>36083.075129357137</v>
      </c>
      <c r="Z23" s="204">
        <f t="shared" si="9"/>
        <v>55807.838074793581</v>
      </c>
      <c r="AA23" s="943">
        <f>(DEN!$F51+DEN!$G51+DEN!$L51)*ONSV_2013!H14</f>
        <v>22029.12749118494</v>
      </c>
      <c r="AB23" s="942">
        <f>(DEN!$F51+DEN!$G51+DEN!$L51)*ONSV_2013!$I14*(COMB_CORR!C15-SUM(DIST_GAS_MOT!AB24:AE24))/(COMB_CORR!C15-SUM(DIST_GAS_MOT!AB24:AE24)+0.75*(COMB_CORR!H15))</f>
        <v>43085.148809719547</v>
      </c>
      <c r="AC23" s="204">
        <f t="shared" si="10"/>
        <v>65114.276300904487</v>
      </c>
      <c r="AD23" s="943">
        <f>(DEN!$F87+DEN!$G87+DEN!$L87)*ONSV_2013!H14</f>
        <v>24618.680491898358</v>
      </c>
      <c r="AE23" s="942">
        <f>(DEN!$F87+DEN!$G87+DEN!$L87)*ONSV_2013!$I14*(COMB_CORR!D15-SUM(DIST_GAS_MOT!AF24:AI24))/(COMB_CORR!D15-SUM(DIST_GAS_MOT!AF24:AI24)+0.75*(COMB_CORR!I15))</f>
        <v>51839.04922615469</v>
      </c>
      <c r="AF23" s="204">
        <f t="shared" si="11"/>
        <v>76457.729718053044</v>
      </c>
      <c r="AG23" s="943">
        <f>(DEN!$F123+DEN!$G123+DEN!$L123)*ONSV_2013!H14</f>
        <v>27233.630054866375</v>
      </c>
      <c r="AH23" s="942">
        <f>(DEN!$F123+DEN!$G123+DEN!$L123)*ONSV_2013!$I14*(COMB_CORR!E15-SUM(DIST_GAS_MOT!AJ24:AM24))/(COMB_CORR!E15-SUM(DIST_GAS_MOT!AJ24:AM24)+0.75*(COMB_CORR!J15))</f>
        <v>60339.246995606227</v>
      </c>
      <c r="AI23" s="206">
        <f t="shared" si="12"/>
        <v>87572.877050472598</v>
      </c>
      <c r="AJ23" s="55" t="e">
        <f>(DEN!$F159+DEN!$G159+DEN!$L159)*$K$3</f>
        <v>#DIV/0!</v>
      </c>
      <c r="AK23" s="205" t="e">
        <f>IF(FLEX!Q17="GAS",((DEN!$F159+DEN!$G159+DEN!$L159)*$K$5),((DEN!$F159+DEN!$G159+DEN!$L159)*$K$5*0.05))</f>
        <v>#DIV/0!</v>
      </c>
      <c r="AL23" s="206" t="e">
        <f t="shared" si="19"/>
        <v>#DIV/0!</v>
      </c>
    </row>
    <row r="24" spans="1:38" ht="15.75" thickBot="1">
      <c r="A24" s="130" t="s">
        <v>24</v>
      </c>
      <c r="B24" s="920">
        <f>(DEN!$C16)*ONSV_2013!B15</f>
        <v>76132.867892127018</v>
      </c>
      <c r="C24" s="202">
        <f>GNV!B17</f>
        <v>0</v>
      </c>
      <c r="D24" s="940">
        <f>DEN!$C16*ONSV_2013!$C15*(COMB_CORR!B16-SUM(DIST_GAS_MOT!X25:AA25))/(COMB_CORR!B16-SUM(DIST_GAS_MOT!X25:AA25)+0.75*(COMB_CORR!G16))</f>
        <v>82996.837246292518</v>
      </c>
      <c r="E24" s="202">
        <f t="shared" si="8"/>
        <v>159129.70513841952</v>
      </c>
      <c r="F24" s="920">
        <f>(DEN!$C52)*ONSV_2013!B15</f>
        <v>86966.61408090475</v>
      </c>
      <c r="G24" s="204">
        <f>GNV!C17</f>
        <v>0</v>
      </c>
      <c r="H24" s="940">
        <f>DEN!$C52*ONSV_2013!$C15*(COMB_CORR!C16-SUM(DIST_GAS_MOT!AB25:AE25))/(COMB_CORR!C16-SUM(DIST_GAS_MOT!AB25:AE25)+0.75*(COMB_CORR!H16))</f>
        <v>113602.76028762051</v>
      </c>
      <c r="I24" s="202">
        <f t="shared" si="4"/>
        <v>200569.37436852526</v>
      </c>
      <c r="J24" s="920">
        <f>(DEN!$C88)*ONSV_2013!B15</f>
        <v>99288.483224010444</v>
      </c>
      <c r="K24" s="202">
        <f>GNV!D17</f>
        <v>0</v>
      </c>
      <c r="L24" s="940">
        <f>DEN!$C88*ONSV_2013!$C15*(COMB_CORR!D16-SUM(DIST_GAS_MOT!AF25:AI25))/(COMB_CORR!D16-SUM(DIST_GAS_MOT!AF25:AI25)+0.75*(COMB_CORR!I16))</f>
        <v>146654.84292305034</v>
      </c>
      <c r="M24" s="202">
        <f t="shared" si="16"/>
        <v>245943.32614706078</v>
      </c>
      <c r="N24" s="920">
        <f>(DEN!$C124)*ONSV_2013!B15</f>
        <v>109300.52018268814</v>
      </c>
      <c r="O24" s="204">
        <f>GNV!E17</f>
        <v>84.5</v>
      </c>
      <c r="P24" s="941">
        <f>DEN!$C124*ONSV_2013!$C15*(COMB_CORR!E16-SUM(DIST_GAS_MOT!AJ25:AM25))/(COMB_CORR!E16-SUM(DIST_GAS_MOT!AJ25:AM25)+0.75*(COMB_CORR!J16))</f>
        <v>166410.25660985828</v>
      </c>
      <c r="Q24" s="202">
        <f t="shared" si="17"/>
        <v>275626.27679254638</v>
      </c>
      <c r="R24" s="30" t="e">
        <f>(DEN!$C160)*DIST_GAS_LEV!$K$2</f>
        <v>#DIV/0!</v>
      </c>
      <c r="S24" s="202">
        <f>GNV!F17</f>
        <v>169</v>
      </c>
      <c r="T24" s="205" t="e">
        <f>IF(FLEX!Q18="GAS",(DEN!$C160*$K$4),(DEN!$C160*$K$4*0.05))</f>
        <v>#DIV/0!</v>
      </c>
      <c r="U24" s="207" t="e">
        <f t="shared" si="18"/>
        <v>#DIV/0!</v>
      </c>
      <c r="W24" s="130" t="s">
        <v>24</v>
      </c>
      <c r="X24" s="943">
        <f>(DEN!$F16+DEN!$G16+DEN!$L16)*ONSV_2013!H15</f>
        <v>13710.11556273102</v>
      </c>
      <c r="Y24" s="942">
        <f>(DEN!$F16+DEN!$G16+DEN!$L16)*ONSV_2013!$I15*(COMB_CORR!B16-SUM(DIST_GAS_MOT!X25:AA25))/(COMB_CORR!B16-SUM(DIST_GAS_MOT!X25:AA25)+0.75*(COMB_CORR!G16))</f>
        <v>14224.366216356644</v>
      </c>
      <c r="Z24" s="204">
        <f t="shared" si="9"/>
        <v>27934.481779087662</v>
      </c>
      <c r="AA24" s="943">
        <f>(DEN!$F52+DEN!$G52+DEN!$L52)*ONSV_2013!H15</f>
        <v>16214.549305349025</v>
      </c>
      <c r="AB24" s="942">
        <f>(DEN!$F52+DEN!$G52+DEN!$L52)*ONSV_2013!$I15*(COMB_CORR!C16-SUM(DIST_GAS_MOT!AB25:AE25))/(COMB_CORR!C16-SUM(DIST_GAS_MOT!AB25:AE25)+0.75*(COMB_CORR!H16))</f>
        <v>20157.824508964066</v>
      </c>
      <c r="AC24" s="204">
        <f t="shared" si="10"/>
        <v>36372.37381431309</v>
      </c>
      <c r="AD24" s="943">
        <f>(DEN!$F88+DEN!$G88+DEN!$L88)*ONSV_2013!H15</f>
        <v>19234.376810978458</v>
      </c>
      <c r="AE24" s="942">
        <f>(DEN!$F88+DEN!$G88+DEN!$L88)*ONSV_2013!$I15*(COMB_CORR!D16-SUM(DIST_GAS_MOT!AF25:AI25))/(COMB_CORR!D16-SUM(DIST_GAS_MOT!AF25:AI25)+0.75*(COMB_CORR!I16))</f>
        <v>27038.22071388386</v>
      </c>
      <c r="AF24" s="204">
        <f t="shared" si="11"/>
        <v>46272.597524862314</v>
      </c>
      <c r="AG24" s="943">
        <f>(DEN!$F124+DEN!$G124+DEN!$L124)*ONSV_2013!H15</f>
        <v>22072.619917576583</v>
      </c>
      <c r="AH24" s="942">
        <f>(DEN!$F124+DEN!$G124+DEN!$L124)*ONSV_2013!$I15*(COMB_CORR!E16-SUM(DIST_GAS_MOT!AJ25:AM25))/(COMB_CORR!E16-SUM(DIST_GAS_MOT!AJ25:AM25)+0.75*(COMB_CORR!J16))</f>
        <v>31982.632120605173</v>
      </c>
      <c r="AI24" s="206">
        <f t="shared" si="12"/>
        <v>54055.252038181759</v>
      </c>
      <c r="AJ24" s="55" t="e">
        <f>(DEN!$F160+DEN!$G160+DEN!$L160)*$K$3</f>
        <v>#DIV/0!</v>
      </c>
      <c r="AK24" s="205" t="e">
        <f>IF(FLEX!Q18="GAS",((DEN!$F160+DEN!$G160+DEN!$L160)*$K$5),((DEN!$F160+DEN!$G160+DEN!$L160)*$K$5*0.05))</f>
        <v>#DIV/0!</v>
      </c>
      <c r="AL24" s="206" t="e">
        <f t="shared" si="19"/>
        <v>#DIV/0!</v>
      </c>
    </row>
    <row r="25" spans="1:38" ht="15.75" thickBot="1">
      <c r="A25" s="130" t="s">
        <v>25</v>
      </c>
      <c r="B25" s="920">
        <f>(DEN!$C17)*ONSV_2013!B16</f>
        <v>73730.321744156405</v>
      </c>
      <c r="C25" s="202">
        <f>GNV!B18</f>
        <v>17661</v>
      </c>
      <c r="D25" s="940">
        <f>DEN!$C17*ONSV_2013!$C16*(COMB_CORR!B17-SUM(DIST_GAS_MOT!X26:AA26))/(COMB_CORR!B17-SUM(DIST_GAS_MOT!X26:AA26)+0.75*(COMB_CORR!G17))</f>
        <v>132282.15058014123</v>
      </c>
      <c r="E25" s="202">
        <f t="shared" si="8"/>
        <v>188351.47232429765</v>
      </c>
      <c r="F25" s="920">
        <f>(DEN!$C53)*ONSV_2013!B16</f>
        <v>80955.612017072053</v>
      </c>
      <c r="G25" s="204">
        <f>GNV!C18</f>
        <v>17661</v>
      </c>
      <c r="H25" s="940">
        <f>DEN!$C53*ONSV_2013!$C16*(COMB_CORR!C17-SUM(DIST_GAS_MOT!AB26:AE26))/(COMB_CORR!C17-SUM(DIST_GAS_MOT!AB26:AE26)+0.75*(COMB_CORR!H17))</f>
        <v>159537.56579725529</v>
      </c>
      <c r="I25" s="202">
        <f t="shared" si="4"/>
        <v>222832.17781432736</v>
      </c>
      <c r="J25" s="920">
        <f>(DEN!$C89)*ONSV_2013!B16</f>
        <v>89628.186518022325</v>
      </c>
      <c r="K25" s="202">
        <f>GNV!D18</f>
        <v>17661</v>
      </c>
      <c r="L25" s="940">
        <f>DEN!$C89*ONSV_2013!$C16*(COMB_CORR!D17-SUM(DIST_GAS_MOT!AF26:AI26))/(COMB_CORR!D17-SUM(DIST_GAS_MOT!AF26:AI26)+0.75*(COMB_CORR!I17))</f>
        <v>189912.11483579932</v>
      </c>
      <c r="M25" s="202">
        <f t="shared" si="16"/>
        <v>261879.30135382165</v>
      </c>
      <c r="N25" s="920">
        <f>(DEN!$C125)*ONSV_2013!B16</f>
        <v>97553.906974455022</v>
      </c>
      <c r="O25" s="204">
        <f>GNV!E18</f>
        <v>19263</v>
      </c>
      <c r="P25" s="941">
        <f>DEN!$C125*ONSV_2013!$C16*(COMB_CORR!E17-SUM(DIST_GAS_MOT!AJ26:AM26))/(COMB_CORR!E17-SUM(DIST_GAS_MOT!AJ26:AM26)+0.75*(COMB_CORR!J17))</f>
        <v>214839.70127814496</v>
      </c>
      <c r="Q25" s="202">
        <f t="shared" si="17"/>
        <v>293130.60825259995</v>
      </c>
      <c r="R25" s="30" t="e">
        <f>(DEN!$C161)*DIST_GAS_LEV!$K$2</f>
        <v>#DIV/0!</v>
      </c>
      <c r="S25" s="202">
        <f>GNV!F18</f>
        <v>20865</v>
      </c>
      <c r="T25" s="205" t="e">
        <f>IF(FLEX!Q19="GAS",(DEN!$C161*$K$4),(DEN!$C161*$K$4*0.05))</f>
        <v>#DIV/0!</v>
      </c>
      <c r="U25" s="207" t="e">
        <f t="shared" si="18"/>
        <v>#DIV/0!</v>
      </c>
      <c r="W25" s="130" t="s">
        <v>25</v>
      </c>
      <c r="X25" s="943">
        <f>(DEN!$F17+DEN!$G17+DEN!$L17)*ONSV_2013!H16</f>
        <v>9623.3361854541836</v>
      </c>
      <c r="Y25" s="942">
        <f>(DEN!$F17+DEN!$G17+DEN!$L17)*ONSV_2013!$I16*(COMB_CORR!B17-SUM(DIST_GAS_MOT!X26:AA26))/(COMB_CORR!B17-SUM(DIST_GAS_MOT!X26:AA26)+0.75*(COMB_CORR!G17))</f>
        <v>16431.525938910145</v>
      </c>
      <c r="Z25" s="204">
        <f t="shared" si="9"/>
        <v>26054.862124364328</v>
      </c>
      <c r="AA25" s="943">
        <f>(DEN!$F53+DEN!$G53+DEN!$L53)*ONSV_2013!H16</f>
        <v>10667.49577156502</v>
      </c>
      <c r="AB25" s="942">
        <f>(DEN!$F53+DEN!$G53+DEN!$L53)*ONSV_2013!$I16*(COMB_CORR!C17-SUM(DIST_GAS_MOT!AB26:AE26))/(COMB_CORR!C17-SUM(DIST_GAS_MOT!AB26:AE26)+0.75*(COMB_CORR!H17))</f>
        <v>20006.706519257445</v>
      </c>
      <c r="AC25" s="204">
        <f t="shared" si="10"/>
        <v>30674.202290822464</v>
      </c>
      <c r="AD25" s="943">
        <f>(DEN!$F89+DEN!$G89+DEN!$L89)*ONSV_2013!H16</f>
        <v>11950.643120087554</v>
      </c>
      <c r="AE25" s="942">
        <f>(DEN!$F89+DEN!$G89+DEN!$L89)*ONSV_2013!$I16*(COMB_CORR!D17-SUM(DIST_GAS_MOT!AF26:AI26))/(COMB_CORR!D17-SUM(DIST_GAS_MOT!AF26:AI26)+0.75*(COMB_CORR!I17))</f>
        <v>24098.857808474051</v>
      </c>
      <c r="AF25" s="204">
        <f t="shared" si="11"/>
        <v>36049.500928561603</v>
      </c>
      <c r="AG25" s="943">
        <f>(DEN!$F125+DEN!$G125+DEN!$L125)*ONSV_2013!H16</f>
        <v>13335.62471395881</v>
      </c>
      <c r="AH25" s="942">
        <f>(DEN!$F125+DEN!$G125+DEN!$L125)*ONSV_2013!$I16*(COMB_CORR!E17-SUM(DIST_GAS_MOT!AJ26:AM26))/(COMB_CORR!E17-SUM(DIST_GAS_MOT!AJ26:AM26)+0.75*(COMB_CORR!J17))</f>
        <v>27949.906465993707</v>
      </c>
      <c r="AI25" s="206">
        <f t="shared" si="12"/>
        <v>41285.531179952515</v>
      </c>
      <c r="AJ25" s="55" t="e">
        <f>(DEN!$F161+DEN!$G161+DEN!$L161)*$K$3</f>
        <v>#DIV/0!</v>
      </c>
      <c r="AK25" s="205" t="e">
        <f>IF(FLEX!Q19="GAS",((DEN!$F161+DEN!$G161+DEN!$L161)*$K$5),((DEN!$F161+DEN!$G161+DEN!$L161)*$K$5*0.05))</f>
        <v>#DIV/0!</v>
      </c>
      <c r="AL25" s="206" t="e">
        <f t="shared" si="19"/>
        <v>#DIV/0!</v>
      </c>
    </row>
    <row r="26" spans="1:38" ht="15.75" thickBot="1">
      <c r="A26" s="130" t="s">
        <v>26</v>
      </c>
      <c r="B26" s="920">
        <f>(DEN!$C18)*ONSV_2013!B17</f>
        <v>214693.32855649202</v>
      </c>
      <c r="C26" s="202">
        <f>GNV!B19</f>
        <v>46189</v>
      </c>
      <c r="D26" s="940">
        <f>DEN!$C18*ONSV_2013!$C17*(COMB_CORR!B18-SUM(DIST_GAS_MOT!X27:AA27))/(COMB_CORR!B18-SUM(DIST_GAS_MOT!X27:AA27)+0.75*(COMB_CORR!G18))</f>
        <v>288174.28686573799</v>
      </c>
      <c r="E26" s="202">
        <f t="shared" si="8"/>
        <v>456678.61542222998</v>
      </c>
      <c r="F26" s="920">
        <f>(DEN!$C54)*ONSV_2013!B17</f>
        <v>233613.24512166332</v>
      </c>
      <c r="G26" s="204">
        <f>GNV!C19</f>
        <v>46364</v>
      </c>
      <c r="H26" s="940">
        <f>DEN!$C54*ONSV_2013!$C17*(COMB_CORR!C18-SUM(DIST_GAS_MOT!AB27:AE27))/(COMB_CORR!C18-SUM(DIST_GAS_MOT!AB27:AE27)+0.75*(COMB_CORR!H18))</f>
        <v>355267.58067330433</v>
      </c>
      <c r="I26" s="202">
        <f t="shared" si="4"/>
        <v>542516.82579496759</v>
      </c>
      <c r="J26" s="920">
        <f>(DEN!$C90)*ONSV_2013!B17</f>
        <v>256194.54052008109</v>
      </c>
      <c r="K26" s="202">
        <f>GNV!D19</f>
        <v>47371.991936064514</v>
      </c>
      <c r="L26" s="940">
        <f>DEN!$C90*ONSV_2013!$C17*(COMB_CORR!D18-SUM(DIST_GAS_MOT!AF27:AI27))/(COMB_CORR!D18-SUM(DIST_GAS_MOT!AF27:AI27)+0.75*(COMB_CORR!I18))</f>
        <v>460600.18355706078</v>
      </c>
      <c r="M26" s="202">
        <f t="shared" si="16"/>
        <v>669422.73214107729</v>
      </c>
      <c r="N26" s="920">
        <f>(DEN!$C126)*ONSV_2013!B17</f>
        <v>278120.05795167945</v>
      </c>
      <c r="O26" s="204">
        <f>GNV!E19</f>
        <v>45547.995968032257</v>
      </c>
      <c r="P26" s="941">
        <f>DEN!$C126*ONSV_2013!$C17*(COMB_CORR!E18-SUM(DIST_GAS_MOT!AJ27:AM27))/(COMB_CORR!E18-SUM(DIST_GAS_MOT!AJ27:AM27)+0.75*(COMB_CORR!J18))</f>
        <v>520561.06220649503</v>
      </c>
      <c r="Q26" s="202">
        <f t="shared" si="17"/>
        <v>753133.12419014226</v>
      </c>
      <c r="R26" s="30" t="e">
        <f>(DEN!$C162)*DIST_GAS_LEV!$K$2</f>
        <v>#DIV/0!</v>
      </c>
      <c r="S26" s="202">
        <f>GNV!F19</f>
        <v>43724</v>
      </c>
      <c r="T26" s="205" t="e">
        <f>IF(FLEX!Q20="GAS",(DEN!$C162*$K$4),(DEN!$C162*$K$4*0.05))</f>
        <v>#DIV/0!</v>
      </c>
      <c r="U26" s="207" t="e">
        <f t="shared" si="18"/>
        <v>#DIV/0!</v>
      </c>
      <c r="W26" s="130" t="s">
        <v>26</v>
      </c>
      <c r="X26" s="943">
        <f>(DEN!$F18+DEN!$G18+DEN!$L18)*ONSV_2013!H17</f>
        <v>28119.48703170029</v>
      </c>
      <c r="Y26" s="942">
        <f>(DEN!$F18+DEN!$G18+DEN!$L18)*ONSV_2013!$I17*(COMB_CORR!B18-SUM(DIST_GAS_MOT!X27:AA27))/(COMB_CORR!B18-SUM(DIST_GAS_MOT!X27:AA27)+0.75*(COMB_CORR!G18))</f>
        <v>35920.249468146554</v>
      </c>
      <c r="Z26" s="204">
        <f t="shared" si="9"/>
        <v>64039.73649984684</v>
      </c>
      <c r="AA26" s="943">
        <f>(DEN!$F54+DEN!$G54+DEN!$L54)*ONSV_2013!H17</f>
        <v>31349.350144092219</v>
      </c>
      <c r="AB26" s="942">
        <f>(DEN!$F54+DEN!$G54+DEN!$L54)*ONSV_2013!$I17*(COMB_CORR!C18-SUM(DIST_GAS_MOT!AB27:AE27))/(COMB_CORR!C18-SUM(DIST_GAS_MOT!AB27:AE27)+0.75*(COMB_CORR!H18))</f>
        <v>45371.373997018243</v>
      </c>
      <c r="AC26" s="204">
        <f t="shared" si="10"/>
        <v>76720.724141110462</v>
      </c>
      <c r="AD26" s="943">
        <f>(DEN!$F90+DEN!$G90+DEN!$L90)*ONSV_2013!H17</f>
        <v>35283.704610951012</v>
      </c>
      <c r="AE26" s="942">
        <f>(DEN!$F90+DEN!$G90+DEN!$L90)*ONSV_2013!$I17*(COMB_CORR!D18-SUM(DIST_GAS_MOT!AF27:AI27))/(COMB_CORR!D18-SUM(DIST_GAS_MOT!AF27:AI27)+0.75*(COMB_CORR!I18))</f>
        <v>60370.348940299569</v>
      </c>
      <c r="AF26" s="204">
        <f t="shared" si="11"/>
        <v>95654.053551250574</v>
      </c>
      <c r="AG26" s="943">
        <f>(DEN!$F126+DEN!$G126+DEN!$L126)*ONSV_2013!H17</f>
        <v>39584.831412103747</v>
      </c>
      <c r="AH26" s="942">
        <f>(DEN!$F126+DEN!$G126+DEN!$L126)*ONSV_2013!$I17*(COMB_CORR!E18-SUM(DIST_GAS_MOT!AJ27:AM27))/(COMB_CORR!E18-SUM(DIST_GAS_MOT!AJ27:AM27)+0.75*(COMB_CORR!J18))</f>
        <v>70512.066198402026</v>
      </c>
      <c r="AI26" s="206">
        <f t="shared" si="12"/>
        <v>110096.89761050578</v>
      </c>
      <c r="AJ26" s="55" t="e">
        <f>(DEN!$F162+DEN!$G162+DEN!$L162)*$K$3</f>
        <v>#DIV/0!</v>
      </c>
      <c r="AK26" s="205" t="e">
        <f>IF(FLEX!Q20="GAS",((DEN!$F162+DEN!$G162+DEN!$L162)*$K$5),((DEN!$F162+DEN!$G162+DEN!$L162)*$K$5*0.05))</f>
        <v>#DIV/0!</v>
      </c>
      <c r="AL26" s="206" t="e">
        <f t="shared" si="19"/>
        <v>#DIV/0!</v>
      </c>
    </row>
    <row r="27" spans="1:38" ht="15.75" thickBot="1">
      <c r="A27" s="130" t="s">
        <v>27</v>
      </c>
      <c r="B27" s="920">
        <f>(DEN!$C19)*ONSV_2013!B18</f>
        <v>25783.051267285649</v>
      </c>
      <c r="C27" s="202">
        <f>GNV!B20</f>
        <v>218</v>
      </c>
      <c r="D27" s="940">
        <f>DEN!$C19*ONSV_2013!$C18*(COMB_CORR!B19-SUM(DIST_GAS_MOT!X28:AA28))/(COMB_CORR!B19-SUM(DIST_GAS_MOT!X28:AA28)+0.75*(COMB_CORR!G19))</f>
        <v>102213.43537682711</v>
      </c>
      <c r="E27" s="202">
        <f t="shared" si="8"/>
        <v>127778.48664411277</v>
      </c>
      <c r="F27" s="920">
        <f>(DEN!$C55)*ONSV_2013!B18</f>
        <v>28915.295968193615</v>
      </c>
      <c r="G27" s="204">
        <f>GNV!C20</f>
        <v>218</v>
      </c>
      <c r="H27" s="940">
        <f>DEN!$C55*ONSV_2013!$C18*(COMB_CORR!C19-SUM(DIST_GAS_MOT!AB28:AE28))/(COMB_CORR!C19-SUM(DIST_GAS_MOT!AB28:AE28)+0.75*(COMB_CORR!H19))</f>
        <v>123246.74042430303</v>
      </c>
      <c r="I27" s="202">
        <f t="shared" si="4"/>
        <v>151944.03639249664</v>
      </c>
      <c r="J27" s="920">
        <f>(DEN!$C91)*ONSV_2013!B18</f>
        <v>32404.174146268353</v>
      </c>
      <c r="K27" s="202">
        <f>GNV!D20</f>
        <v>218</v>
      </c>
      <c r="L27" s="940">
        <f>DEN!$C91*ONSV_2013!$C18*(COMB_CORR!D19-SUM(DIST_GAS_MOT!AF28:AI28))/(COMB_CORR!D19-SUM(DIST_GAS_MOT!AF28:AI28)+0.75*(COMB_CORR!I19))</f>
        <v>140643.77044535836</v>
      </c>
      <c r="M27" s="202">
        <f t="shared" si="16"/>
        <v>172829.9445916267</v>
      </c>
      <c r="N27" s="920">
        <f>(DEN!$C127)*ONSV_2013!B18</f>
        <v>35970.009197977393</v>
      </c>
      <c r="O27" s="204">
        <f>GNV!E20</f>
        <v>370</v>
      </c>
      <c r="P27" s="941">
        <f>DEN!$C127*ONSV_2013!$C18*(COMB_CORR!E19-SUM(DIST_GAS_MOT!AJ28:AM28))/(COMB_CORR!E19-SUM(DIST_GAS_MOT!AJ28:AM28)+0.75*(COMB_CORR!J19))</f>
        <v>156641.57495076052</v>
      </c>
      <c r="Q27" s="202">
        <f t="shared" si="17"/>
        <v>192241.58414873792</v>
      </c>
      <c r="R27" s="30" t="e">
        <f>(DEN!$C163)*DIST_GAS_LEV!$K$2</f>
        <v>#DIV/0!</v>
      </c>
      <c r="S27" s="202">
        <f>GNV!F20</f>
        <v>522</v>
      </c>
      <c r="T27" s="205" t="e">
        <f>IF(FLEX!Q21="GAS",(DEN!$C163*$K$4),(DEN!$C163*$K$4*0.05))</f>
        <v>#DIV/0!</v>
      </c>
      <c r="U27" s="207" t="e">
        <f t="shared" si="18"/>
        <v>#DIV/0!</v>
      </c>
      <c r="W27" s="130" t="s">
        <v>27</v>
      </c>
      <c r="X27" s="943">
        <f>(DEN!$F19+DEN!$G19+DEN!$L19)*ONSV_2013!H18</f>
        <v>3806.2026997806811</v>
      </c>
      <c r="Y27" s="942">
        <f>(DEN!$F19+DEN!$G19+DEN!$L19)*ONSV_2013!$I18*(COMB_CORR!B19-SUM(DIST_GAS_MOT!X28:AA28))/(COMB_CORR!B19-SUM(DIST_GAS_MOT!X28:AA28)+0.75*(COMB_CORR!G19))</f>
        <v>14360.884362848092</v>
      </c>
      <c r="Z27" s="204">
        <f t="shared" si="9"/>
        <v>18167.087062628772</v>
      </c>
      <c r="AA27" s="943">
        <f>(DEN!$F55+DEN!$G55+DEN!$L55)*ONSV_2013!H18</f>
        <v>4277.0388904333859</v>
      </c>
      <c r="AB27" s="942">
        <f>(DEN!$F55+DEN!$G55+DEN!$L55)*ONSV_2013!$I18*(COMB_CORR!C19-SUM(DIST_GAS_MOT!AB28:AE28))/(COMB_CORR!C19-SUM(DIST_GAS_MOT!AB28:AE28)+0.75*(COMB_CORR!H19))</f>
        <v>17350.284425119087</v>
      </c>
      <c r="AC27" s="204">
        <f t="shared" si="10"/>
        <v>21627.323315552472</v>
      </c>
      <c r="AD27" s="943">
        <f>(DEN!$F91+DEN!$G91+DEN!$L91)*ONSV_2013!H18</f>
        <v>4732.3145831402708</v>
      </c>
      <c r="AE27" s="942">
        <f>(DEN!$F91+DEN!$G91+DEN!$L91)*ONSV_2013!$I18*(COMB_CORR!D19-SUM(DIST_GAS_MOT!AF28:AI28))/(COMB_CORR!D19-SUM(DIST_GAS_MOT!AF28:AI28)+0.75*(COMB_CORR!I19))</f>
        <v>19548.288925653149</v>
      </c>
      <c r="AF27" s="204">
        <f t="shared" si="11"/>
        <v>24280.603508793421</v>
      </c>
      <c r="AG27" s="943">
        <f>(DEN!$F127+DEN!$G127+DEN!$L127)*ONSV_2013!H18</f>
        <v>5343.3700923609176</v>
      </c>
      <c r="AH27" s="942">
        <f>(DEN!$F127+DEN!$G127+DEN!$L127)*ONSV_2013!$I18*(COMB_CORR!E19-SUM(DIST_GAS_MOT!AJ28:AM28))/(COMB_CORR!E19-SUM(DIST_GAS_MOT!AJ28:AM28)+0.75*(COMB_CORR!J19))</f>
        <v>22146.104598700607</v>
      </c>
      <c r="AI27" s="206">
        <f t="shared" si="12"/>
        <v>27489.474691061525</v>
      </c>
      <c r="AJ27" s="55" t="e">
        <f>(DEN!$F163+DEN!$G163+DEN!$L163)*$K$3</f>
        <v>#DIV/0!</v>
      </c>
      <c r="AK27" s="205" t="e">
        <f>IF(FLEX!Q21="GAS",((DEN!$F163+DEN!$G163+DEN!$L163)*$K$5),((DEN!$F163+DEN!$G163+DEN!$L163)*$K$5*0.05))</f>
        <v>#DIV/0!</v>
      </c>
      <c r="AL27" s="206" t="e">
        <f t="shared" si="19"/>
        <v>#DIV/0!</v>
      </c>
    </row>
    <row r="28" spans="1:38" ht="26.25" thickBot="1">
      <c r="A28" s="130" t="s">
        <v>28</v>
      </c>
      <c r="B28" s="920">
        <f>(DEN!$C20)*ONSV_2013!B19</f>
        <v>105601.31496477996</v>
      </c>
      <c r="C28" s="202">
        <f>GNV!B21</f>
        <v>38358</v>
      </c>
      <c r="D28" s="940">
        <f>DEN!$C20*ONSV_2013!$C19*(COMB_CORR!B20-SUM(DIST_GAS_MOT!X29:AA29))/(COMB_CORR!B20-SUM(DIST_GAS_MOT!X29:AA29)+0.75*(COMB_CORR!G20))</f>
        <v>121366.78247157353</v>
      </c>
      <c r="E28" s="202">
        <f t="shared" si="8"/>
        <v>188610.09743635351</v>
      </c>
      <c r="F28" s="920">
        <f>(DEN!$C56)*ONSV_2013!B19</f>
        <v>115691.89832126095</v>
      </c>
      <c r="G28" s="204">
        <f>GNV!C21</f>
        <v>38453</v>
      </c>
      <c r="H28" s="940">
        <f>DEN!$C56*ONSV_2013!$C19*(COMB_CORR!C20-SUM(DIST_GAS_MOT!AB29:AE29))/(COMB_CORR!C20-SUM(DIST_GAS_MOT!AB29:AE29)+0.75*(COMB_CORR!H20))</f>
        <v>144156.28472061123</v>
      </c>
      <c r="I28" s="202">
        <f t="shared" si="4"/>
        <v>221395.18304187217</v>
      </c>
      <c r="J28" s="920">
        <f>(DEN!$C92)*ONSV_2013!B19</f>
        <v>126306.01714350833</v>
      </c>
      <c r="K28" s="202">
        <f>GNV!D21</f>
        <v>39000.195622435022</v>
      </c>
      <c r="L28" s="940">
        <f>DEN!$C92*ONSV_2013!$C19*(COMB_CORR!D20-SUM(DIST_GAS_MOT!AF29:AI29))/(COMB_CORR!D20-SUM(DIST_GAS_MOT!AF29:AI29)+0.75*(COMB_CORR!I20))</f>
        <v>170781.12941683951</v>
      </c>
      <c r="M28" s="202">
        <f t="shared" si="16"/>
        <v>258086.95093791283</v>
      </c>
      <c r="N28" s="920">
        <f>(DEN!$C128)*ONSV_2013!B19</f>
        <v>137065.7238449321</v>
      </c>
      <c r="O28" s="204">
        <f>GNV!E21</f>
        <v>41361.097811217507</v>
      </c>
      <c r="P28" s="941">
        <f>DEN!$C128*ONSV_2013!$C19*(COMB_CORR!E20-SUM(DIST_GAS_MOT!AJ29:AM29))/(COMB_CORR!E20-SUM(DIST_GAS_MOT!AJ29:AM29)+0.75*(COMB_CORR!J20))</f>
        <v>191886.93547870865</v>
      </c>
      <c r="Q28" s="202">
        <f t="shared" si="17"/>
        <v>287591.56151242321</v>
      </c>
      <c r="R28" s="30" t="e">
        <f>(DEN!$C164)*DIST_GAS_LEV!$K$2</f>
        <v>#DIV/0!</v>
      </c>
      <c r="S28" s="202">
        <f>GNV!F21</f>
        <v>43722</v>
      </c>
      <c r="T28" s="205" t="e">
        <f>IF(FLEX!Q22="GAS",(DEN!$C164*$K$4),(DEN!$C164*$K$4*0.05))</f>
        <v>#DIV/0!</v>
      </c>
      <c r="U28" s="207" t="e">
        <f t="shared" si="18"/>
        <v>#DIV/0!</v>
      </c>
      <c r="W28" s="130" t="s">
        <v>28</v>
      </c>
      <c r="X28" s="943">
        <f>(DEN!$F20+DEN!$G20+DEN!$L20)*ONSV_2013!H19</f>
        <v>14389.141443669891</v>
      </c>
      <c r="Y28" s="942">
        <f>(DEN!$F20+DEN!$G20+DEN!$L20)*ONSV_2013!$I19*(COMB_CORR!B20-SUM(DIST_GAS_MOT!X29:AA29))/(COMB_CORR!B20-SUM(DIST_GAS_MOT!X29:AA29)+0.75*(COMB_CORR!G20))</f>
        <v>15738.497485397316</v>
      </c>
      <c r="Z28" s="204">
        <f t="shared" si="9"/>
        <v>30127.638929067209</v>
      </c>
      <c r="AA28" s="943">
        <f>(DEN!$F56+DEN!$G56+DEN!$L56)*ONSV_2013!H19</f>
        <v>16125.260080716747</v>
      </c>
      <c r="AB28" s="942">
        <f>(DEN!$F56+DEN!$G56+DEN!$L56)*ONSV_2013!$I19*(COMB_CORR!C20-SUM(DIST_GAS_MOT!AB29:AE29))/(COMB_CORR!C20-SUM(DIST_GAS_MOT!AB29:AE29)+0.75*(COMB_CORR!H20))</f>
        <v>19122.084655584822</v>
      </c>
      <c r="AC28" s="204">
        <f t="shared" si="10"/>
        <v>35247.344736301573</v>
      </c>
      <c r="AD28" s="943">
        <f>(DEN!$F92+DEN!$G92+DEN!$L92)*ONSV_2013!H19</f>
        <v>17986.062940125219</v>
      </c>
      <c r="AE28" s="942">
        <f>(DEN!$F92+DEN!$G92+DEN!$L92)*ONSV_2013!$I19*(COMB_CORR!D20-SUM(DIST_GAS_MOT!AF29:AI29))/(COMB_CORR!D20-SUM(DIST_GAS_MOT!AF29:AI29)+0.75*(COMB_CORR!I20))</f>
        <v>23144.607728519793</v>
      </c>
      <c r="AF28" s="204">
        <f t="shared" si="11"/>
        <v>41130.670668645012</v>
      </c>
      <c r="AG28" s="943">
        <f>(DEN!$F128+DEN!$G128+DEN!$L128)*ONSV_2013!H19</f>
        <v>19899.262282082542</v>
      </c>
      <c r="AH28" s="942">
        <f>(DEN!$F128+DEN!$G128+DEN!$L128)*ONSV_2013!$I19*(COMB_CORR!E20-SUM(DIST_GAS_MOT!AJ29:AM29))/(COMB_CORR!E20-SUM(DIST_GAS_MOT!AJ29:AM29)+0.75*(COMB_CORR!J20))</f>
        <v>26512.54350835162</v>
      </c>
      <c r="AI28" s="206">
        <f t="shared" si="12"/>
        <v>46411.805790434162</v>
      </c>
      <c r="AJ28" s="55" t="e">
        <f>(DEN!$F164+DEN!$G164+DEN!$L164)*$K$3</f>
        <v>#DIV/0!</v>
      </c>
      <c r="AK28" s="205" t="e">
        <f>IF(FLEX!Q22="GAS",((DEN!$F164+DEN!$G164+DEN!$L164)*$K$5),((DEN!$F164+DEN!$G164+DEN!$L164)*$K$5*0.05))</f>
        <v>#DIV/0!</v>
      </c>
      <c r="AL28" s="206" t="e">
        <f t="shared" si="19"/>
        <v>#DIV/0!</v>
      </c>
    </row>
    <row r="29" spans="1:38" ht="15.75" thickBot="1">
      <c r="A29" s="210" t="s">
        <v>29</v>
      </c>
      <c r="B29" s="920">
        <f>(DEN!$C21)*ONSV_2013!B20</f>
        <v>51621.407920855221</v>
      </c>
      <c r="C29" s="208">
        <f>GNV!B22</f>
        <v>20974</v>
      </c>
      <c r="D29" s="940">
        <f>DEN!$C21*ONSV_2013!$C20*(COMB_CORR!B21-SUM(DIST_GAS_MOT!X30:AA30))/(COMB_CORR!B21-SUM(DIST_GAS_MOT!X30:AA30)+0.75*(COMB_CORR!G21))</f>
        <v>88732.907231138335</v>
      </c>
      <c r="E29" s="208">
        <f t="shared" si="8"/>
        <v>119380.31515199356</v>
      </c>
      <c r="F29" s="920">
        <f>(DEN!$C57)*ONSV_2013!B20</f>
        <v>56845.564392822125</v>
      </c>
      <c r="G29" s="204">
        <f>GNV!C22</f>
        <v>20974</v>
      </c>
      <c r="H29" s="940">
        <f>DEN!$C57*ONSV_2013!$C20*(COMB_CORR!C21-SUM(DIST_GAS_MOT!AB30:AE30))/(COMB_CORR!C21-SUM(DIST_GAS_MOT!AB30:AE30)+0.75*(COMB_CORR!H21))</f>
        <v>105585.96384156619</v>
      </c>
      <c r="I29" s="208">
        <f t="shared" si="4"/>
        <v>141457.52823438833</v>
      </c>
      <c r="J29" s="920">
        <f>(DEN!$C93)*ONSV_2013!B20</f>
        <v>62498.543370987158</v>
      </c>
      <c r="K29" s="208">
        <f>GNV!D22</f>
        <v>20974</v>
      </c>
      <c r="L29" s="940">
        <f>DEN!$C93*ONSV_2013!$C20*(COMB_CORR!D21-SUM(DIST_GAS_MOT!AF30:AI30))/(COMB_CORR!D21-SUM(DIST_GAS_MOT!AF30:AI30)+0.75*(COMB_CORR!I21))</f>
        <v>123389.27856671941</v>
      </c>
      <c r="M29" s="208">
        <f t="shared" si="16"/>
        <v>164913.82193770655</v>
      </c>
      <c r="N29" s="920">
        <f>(DEN!$C129)*ONSV_2013!B20</f>
        <v>67835.455624556562</v>
      </c>
      <c r="O29" s="204">
        <f>GNV!E22</f>
        <v>20136</v>
      </c>
      <c r="P29" s="941">
        <f>DEN!$C129*ONSV_2013!$C20*(COMB_CORR!E21-SUM(DIST_GAS_MOT!AJ30:AM30))/(COMB_CORR!E21-SUM(DIST_GAS_MOT!AJ30:AM30)+0.75*(COMB_CORR!J21))</f>
        <v>137024.18637207011</v>
      </c>
      <c r="Q29" s="208">
        <f t="shared" si="17"/>
        <v>184723.64199662668</v>
      </c>
      <c r="R29" s="35" t="e">
        <f>(DEN!$C165)*DIST_GAS_LEV!$K$2</f>
        <v>#DIV/0!</v>
      </c>
      <c r="S29" s="208">
        <f>GNV!F22</f>
        <v>19298</v>
      </c>
      <c r="T29" s="205" t="e">
        <f>IF(FLEX!Q23="GAS",(DEN!$C165*$K$4),(DEN!$C165*$K$4*0.05))</f>
        <v>#DIV/0!</v>
      </c>
      <c r="U29" s="209" t="e">
        <f t="shared" si="18"/>
        <v>#DIV/0!</v>
      </c>
      <c r="W29" s="210" t="s">
        <v>29</v>
      </c>
      <c r="X29" s="943">
        <f>(DEN!$F21+DEN!$G21+DEN!$L21)*ONSV_2013!H20</f>
        <v>5646.6351098542527</v>
      </c>
      <c r="Y29" s="942">
        <f>(DEN!$F21+DEN!$G21+DEN!$L21)*ONSV_2013!$I20*(COMB_CORR!B21-SUM(DIST_GAS_MOT!X30:AA30))/(COMB_CORR!B21-SUM(DIST_GAS_MOT!X30:AA30)+0.75*(COMB_CORR!G21))</f>
        <v>9237.4690743247938</v>
      </c>
      <c r="Z29" s="204">
        <f t="shared" si="9"/>
        <v>14884.104184179047</v>
      </c>
      <c r="AA29" s="943">
        <f>(DEN!$F57+DEN!$G57+DEN!$L57)*ONSV_2013!H20</f>
        <v>6340.819969545355</v>
      </c>
      <c r="AB29" s="942">
        <f>(DEN!$F57+DEN!$G57+DEN!$L57)*ONSV_2013!$I20*(COMB_CORR!C21-SUM(DIST_GAS_MOT!AB30:AE30))/(COMB_CORR!C21-SUM(DIST_GAS_MOT!AB30:AE30)+0.75*(COMB_CORR!H21))</f>
        <v>11208.911401762745</v>
      </c>
      <c r="AC29" s="204">
        <f t="shared" si="10"/>
        <v>17549.731371308102</v>
      </c>
      <c r="AD29" s="943">
        <f>(DEN!$F93+DEN!$G93+DEN!$L93)*ONSV_2013!H20</f>
        <v>7249.3068958016092</v>
      </c>
      <c r="AE29" s="942">
        <f>(DEN!$F93+DEN!$G93+DEN!$L93)*ONSV_2013!$I20*(COMB_CORR!D21-SUM(DIST_GAS_MOT!AF30:AI30))/(COMB_CORR!D21-SUM(DIST_GAS_MOT!AF30:AI30)+0.75*(COMB_CORR!I21))</f>
        <v>13621.107576834283</v>
      </c>
      <c r="AF29" s="204">
        <f t="shared" si="11"/>
        <v>20870.414472635894</v>
      </c>
      <c r="AG29" s="943">
        <f>(DEN!$F129+DEN!$G129+DEN!$L129)*ONSV_2013!H20</f>
        <v>8210.5681096367189</v>
      </c>
      <c r="AH29" s="942">
        <f>(DEN!$F129+DEN!$G129+DEN!$L129)*ONSV_2013!$I20*(COMB_CORR!E21-SUM(DIST_GAS_MOT!AJ30:AM30))/(COMB_CORR!E21-SUM(DIST_GAS_MOT!AJ30:AM30)+0.75*(COMB_CORR!J21))</f>
        <v>15784.182780237859</v>
      </c>
      <c r="AI29" s="206">
        <f t="shared" si="12"/>
        <v>23994.75088987458</v>
      </c>
      <c r="AJ29" s="55" t="e">
        <f>(DEN!$F165+DEN!$G165+DEN!$L165)*$K$3</f>
        <v>#DIV/0!</v>
      </c>
      <c r="AK29" s="205" t="e">
        <f>IF(FLEX!Q23="GAS",((DEN!$F165+DEN!$G165+DEN!$L165)*$K$5),((DEN!$F165+DEN!$G165+DEN!$L165)*$K$5*0.05))</f>
        <v>#DIV/0!</v>
      </c>
      <c r="AL29" s="206" t="e">
        <f t="shared" si="19"/>
        <v>#DIV/0!</v>
      </c>
    </row>
    <row r="30" spans="1:38" s="273" customFormat="1" ht="15.75" thickBot="1">
      <c r="A30" s="268" t="s">
        <v>64</v>
      </c>
      <c r="B30" s="279">
        <f t="shared" ref="B30:T30" si="20">SUM(B31:B34)</f>
        <v>9407525.3971489966</v>
      </c>
      <c r="C30" s="279">
        <f t="shared" si="20"/>
        <v>1215735</v>
      </c>
      <c r="D30" s="279">
        <f t="shared" si="20"/>
        <v>4131270.7287518485</v>
      </c>
      <c r="E30" s="279">
        <f t="shared" si="20"/>
        <v>12323061.125900846</v>
      </c>
      <c r="F30" s="279">
        <f t="shared" si="20"/>
        <v>10056569.715203457</v>
      </c>
      <c r="G30" s="279">
        <f t="shared" si="20"/>
        <v>1221449</v>
      </c>
      <c r="H30" s="279">
        <f t="shared" si="20"/>
        <v>4780105.3759669932</v>
      </c>
      <c r="I30" s="279">
        <f t="shared" si="20"/>
        <v>13615226.091170449</v>
      </c>
      <c r="J30" s="279">
        <f t="shared" si="20"/>
        <v>10741868.781780999</v>
      </c>
      <c r="K30" s="279">
        <f t="shared" si="20"/>
        <v>1254361.3767009864</v>
      </c>
      <c r="L30" s="279">
        <f t="shared" si="20"/>
        <v>6036105.9071916509</v>
      </c>
      <c r="M30" s="279">
        <f t="shared" si="20"/>
        <v>15523613.312271664</v>
      </c>
      <c r="N30" s="279">
        <f t="shared" si="20"/>
        <v>11404138.777761076</v>
      </c>
      <c r="O30" s="279">
        <f t="shared" si="20"/>
        <v>1271505.6883504931</v>
      </c>
      <c r="P30" s="279">
        <f t="shared" si="20"/>
        <v>6743729.7089550188</v>
      </c>
      <c r="Q30" s="279">
        <f t="shared" si="20"/>
        <v>16876362.7983656</v>
      </c>
      <c r="R30" s="279" t="e">
        <f t="shared" si="20"/>
        <v>#DIV/0!</v>
      </c>
      <c r="S30" s="279">
        <f t="shared" si="20"/>
        <v>1288650</v>
      </c>
      <c r="T30" s="279" t="e">
        <f t="shared" si="20"/>
        <v>#DIV/0!</v>
      </c>
      <c r="U30" s="279" t="e">
        <f>SUM(U31:U34)</f>
        <v>#DIV/0!</v>
      </c>
      <c r="V30" s="278"/>
      <c r="W30" s="280">
        <f t="shared" ref="W30:AL30" si="21">SUM(W31:W34)</f>
        <v>0</v>
      </c>
      <c r="X30" s="280">
        <f t="shared" si="21"/>
        <v>1147732.1229261891</v>
      </c>
      <c r="Y30" s="280">
        <f t="shared" si="21"/>
        <v>485441.34611028573</v>
      </c>
      <c r="Z30" s="280">
        <f t="shared" si="21"/>
        <v>1633173.4690364748</v>
      </c>
      <c r="AA30" s="280">
        <f t="shared" si="21"/>
        <v>1263495.1996995604</v>
      </c>
      <c r="AB30" s="280">
        <f t="shared" si="21"/>
        <v>578501.1017459234</v>
      </c>
      <c r="AC30" s="280">
        <f t="shared" si="21"/>
        <v>1841996.3014454837</v>
      </c>
      <c r="AD30" s="280">
        <f t="shared" si="21"/>
        <v>1409503.3567445469</v>
      </c>
      <c r="AE30" s="280">
        <f t="shared" si="21"/>
        <v>760095.15209430712</v>
      </c>
      <c r="AF30" s="280">
        <f t="shared" si="21"/>
        <v>2169598.5088388538</v>
      </c>
      <c r="AG30" s="280">
        <f t="shared" si="21"/>
        <v>1562388.6818894446</v>
      </c>
      <c r="AH30" s="280">
        <f t="shared" si="21"/>
        <v>884826.7873092615</v>
      </c>
      <c r="AI30" s="280">
        <f t="shared" si="21"/>
        <v>2447215.4691987061</v>
      </c>
      <c r="AJ30" s="280" t="e">
        <f t="shared" si="21"/>
        <v>#DIV/0!</v>
      </c>
      <c r="AK30" s="280" t="e">
        <f t="shared" si="21"/>
        <v>#DIV/0!</v>
      </c>
      <c r="AL30" s="280" t="e">
        <f t="shared" si="21"/>
        <v>#DIV/0!</v>
      </c>
    </row>
    <row r="31" spans="1:38" ht="15.75" thickBot="1">
      <c r="A31" s="190" t="s">
        <v>31</v>
      </c>
      <c r="B31" s="920">
        <f>(DEN!$C23)*ONSV_2013!B22</f>
        <v>233225.49304752183</v>
      </c>
      <c r="C31" s="204">
        <f>GNV!B24</f>
        <v>37469</v>
      </c>
      <c r="D31" s="940">
        <f>DEN!$C23*ONSV_2013!$C22*(COMB_CORR!B23-SUM(DIST_GAS_MOT!X32:AA32))/(COMB_CORR!B23-SUM(DIST_GAS_MOT!X32:AA32)+0.75*(COMB_CORR!G23))</f>
        <v>229560.47761207313</v>
      </c>
      <c r="E31" s="204">
        <f t="shared" si="8"/>
        <v>425316.97065959498</v>
      </c>
      <c r="F31" s="920">
        <f>(DEN!$C59)*ONSV_2013!B22</f>
        <v>252697.73058107443</v>
      </c>
      <c r="G31" s="204">
        <f>GNV!C24</f>
        <v>37469</v>
      </c>
      <c r="H31" s="940">
        <f>DEN!$C59*ONSV_2013!$C22*(COMB_CORR!C23-SUM(DIST_GAS_MOT!AB32:AE32))/(COMB_CORR!C23-SUM(DIST_GAS_MOT!AB32:AE32)+0.75*(COMB_CORR!H23))</f>
        <v>294585.98548976175</v>
      </c>
      <c r="I31" s="204">
        <f t="shared" si="4"/>
        <v>509814.71607083618</v>
      </c>
      <c r="J31" s="920">
        <f>(DEN!$C95)*ONSV_2013!B22</f>
        <v>269412.38660164078</v>
      </c>
      <c r="K31" s="204">
        <f>GNV!D24</f>
        <v>37469</v>
      </c>
      <c r="L31" s="940">
        <f>DEN!$C95*ONSV_2013!$C22*(COMB_CORR!D23-SUM(DIST_GAS_MOT!AF32:AI32))/(COMB_CORR!D23-SUM(DIST_GAS_MOT!AF32:AI32)+0.75*(COMB_CORR!I23))</f>
        <v>330739.15329134284</v>
      </c>
      <c r="M31" s="204">
        <f>J31-K31+L31</f>
        <v>562682.53989298362</v>
      </c>
      <c r="N31" s="920">
        <f>(DEN!$C131)*ONSV_2013!B22</f>
        <v>287168.90253676608</v>
      </c>
      <c r="O31" s="204">
        <f>GNV!E24</f>
        <v>32622.5</v>
      </c>
      <c r="P31" s="941">
        <f>DEN!$C131*ONSV_2013!$C22*(COMB_CORR!E23-SUM(DIST_GAS_MOT!AJ32:AM32))/(COMB_CORR!E23-SUM(DIST_GAS_MOT!AJ32:AM32)+0.75*(COMB_CORR!J23))</f>
        <v>359884.01562922943</v>
      </c>
      <c r="Q31" s="204">
        <f>N31-O31+P31</f>
        <v>614430.41816599551</v>
      </c>
      <c r="R31" s="56" t="e">
        <f>(DEN!$C167)*DIST_GAS_LEV!$K$2</f>
        <v>#DIV/0!</v>
      </c>
      <c r="S31" s="204">
        <f>GNV!F24</f>
        <v>27776</v>
      </c>
      <c r="T31" s="205" t="e">
        <f>IF(FLEX!Q25="GAS",(DEN!$C167*$K$4),(DEN!$C167*$K$4*0.05))</f>
        <v>#DIV/0!</v>
      </c>
      <c r="U31" s="206" t="e">
        <f>R31-S31+T31</f>
        <v>#DIV/0!</v>
      </c>
      <c r="W31" s="190" t="s">
        <v>31</v>
      </c>
      <c r="X31" s="943">
        <f>(DEN!$F23+DEN!$G23+DEN!$L23)*ONSV_2013!H22</f>
        <v>32625.927584470614</v>
      </c>
      <c r="Y31" s="942">
        <f>(DEN!$F23+DEN!$G23+DEN!$L23)*ONSV_2013!$I22*(COMB_CORR!B23-SUM(DIST_GAS_MOT!X32:AA32))/(COMB_CORR!B23-SUM(DIST_GAS_MOT!X32:AA32)+0.75*(COMB_CORR!G23))</f>
        <v>30562.59662353326</v>
      </c>
      <c r="Z31" s="204">
        <f t="shared" si="9"/>
        <v>63188.524208003873</v>
      </c>
      <c r="AA31" s="943">
        <f>(DEN!$F59+DEN!$G59+DEN!$L59)*ONSV_2013!H22</f>
        <v>36153.702883150341</v>
      </c>
      <c r="AB31" s="942">
        <f>(DEN!$F59+DEN!$G59+DEN!$L59)*ONSV_2013!$I22*(COMB_CORR!C23-SUM(DIST_GAS_MOT!AB32:AE32))/(COMB_CORR!C23-SUM(DIST_GAS_MOT!AB32:AE32)+0.75*(COMB_CORR!H23))</f>
        <v>40111.583471385551</v>
      </c>
      <c r="AC31" s="204">
        <f t="shared" si="10"/>
        <v>76265.2863545359</v>
      </c>
      <c r="AD31" s="943">
        <f>(DEN!$F95+DEN!$G95+DEN!$L95)*ONSV_2013!H22</f>
        <v>39700.993297280329</v>
      </c>
      <c r="AE31" s="942">
        <f>(DEN!$F95+DEN!$G95+DEN!$L95)*ONSV_2013!$I22*(COMB_CORR!D23-SUM(DIST_GAS_MOT!AF32:AI32))/(COMB_CORR!D23-SUM(DIST_GAS_MOT!AF32:AI32)+0.75*(COMB_CORR!I23))</f>
        <v>46384.801844702946</v>
      </c>
      <c r="AF31" s="204">
        <f t="shared" si="11"/>
        <v>86085.795141983283</v>
      </c>
      <c r="AG31" s="943">
        <f>(DEN!$F131+DEN!$G131+DEN!$L131)*ONSV_2013!H22</f>
        <v>43649.737514958506</v>
      </c>
      <c r="AH31" s="942">
        <f>(DEN!$F131+DEN!$G131+DEN!$L131)*ONSV_2013!$I22*(COMB_CORR!E23-SUM(DIST_GAS_MOT!AJ32:AM32))/(COMB_CORR!E23-SUM(DIST_GAS_MOT!AJ32:AM32)+0.75*(COMB_CORR!J23))</f>
        <v>52061.067328295823</v>
      </c>
      <c r="AI31" s="206">
        <f t="shared" si="12"/>
        <v>95710.804843254329</v>
      </c>
      <c r="AJ31" s="55" t="e">
        <f>(DEN!$F167+DEN!$G167+DEN!$L167)*$K$3</f>
        <v>#DIV/0!</v>
      </c>
      <c r="AK31" s="205" t="e">
        <f>IF(FLEX!Q25="GAS",((DEN!$F167+DEN!$G167+DEN!$L167)*$K$5),((DEN!$F167+DEN!$G167+DEN!$L167)*$K$5*0.05))</f>
        <v>#DIV/0!</v>
      </c>
      <c r="AL31" s="206" t="e">
        <f>AJ31+AK31</f>
        <v>#DIV/0!</v>
      </c>
    </row>
    <row r="32" spans="1:38" ht="15.75" thickBot="1">
      <c r="A32" s="130" t="s">
        <v>32</v>
      </c>
      <c r="B32" s="920">
        <f>(DEN!$C24)*ONSV_2013!B23</f>
        <v>1600516.4265736274</v>
      </c>
      <c r="C32" s="202">
        <f>GNV!B25</f>
        <v>63513</v>
      </c>
      <c r="D32" s="940">
        <f>DEN!$C24*ONSV_2013!$C23*(COMB_CORR!B24-SUM(DIST_GAS_MOT!X33:AA33))/(COMB_CORR!B24-SUM(DIST_GAS_MOT!X33:AA33)+0.75*(COMB_CORR!G24))</f>
        <v>1095159.5547504653</v>
      </c>
      <c r="E32" s="202">
        <f t="shared" si="8"/>
        <v>2632162.9813240925</v>
      </c>
      <c r="F32" s="920">
        <f>(DEN!$C60)*ONSV_2013!B23</f>
        <v>1741162.1121065291</v>
      </c>
      <c r="G32" s="204">
        <f>GNV!C25</f>
        <v>63513</v>
      </c>
      <c r="H32" s="940">
        <f>DEN!$C60*ONSV_2013!$C23*(COMB_CORR!C24-SUM(DIST_GAS_MOT!AB33:AE33))/(COMB_CORR!C24-SUM(DIST_GAS_MOT!AB33:AE33)+0.75*(COMB_CORR!H24))</f>
        <v>1355524.5808857493</v>
      </c>
      <c r="I32" s="202">
        <f t="shared" si="4"/>
        <v>3033173.6929922784</v>
      </c>
      <c r="J32" s="920">
        <f>(DEN!$C96)*ONSV_2013!B23</f>
        <v>1901430.8142470766</v>
      </c>
      <c r="K32" s="202">
        <f>GNV!D25</f>
        <v>63513</v>
      </c>
      <c r="L32" s="940">
        <f>DEN!$C96*ONSV_2013!$C23*(COMB_CORR!D24-SUM(DIST_GAS_MOT!AF33:AI33))/(COMB_CORR!D24-SUM(DIST_GAS_MOT!AF33:AI33)+0.75*(COMB_CORR!I24))</f>
        <v>1594941.1104346651</v>
      </c>
      <c r="M32" s="202">
        <f>J32-K32+L32</f>
        <v>3432858.9246817417</v>
      </c>
      <c r="N32" s="920">
        <f>(DEN!$C132)*ONSV_2013!B23</f>
        <v>2053234.4296900216</v>
      </c>
      <c r="O32" s="204">
        <f>GNV!E25</f>
        <v>49219</v>
      </c>
      <c r="P32" s="941">
        <f>DEN!$C132*ONSV_2013!$C23*(COMB_CORR!E24-SUM(DIST_GAS_MOT!AJ33:AM33))/(COMB_CORR!E24-SUM(DIST_GAS_MOT!AJ33:AM33)+0.75*(COMB_CORR!J24))</f>
        <v>1753339.2000703104</v>
      </c>
      <c r="Q32" s="202">
        <f>N32-O32+P32</f>
        <v>3757354.6297603319</v>
      </c>
      <c r="R32" s="30" t="e">
        <f>(DEN!$C168)*DIST_GAS_LEV!$K$2</f>
        <v>#DIV/0!</v>
      </c>
      <c r="S32" s="202">
        <f>GNV!F25</f>
        <v>34925</v>
      </c>
      <c r="T32" s="205" t="e">
        <f>IF(FLEX!Q26="GAS",(DEN!$C168*$K$4),(DEN!$C168*$K$4*0.05))</f>
        <v>#DIV/0!</v>
      </c>
      <c r="U32" s="207" t="e">
        <f>R32-S32+T32</f>
        <v>#DIV/0!</v>
      </c>
      <c r="W32" s="130" t="s">
        <v>32</v>
      </c>
      <c r="X32" s="943">
        <f>(DEN!$F24+DEN!$G24+DEN!$L24)*ONSV_2013!H23</f>
        <v>214837.65593290547</v>
      </c>
      <c r="Y32" s="942">
        <f>(DEN!$F24+DEN!$G24+DEN!$L24)*ONSV_2013!$I23*(COMB_CORR!B24-SUM(DIST_GAS_MOT!X33:AA33))/(COMB_CORR!B24-SUM(DIST_GAS_MOT!X33:AA33)+0.75*(COMB_CORR!G24))</f>
        <v>139903.28605009886</v>
      </c>
      <c r="Z32" s="204">
        <f t="shared" si="9"/>
        <v>354740.94198300433</v>
      </c>
      <c r="AA32" s="943">
        <f>(DEN!$F60+DEN!$G60+DEN!$L60)*ONSV_2013!H23</f>
        <v>237023.9440130635</v>
      </c>
      <c r="AB32" s="942">
        <f>(DEN!$F60+DEN!$G60+DEN!$L60)*ONSV_2013!$I23*(COMB_CORR!C24-SUM(DIST_GAS_MOT!AB33:AE33))/(COMB_CORR!C24-SUM(DIST_GAS_MOT!AB33:AE33)+0.75*(COMB_CORR!H24))</f>
        <v>175614.61620789985</v>
      </c>
      <c r="AC32" s="204">
        <f t="shared" si="10"/>
        <v>412638.56022096332</v>
      </c>
      <c r="AD32" s="943">
        <f>(DEN!$F96+DEN!$G96+DEN!$L96)*ONSV_2013!H23</f>
        <v>266701.29253111285</v>
      </c>
      <c r="AE32" s="942">
        <f>(DEN!$F96+DEN!$G96+DEN!$L96)*ONSV_2013!$I23*(COMB_CORR!D24-SUM(DIST_GAS_MOT!AF33:AI33))/(COMB_CORR!D24-SUM(DIST_GAS_MOT!AF33:AI33)+0.75*(COMB_CORR!I24))</f>
        <v>212906.78134054929</v>
      </c>
      <c r="AF32" s="204">
        <f t="shared" si="11"/>
        <v>479608.07387166214</v>
      </c>
      <c r="AG32" s="943">
        <f>(DEN!$F132+DEN!$G132+DEN!$L132)*ONSV_2013!H23</f>
        <v>297273.35272766568</v>
      </c>
      <c r="AH32" s="942">
        <f>(DEN!$F132+DEN!$G132+DEN!$L132)*ONSV_2013!$I23*(COMB_CORR!E24-SUM(DIST_GAS_MOT!AJ33:AM33))/(COMB_CORR!E24-SUM(DIST_GAS_MOT!AJ33:AM33)+0.75*(COMB_CORR!J24))</f>
        <v>241592.60414119883</v>
      </c>
      <c r="AI32" s="206">
        <f t="shared" si="12"/>
        <v>538865.95686886448</v>
      </c>
      <c r="AJ32" s="55" t="e">
        <f>(DEN!$F168+DEN!$G168+DEN!$L168)*$K$3</f>
        <v>#DIV/0!</v>
      </c>
      <c r="AK32" s="205" t="e">
        <f>IF(FLEX!Q26="GAS",((DEN!$F168+DEN!$G168+DEN!$L168)*$K$5),((DEN!$F168+DEN!$G168+DEN!$L168)*$K$5*0.05))</f>
        <v>#DIV/0!</v>
      </c>
      <c r="AL32" s="206" t="e">
        <f>AJ32+AK32</f>
        <v>#DIV/0!</v>
      </c>
    </row>
    <row r="33" spans="1:38" ht="15.75" thickBot="1">
      <c r="A33" s="130" t="s">
        <v>33</v>
      </c>
      <c r="B33" s="920">
        <f>(DEN!$C25)*ONSV_2013!B24</f>
        <v>1534178.0746427267</v>
      </c>
      <c r="C33" s="202">
        <f>GNV!B26</f>
        <v>732013</v>
      </c>
      <c r="D33" s="940">
        <f>DEN!$C25*ONSV_2013!$C24*(COMB_CORR!B25-SUM(DIST_GAS_MOT!X34:AA34))/(COMB_CORR!B25-SUM(DIST_GAS_MOT!X34:AA34)+0.75*(COMB_CORR!G25))</f>
        <v>737880.21495039086</v>
      </c>
      <c r="E33" s="202">
        <f t="shared" si="8"/>
        <v>1540045.2895931175</v>
      </c>
      <c r="F33" s="920">
        <f>(DEN!$C61)*ONSV_2013!B24</f>
        <v>1633920.0588155731</v>
      </c>
      <c r="G33" s="204">
        <f>GNV!C26</f>
        <v>737571</v>
      </c>
      <c r="H33" s="940">
        <f>DEN!$C61*ONSV_2013!$C24*(COMB_CORR!C25-SUM(DIST_GAS_MOT!AB34:AE34))/(COMB_CORR!C25-SUM(DIST_GAS_MOT!AB34:AE34)+0.75*(COMB_CORR!H25))</f>
        <v>840627.55747284344</v>
      </c>
      <c r="I33" s="202">
        <f t="shared" si="4"/>
        <v>1736976.6162884166</v>
      </c>
      <c r="J33" s="920">
        <f>(DEN!$C97)*ONSV_2013!B24</f>
        <v>1743423.3231173945</v>
      </c>
      <c r="K33" s="202">
        <f>GNV!D26</f>
        <v>769584.82388940884</v>
      </c>
      <c r="L33" s="940">
        <f>DEN!$C97*ONSV_2013!$C24*(COMB_CORR!D25-SUM(DIST_GAS_MOT!AF34:AI34))/(COMB_CORR!D25-SUM(DIST_GAS_MOT!AF34:AI34)+0.75*(COMB_CORR!I25))</f>
        <v>1010213.01231943</v>
      </c>
      <c r="M33" s="202">
        <f>J33-K33+L33</f>
        <v>1984051.5115474155</v>
      </c>
      <c r="N33" s="920">
        <f>(DEN!$C133)*ONSV_2013!B24</f>
        <v>1855482.138510114</v>
      </c>
      <c r="O33" s="204">
        <f>GNV!E26</f>
        <v>850850.41194470436</v>
      </c>
      <c r="P33" s="941">
        <f>DEN!$C133*ONSV_2013!$C24*(COMB_CORR!E25-SUM(DIST_GAS_MOT!AJ34:AM34))/(COMB_CORR!E25-SUM(DIST_GAS_MOT!AJ34:AM34)+0.75*(COMB_CORR!J25))</f>
        <v>1122604.3267262115</v>
      </c>
      <c r="Q33" s="202">
        <f>N33-O33+P33</f>
        <v>2127236.0532916212</v>
      </c>
      <c r="R33" s="30" t="e">
        <f>(DEN!$C169)*DIST_GAS_LEV!$K$2</f>
        <v>#DIV/0!</v>
      </c>
      <c r="S33" s="202">
        <f>GNV!F26</f>
        <v>932116</v>
      </c>
      <c r="T33" s="205" t="e">
        <f>IF(FLEX!Q27="GAS",(DEN!$C169*$K$4),(DEN!$C169*$K$4*0.05))</f>
        <v>#DIV/0!</v>
      </c>
      <c r="U33" s="207" t="e">
        <f>R33-S33+T33</f>
        <v>#DIV/0!</v>
      </c>
      <c r="W33" s="130" t="s">
        <v>33</v>
      </c>
      <c r="X33" s="943">
        <f>(DEN!$F25+DEN!$G25+DEN!$L25)*ONSV_2013!H24</f>
        <v>163267.38085209698</v>
      </c>
      <c r="Y33" s="942">
        <f>(DEN!$F25+DEN!$G25+DEN!$L25)*ONSV_2013!$I24*(COMB_CORR!B25-SUM(DIST_GAS_MOT!X34:AA34))/(COMB_CORR!B25-SUM(DIST_GAS_MOT!X34:AA34)+0.75*(COMB_CORR!G25))</f>
        <v>74732.416014393049</v>
      </c>
      <c r="Z33" s="204">
        <f t="shared" si="9"/>
        <v>237999.79686649004</v>
      </c>
      <c r="AA33" s="943">
        <f>(DEN!$F61+DEN!$G61+DEN!$L61)*ONSV_2013!H24</f>
        <v>180098.1509172002</v>
      </c>
      <c r="AB33" s="942">
        <f>(DEN!$F61+DEN!$G61+DEN!$L61)*ONSV_2013!$I24*(COMB_CORR!C25-SUM(DIST_GAS_MOT!AB34:AE34))/(COMB_CORR!C25-SUM(DIST_GAS_MOT!AB34:AE34)+0.75*(COMB_CORR!H25))</f>
        <v>88182.331173154918</v>
      </c>
      <c r="AC33" s="204">
        <f t="shared" si="10"/>
        <v>268280.48209035513</v>
      </c>
      <c r="AD33" s="943">
        <f>(DEN!$F97+DEN!$G97+DEN!$L97)*ONSV_2013!H24</f>
        <v>202076.46134990288</v>
      </c>
      <c r="AE33" s="942">
        <f>(DEN!$F97+DEN!$G97+DEN!$L97)*ONSV_2013!$I24*(COMB_CORR!D25-SUM(DIST_GAS_MOT!AF34:AI34))/(COMB_CORR!D25-SUM(DIST_GAS_MOT!AF34:AI34)+0.75*(COMB_CORR!I25))</f>
        <v>111435.95465944218</v>
      </c>
      <c r="AF33" s="204">
        <f t="shared" si="11"/>
        <v>313512.41600934509</v>
      </c>
      <c r="AG33" s="943">
        <f>(DEN!$F133+DEN!$G133+DEN!$L133)*ONSV_2013!H24</f>
        <v>225979.50012409181</v>
      </c>
      <c r="AH33" s="942">
        <f>(DEN!$F133+DEN!$G133+DEN!$L133)*ONSV_2013!$I24*(COMB_CORR!E25-SUM(DIST_GAS_MOT!AJ34:AM34))/(COMB_CORR!E25-SUM(DIST_GAS_MOT!AJ34:AM34)+0.75*(COMB_CORR!J25))</f>
        <v>130118.32992856091</v>
      </c>
      <c r="AI33" s="206">
        <f t="shared" si="12"/>
        <v>356097.83005265275</v>
      </c>
      <c r="AJ33" s="55" t="e">
        <f>(DEN!$F169+DEN!$G169+DEN!$L169)*$K$3</f>
        <v>#DIV/0!</v>
      </c>
      <c r="AK33" s="205" t="e">
        <f>IF(FLEX!Q27="GAS",((DEN!$F169+DEN!$G169+DEN!$L169)*$K$5),((DEN!$F169+DEN!$G169+DEN!$L169)*$K$5*0.05))</f>
        <v>#DIV/0!</v>
      </c>
      <c r="AL33" s="206" t="e">
        <f>AJ33+AK33</f>
        <v>#DIV/0!</v>
      </c>
    </row>
    <row r="34" spans="1:38" ht="15.75" thickBot="1">
      <c r="A34" s="210" t="s">
        <v>34</v>
      </c>
      <c r="B34" s="920">
        <f>(DEN!$C26)*ONSV_2013!B25</f>
        <v>6039605.4028851213</v>
      </c>
      <c r="C34" s="208">
        <f>GNV!B27</f>
        <v>382740</v>
      </c>
      <c r="D34" s="940">
        <f>DEN!$C26*ONSV_2013!$C25*(COMB_CORR!B26-SUM(DIST_GAS_MOT!X35:AA35))/(COMB_CORR!B26-SUM(DIST_GAS_MOT!X35:AA35)+0.75*(COMB_CORR!G26))</f>
        <v>2068670.4814389192</v>
      </c>
      <c r="E34" s="208">
        <f t="shared" si="8"/>
        <v>7725535.8843240403</v>
      </c>
      <c r="F34" s="920">
        <f>(DEN!$C62)*ONSV_2013!B25</f>
        <v>6428789.8137002792</v>
      </c>
      <c r="G34" s="204">
        <f>GNV!C27</f>
        <v>382896</v>
      </c>
      <c r="H34" s="940">
        <f>DEN!$C62*ONSV_2013!$C25*(COMB_CORR!C26-SUM(DIST_GAS_MOT!AB35:AE35))/(COMB_CORR!C26-SUM(DIST_GAS_MOT!AB35:AE35)+0.75*(COMB_CORR!H26))</f>
        <v>2289367.2521186387</v>
      </c>
      <c r="I34" s="208">
        <f t="shared" si="4"/>
        <v>8335261.0658189179</v>
      </c>
      <c r="J34" s="920">
        <f>(DEN!$C98)*ONSV_2013!B25</f>
        <v>6827602.257814887</v>
      </c>
      <c r="K34" s="208">
        <f>GNV!D27</f>
        <v>383794.55281157751</v>
      </c>
      <c r="L34" s="940">
        <f>DEN!$C98*ONSV_2013!$C25*(COMB_CORR!D26-SUM(DIST_GAS_MOT!AF35:AI35))/(COMB_CORR!D26-SUM(DIST_GAS_MOT!AF35:AI35)+0.75*(COMB_CORR!I26))</f>
        <v>3100212.6311462135</v>
      </c>
      <c r="M34" s="208">
        <f>J34-K34+L34</f>
        <v>9544020.336149523</v>
      </c>
      <c r="N34" s="920">
        <f>(DEN!$C134)*ONSV_2013!B25</f>
        <v>7208253.3070241744</v>
      </c>
      <c r="O34" s="204">
        <f>GNV!E27</f>
        <v>338813.77640578873</v>
      </c>
      <c r="P34" s="941">
        <f>DEN!$C134*ONSV_2013!$C25*(COMB_CORR!E26-SUM(DIST_GAS_MOT!AJ35:AM35))/(COMB_CORR!E26-SUM(DIST_GAS_MOT!AJ35:AM35)+0.75*(COMB_CORR!J26))</f>
        <v>3507902.1665292671</v>
      </c>
      <c r="Q34" s="208">
        <f>N34-O34+P34</f>
        <v>10377341.697147653</v>
      </c>
      <c r="R34" s="35" t="e">
        <f>(DEN!$C170)*DIST_GAS_LEV!$K$2</f>
        <v>#DIV/0!</v>
      </c>
      <c r="S34" s="208">
        <f>GNV!F27</f>
        <v>293833</v>
      </c>
      <c r="T34" s="205" t="e">
        <f>IF(FLEX!Q28="GAS",(DEN!$C170*$K$4),(DEN!$C170*$K$4*0.05))</f>
        <v>#DIV/0!</v>
      </c>
      <c r="U34" s="209" t="e">
        <f>R34-S34+T34</f>
        <v>#DIV/0!</v>
      </c>
      <c r="W34" s="210" t="s">
        <v>34</v>
      </c>
      <c r="X34" s="943">
        <f>(DEN!$F26+DEN!$G26+DEN!$L26)*ONSV_2013!H25</f>
        <v>737001.15855671605</v>
      </c>
      <c r="Y34" s="942">
        <f>(DEN!$F26+DEN!$G26+DEN!$L26)*ONSV_2013!$I25*(COMB_CORR!B26-SUM(DIST_GAS_MOT!X35:AA35))/(COMB_CORR!B26-SUM(DIST_GAS_MOT!X35:AA35)+0.75*(COMB_CORR!G26))</f>
        <v>240243.0474222606</v>
      </c>
      <c r="Z34" s="204">
        <f t="shared" si="9"/>
        <v>977244.20597897668</v>
      </c>
      <c r="AA34" s="943">
        <f>(DEN!$F62+DEN!$G62+DEN!$L62)*ONSV_2013!H25</f>
        <v>810219.40188614628</v>
      </c>
      <c r="AB34" s="942">
        <f>(DEN!$F62+DEN!$G62+DEN!$L62)*ONSV_2013!$I25*(COMB_CORR!C26-SUM(DIST_GAS_MOT!AB35:AE35))/(COMB_CORR!C26-SUM(DIST_GAS_MOT!AB35:AE35)+0.75*(COMB_CORR!H26))</f>
        <v>274592.57089348306</v>
      </c>
      <c r="AC34" s="204">
        <f t="shared" si="10"/>
        <v>1084811.9727796293</v>
      </c>
      <c r="AD34" s="943">
        <f>(DEN!$F98+DEN!$G98+DEN!$L98)*ONSV_2013!H25</f>
        <v>901024.6095662507</v>
      </c>
      <c r="AE34" s="942">
        <f>(DEN!$F98+DEN!$G98+DEN!$L98)*ONSV_2013!$I25*(COMB_CORR!D26-SUM(DIST_GAS_MOT!AF35:AI35))/(COMB_CORR!D26-SUM(DIST_GAS_MOT!AF35:AI35)+0.75*(COMB_CORR!I26))</f>
        <v>389367.61424961273</v>
      </c>
      <c r="AF34" s="204">
        <f t="shared" si="11"/>
        <v>1290392.2238158635</v>
      </c>
      <c r="AG34" s="943">
        <f>(DEN!$F134+DEN!$G134+DEN!$L134)*ONSV_2013!H25</f>
        <v>995486.09152272868</v>
      </c>
      <c r="AH34" s="942">
        <f>(DEN!$F134+DEN!$G134+DEN!$L134)*ONSV_2013!$I25*(COMB_CORR!E26-SUM(DIST_GAS_MOT!AJ35:AM35))/(COMB_CORR!E26-SUM(DIST_GAS_MOT!AJ35:AM35)+0.75*(COMB_CORR!J26))</f>
        <v>461054.78591120598</v>
      </c>
      <c r="AI34" s="206">
        <f t="shared" si="12"/>
        <v>1456540.8774339347</v>
      </c>
      <c r="AJ34" s="55" t="e">
        <f>(DEN!$F170+DEN!$G170+DEN!$L170)*$K$3</f>
        <v>#DIV/0!</v>
      </c>
      <c r="AK34" s="205" t="e">
        <f>IF(FLEX!Q28="GAS",((DEN!$F170+DEN!$G170+DEN!$L170)*$K$5),((DEN!$F170+DEN!$G170+DEN!$L170)*$K$5*0.05))</f>
        <v>#DIV/0!</v>
      </c>
      <c r="AL34" s="206" t="e">
        <f>AJ34+AK34</f>
        <v>#DIV/0!</v>
      </c>
    </row>
    <row r="35" spans="1:38" s="273" customFormat="1" ht="15.75" thickBot="1">
      <c r="A35" s="268" t="s">
        <v>69</v>
      </c>
      <c r="B35" s="279">
        <f t="shared" ref="B35:U35" si="22">SUM(B36:B38)</f>
        <v>3887532.0436281487</v>
      </c>
      <c r="C35" s="279">
        <f t="shared" si="22"/>
        <v>136778</v>
      </c>
      <c r="D35" s="279">
        <f t="shared" si="22"/>
        <v>1973321.3937233817</v>
      </c>
      <c r="E35" s="279">
        <f t="shared" si="22"/>
        <v>5724075.4373515304</v>
      </c>
      <c r="F35" s="279">
        <f t="shared" si="22"/>
        <v>4162540.1322039501</v>
      </c>
      <c r="G35" s="279">
        <f t="shared" si="22"/>
        <v>137637</v>
      </c>
      <c r="H35" s="279">
        <f t="shared" si="22"/>
        <v>2268037.4597942969</v>
      </c>
      <c r="I35" s="279">
        <f t="shared" si="22"/>
        <v>6292940.5919982465</v>
      </c>
      <c r="J35" s="279">
        <f t="shared" si="22"/>
        <v>4467191.0220343592</v>
      </c>
      <c r="K35" s="279">
        <f t="shared" si="22"/>
        <v>142584.80041759665</v>
      </c>
      <c r="L35" s="279">
        <f t="shared" si="22"/>
        <v>2763929.645236589</v>
      </c>
      <c r="M35" s="279">
        <f t="shared" si="22"/>
        <v>7088535.8668533517</v>
      </c>
      <c r="N35" s="279">
        <f t="shared" si="22"/>
        <v>4778496.4465517262</v>
      </c>
      <c r="O35" s="279">
        <f t="shared" si="22"/>
        <v>165297.40020879832</v>
      </c>
      <c r="P35" s="279">
        <f t="shared" si="22"/>
        <v>3020901.3456488969</v>
      </c>
      <c r="Q35" s="279">
        <f t="shared" si="22"/>
        <v>7634100.3919918239</v>
      </c>
      <c r="R35" s="279" t="e">
        <f t="shared" si="22"/>
        <v>#DIV/0!</v>
      </c>
      <c r="S35" s="279">
        <f t="shared" si="22"/>
        <v>188010</v>
      </c>
      <c r="T35" s="279" t="e">
        <f t="shared" si="22"/>
        <v>#DIV/0!</v>
      </c>
      <c r="U35" s="279" t="e">
        <f t="shared" si="22"/>
        <v>#DIV/0!</v>
      </c>
      <c r="V35" s="278"/>
      <c r="W35" s="268" t="s">
        <v>69</v>
      </c>
      <c r="X35" s="280">
        <f t="shared" ref="X35:AK35" si="23">SUM(X36:X38)</f>
        <v>445943.66695610533</v>
      </c>
      <c r="Y35" s="280">
        <f t="shared" si="23"/>
        <v>214799.30799141084</v>
      </c>
      <c r="Z35" s="280">
        <f t="shared" si="23"/>
        <v>660742.97494751622</v>
      </c>
      <c r="AA35" s="280">
        <f t="shared" si="23"/>
        <v>489530.3611790741</v>
      </c>
      <c r="AB35" s="280">
        <f t="shared" si="23"/>
        <v>252910.50635134234</v>
      </c>
      <c r="AC35" s="280">
        <f t="shared" si="23"/>
        <v>742440.86753041646</v>
      </c>
      <c r="AD35" s="280">
        <f t="shared" si="23"/>
        <v>544776.46881302854</v>
      </c>
      <c r="AE35" s="280">
        <f t="shared" si="23"/>
        <v>321454.48706612526</v>
      </c>
      <c r="AF35" s="280">
        <f t="shared" si="23"/>
        <v>866230.9558791538</v>
      </c>
      <c r="AG35" s="280">
        <f t="shared" si="23"/>
        <v>605471.93275575247</v>
      </c>
      <c r="AH35" s="280">
        <f t="shared" si="23"/>
        <v>365255.92984125786</v>
      </c>
      <c r="AI35" s="280">
        <f t="shared" si="23"/>
        <v>970727.86259701033</v>
      </c>
      <c r="AJ35" s="280" t="e">
        <f t="shared" si="23"/>
        <v>#DIV/0!</v>
      </c>
      <c r="AK35" s="280" t="e">
        <f t="shared" si="23"/>
        <v>#DIV/0!</v>
      </c>
      <c r="AL35" s="280" t="e">
        <f>SUM(AL36:AL38)</f>
        <v>#DIV/0!</v>
      </c>
    </row>
    <row r="36" spans="1:38" ht="15.75" thickBot="1">
      <c r="A36" s="190" t="s">
        <v>36</v>
      </c>
      <c r="B36" s="920">
        <f>(DEN!$C28)*ONSV_2013!B27</f>
        <v>1371565.1084168518</v>
      </c>
      <c r="C36" s="204">
        <f>GNV!B29</f>
        <v>27364</v>
      </c>
      <c r="D36" s="940">
        <f>DEN!$C28*ONSV_2013!$C27*(COMB_CORR!B28-SUM(DIST_GAS_MOT!X37:AA37))/(COMB_CORR!B28-SUM(DIST_GAS_MOT!X37:AA37)+0.75*(COMB_CORR!G28))</f>
        <v>610414.29404351022</v>
      </c>
      <c r="E36" s="204">
        <f t="shared" si="8"/>
        <v>1954615.4024603621</v>
      </c>
      <c r="F36" s="920">
        <f>(DEN!$C64)*ONSV_2013!B27</f>
        <v>1472053.3055714113</v>
      </c>
      <c r="G36" s="204">
        <f>GNV!C29</f>
        <v>27371</v>
      </c>
      <c r="H36" s="940">
        <f>DEN!$C64*ONSV_2013!$C27*(COMB_CORR!C28-SUM(DIST_GAS_MOT!AB37:AE37))/(COMB_CORR!C28-SUM(DIST_GAS_MOT!AB37:AE37)+0.75*(COMB_CORR!H28))</f>
        <v>656007.98351304873</v>
      </c>
      <c r="I36" s="204">
        <f t="shared" si="4"/>
        <v>2100690.2890844601</v>
      </c>
      <c r="J36" s="920">
        <f>(DEN!$C100)*ONSV_2013!B27</f>
        <v>1584155.6413129193</v>
      </c>
      <c r="K36" s="204">
        <f>GNV!D29</f>
        <v>27411.319677442581</v>
      </c>
      <c r="L36" s="940">
        <f>DEN!$C100*ONSV_2013!$C27*(COMB_CORR!D28-SUM(DIST_GAS_MOT!AF37:AI37))/(COMB_CORR!D28-SUM(DIST_GAS_MOT!AF37:AI37)+0.75*(COMB_CORR!I28))</f>
        <v>921541.51357915322</v>
      </c>
      <c r="M36" s="204">
        <f>J36-K36+L36</f>
        <v>2478285.8352146298</v>
      </c>
      <c r="N36" s="920">
        <f>(DEN!$C136)*ONSV_2013!B27</f>
        <v>1693456.2661535107</v>
      </c>
      <c r="O36" s="204">
        <f>GNV!E29</f>
        <v>30547.659838721291</v>
      </c>
      <c r="P36" s="941">
        <f>DEN!$C136*ONSV_2013!$C27*(COMB_CORR!E28-SUM(DIST_GAS_MOT!AJ37:AM37))/(COMB_CORR!E28-SUM(DIST_GAS_MOT!AJ37:AM37)+0.75*(COMB_CORR!J28))</f>
        <v>1020183.9205552475</v>
      </c>
      <c r="Q36" s="204">
        <f>N36-O36+P36</f>
        <v>2683092.5268700365</v>
      </c>
      <c r="R36" s="56" t="e">
        <f>(DEN!$C172)*DIST_GAS_LEV!$K$2</f>
        <v>#DIV/0!</v>
      </c>
      <c r="S36" s="204">
        <f>GNV!F29</f>
        <v>33684</v>
      </c>
      <c r="T36" s="205" t="e">
        <f>IF(FLEX!Q30="GAS",(DEN!$C172*$K$4),(DEN!$C172*$K$4*0.05))</f>
        <v>#DIV/0!</v>
      </c>
      <c r="U36" s="206" t="e">
        <f>R36-S36+T36</f>
        <v>#DIV/0!</v>
      </c>
      <c r="W36" s="190" t="s">
        <v>36</v>
      </c>
      <c r="X36" s="943">
        <f>(DEN!$F28+DEN!$G28+DEN!$L28)*ONSV_2013!H27</f>
        <v>170719.51963786024</v>
      </c>
      <c r="Y36" s="942">
        <f>(DEN!$F28+DEN!$G28+DEN!$L28)*ONSV_2013!$I27*(COMB_CORR!B28-SUM(DIST_GAS_MOT!X37:AA37))/(COMB_CORR!B28-SUM(DIST_GAS_MOT!X37:AA37)+0.75*(COMB_CORR!G28))</f>
        <v>72309.183039182739</v>
      </c>
      <c r="Z36" s="204">
        <f t="shared" si="9"/>
        <v>243028.70267704298</v>
      </c>
      <c r="AA36" s="943">
        <f>(DEN!$F64+DEN!$G64+DEN!$L64)*ONSV_2013!H27</f>
        <v>186026.20222044553</v>
      </c>
      <c r="AB36" s="942">
        <f>(DEN!$F64+DEN!$G64+DEN!$L64)*ONSV_2013!$I27*(COMB_CORR!C28-SUM(DIST_GAS_MOT!AB37:AE37))/(COMB_CORR!C28-SUM(DIST_GAS_MOT!AB37:AE37)+0.75*(COMB_CORR!H28))</f>
        <v>78897.222772395689</v>
      </c>
      <c r="AC36" s="204">
        <f t="shared" si="10"/>
        <v>264923.4249928412</v>
      </c>
      <c r="AD36" s="943">
        <f>(DEN!$F100+DEN!$G100+DEN!$L100)*ONSV_2013!H27</f>
        <v>206304.77837336919</v>
      </c>
      <c r="AE36" s="942">
        <f>(DEN!$F100+DEN!$G100+DEN!$L100)*ONSV_2013!$I27*(COMB_CORR!D28-SUM(DIST_GAS_MOT!AF37:AI37))/(COMB_CORR!D28-SUM(DIST_GAS_MOT!AF37:AI37)+0.75*(COMB_CORR!I28))</f>
        <v>114216.36942940795</v>
      </c>
      <c r="AF36" s="204">
        <f t="shared" si="11"/>
        <v>320521.14780277712</v>
      </c>
      <c r="AG36" s="943">
        <f>(DEN!$F136+DEN!$G136+DEN!$L136)*ONSV_2013!H27</f>
        <v>229004.44406185267</v>
      </c>
      <c r="AH36" s="942">
        <f>(DEN!$F136+DEN!$G136+DEN!$L136)*ONSV_2013!$I27*(COMB_CORR!E28-SUM(DIST_GAS_MOT!AJ37:AM37))/(COMB_CORR!E28-SUM(DIST_GAS_MOT!AJ37:AM37)+0.75*(COMB_CORR!J28))</f>
        <v>131295.67112250006</v>
      </c>
      <c r="AI36" s="206">
        <f t="shared" si="12"/>
        <v>360300.11518435273</v>
      </c>
      <c r="AJ36" s="55" t="e">
        <f>(DEN!$F172+DEN!$G172+DEN!$L172)*$K$3</f>
        <v>#DIV/0!</v>
      </c>
      <c r="AK36" s="205" t="e">
        <f>IF(FLEX!Q30="GAS",((DEN!$F172+DEN!$G172+DEN!$L172)*$K$5),((DEN!$F172+DEN!$G172+DEN!$L172)*$K$5*0.05))</f>
        <v>#DIV/0!</v>
      </c>
      <c r="AL36" s="206" t="e">
        <f>AJ36+AK36</f>
        <v>#DIV/0!</v>
      </c>
    </row>
    <row r="37" spans="1:38" ht="15.75" thickBot="1">
      <c r="A37" s="130" t="s">
        <v>37</v>
      </c>
      <c r="B37" s="920">
        <f>(DEN!$C29)*ONSV_2013!B28</f>
        <v>1635845.0885436099</v>
      </c>
      <c r="C37" s="202">
        <f>GNV!B30</f>
        <v>40118</v>
      </c>
      <c r="D37" s="940">
        <f>DEN!$C29*ONSV_2013!$C28*(COMB_CORR!B29-SUM(DIST_GAS_MOT!X38:AA38))/(COMB_CORR!B29-SUM(DIST_GAS_MOT!X38:AA38)+0.75*(COMB_CORR!G29))</f>
        <v>782896.29097649222</v>
      </c>
      <c r="E37" s="202">
        <f t="shared" si="8"/>
        <v>2378623.3795201024</v>
      </c>
      <c r="F37" s="920">
        <f>(DEN!$C65)*ONSV_2013!B28</f>
        <v>1739651.4853790109</v>
      </c>
      <c r="G37" s="204">
        <f>GNV!C30</f>
        <v>40594</v>
      </c>
      <c r="H37" s="940">
        <f>DEN!$C65*ONSV_2013!$C28*(COMB_CORR!C29-SUM(DIST_GAS_MOT!AB38:AE38))/(COMB_CORR!C29-SUM(DIST_GAS_MOT!AB38:AE38)+0.75*(COMB_CORR!H29))</f>
        <v>890493.06589873356</v>
      </c>
      <c r="I37" s="202">
        <f t="shared" si="4"/>
        <v>2589550.5512777446</v>
      </c>
      <c r="J37" s="920">
        <f>(DEN!$C101)*ONSV_2013!B28</f>
        <v>1855871.7604500097</v>
      </c>
      <c r="K37" s="202">
        <f>GNV!D30</f>
        <v>43335.738066095473</v>
      </c>
      <c r="L37" s="940">
        <f>DEN!$C101*ONSV_2013!$C28*(COMB_CORR!D29-SUM(DIST_GAS_MOT!AF38:AI38))/(COMB_CORR!D29-SUM(DIST_GAS_MOT!AF38:AI38)+0.75*(COMB_CORR!I29))</f>
        <v>987942.79024434532</v>
      </c>
      <c r="M37" s="202">
        <f>J37-K37+L37</f>
        <v>2800478.8126282599</v>
      </c>
      <c r="N37" s="920">
        <f>(DEN!$C137)*ONSV_2013!B28</f>
        <v>1982422.1599610192</v>
      </c>
      <c r="O37" s="204">
        <f>GNV!E30</f>
        <v>51313.36903304774</v>
      </c>
      <c r="P37" s="941">
        <f>DEN!$C137*ONSV_2013!$C28*(COMB_CORR!E29-SUM(DIST_GAS_MOT!AJ38:AM38))/(COMB_CORR!E29-SUM(DIST_GAS_MOT!AJ38:AM38)+0.75*(COMB_CORR!J29))</f>
        <v>1066473.9877987257</v>
      </c>
      <c r="Q37" s="202">
        <f>N37-O37+P37</f>
        <v>2997582.778726697</v>
      </c>
      <c r="R37" s="30" t="e">
        <f>(DEN!$C173)*DIST_GAS_LEV!$K$2</f>
        <v>#DIV/0!</v>
      </c>
      <c r="S37" s="202">
        <f>GNV!F30</f>
        <v>59291</v>
      </c>
      <c r="T37" s="205" t="e">
        <f>IF(FLEX!Q31="GAS",(DEN!$C173*$K$4),(DEN!$C173*$K$4*0.05))</f>
        <v>#DIV/0!</v>
      </c>
      <c r="U37" s="207" t="e">
        <f>R37-S37+T37</f>
        <v>#DIV/0!</v>
      </c>
      <c r="W37" s="130" t="s">
        <v>37</v>
      </c>
      <c r="X37" s="943">
        <f>(DEN!$F29+DEN!$G29+DEN!$L29)*ONSV_2013!H28</f>
        <v>175442.89931927729</v>
      </c>
      <c r="Y37" s="942">
        <f>(DEN!$F29+DEN!$G29+DEN!$L29)*ONSV_2013!$I28*(COMB_CORR!B29-SUM(DIST_GAS_MOT!X38:AA38))/(COMB_CORR!B29-SUM(DIST_GAS_MOT!X38:AA38)+0.75*(COMB_CORR!G29))</f>
        <v>79909.09103676083</v>
      </c>
      <c r="Z37" s="204">
        <f t="shared" si="9"/>
        <v>255351.99035603812</v>
      </c>
      <c r="AA37" s="943">
        <f>(DEN!$F65+DEN!$G65+DEN!$L65)*ONSV_2013!H28</f>
        <v>192203.86438279963</v>
      </c>
      <c r="AB37" s="942">
        <f>(DEN!$F65+DEN!$G65+DEN!$L65)*ONSV_2013!$I28*(COMB_CORR!C29-SUM(DIST_GAS_MOT!AB38:AE38))/(COMB_CORR!C29-SUM(DIST_GAS_MOT!AB38:AE38)+0.75*(COMB_CORR!H29))</f>
        <v>93632.956946253427</v>
      </c>
      <c r="AC37" s="204">
        <f t="shared" si="10"/>
        <v>285836.82132905303</v>
      </c>
      <c r="AD37" s="943">
        <f>(DEN!$F101+DEN!$G101+DEN!$L101)*ONSV_2013!H28</f>
        <v>213015.0859344101</v>
      </c>
      <c r="AE37" s="942">
        <f>(DEN!$F101+DEN!$G101+DEN!$L101)*ONSV_2013!$I28*(COMB_CORR!D29-SUM(DIST_GAS_MOT!AF38:AI38))/(COMB_CORR!D29-SUM(DIST_GAS_MOT!AF38:AI38)+0.75*(COMB_CORR!I29))</f>
        <v>107917.66205314698</v>
      </c>
      <c r="AF37" s="204">
        <f t="shared" si="11"/>
        <v>320932.74798755709</v>
      </c>
      <c r="AG37" s="943">
        <f>(DEN!$F137+DEN!$G137+DEN!$L137)*ONSV_2013!H28</f>
        <v>236461.7421356751</v>
      </c>
      <c r="AH37" s="942">
        <f>(DEN!$F137+DEN!$G137+DEN!$L137)*ONSV_2013!$I28*(COMB_CORR!E29-SUM(DIST_GAS_MOT!AJ38:AM38))/(COMB_CORR!E29-SUM(DIST_GAS_MOT!AJ38:AM38)+0.75*(COMB_CORR!J29))</f>
        <v>121063.53251056187</v>
      </c>
      <c r="AI37" s="206">
        <f t="shared" si="12"/>
        <v>357525.27464623697</v>
      </c>
      <c r="AJ37" s="55" t="e">
        <f>(DEN!$F173+DEN!$G173+DEN!$L173)*$K$3</f>
        <v>#DIV/0!</v>
      </c>
      <c r="AK37" s="205" t="e">
        <f>IF(FLEX!Q31="GAS",((DEN!$F173+DEN!$G173+DEN!$L173)*$K$5),((DEN!$F173+DEN!$G173+DEN!$L173)*$K$5*0.05))</f>
        <v>#DIV/0!</v>
      </c>
      <c r="AL37" s="206" t="e">
        <f>AJ37+AK37</f>
        <v>#DIV/0!</v>
      </c>
    </row>
    <row r="38" spans="1:38" ht="15.75" thickBot="1">
      <c r="A38" s="210" t="s">
        <v>38</v>
      </c>
      <c r="B38" s="920">
        <f>(DEN!$C30)*ONSV_2013!B29</f>
        <v>880121.84666768683</v>
      </c>
      <c r="C38" s="208">
        <f>GNV!B31</f>
        <v>69296</v>
      </c>
      <c r="D38" s="940">
        <f>DEN!$C30*ONSV_2013!$C29*(COMB_CORR!B30-SUM(DIST_GAS_MOT!X39:AA39))/(COMB_CORR!B30-SUM(DIST_GAS_MOT!X39:AA39)+0.75*(COMB_CORR!G30))</f>
        <v>580010.80870337924</v>
      </c>
      <c r="E38" s="208">
        <f t="shared" si="8"/>
        <v>1390836.6553710662</v>
      </c>
      <c r="F38" s="920">
        <f>(DEN!$C66)*ONSV_2013!B29</f>
        <v>950835.34125352791</v>
      </c>
      <c r="G38" s="204">
        <f>GNV!C31</f>
        <v>69672</v>
      </c>
      <c r="H38" s="940">
        <f>DEN!$C66*ONSV_2013!$C29*(COMB_CORR!C30-SUM(DIST_GAS_MOT!AB39:AE39))/(COMB_CORR!C30-SUM(DIST_GAS_MOT!AB39:AE39)+0.75*(COMB_CORR!H30))</f>
        <v>721536.41038251459</v>
      </c>
      <c r="I38" s="208">
        <f t="shared" si="4"/>
        <v>1602699.7516360425</v>
      </c>
      <c r="J38" s="920">
        <f>(DEN!$C102)*ONSV_2013!B29</f>
        <v>1027163.6202714306</v>
      </c>
      <c r="K38" s="208">
        <f>GNV!D31</f>
        <v>71837.742674058609</v>
      </c>
      <c r="L38" s="940">
        <f>DEN!$C102*ONSV_2013!$C29*(COMB_CORR!D30-SUM(DIST_GAS_MOT!AF39:AI39))/(COMB_CORR!D30-SUM(DIST_GAS_MOT!AF39:AI39)+0.75*(COMB_CORR!I30))</f>
        <v>854445.34141309035</v>
      </c>
      <c r="M38" s="208">
        <f>J38-K38+L38</f>
        <v>1809771.2190104623</v>
      </c>
      <c r="N38" s="920">
        <f>(DEN!$C138)*ONSV_2013!B29</f>
        <v>1102618.0204371961</v>
      </c>
      <c r="O38" s="204">
        <f>GNV!E31</f>
        <v>83436.371337029297</v>
      </c>
      <c r="P38" s="941">
        <f>DEN!$C138*ONSV_2013!$C29*(COMB_CORR!E30-SUM(DIST_GAS_MOT!AJ39:AM39))/(COMB_CORR!E30-SUM(DIST_GAS_MOT!AJ39:AM39)+0.75*(COMB_CORR!J30))</f>
        <v>934243.4372949237</v>
      </c>
      <c r="Q38" s="208">
        <f>N38-O38+P38</f>
        <v>1953425.0863950904</v>
      </c>
      <c r="R38" s="35" t="e">
        <f>(DEN!$C174)*DIST_GAS_LEV!$K$2</f>
        <v>#DIV/0!</v>
      </c>
      <c r="S38" s="208">
        <f>GNV!F31</f>
        <v>95035</v>
      </c>
      <c r="T38" s="205" t="e">
        <f>IF(FLEX!Q32="GAS",(DEN!$C174*$K$4),(DEN!$C174*$K$4*0.05))</f>
        <v>#DIV/0!</v>
      </c>
      <c r="U38" s="209" t="e">
        <f>R38-S38+T38</f>
        <v>#DIV/0!</v>
      </c>
      <c r="W38" s="210" t="s">
        <v>38</v>
      </c>
      <c r="X38" s="943">
        <f>(DEN!$F30+DEN!$G30+DEN!$L30)*ONSV_2013!H29</f>
        <v>99781.247998967825</v>
      </c>
      <c r="Y38" s="942">
        <f>(DEN!$F30+DEN!$G30+DEN!$L30)*ONSV_2013!$I29*(COMB_CORR!B30-SUM(DIST_GAS_MOT!X39:AA39))/(COMB_CORR!B30-SUM(DIST_GAS_MOT!X39:AA39)+0.75*(COMB_CORR!G30))</f>
        <v>62581.033915467277</v>
      </c>
      <c r="Z38" s="204">
        <f t="shared" si="9"/>
        <v>162362.28191443509</v>
      </c>
      <c r="AA38" s="943">
        <f>(DEN!$F66+DEN!$G66+DEN!$L66)*ONSV_2013!H29</f>
        <v>111300.29457582896</v>
      </c>
      <c r="AB38" s="942">
        <f>(DEN!$F66+DEN!$G66+DEN!$L66)*ONSV_2013!$I29*(COMB_CORR!C30-SUM(DIST_GAS_MOT!AB39:AE39))/(COMB_CORR!C30-SUM(DIST_GAS_MOT!AB39:AE39)+0.75*(COMB_CORR!H30))</f>
        <v>80380.326632693206</v>
      </c>
      <c r="AC38" s="204">
        <f t="shared" si="10"/>
        <v>191680.62120852218</v>
      </c>
      <c r="AD38" s="943">
        <f>(DEN!$F102+DEN!$G102+DEN!$L102)*ONSV_2013!H29</f>
        <v>125456.60450524927</v>
      </c>
      <c r="AE38" s="942">
        <f>(DEN!$F102+DEN!$G102+DEN!$L102)*ONSV_2013!$I29*(COMB_CORR!D30-SUM(DIST_GAS_MOT!AF39:AI39))/(COMB_CORR!D30-SUM(DIST_GAS_MOT!AF39:AI39)+0.75*(COMB_CORR!I30))</f>
        <v>99320.455583570336</v>
      </c>
      <c r="AF38" s="204">
        <f t="shared" si="11"/>
        <v>224777.06008881959</v>
      </c>
      <c r="AG38" s="943">
        <f>(DEN!$F138+DEN!$G138+DEN!$L138)*ONSV_2013!H29</f>
        <v>140005.74655822467</v>
      </c>
      <c r="AH38" s="942">
        <f>(DEN!$F138+DEN!$G138+DEN!$L138)*ONSV_2013!$I29*(COMB_CORR!E30-SUM(DIST_GAS_MOT!AJ39:AM39))/(COMB_CORR!E30-SUM(DIST_GAS_MOT!AJ39:AM39)+0.75*(COMB_CORR!J30))</f>
        <v>112896.72620819592</v>
      </c>
      <c r="AI38" s="206">
        <f t="shared" si="12"/>
        <v>252902.47276642057</v>
      </c>
      <c r="AJ38" s="55" t="e">
        <f>(DEN!$F174+DEN!$G174+DEN!$L174)*$K$3</f>
        <v>#DIV/0!</v>
      </c>
      <c r="AK38" s="205" t="e">
        <f>IF(FLEX!Q32="GAS",((DEN!$F174+DEN!$G174+DEN!$L174)*$K$5),((DEN!$F174+DEN!$G174+DEN!$L174)*$K$5*0.05))</f>
        <v>#DIV/0!</v>
      </c>
      <c r="AL38" s="206" t="e">
        <f>AJ38+AK38</f>
        <v>#DIV/0!</v>
      </c>
    </row>
    <row r="39" spans="1:38" s="273" customFormat="1" ht="26.25" thickBot="1">
      <c r="A39" s="268" t="s">
        <v>73</v>
      </c>
      <c r="B39" s="279">
        <f t="shared" ref="B39:T39" si="24">SUM(B40:B43)</f>
        <v>1020732.0588775378</v>
      </c>
      <c r="C39" s="279">
        <f t="shared" si="24"/>
        <v>8571</v>
      </c>
      <c r="D39" s="279">
        <f t="shared" si="24"/>
        <v>806546.29510971252</v>
      </c>
      <c r="E39" s="279">
        <f t="shared" si="24"/>
        <v>1818707.3539872505</v>
      </c>
      <c r="F39" s="279">
        <f t="shared" si="24"/>
        <v>1111449.7006254627</v>
      </c>
      <c r="G39" s="279">
        <f t="shared" si="24"/>
        <v>8608</v>
      </c>
      <c r="H39" s="279">
        <f t="shared" si="24"/>
        <v>931123.92613701348</v>
      </c>
      <c r="I39" s="279">
        <f t="shared" si="24"/>
        <v>2033965.6267624761</v>
      </c>
      <c r="J39" s="279">
        <f t="shared" si="24"/>
        <v>1214905.7519665349</v>
      </c>
      <c r="K39" s="279">
        <f t="shared" si="24"/>
        <v>8821.1182950536386</v>
      </c>
      <c r="L39" s="279">
        <f t="shared" si="24"/>
        <v>1142933.969993144</v>
      </c>
      <c r="M39" s="279">
        <f t="shared" si="24"/>
        <v>2349018.6036646254</v>
      </c>
      <c r="N39" s="279">
        <f t="shared" si="24"/>
        <v>1309517.4900886416</v>
      </c>
      <c r="O39" s="279">
        <f t="shared" si="24"/>
        <v>10830.559147526819</v>
      </c>
      <c r="P39" s="279">
        <f t="shared" si="24"/>
        <v>1289573.017791461</v>
      </c>
      <c r="Q39" s="279">
        <f t="shared" si="24"/>
        <v>2588259.9487325759</v>
      </c>
      <c r="R39" s="279" t="e">
        <f t="shared" si="24"/>
        <v>#DIV/0!</v>
      </c>
      <c r="S39" s="279">
        <f t="shared" si="24"/>
        <v>12840</v>
      </c>
      <c r="T39" s="279" t="e">
        <f t="shared" si="24"/>
        <v>#DIV/0!</v>
      </c>
      <c r="U39" s="279" t="e">
        <f>SUM(U40:U43)</f>
        <v>#DIV/0!</v>
      </c>
      <c r="V39" s="278"/>
      <c r="W39" s="268" t="s">
        <v>73</v>
      </c>
      <c r="X39" s="280">
        <f t="shared" ref="X39:AL39" si="25">SUM(X40:X43)</f>
        <v>139961.85388941897</v>
      </c>
      <c r="Y39" s="280">
        <f t="shared" si="25"/>
        <v>101325.84850677178</v>
      </c>
      <c r="Z39" s="280">
        <f t="shared" si="25"/>
        <v>241287.70239619073</v>
      </c>
      <c r="AA39" s="280">
        <f t="shared" si="25"/>
        <v>155704.64426199667</v>
      </c>
      <c r="AB39" s="280">
        <f t="shared" si="25"/>
        <v>119053.43227678207</v>
      </c>
      <c r="AC39" s="280">
        <f t="shared" si="25"/>
        <v>274758.07653877873</v>
      </c>
      <c r="AD39" s="280">
        <f t="shared" si="25"/>
        <v>174110.74944195588</v>
      </c>
      <c r="AE39" s="280">
        <f t="shared" si="25"/>
        <v>152004.48068522956</v>
      </c>
      <c r="AF39" s="280">
        <f t="shared" si="25"/>
        <v>326115.23012718541</v>
      </c>
      <c r="AG39" s="280">
        <f t="shared" si="25"/>
        <v>192447.75065900775</v>
      </c>
      <c r="AH39" s="280">
        <f t="shared" si="25"/>
        <v>176997.88793144122</v>
      </c>
      <c r="AI39" s="280">
        <f t="shared" si="25"/>
        <v>369445.638590449</v>
      </c>
      <c r="AJ39" s="280" t="e">
        <f t="shared" si="25"/>
        <v>#DIV/0!</v>
      </c>
      <c r="AK39" s="280" t="e">
        <f t="shared" si="25"/>
        <v>#DIV/0!</v>
      </c>
      <c r="AL39" s="280" t="e">
        <f t="shared" si="25"/>
        <v>#DIV/0!</v>
      </c>
    </row>
    <row r="40" spans="1:38" ht="15.75" thickBot="1">
      <c r="A40" s="190" t="s">
        <v>40</v>
      </c>
      <c r="B40" s="920">
        <f>(DEN!$C32)*ONSV_2013!B31</f>
        <v>343854.42133421655</v>
      </c>
      <c r="C40" s="204">
        <f>GNV!B33</f>
        <v>389</v>
      </c>
      <c r="D40" s="940">
        <f>DEN!$C32*ONSV_2013!$C31*(COMB_CORR!B32-SUM(DIST_GAS_MOT!X41:AA41))/(COMB_CORR!B32-SUM(DIST_GAS_MOT!X41:AA41)+0.75*(COMB_CORR!G32))</f>
        <v>354045.52506210521</v>
      </c>
      <c r="E40" s="204">
        <f t="shared" si="8"/>
        <v>697510.94639632176</v>
      </c>
      <c r="F40" s="920">
        <f>(DEN!$C68)*ONSV_2013!B31</f>
        <v>367893.10249242315</v>
      </c>
      <c r="G40" s="204">
        <f>GNV!C33</f>
        <v>425</v>
      </c>
      <c r="H40" s="940">
        <f>DEN!$C68*ONSV_2013!$C31*(COMB_CORR!C32-SUM(DIST_GAS_MOT!AB41:AE41))/(COMB_CORR!C32-SUM(DIST_GAS_MOT!AB41:AE41)+0.75*(COMB_CORR!H32))</f>
        <v>421305.04497955705</v>
      </c>
      <c r="I40" s="204">
        <f t="shared" si="4"/>
        <v>788773.14747198019</v>
      </c>
      <c r="J40" s="920">
        <f>(DEN!$C104)*ONSV_2013!B31</f>
        <v>395125.64178697212</v>
      </c>
      <c r="K40" s="204">
        <f>GNV!D33</f>
        <v>632.35834113327098</v>
      </c>
      <c r="L40" s="940">
        <f>DEN!$C104*ONSV_2013!$C31*(COMB_CORR!D32-SUM(DIST_GAS_MOT!AF41:AI41))/(COMB_CORR!D32-SUM(DIST_GAS_MOT!AF41:AI41)+0.75*(COMB_CORR!I32))</f>
        <v>475001.43760227994</v>
      </c>
      <c r="M40" s="204">
        <f>J40-K40+L40</f>
        <v>869494.72104811878</v>
      </c>
      <c r="N40" s="920">
        <f>(DEN!$C140)*ONSV_2013!B31</f>
        <v>416875.37750110321</v>
      </c>
      <c r="O40" s="204">
        <f>GNV!E33</f>
        <v>1272.1791705666355</v>
      </c>
      <c r="P40" s="941">
        <f>DEN!$C140*ONSV_2013!$C31*(COMB_CORR!E32-SUM(DIST_GAS_MOT!AJ41:AM41))/(COMB_CORR!E32-SUM(DIST_GAS_MOT!AJ41:AM41)+0.75*(COMB_CORR!J32))</f>
        <v>513629.18447464047</v>
      </c>
      <c r="Q40" s="204">
        <f>N40-O40+P40</f>
        <v>929232.38280517701</v>
      </c>
      <c r="R40" s="56" t="e">
        <f>(DEN!$C176)*DIST_GAS_LEV!$K$2</f>
        <v>#DIV/0!</v>
      </c>
      <c r="S40" s="204">
        <f>GNV!F33</f>
        <v>1912</v>
      </c>
      <c r="T40" s="205" t="e">
        <f>IF(FLEX!Q34="GAS",(DEN!$C176*$K$4),(DEN!$C176*$K$4*0.05))</f>
        <v>#DIV/0!</v>
      </c>
      <c r="U40" s="206" t="e">
        <f>R40-S40+T40</f>
        <v>#DIV/0!</v>
      </c>
      <c r="W40" s="190" t="s">
        <v>40</v>
      </c>
      <c r="X40" s="943">
        <f>(DEN!$F32+DEN!$G32+DEN!$L32)*ONSV_2013!H31</f>
        <v>34895.719598056763</v>
      </c>
      <c r="Y40" s="942">
        <f>(DEN!$F32+DEN!$G32+DEN!$L32)*ONSV_2013!$I31*(COMB_CORR!B32-SUM(DIST_GAS_MOT!X41:AA41))/(COMB_CORR!B32-SUM(DIST_GAS_MOT!X41:AA41)+0.75*(COMB_CORR!G32))</f>
        <v>34194.035045406847</v>
      </c>
      <c r="Z40" s="204">
        <f t="shared" si="9"/>
        <v>69089.754643463617</v>
      </c>
      <c r="AA40" s="943">
        <f>(DEN!$F68+DEN!$G68+DEN!$L68)*ONSV_2013!H31</f>
        <v>39636.420350869419</v>
      </c>
      <c r="AB40" s="942">
        <f>(DEN!$F68+DEN!$G68+DEN!$L68)*ONSV_2013!$I31*(COMB_CORR!C32-SUM(DIST_GAS_MOT!AB41:AE41))/(COMB_CORR!C32-SUM(DIST_GAS_MOT!AB41:AE41)+0.75*(COMB_CORR!H32))</f>
        <v>43197.9499686622</v>
      </c>
      <c r="AC40" s="204">
        <f t="shared" si="10"/>
        <v>82834.370319531619</v>
      </c>
      <c r="AD40" s="943">
        <f>(DEN!$F104+DEN!$G104+DEN!$L104)*ONSV_2013!H31</f>
        <v>45171.695689745909</v>
      </c>
      <c r="AE40" s="942">
        <f>(DEN!$F104+DEN!$G104+DEN!$L104)*ONSV_2013!$I31*(COMB_CORR!D32-SUM(DIST_GAS_MOT!AF41:AI41))/(COMB_CORR!D32-SUM(DIST_GAS_MOT!AF41:AI41)+0.75*(COMB_CORR!I32))</f>
        <v>51679.678221191069</v>
      </c>
      <c r="AF40" s="204">
        <f t="shared" si="11"/>
        <v>96851.373910936978</v>
      </c>
      <c r="AG40" s="943">
        <f>(DEN!$F140+DEN!$G140+DEN!$L140)*ONSV_2013!H31</f>
        <v>50310.009915634022</v>
      </c>
      <c r="AH40" s="942">
        <f>(DEN!$F140+DEN!$G140+DEN!$L140)*ONSV_2013!$I31*(COMB_CORR!E32-SUM(DIST_GAS_MOT!AJ41:AM41))/(COMB_CORR!E32-SUM(DIST_GAS_MOT!AJ41:AM41)+0.75*(COMB_CORR!J32))</f>
        <v>58991.786460061609</v>
      </c>
      <c r="AI40" s="206">
        <f t="shared" si="12"/>
        <v>109301.79637569563</v>
      </c>
      <c r="AJ40" s="55" t="e">
        <f>(DEN!$F176+DEN!$G176+DEN!$L176)*$K$3</f>
        <v>#DIV/0!</v>
      </c>
      <c r="AK40" s="205" t="e">
        <f>IF(FLEX!Q34="GAS",((DEN!$F176+DEN!$G176+DEN!$L176)*$K$5),((DEN!$F176+DEN!$G176+DEN!$L176)*$K$5*0.05))</f>
        <v>#DIV/0!</v>
      </c>
      <c r="AL40" s="206" t="e">
        <f>AJ40+AK40</f>
        <v>#DIV/0!</v>
      </c>
    </row>
    <row r="41" spans="1:38" ht="15.75" thickBot="1">
      <c r="A41" s="130" t="s">
        <v>41</v>
      </c>
      <c r="B41" s="920">
        <f>(DEN!$C33)*ONSV_2013!B32</f>
        <v>414414.12249217503</v>
      </c>
      <c r="C41" s="202">
        <f>GNV!B34</f>
        <v>498</v>
      </c>
      <c r="D41" s="940">
        <f>DEN!$C33*ONSV_2013!$C32*(COMB_CORR!B33-SUM(DIST_GAS_MOT!X42:AA42))/(COMB_CORR!B33-SUM(DIST_GAS_MOT!X42:AA42)+0.75*(COMB_CORR!G33))</f>
        <v>262171.37817384605</v>
      </c>
      <c r="E41" s="202">
        <f t="shared" si="8"/>
        <v>676087.50066602114</v>
      </c>
      <c r="F41" s="920">
        <f>(DEN!$C69)*ONSV_2013!B32</f>
        <v>454653.58423283382</v>
      </c>
      <c r="G41" s="204">
        <f>GNV!C34</f>
        <v>499</v>
      </c>
      <c r="H41" s="940">
        <f>DEN!$C69*ONSV_2013!$C32*(COMB_CORR!C33-SUM(DIST_GAS_MOT!AB42:AE42))/(COMB_CORR!C33-SUM(DIST_GAS_MOT!AB42:AE42)+0.75*(COMB_CORR!H33))</f>
        <v>285002.48400899064</v>
      </c>
      <c r="I41" s="202">
        <f t="shared" si="4"/>
        <v>739157.0682418244</v>
      </c>
      <c r="J41" s="920">
        <f>(DEN!$C105)*ONSV_2013!B32</f>
        <v>500611.67075906409</v>
      </c>
      <c r="K41" s="202">
        <f>GNV!D34</f>
        <v>504.75995392036862</v>
      </c>
      <c r="L41" s="940">
        <f>DEN!$C105*ONSV_2013!$C32*(COMB_CORR!D33-SUM(DIST_GAS_MOT!AF42:AI42))/(COMB_CORR!D33-SUM(DIST_GAS_MOT!AF42:AI42)+0.75*(COMB_CORR!I33))</f>
        <v>360039.48578210769</v>
      </c>
      <c r="M41" s="202">
        <f>J41-K41+L41</f>
        <v>860146.39658725145</v>
      </c>
      <c r="N41" s="920">
        <f>(DEN!$C141)*ONSV_2013!B32</f>
        <v>544174.85811028362</v>
      </c>
      <c r="O41" s="204">
        <f>GNV!E34</f>
        <v>1965.8799769601842</v>
      </c>
      <c r="P41" s="941">
        <f>DEN!$C141*ONSV_2013!$C32*(COMB_CORR!E33-SUM(DIST_GAS_MOT!AJ42:AM42))/(COMB_CORR!E33-SUM(DIST_GAS_MOT!AJ42:AM42)+0.75*(COMB_CORR!J33))</f>
        <v>416688.43837037438</v>
      </c>
      <c r="Q41" s="202">
        <f>N41-O41+P41</f>
        <v>958897.41650369787</v>
      </c>
      <c r="R41" s="30" t="e">
        <f>(DEN!$C177)*DIST_GAS_LEV!$K$2</f>
        <v>#DIV/0!</v>
      </c>
      <c r="S41" s="202">
        <f>GNV!F34</f>
        <v>3427</v>
      </c>
      <c r="T41" s="205" t="e">
        <f>IF(FLEX!Q35="GAS",(DEN!$C177*$K$4),(DEN!$C177*$K$4*0.05))</f>
        <v>#DIV/0!</v>
      </c>
      <c r="U41" s="207" t="e">
        <f>R41-S41+T41</f>
        <v>#DIV/0!</v>
      </c>
      <c r="W41" s="130" t="s">
        <v>41</v>
      </c>
      <c r="X41" s="943">
        <f>(DEN!$F33+DEN!$G33+DEN!$L33)*ONSV_2013!H32</f>
        <v>63110.114236406174</v>
      </c>
      <c r="Y41" s="942">
        <f>(DEN!$F33+DEN!$G33+DEN!$L33)*ONSV_2013!$I32*(COMB_CORR!B33-SUM(DIST_GAS_MOT!X42:AA42))/(COMB_CORR!B33-SUM(DIST_GAS_MOT!X42:AA42)+0.75*(COMB_CORR!G33))</f>
        <v>37997.31788277829</v>
      </c>
      <c r="Z41" s="204">
        <f t="shared" si="9"/>
        <v>101107.43211918446</v>
      </c>
      <c r="AA41" s="943">
        <f>(DEN!$F69+DEN!$G69+DEN!$L69)*ONSV_2013!H32</f>
        <v>70081.504240638606</v>
      </c>
      <c r="AB41" s="942">
        <f>(DEN!$F69+DEN!$G69+DEN!$L69)*ONSV_2013!$I32*(COMB_CORR!C33-SUM(DIST_GAS_MOT!AB42:AE42))/(COMB_CORR!C33-SUM(DIST_GAS_MOT!AB42:AE42)+0.75*(COMB_CORR!H33))</f>
        <v>41809.472369669013</v>
      </c>
      <c r="AC41" s="204">
        <f t="shared" si="10"/>
        <v>111890.97661030761</v>
      </c>
      <c r="AD41" s="943">
        <f>(DEN!$F105+DEN!$G105+DEN!$L105)*ONSV_2013!H32</f>
        <v>78121.891616823443</v>
      </c>
      <c r="AE41" s="942">
        <f>(DEN!$F105+DEN!$G105+DEN!$L105)*ONSV_2013!$I32*(COMB_CORR!D33-SUM(DIST_GAS_MOT!AF42:AI42))/(COMB_CORR!D33-SUM(DIST_GAS_MOT!AF42:AI42)+0.75*(COMB_CORR!I33))</f>
        <v>53471.843732867768</v>
      </c>
      <c r="AF41" s="204">
        <f t="shared" si="11"/>
        <v>131593.73534969121</v>
      </c>
      <c r="AG41" s="943">
        <f>(DEN!$F141+DEN!$G141+DEN!$L141)*ONSV_2013!H32</f>
        <v>86201.275580811649</v>
      </c>
      <c r="AH41" s="942">
        <f>(DEN!$F141+DEN!$G141+DEN!$L141)*ONSV_2013!$I32*(COMB_CORR!E33-SUM(DIST_GAS_MOT!AJ42:AM42))/(COMB_CORR!E33-SUM(DIST_GAS_MOT!AJ42:AM42)+0.75*(COMB_CORR!J33))</f>
        <v>62818.840498429374</v>
      </c>
      <c r="AI41" s="206">
        <f t="shared" si="12"/>
        <v>149020.11607924104</v>
      </c>
      <c r="AJ41" s="55" t="e">
        <f>(DEN!$F177+DEN!$G177+DEN!$L177)*$K$3</f>
        <v>#DIV/0!</v>
      </c>
      <c r="AK41" s="205" t="e">
        <f>IF(FLEX!Q35="GAS",((DEN!$F177+DEN!$G177+DEN!$L177)*$K$5),((DEN!$F177+DEN!$G177+DEN!$L177)*$K$5*0.05))</f>
        <v>#DIV/0!</v>
      </c>
      <c r="AL41" s="206" t="e">
        <f>AJ41+AK41</f>
        <v>#DIV/0!</v>
      </c>
    </row>
    <row r="42" spans="1:38" ht="15.75" thickBot="1">
      <c r="A42" s="130" t="s">
        <v>42</v>
      </c>
      <c r="B42" s="920">
        <f>(DEN!$C34)*ONSV_2013!B33</f>
        <v>95539.494623196762</v>
      </c>
      <c r="C42" s="202">
        <f>GNV!B35</f>
        <v>1659</v>
      </c>
      <c r="D42" s="940">
        <f>DEN!$C34*ONSV_2013!$C33*(COMB_CORR!B34-SUM(DIST_GAS_MOT!X43:AA43))/(COMB_CORR!B34-SUM(DIST_GAS_MOT!X43:AA43)+0.75*(COMB_CORR!G34))</f>
        <v>76156.849125416091</v>
      </c>
      <c r="E42" s="202">
        <f t="shared" si="8"/>
        <v>170037.34374861285</v>
      </c>
      <c r="F42" s="920">
        <f>(DEN!$C70)*ONSV_2013!B33</f>
        <v>107083.7432211713</v>
      </c>
      <c r="G42" s="204">
        <f>GNV!C35</f>
        <v>1659</v>
      </c>
      <c r="H42" s="940">
        <f>DEN!$C70*ONSV_2013!$C33*(COMB_CORR!C34-SUM(DIST_GAS_MOT!AB43:AE43))/(COMB_CORR!C34-SUM(DIST_GAS_MOT!AB43:AE43)+0.75*(COMB_CORR!H34))</f>
        <v>82841.040602090492</v>
      </c>
      <c r="I42" s="202">
        <f t="shared" si="4"/>
        <v>188265.78382326179</v>
      </c>
      <c r="J42" s="920">
        <f>(DEN!$C106)*ONSV_2013!B33</f>
        <v>119448.93229177788</v>
      </c>
      <c r="K42" s="202">
        <f>GNV!D35</f>
        <v>1659</v>
      </c>
      <c r="L42" s="940">
        <f>DEN!$C106*ONSV_2013!$C33*(COMB_CORR!D34-SUM(DIST_GAS_MOT!AF43:AI43))/(COMB_CORR!D34-SUM(DIST_GAS_MOT!AF43:AI43)+0.75*(COMB_CORR!I34))</f>
        <v>124469.45404016129</v>
      </c>
      <c r="M42" s="202">
        <f>J42-K42+L42</f>
        <v>242259.38633193917</v>
      </c>
      <c r="N42" s="920">
        <f>(DEN!$C142)*ONSV_2013!B33</f>
        <v>131069.94342969589</v>
      </c>
      <c r="O42" s="204">
        <f>GNV!E35</f>
        <v>1607.5</v>
      </c>
      <c r="P42" s="941">
        <f>DEN!$C142*ONSV_2013!$C33*(COMB_CORR!E34-SUM(DIST_GAS_MOT!AJ43:AM43))/(COMB_CORR!E34-SUM(DIST_GAS_MOT!AJ43:AM43)+0.75*(COMB_CORR!J34))</f>
        <v>149175.78016293497</v>
      </c>
      <c r="Q42" s="202">
        <f>N42-O42+P42</f>
        <v>278638.22359263088</v>
      </c>
      <c r="R42" s="30" t="e">
        <f>(DEN!$C178)*DIST_GAS_LEV!$K$2</f>
        <v>#DIV/0!</v>
      </c>
      <c r="S42" s="202">
        <f>GNV!F35</f>
        <v>1556</v>
      </c>
      <c r="T42" s="205" t="e">
        <f>IF(FLEX!Q36="GAS",(DEN!$C178*$K$4),(DEN!$C178*$K$4*0.05))</f>
        <v>#DIV/0!</v>
      </c>
      <c r="U42" s="207" t="e">
        <f>R42-S42+T42</f>
        <v>#DIV/0!</v>
      </c>
      <c r="W42" s="130" t="s">
        <v>42</v>
      </c>
      <c r="X42" s="943">
        <f>(DEN!$F34+DEN!$G34+DEN!$L34)*ONSV_2013!H33</f>
        <v>16934.584382771576</v>
      </c>
      <c r="Y42" s="942">
        <f>(DEN!$F34+DEN!$G34+DEN!$L34)*ONSV_2013!$I33*(COMB_CORR!B34-SUM(DIST_GAS_MOT!X43:AA43))/(COMB_CORR!B34-SUM(DIST_GAS_MOT!X43:AA43)+0.75*(COMB_CORR!G34))</f>
        <v>12846.831579421918</v>
      </c>
      <c r="Z42" s="204">
        <f t="shared" si="9"/>
        <v>29781.415962193496</v>
      </c>
      <c r="AA42" s="943">
        <f>(DEN!$F70+DEN!$G70+DEN!$L70)*ONSV_2013!H33</f>
        <v>18664.814203132439</v>
      </c>
      <c r="AB42" s="942">
        <f>(DEN!$F70+DEN!$G70+DEN!$L70)*ONSV_2013!$I33*(COMB_CORR!C34-SUM(DIST_GAS_MOT!AB43:AE43))/(COMB_CORR!C34-SUM(DIST_GAS_MOT!AB43:AE43)+0.75*(COMB_CORR!H34))</f>
        <v>13741.721201932276</v>
      </c>
      <c r="AC42" s="204">
        <f t="shared" si="10"/>
        <v>32406.535405064715</v>
      </c>
      <c r="AD42" s="943">
        <f>(DEN!$F106+DEN!$G106+DEN!$L106)*ONSV_2013!H33</f>
        <v>20707.962365733638</v>
      </c>
      <c r="AE42" s="942">
        <f>(DEN!$F106+DEN!$G106+DEN!$L106)*ONSV_2013!$I33*(COMB_CORR!D34-SUM(DIST_GAS_MOT!AF43:AI43))/(COMB_CORR!D34-SUM(DIST_GAS_MOT!AF43:AI43)+0.75*(COMB_CORR!I34))</f>
        <v>20535.881039738419</v>
      </c>
      <c r="AF42" s="204">
        <f t="shared" si="11"/>
        <v>41243.843405472056</v>
      </c>
      <c r="AG42" s="943">
        <f>(DEN!$F142+DEN!$G142+DEN!$L142)*ONSV_2013!H33</f>
        <v>22901.589482247738</v>
      </c>
      <c r="AH42" s="942">
        <f>(DEN!$F142+DEN!$G142+DEN!$L142)*ONSV_2013!$I33*(COMB_CORR!E34-SUM(DIST_GAS_MOT!AJ43:AM43))/(COMB_CORR!E34-SUM(DIST_GAS_MOT!AJ43:AM43)+0.75*(COMB_CORR!J34))</f>
        <v>24805.974431831648</v>
      </c>
      <c r="AI42" s="206">
        <f t="shared" si="12"/>
        <v>47707.563914079386</v>
      </c>
      <c r="AJ42" s="55" t="e">
        <f>(DEN!$F178+DEN!$G178+DEN!$L178)*$K$3</f>
        <v>#DIV/0!</v>
      </c>
      <c r="AK42" s="205" t="e">
        <f>IF(FLEX!Q36="GAS",((DEN!$F178+DEN!$G178+DEN!$L178)*$K$5),((DEN!$F178+DEN!$G178+DEN!$L178)*$K$5*0.05))</f>
        <v>#DIV/0!</v>
      </c>
      <c r="AL42" s="206" t="e">
        <f>AJ42+AK42</f>
        <v>#DIV/0!</v>
      </c>
    </row>
    <row r="43" spans="1:38" ht="26.25" thickBot="1">
      <c r="A43" s="131" t="s">
        <v>43</v>
      </c>
      <c r="B43" s="920">
        <f>(DEN!$C35)*ONSV_2013!B34</f>
        <v>166924.02042794952</v>
      </c>
      <c r="C43" s="208">
        <f>GNV!B36</f>
        <v>6025</v>
      </c>
      <c r="D43" s="940">
        <f>DEN!$C35*ONSV_2013!$C34*(COMB_CORR!B35-SUM(DIST_GAS_MOT!X44:AA44))/(COMB_CORR!B35-SUM(DIST_GAS_MOT!X44:AA44)+0.75*(COMB_CORR!G35))</f>
        <v>114172.54274834512</v>
      </c>
      <c r="E43" s="208">
        <f t="shared" si="8"/>
        <v>275071.56317629467</v>
      </c>
      <c r="F43" s="920">
        <f>(DEN!$C71)*ONSV_2013!B34</f>
        <v>181819.27067903438</v>
      </c>
      <c r="G43" s="204">
        <f>GNV!C36</f>
        <v>6025</v>
      </c>
      <c r="H43" s="940">
        <f>DEN!$C71*ONSV_2013!$C34*(COMB_CORR!C35-SUM(DIST_GAS_MOT!AB44:AE44))/(COMB_CORR!C35-SUM(DIST_GAS_MOT!AB44:AE44)+0.75*(COMB_CORR!H35))</f>
        <v>141975.35654637532</v>
      </c>
      <c r="I43" s="208">
        <f t="shared" si="4"/>
        <v>317769.62722540973</v>
      </c>
      <c r="J43" s="920">
        <f>(DEN!$C107)*ONSV_2013!B34</f>
        <v>199719.50712872078</v>
      </c>
      <c r="K43" s="208">
        <f>GNV!D36</f>
        <v>6025</v>
      </c>
      <c r="L43" s="940">
        <f>DEN!$C107*ONSV_2013!$C34*(COMB_CORR!D35-SUM(DIST_GAS_MOT!AF44:AI44))/(COMB_CORR!D35-SUM(DIST_GAS_MOT!AF44:AI44)+0.75*(COMB_CORR!I35))</f>
        <v>183423.59256859502</v>
      </c>
      <c r="M43" s="208">
        <f>J43-K43+L43</f>
        <v>377118.09969731583</v>
      </c>
      <c r="N43" s="920">
        <f>(DEN!$C143)*ONSV_2013!B34</f>
        <v>217397.31104755902</v>
      </c>
      <c r="O43" s="204">
        <f>GNV!E36</f>
        <v>5985</v>
      </c>
      <c r="P43" s="941">
        <f>DEN!$C143*ONSV_2013!$C34*(COMB_CORR!E35-SUM(DIST_GAS_MOT!AJ44:AM44))/(COMB_CORR!E35-SUM(DIST_GAS_MOT!AJ44:AM44)+0.75*(COMB_CORR!J35))</f>
        <v>210079.61478351124</v>
      </c>
      <c r="Q43" s="208">
        <f>N43-O43+P43</f>
        <v>421491.92583107029</v>
      </c>
      <c r="R43" s="35" t="e">
        <f>(DEN!$C179)*DIST_GAS_LEV!$K$2</f>
        <v>#DIV/0!</v>
      </c>
      <c r="S43" s="208">
        <f>GNV!F36</f>
        <v>5945</v>
      </c>
      <c r="T43" s="205" t="e">
        <f>IF(FLEX!Q37="GAS",(DEN!$C179*$K$4),(DEN!$C179*$K$4*0.05))</f>
        <v>#DIV/0!</v>
      </c>
      <c r="U43" s="209" t="e">
        <f>R43-S43+T43</f>
        <v>#DIV/0!</v>
      </c>
      <c r="W43" s="131" t="s">
        <v>43</v>
      </c>
      <c r="X43" s="943">
        <f>(DEN!$F35+DEN!$G35+DEN!$L35)*ONSV_2013!H34</f>
        <v>25021.43567218446</v>
      </c>
      <c r="Y43" s="942">
        <f>(DEN!$F35+DEN!$G35+DEN!$L35)*ONSV_2013!$I34*(COMB_CORR!B35-SUM(DIST_GAS_MOT!X44:AA44))/(COMB_CORR!B35-SUM(DIST_GAS_MOT!X44:AA44)+0.75*(COMB_CORR!G35))</f>
        <v>16287.663999164721</v>
      </c>
      <c r="Z43" s="204">
        <f t="shared" si="9"/>
        <v>41309.099671349177</v>
      </c>
      <c r="AA43" s="943">
        <f>(DEN!$F71+DEN!$G71+DEN!$L71)*ONSV_2013!H34</f>
        <v>27321.905467356202</v>
      </c>
      <c r="AB43" s="942">
        <f>(DEN!$F71+DEN!$G71+DEN!$L71)*ONSV_2013!$I34*(COMB_CORR!C35-SUM(DIST_GAS_MOT!AB44:AE44))/(COMB_CORR!C35-SUM(DIST_GAS_MOT!AB44:AE44)+0.75*(COMB_CORR!H35))</f>
        <v>20304.288736518592</v>
      </c>
      <c r="AC43" s="204">
        <f t="shared" si="10"/>
        <v>47626.194203874795</v>
      </c>
      <c r="AD43" s="943">
        <f>(DEN!$F107+DEN!$G107+DEN!$L107)*ONSV_2013!H34</f>
        <v>30109.1997696529</v>
      </c>
      <c r="AE43" s="942">
        <f>(DEN!$F107+DEN!$G107+DEN!$L107)*ONSV_2013!$I34*(COMB_CORR!D35-SUM(DIST_GAS_MOT!AF44:AI44))/(COMB_CORR!D35-SUM(DIST_GAS_MOT!AF44:AI44)+0.75*(COMB_CORR!I35))</f>
        <v>26317.077691432296</v>
      </c>
      <c r="AF43" s="204">
        <f t="shared" si="11"/>
        <v>56426.277461085192</v>
      </c>
      <c r="AG43" s="943">
        <f>(DEN!$F143+DEN!$G143+DEN!$L143)*ONSV_2013!H34</f>
        <v>33034.875680314355</v>
      </c>
      <c r="AH43" s="942">
        <f>(DEN!$F143+DEN!$G143+DEN!$L143)*ONSV_2013!$I34*(COMB_CORR!E35-SUM(DIST_GAS_MOT!AJ44:AM44))/(COMB_CORR!E35-SUM(DIST_GAS_MOT!AJ44:AM44)+0.75*(COMB_CORR!J35))</f>
        <v>30381.286541118574</v>
      </c>
      <c r="AI43" s="206">
        <f t="shared" si="12"/>
        <v>63416.162221432925</v>
      </c>
      <c r="AJ43" s="55" t="e">
        <f>(DEN!$F179+DEN!$G179+DEN!$L179)*$K$3</f>
        <v>#DIV/0!</v>
      </c>
      <c r="AK43" s="205" t="e">
        <f>IF(FLEX!Q37="GAS",((DEN!$F179+DEN!$G179+DEN!$L179)*$K$5),((DEN!$F179+DEN!$G179+DEN!$L179)*$K$5*0.05))</f>
        <v>#DIV/0!</v>
      </c>
      <c r="AL43" s="206" t="e">
        <f>AJ43+AK43</f>
        <v>#DIV/0!</v>
      </c>
    </row>
    <row r="44" spans="1:38">
      <c r="B44" s="199"/>
      <c r="C44" s="200"/>
      <c r="D44" s="199"/>
      <c r="E44" s="200"/>
      <c r="F44" s="199"/>
      <c r="G44" s="200"/>
      <c r="H44" s="199"/>
      <c r="I44" s="200"/>
      <c r="J44" s="1"/>
      <c r="K44" s="1"/>
    </row>
    <row r="45" spans="1:38" ht="15.75" thickBot="1"/>
    <row r="46" spans="1:38" ht="15" customHeight="1" thickBot="1">
      <c r="A46" s="1194" t="s">
        <v>446</v>
      </c>
      <c r="B46" s="1200">
        <v>2004</v>
      </c>
      <c r="C46" s="1201"/>
      <c r="D46" s="1200">
        <v>2005</v>
      </c>
      <c r="E46" s="1201"/>
      <c r="F46" s="1200">
        <v>2006</v>
      </c>
      <c r="G46" s="1201"/>
      <c r="H46" s="1200">
        <v>2007</v>
      </c>
      <c r="I46" s="1201"/>
      <c r="J46" s="1200">
        <v>2008</v>
      </c>
      <c r="K46" s="1201"/>
      <c r="W46" s="557" t="s">
        <v>447</v>
      </c>
      <c r="X46" s="1212">
        <v>2004</v>
      </c>
      <c r="Y46" s="1213"/>
      <c r="Z46" s="1212">
        <v>2005</v>
      </c>
      <c r="AA46" s="1213"/>
      <c r="AB46" s="1212">
        <v>2006</v>
      </c>
      <c r="AC46" s="1213"/>
      <c r="AD46" s="1212">
        <v>2007</v>
      </c>
      <c r="AE46" s="1213"/>
      <c r="AF46" s="1212">
        <v>2008</v>
      </c>
      <c r="AG46" s="1213"/>
    </row>
    <row r="47" spans="1:38" ht="15" customHeight="1">
      <c r="A47" s="1195"/>
      <c r="B47" s="1202" t="s">
        <v>78</v>
      </c>
      <c r="C47" s="1202" t="s">
        <v>445</v>
      </c>
      <c r="D47" s="1202" t="s">
        <v>78</v>
      </c>
      <c r="E47" s="1202" t="s">
        <v>445</v>
      </c>
      <c r="F47" s="1202" t="s">
        <v>78</v>
      </c>
      <c r="G47" s="1202" t="s">
        <v>445</v>
      </c>
      <c r="H47" s="1202" t="s">
        <v>78</v>
      </c>
      <c r="I47" s="1202" t="s">
        <v>445</v>
      </c>
      <c r="J47" s="1202" t="s">
        <v>78</v>
      </c>
      <c r="K47" s="1202" t="s">
        <v>445</v>
      </c>
      <c r="W47" s="558"/>
      <c r="X47" s="1202" t="s">
        <v>78</v>
      </c>
      <c r="Y47" s="1202" t="s">
        <v>445</v>
      </c>
      <c r="Z47" s="1202" t="s">
        <v>78</v>
      </c>
      <c r="AA47" s="1202" t="s">
        <v>445</v>
      </c>
      <c r="AB47" s="1202" t="s">
        <v>78</v>
      </c>
      <c r="AC47" s="1202" t="s">
        <v>445</v>
      </c>
      <c r="AD47" s="1202" t="s">
        <v>78</v>
      </c>
      <c r="AE47" s="1202" t="s">
        <v>445</v>
      </c>
      <c r="AF47" s="1202" t="s">
        <v>78</v>
      </c>
      <c r="AG47" s="1202" t="s">
        <v>445</v>
      </c>
    </row>
    <row r="48" spans="1:38" ht="15.75" thickBot="1">
      <c r="A48" s="1196"/>
      <c r="B48" s="1203"/>
      <c r="C48" s="1203"/>
      <c r="D48" s="1203"/>
      <c r="E48" s="1203"/>
      <c r="F48" s="1203"/>
      <c r="G48" s="1203"/>
      <c r="H48" s="1203"/>
      <c r="I48" s="1203"/>
      <c r="J48" s="1203"/>
      <c r="K48" s="1203"/>
      <c r="W48" s="559"/>
      <c r="X48" s="1203"/>
      <c r="Y48" s="1203"/>
      <c r="Z48" s="1203"/>
      <c r="AA48" s="1203"/>
      <c r="AB48" s="1203"/>
      <c r="AC48" s="1203"/>
      <c r="AD48" s="1203"/>
      <c r="AE48" s="1203"/>
      <c r="AF48" s="1203"/>
      <c r="AG48" s="1203"/>
    </row>
    <row r="49" spans="1:58" ht="15.75" thickBot="1">
      <c r="A49" s="164" t="s">
        <v>87</v>
      </c>
      <c r="B49" s="176">
        <v>16596</v>
      </c>
      <c r="C49" s="176">
        <f>B49</f>
        <v>16596</v>
      </c>
      <c r="D49" s="176">
        <f>B49</f>
        <v>16596</v>
      </c>
      <c r="E49" s="176">
        <f t="shared" ref="E49:E56" si="26">B49</f>
        <v>16596</v>
      </c>
      <c r="F49" s="176">
        <f t="shared" ref="F49:I56" si="27">D49</f>
        <v>16596</v>
      </c>
      <c r="G49" s="176">
        <f t="shared" si="27"/>
        <v>16596</v>
      </c>
      <c r="H49" s="176">
        <f t="shared" si="27"/>
        <v>16596</v>
      </c>
      <c r="I49" s="223">
        <f t="shared" si="27"/>
        <v>16596</v>
      </c>
      <c r="J49" s="176">
        <f t="shared" ref="J49:J56" si="28">H49</f>
        <v>16596</v>
      </c>
      <c r="K49" s="223">
        <f t="shared" ref="K49:K56" si="29">I49</f>
        <v>16596</v>
      </c>
      <c r="W49" s="164" t="s">
        <v>87</v>
      </c>
      <c r="X49" s="176">
        <f t="shared" ref="X49:X57" si="30">B49</f>
        <v>16596</v>
      </c>
      <c r="Y49" s="176">
        <f t="shared" ref="Y49:Y57" si="31">C49</f>
        <v>16596</v>
      </c>
      <c r="Z49" s="176">
        <f t="shared" ref="Z49:Z57" si="32">D49</f>
        <v>16596</v>
      </c>
      <c r="AA49" s="176">
        <f t="shared" ref="AA49:AA57" si="33">E49</f>
        <v>16596</v>
      </c>
      <c r="AB49" s="176">
        <f t="shared" ref="AB49:AB57" si="34">F49</f>
        <v>16596</v>
      </c>
      <c r="AC49" s="176">
        <f t="shared" ref="AC49:AC57" si="35">G49</f>
        <v>16596</v>
      </c>
      <c r="AD49" s="176">
        <f t="shared" ref="AD49:AD57" si="36">H49</f>
        <v>16596</v>
      </c>
      <c r="AE49" s="176">
        <f t="shared" ref="AE49:AE57" si="37">I49</f>
        <v>16596</v>
      </c>
      <c r="AF49" s="176">
        <f t="shared" ref="AF49:AF57" si="38">J49</f>
        <v>16596</v>
      </c>
      <c r="AG49" s="176">
        <f t="shared" ref="AG49:AG57" si="39">K49</f>
        <v>16596</v>
      </c>
    </row>
    <row r="50" spans="1:58" ht="15.75" thickBot="1">
      <c r="A50" s="164" t="s">
        <v>88</v>
      </c>
      <c r="B50" s="176">
        <v>12622</v>
      </c>
      <c r="C50" s="176">
        <f t="shared" ref="C50:C56" si="40">B50</f>
        <v>12622</v>
      </c>
      <c r="D50" s="176">
        <f t="shared" ref="D50:D56" si="41">B50</f>
        <v>12622</v>
      </c>
      <c r="E50" s="176">
        <f t="shared" si="26"/>
        <v>12622</v>
      </c>
      <c r="F50" s="176">
        <f t="shared" si="27"/>
        <v>12622</v>
      </c>
      <c r="G50" s="176">
        <f t="shared" si="27"/>
        <v>12622</v>
      </c>
      <c r="H50" s="176">
        <f t="shared" si="27"/>
        <v>12622</v>
      </c>
      <c r="I50" s="223">
        <f t="shared" si="27"/>
        <v>12622</v>
      </c>
      <c r="J50" s="176">
        <f t="shared" si="28"/>
        <v>12622</v>
      </c>
      <c r="K50" s="223">
        <f t="shared" si="29"/>
        <v>12622</v>
      </c>
      <c r="W50" s="164" t="s">
        <v>88</v>
      </c>
      <c r="X50" s="176">
        <f t="shared" si="30"/>
        <v>12622</v>
      </c>
      <c r="Y50" s="176">
        <f t="shared" si="31"/>
        <v>12622</v>
      </c>
      <c r="Z50" s="176">
        <f t="shared" si="32"/>
        <v>12622</v>
      </c>
      <c r="AA50" s="176">
        <f t="shared" si="33"/>
        <v>12622</v>
      </c>
      <c r="AB50" s="176">
        <f t="shared" si="34"/>
        <v>12622</v>
      </c>
      <c r="AC50" s="176">
        <f t="shared" si="35"/>
        <v>12622</v>
      </c>
      <c r="AD50" s="176">
        <f t="shared" si="36"/>
        <v>12622</v>
      </c>
      <c r="AE50" s="176">
        <f t="shared" si="37"/>
        <v>12622</v>
      </c>
      <c r="AF50" s="176">
        <f t="shared" si="38"/>
        <v>12622</v>
      </c>
      <c r="AG50" s="176">
        <f t="shared" si="39"/>
        <v>12622</v>
      </c>
    </row>
    <row r="51" spans="1:58" ht="15.75" thickBot="1">
      <c r="A51" s="164" t="s">
        <v>208</v>
      </c>
      <c r="B51" s="176">
        <v>10380</v>
      </c>
      <c r="C51" s="176">
        <f t="shared" si="40"/>
        <v>10380</v>
      </c>
      <c r="D51" s="176">
        <f t="shared" si="41"/>
        <v>10380</v>
      </c>
      <c r="E51" s="176">
        <f t="shared" si="26"/>
        <v>10380</v>
      </c>
      <c r="F51" s="176">
        <f t="shared" si="27"/>
        <v>10380</v>
      </c>
      <c r="G51" s="176">
        <f t="shared" si="27"/>
        <v>10380</v>
      </c>
      <c r="H51" s="176">
        <f t="shared" si="27"/>
        <v>10380</v>
      </c>
      <c r="I51" s="223">
        <f t="shared" si="27"/>
        <v>10380</v>
      </c>
      <c r="J51" s="176">
        <f t="shared" si="28"/>
        <v>10380</v>
      </c>
      <c r="K51" s="223">
        <f t="shared" si="29"/>
        <v>10380</v>
      </c>
      <c r="W51" s="164" t="s">
        <v>208</v>
      </c>
      <c r="X51" s="176">
        <f t="shared" si="30"/>
        <v>10380</v>
      </c>
      <c r="Y51" s="176">
        <f t="shared" si="31"/>
        <v>10380</v>
      </c>
      <c r="Z51" s="176">
        <f t="shared" si="32"/>
        <v>10380</v>
      </c>
      <c r="AA51" s="176">
        <f t="shared" si="33"/>
        <v>10380</v>
      </c>
      <c r="AB51" s="176">
        <f t="shared" si="34"/>
        <v>10380</v>
      </c>
      <c r="AC51" s="176">
        <f t="shared" si="35"/>
        <v>10380</v>
      </c>
      <c r="AD51" s="176">
        <f t="shared" si="36"/>
        <v>10380</v>
      </c>
      <c r="AE51" s="176">
        <f t="shared" si="37"/>
        <v>10380</v>
      </c>
      <c r="AF51" s="176">
        <f t="shared" si="38"/>
        <v>10380</v>
      </c>
      <c r="AG51" s="176">
        <f t="shared" si="39"/>
        <v>10380</v>
      </c>
    </row>
    <row r="52" spans="1:58" ht="15.75" thickBot="1">
      <c r="A52" s="164" t="s">
        <v>204</v>
      </c>
      <c r="B52" s="176">
        <v>9950</v>
      </c>
      <c r="C52" s="176">
        <f t="shared" si="40"/>
        <v>9950</v>
      </c>
      <c r="D52" s="176">
        <f t="shared" si="41"/>
        <v>9950</v>
      </c>
      <c r="E52" s="176">
        <f t="shared" si="26"/>
        <v>9950</v>
      </c>
      <c r="F52" s="176">
        <f t="shared" si="27"/>
        <v>9950</v>
      </c>
      <c r="G52" s="176">
        <f t="shared" si="27"/>
        <v>9950</v>
      </c>
      <c r="H52" s="176">
        <f t="shared" si="27"/>
        <v>9950</v>
      </c>
      <c r="I52" s="223">
        <f t="shared" si="27"/>
        <v>9950</v>
      </c>
      <c r="J52" s="176">
        <f t="shared" si="28"/>
        <v>9950</v>
      </c>
      <c r="K52" s="223">
        <f t="shared" si="29"/>
        <v>9950</v>
      </c>
      <c r="W52" s="164" t="s">
        <v>204</v>
      </c>
      <c r="X52" s="176">
        <f t="shared" si="30"/>
        <v>9950</v>
      </c>
      <c r="Y52" s="176">
        <f t="shared" si="31"/>
        <v>9950</v>
      </c>
      <c r="Z52" s="176">
        <f t="shared" si="32"/>
        <v>9950</v>
      </c>
      <c r="AA52" s="176">
        <f t="shared" si="33"/>
        <v>9950</v>
      </c>
      <c r="AB52" s="176">
        <f t="shared" si="34"/>
        <v>9950</v>
      </c>
      <c r="AC52" s="176">
        <f t="shared" si="35"/>
        <v>9950</v>
      </c>
      <c r="AD52" s="176">
        <f t="shared" si="36"/>
        <v>9950</v>
      </c>
      <c r="AE52" s="176">
        <f t="shared" si="37"/>
        <v>9950</v>
      </c>
      <c r="AF52" s="176">
        <f t="shared" si="38"/>
        <v>9950</v>
      </c>
      <c r="AG52" s="176">
        <f t="shared" si="39"/>
        <v>9950</v>
      </c>
    </row>
    <row r="53" spans="1:58" ht="15.75" thickBot="1">
      <c r="A53" s="164" t="s">
        <v>209</v>
      </c>
      <c r="B53" s="176">
        <v>8747</v>
      </c>
      <c r="C53" s="176">
        <f t="shared" si="40"/>
        <v>8747</v>
      </c>
      <c r="D53" s="176">
        <f t="shared" si="41"/>
        <v>8747</v>
      </c>
      <c r="E53" s="176">
        <f t="shared" si="26"/>
        <v>8747</v>
      </c>
      <c r="F53" s="176">
        <f t="shared" si="27"/>
        <v>8747</v>
      </c>
      <c r="G53" s="176">
        <f t="shared" si="27"/>
        <v>8747</v>
      </c>
      <c r="H53" s="176">
        <f t="shared" si="27"/>
        <v>8747</v>
      </c>
      <c r="I53" s="223">
        <f t="shared" si="27"/>
        <v>8747</v>
      </c>
      <c r="J53" s="176">
        <f t="shared" si="28"/>
        <v>8747</v>
      </c>
      <c r="K53" s="223">
        <f t="shared" si="29"/>
        <v>8747</v>
      </c>
      <c r="W53" s="164" t="s">
        <v>209</v>
      </c>
      <c r="X53" s="176">
        <f t="shared" si="30"/>
        <v>8747</v>
      </c>
      <c r="Y53" s="176">
        <f t="shared" si="31"/>
        <v>8747</v>
      </c>
      <c r="Z53" s="176">
        <f t="shared" si="32"/>
        <v>8747</v>
      </c>
      <c r="AA53" s="176">
        <f t="shared" si="33"/>
        <v>8747</v>
      </c>
      <c r="AB53" s="176">
        <f t="shared" si="34"/>
        <v>8747</v>
      </c>
      <c r="AC53" s="176">
        <f t="shared" si="35"/>
        <v>8747</v>
      </c>
      <c r="AD53" s="176">
        <f t="shared" si="36"/>
        <v>8747</v>
      </c>
      <c r="AE53" s="176">
        <f t="shared" si="37"/>
        <v>8747</v>
      </c>
      <c r="AF53" s="176">
        <f t="shared" si="38"/>
        <v>8747</v>
      </c>
      <c r="AG53" s="176">
        <f t="shared" si="39"/>
        <v>8747</v>
      </c>
    </row>
    <row r="54" spans="1:58" ht="15.75" thickBot="1">
      <c r="A54" s="164" t="s">
        <v>202</v>
      </c>
      <c r="B54" s="176">
        <v>8405</v>
      </c>
      <c r="C54" s="176">
        <f t="shared" si="40"/>
        <v>8405</v>
      </c>
      <c r="D54" s="176">
        <f t="shared" si="41"/>
        <v>8405</v>
      </c>
      <c r="E54" s="176">
        <f t="shared" si="26"/>
        <v>8405</v>
      </c>
      <c r="F54" s="176">
        <f t="shared" si="27"/>
        <v>8405</v>
      </c>
      <c r="G54" s="176">
        <f t="shared" si="27"/>
        <v>8405</v>
      </c>
      <c r="H54" s="176">
        <f t="shared" si="27"/>
        <v>8405</v>
      </c>
      <c r="I54" s="223">
        <f t="shared" si="27"/>
        <v>8405</v>
      </c>
      <c r="J54" s="176">
        <f t="shared" si="28"/>
        <v>8405</v>
      </c>
      <c r="K54" s="223">
        <f t="shared" si="29"/>
        <v>8405</v>
      </c>
      <c r="W54" s="164" t="s">
        <v>202</v>
      </c>
      <c r="X54" s="176">
        <f t="shared" si="30"/>
        <v>8405</v>
      </c>
      <c r="Y54" s="176">
        <f t="shared" si="31"/>
        <v>8405</v>
      </c>
      <c r="Z54" s="176">
        <f t="shared" si="32"/>
        <v>8405</v>
      </c>
      <c r="AA54" s="176">
        <f t="shared" si="33"/>
        <v>8405</v>
      </c>
      <c r="AB54" s="176">
        <f t="shared" si="34"/>
        <v>8405</v>
      </c>
      <c r="AC54" s="176">
        <f t="shared" si="35"/>
        <v>8405</v>
      </c>
      <c r="AD54" s="176">
        <f t="shared" si="36"/>
        <v>8405</v>
      </c>
      <c r="AE54" s="176">
        <f t="shared" si="37"/>
        <v>8405</v>
      </c>
      <c r="AF54" s="176">
        <f t="shared" si="38"/>
        <v>8405</v>
      </c>
      <c r="AG54" s="176">
        <f t="shared" si="39"/>
        <v>8405</v>
      </c>
    </row>
    <row r="55" spans="1:58" ht="15.75" thickBot="1">
      <c r="A55" s="164" t="s">
        <v>91</v>
      </c>
      <c r="B55" s="176">
        <v>9231</v>
      </c>
      <c r="C55" s="176">
        <f t="shared" si="40"/>
        <v>9231</v>
      </c>
      <c r="D55" s="176">
        <f t="shared" si="41"/>
        <v>9231</v>
      </c>
      <c r="E55" s="176">
        <f t="shared" si="26"/>
        <v>9231</v>
      </c>
      <c r="F55" s="176">
        <f t="shared" si="27"/>
        <v>9231</v>
      </c>
      <c r="G55" s="176">
        <f t="shared" si="27"/>
        <v>9231</v>
      </c>
      <c r="H55" s="176">
        <f t="shared" si="27"/>
        <v>9231</v>
      </c>
      <c r="I55" s="223">
        <f t="shared" si="27"/>
        <v>9231</v>
      </c>
      <c r="J55" s="176">
        <f t="shared" si="28"/>
        <v>9231</v>
      </c>
      <c r="K55" s="223">
        <f t="shared" si="29"/>
        <v>9231</v>
      </c>
      <c r="W55" s="164" t="s">
        <v>91</v>
      </c>
      <c r="X55" s="176">
        <f t="shared" si="30"/>
        <v>9231</v>
      </c>
      <c r="Y55" s="176">
        <f t="shared" si="31"/>
        <v>9231</v>
      </c>
      <c r="Z55" s="176">
        <f t="shared" si="32"/>
        <v>9231</v>
      </c>
      <c r="AA55" s="176">
        <f t="shared" si="33"/>
        <v>9231</v>
      </c>
      <c r="AB55" s="176">
        <f t="shared" si="34"/>
        <v>9231</v>
      </c>
      <c r="AC55" s="176">
        <f t="shared" si="35"/>
        <v>9231</v>
      </c>
      <c r="AD55" s="176">
        <f t="shared" si="36"/>
        <v>9231</v>
      </c>
      <c r="AE55" s="176">
        <f t="shared" si="37"/>
        <v>9231</v>
      </c>
      <c r="AF55" s="176">
        <f t="shared" si="38"/>
        <v>9231</v>
      </c>
      <c r="AG55" s="176">
        <f t="shared" si="39"/>
        <v>9231</v>
      </c>
    </row>
    <row r="56" spans="1:58" ht="15.75" thickBot="1">
      <c r="A56" s="164" t="s">
        <v>92</v>
      </c>
      <c r="B56" s="176">
        <v>11779</v>
      </c>
      <c r="C56" s="176">
        <f t="shared" si="40"/>
        <v>11779</v>
      </c>
      <c r="D56" s="176">
        <f t="shared" si="41"/>
        <v>11779</v>
      </c>
      <c r="E56" s="176">
        <f t="shared" si="26"/>
        <v>11779</v>
      </c>
      <c r="F56" s="176">
        <f t="shared" si="27"/>
        <v>11779</v>
      </c>
      <c r="G56" s="176">
        <f t="shared" si="27"/>
        <v>11779</v>
      </c>
      <c r="H56" s="176">
        <f t="shared" si="27"/>
        <v>11779</v>
      </c>
      <c r="I56" s="223">
        <f t="shared" si="27"/>
        <v>11779</v>
      </c>
      <c r="J56" s="176">
        <f t="shared" si="28"/>
        <v>11779</v>
      </c>
      <c r="K56" s="223">
        <f t="shared" si="29"/>
        <v>11779</v>
      </c>
      <c r="W56" s="164" t="s">
        <v>92</v>
      </c>
      <c r="X56" s="176">
        <f t="shared" si="30"/>
        <v>11779</v>
      </c>
      <c r="Y56" s="176">
        <f t="shared" si="31"/>
        <v>11779</v>
      </c>
      <c r="Z56" s="176">
        <f t="shared" si="32"/>
        <v>11779</v>
      </c>
      <c r="AA56" s="176">
        <f t="shared" si="33"/>
        <v>11779</v>
      </c>
      <c r="AB56" s="176">
        <f t="shared" si="34"/>
        <v>11779</v>
      </c>
      <c r="AC56" s="176">
        <f t="shared" si="35"/>
        <v>11779</v>
      </c>
      <c r="AD56" s="176">
        <f t="shared" si="36"/>
        <v>11779</v>
      </c>
      <c r="AE56" s="176">
        <f t="shared" si="37"/>
        <v>11779</v>
      </c>
      <c r="AF56" s="176">
        <f t="shared" si="38"/>
        <v>11779</v>
      </c>
      <c r="AG56" s="176">
        <f t="shared" si="39"/>
        <v>11779</v>
      </c>
    </row>
    <row r="57" spans="1:58" ht="15.75" thickBot="1">
      <c r="A57" s="164" t="s">
        <v>448</v>
      </c>
      <c r="B57" s="165">
        <f>TAX!$B5</f>
        <v>10.873910083282011</v>
      </c>
      <c r="C57" s="165">
        <f>TAX!$B6</f>
        <v>9.6704814112158743</v>
      </c>
      <c r="D57" s="165">
        <f>TAX!$C5</f>
        <v>10.882804714239988</v>
      </c>
      <c r="E57" s="165">
        <f>TAX!$C6</f>
        <v>9.5739924198611241</v>
      </c>
      <c r="F57" s="165">
        <f>TAX!$D5</f>
        <v>10.882804714239988</v>
      </c>
      <c r="G57" s="165">
        <f>TAX!$D6</f>
        <v>9.5739924198611241</v>
      </c>
      <c r="H57" s="165">
        <f>TAX!$E5</f>
        <v>10.882804714239988</v>
      </c>
      <c r="I57" s="165">
        <f>TAX!$E6</f>
        <v>9.5739924198611241</v>
      </c>
      <c r="J57" s="165" t="e">
        <f>TAX!$F5</f>
        <v>#DIV/0!</v>
      </c>
      <c r="K57" s="165" t="e">
        <f>TAX!$F6</f>
        <v>#DIV/0!</v>
      </c>
      <c r="W57" s="164" t="s">
        <v>448</v>
      </c>
      <c r="X57" s="165">
        <f t="shared" si="30"/>
        <v>10.873910083282011</v>
      </c>
      <c r="Y57" s="165">
        <f t="shared" si="31"/>
        <v>9.6704814112158743</v>
      </c>
      <c r="Z57" s="165">
        <f t="shared" si="32"/>
        <v>10.882804714239988</v>
      </c>
      <c r="AA57" s="165">
        <f t="shared" si="33"/>
        <v>9.5739924198611241</v>
      </c>
      <c r="AB57" s="165">
        <f t="shared" si="34"/>
        <v>10.882804714239988</v>
      </c>
      <c r="AC57" s="165">
        <f t="shared" si="35"/>
        <v>9.5739924198611241</v>
      </c>
      <c r="AD57" s="165">
        <f t="shared" si="36"/>
        <v>10.882804714239988</v>
      </c>
      <c r="AE57" s="165">
        <f t="shared" si="37"/>
        <v>9.5739924198611241</v>
      </c>
      <c r="AF57" s="165" t="e">
        <f t="shared" si="38"/>
        <v>#DIV/0!</v>
      </c>
      <c r="AG57" s="165" t="e">
        <f t="shared" si="39"/>
        <v>#DIV/0!</v>
      </c>
    </row>
    <row r="58" spans="1:58" s="408" customFormat="1" ht="15.75" thickBot="1">
      <c r="A58" s="125" t="s">
        <v>11</v>
      </c>
      <c r="B58" s="147">
        <f>B59+B67+B77+B82+B86</f>
        <v>20661319526.143795</v>
      </c>
      <c r="C58" s="147">
        <f>C59+C67+C77+C82+C86</f>
        <v>3091466609.4519167</v>
      </c>
      <c r="D58" s="147">
        <f>D59+D67+D77+D82+D86</f>
        <v>23102291642.240959</v>
      </c>
      <c r="E58" s="147">
        <f>E59+E67+E77+E82+E86</f>
        <v>3561432331.0844641</v>
      </c>
      <c r="F58" s="147">
        <f t="shared" ref="F58:K58" si="42">F59+F67+F77+F82+F86</f>
        <v>26526459455.373707</v>
      </c>
      <c r="G58" s="147">
        <f t="shared" si="42"/>
        <v>4210343743.6100931</v>
      </c>
      <c r="H58" s="147">
        <f t="shared" si="42"/>
        <v>29031327293.019104</v>
      </c>
      <c r="I58" s="224">
        <f t="shared" si="42"/>
        <v>4760871420.7111244</v>
      </c>
      <c r="J58" s="147" t="e">
        <f t="shared" si="42"/>
        <v>#DIV/0!</v>
      </c>
      <c r="K58" s="224" t="e">
        <f t="shared" si="42"/>
        <v>#DIV/0!</v>
      </c>
      <c r="L58" s="46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125" t="s">
        <v>11</v>
      </c>
      <c r="X58" s="560">
        <f>B58/COMB_CORR!$B3</f>
        <v>0.81314678061551648</v>
      </c>
      <c r="Y58" s="560">
        <f>C58/COMB_CORR!$B3</f>
        <v>0.1216677433246863</v>
      </c>
      <c r="Z58" s="560">
        <f>D58/COMB_CORR!$C3</f>
        <v>0.7741104068878587</v>
      </c>
      <c r="AA58" s="560">
        <f>E58/COMB_CORR!$C3</f>
        <v>0.11933629241691721</v>
      </c>
      <c r="AB58" s="560">
        <f>F58/COMB_CORR!$D3</f>
        <v>0.74740831046760481</v>
      </c>
      <c r="AC58" s="560">
        <f>G58/COMB_CORR!$D3</f>
        <v>0.11863045308377876</v>
      </c>
      <c r="AD58" s="560">
        <f>H58/COMB_CORR!$E3</f>
        <v>0.73130978682599979</v>
      </c>
      <c r="AE58" s="560">
        <f>I58/COMB_CORR!$E3</f>
        <v>0.11992809796965269</v>
      </c>
      <c r="AF58" s="560" t="e">
        <f>J58/COMB_CORR!$E3</f>
        <v>#DIV/0!</v>
      </c>
      <c r="AG58" s="560" t="e">
        <f>K58/COMB_CORR!$E3</f>
        <v>#DIV/0!</v>
      </c>
      <c r="AH58" s="399"/>
      <c r="AI58" s="399"/>
      <c r="AJ58" s="399"/>
      <c r="AK58" s="399"/>
      <c r="AL58" s="399"/>
      <c r="AM58" s="399"/>
      <c r="AN58" s="399"/>
      <c r="AO58" s="399"/>
      <c r="AP58" s="399"/>
      <c r="AQ58" s="399"/>
      <c r="AR58" s="399"/>
      <c r="AS58" s="399"/>
      <c r="AT58" s="399"/>
      <c r="AU58" s="399"/>
      <c r="AV58" s="399"/>
      <c r="AW58" s="399"/>
      <c r="AX58" s="399"/>
      <c r="AY58" s="399"/>
      <c r="AZ58" s="399"/>
      <c r="BA58" s="399"/>
      <c r="BB58" s="399"/>
      <c r="BC58" s="399"/>
      <c r="BD58" s="399"/>
      <c r="BE58" s="399"/>
      <c r="BF58" s="399"/>
    </row>
    <row r="59" spans="1:58" s="408" customFormat="1" ht="15.75" thickBot="1">
      <c r="A59" s="4" t="s">
        <v>46</v>
      </c>
      <c r="B59" s="147">
        <f>SUM(B60:B66)</f>
        <v>1101640595.6282394</v>
      </c>
      <c r="C59" s="147">
        <f>SUM(C60:C66)</f>
        <v>205166331.31554908</v>
      </c>
      <c r="D59" s="147">
        <f>SUM(D60:D66)</f>
        <v>1269211875.8815942</v>
      </c>
      <c r="E59" s="147">
        <f>SUM(E60:E66)</f>
        <v>241123800.07367662</v>
      </c>
      <c r="F59" s="147">
        <f t="shared" ref="F59:K59" si="43">SUM(F60:F66)</f>
        <v>1457620370.9332547</v>
      </c>
      <c r="G59" s="147">
        <f t="shared" si="43"/>
        <v>281497867.53146732</v>
      </c>
      <c r="H59" s="147">
        <f t="shared" si="43"/>
        <v>1614186598.7194006</v>
      </c>
      <c r="I59" s="224">
        <f t="shared" si="43"/>
        <v>318932804.10952306</v>
      </c>
      <c r="J59" s="147" t="e">
        <f t="shared" si="43"/>
        <v>#DIV/0!</v>
      </c>
      <c r="K59" s="224" t="e">
        <f t="shared" si="43"/>
        <v>#DIV/0!</v>
      </c>
      <c r="L59" s="46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" t="s">
        <v>46</v>
      </c>
      <c r="X59" s="560">
        <f>B59/COMB_CORR!$B4</f>
        <v>0.6732563620722114</v>
      </c>
      <c r="Y59" s="560">
        <f>C59/COMB_CORR!$B4</f>
        <v>0.12538530114936133</v>
      </c>
      <c r="Z59" s="560">
        <f>D59/COMB_CORR!$C4</f>
        <v>0.65858354456291912</v>
      </c>
      <c r="AA59" s="560">
        <f>E59/COMB_CORR!$C4</f>
        <v>0.12511714548896735</v>
      </c>
      <c r="AB59" s="560">
        <f>F59/COMB_CORR!$D4</f>
        <v>0.67184771842023627</v>
      </c>
      <c r="AC59" s="560">
        <f>G59/COMB_CORR!$D4</f>
        <v>0.12974825531567594</v>
      </c>
      <c r="AD59" s="560">
        <f>H59/COMB_CORR!$E4</f>
        <v>0.64910688326764432</v>
      </c>
      <c r="AE59" s="560">
        <f>I59/COMB_CORR!$E4</f>
        <v>0.12825126823105901</v>
      </c>
      <c r="AF59" s="560" t="e">
        <f>J59/COMB_CORR!$E4</f>
        <v>#DIV/0!</v>
      </c>
      <c r="AG59" s="560" t="e">
        <f>K59/COMB_CORR!$E4</f>
        <v>#DIV/0!</v>
      </c>
      <c r="AH59" s="399"/>
      <c r="AI59" s="399"/>
      <c r="AJ59" s="399"/>
      <c r="AK59" s="399"/>
      <c r="AL59" s="399"/>
      <c r="AM59" s="399"/>
      <c r="AN59" s="399"/>
      <c r="AO59" s="399"/>
      <c r="AP59" s="399"/>
      <c r="AQ59" s="399"/>
      <c r="AR59" s="399"/>
      <c r="AS59" s="399"/>
      <c r="AT59" s="399"/>
      <c r="AU59" s="399"/>
      <c r="AV59" s="399"/>
      <c r="AW59" s="399"/>
      <c r="AX59" s="399"/>
      <c r="AY59" s="399"/>
      <c r="AZ59" s="399"/>
      <c r="BA59" s="399"/>
      <c r="BB59" s="399"/>
      <c r="BC59" s="399"/>
      <c r="BD59" s="399"/>
      <c r="BE59" s="399"/>
      <c r="BF59" s="399"/>
    </row>
    <row r="60" spans="1:58" ht="15.75" thickBot="1">
      <c r="A60" s="127" t="s">
        <v>13</v>
      </c>
      <c r="B60" s="167">
        <f>B$49*E13/B$57</f>
        <v>53611522.837600753</v>
      </c>
      <c r="C60" s="167">
        <f>C$49*Z13/C$57</f>
        <v>9421368.7469942681</v>
      </c>
      <c r="D60" s="167">
        <f>D$49*I13/D$57</f>
        <v>63083670.144051358</v>
      </c>
      <c r="E60" s="167">
        <f>E$49*AC13/E$57</f>
        <v>11061216.514704924</v>
      </c>
      <c r="F60" s="167">
        <f>F$49*M13/F$57</f>
        <v>71587147.599280715</v>
      </c>
      <c r="G60" s="167">
        <f>G$49*AF13/G$57</f>
        <v>12551185.517209679</v>
      </c>
      <c r="H60" s="167">
        <f>H$49*Q13/H$57</f>
        <v>80610869.127894878</v>
      </c>
      <c r="I60" s="225">
        <f>I$49*AI13/I$57</f>
        <v>14228071.17145334</v>
      </c>
      <c r="J60" s="167" t="e">
        <f>J$49*U13/J$57</f>
        <v>#DIV/0!</v>
      </c>
      <c r="K60" s="225" t="e">
        <f>K$49*AL13/K$57</f>
        <v>#DIV/0!</v>
      </c>
      <c r="W60" s="127" t="s">
        <v>13</v>
      </c>
      <c r="X60" s="171">
        <f>B60/COMB_CORR!$B5</f>
        <v>0.70798398524723682</v>
      </c>
      <c r="Y60" s="171">
        <f>C60/COMB_CORR!$B5</f>
        <v>0.12441687605453729</v>
      </c>
      <c r="Z60" s="171">
        <f>D60/COMB_CORR!$C5</f>
        <v>0.66415188147767801</v>
      </c>
      <c r="AA60" s="171">
        <f>E60/COMB_CORR!$C5</f>
        <v>0.11645371524671795</v>
      </c>
      <c r="AB60" s="171">
        <f>F60/COMB_CORR!$D5</f>
        <v>0.66935916044300114</v>
      </c>
      <c r="AC60" s="171">
        <f>G60/COMB_CORR!$D5</f>
        <v>0.11735697373208706</v>
      </c>
      <c r="AD60" s="171">
        <f>H60/COMB_CORR!$E5</f>
        <v>0.67801903099159422</v>
      </c>
      <c r="AE60" s="171">
        <f>I60/COMB_CORR!$E5</f>
        <v>0.11967248502485109</v>
      </c>
      <c r="AF60" s="171" t="e">
        <f>J60/COMB_CORR!$F5</f>
        <v>#DIV/0!</v>
      </c>
      <c r="AG60" s="171" t="e">
        <f>K60/COMB_CORR!$F5</f>
        <v>#DIV/0!</v>
      </c>
    </row>
    <row r="61" spans="1:58" ht="15.75" thickBot="1">
      <c r="A61" s="127" t="s">
        <v>14</v>
      </c>
      <c r="B61" s="167">
        <f t="shared" ref="B61:B66" si="44">B$49*E14/B$57</f>
        <v>60029610.337808043</v>
      </c>
      <c r="C61" s="167">
        <f t="shared" ref="C61:C66" si="45">C$49*Z14/C$57</f>
        <v>11797304.91987554</v>
      </c>
      <c r="D61" s="167">
        <f t="shared" ref="D61:D66" si="46">D$49*I14/D$57</f>
        <v>68759721.97619082</v>
      </c>
      <c r="E61" s="167">
        <f t="shared" ref="E61:E66" si="47">E$49*AC14/E$57</f>
        <v>13810979.010361692</v>
      </c>
      <c r="F61" s="167">
        <f t="shared" ref="F61:F66" si="48">F$49*M14/F$57</f>
        <v>77895466.124319211</v>
      </c>
      <c r="G61" s="167">
        <f t="shared" ref="G61:G66" si="49">G$49*AF14/G$57</f>
        <v>15822700.909027953</v>
      </c>
      <c r="H61" s="167">
        <f t="shared" ref="H61:H66" si="50">H$49*Q14/H$57</f>
        <v>83672426.1310848</v>
      </c>
      <c r="I61" s="225">
        <f t="shared" ref="I61:I66" si="51">I$49*AI14/I$57</f>
        <v>17726560.591086932</v>
      </c>
      <c r="J61" s="167" t="e">
        <f t="shared" ref="J61:J66" si="52">J$49*U14/J$57</f>
        <v>#DIV/0!</v>
      </c>
      <c r="K61" s="225" t="e">
        <f t="shared" ref="K61:K66" si="53">K$49*AL14/K$57</f>
        <v>#DIV/0!</v>
      </c>
      <c r="W61" s="127" t="s">
        <v>14</v>
      </c>
      <c r="X61" s="171">
        <f>B61/COMB_CORR!$B6</f>
        <v>0.69798669337006847</v>
      </c>
      <c r="Y61" s="171">
        <f>C61/COMB_CORR!$B6</f>
        <v>0.13717166920399243</v>
      </c>
      <c r="Z61" s="171">
        <f>D61/COMB_CORR!$C6</f>
        <v>0.69177206416916914</v>
      </c>
      <c r="AA61" s="171">
        <f>E61/COMB_CORR!$C6</f>
        <v>0.13894834335576897</v>
      </c>
      <c r="AB61" s="171">
        <f>F61/COMB_CORR!$D6</f>
        <v>0.71127278784318593</v>
      </c>
      <c r="AC61" s="171">
        <f>G61/COMB_CORR!$D6</f>
        <v>0.14447896837553695</v>
      </c>
      <c r="AD61" s="171">
        <f>H61/COMB_CORR!$E6</f>
        <v>0.65376999660962698</v>
      </c>
      <c r="AE61" s="171">
        <f>I61/COMB_CORR!$E6</f>
        <v>0.13850552677149916</v>
      </c>
      <c r="AF61" s="171" t="e">
        <f>J61/COMB_CORR!$F6</f>
        <v>#DIV/0!</v>
      </c>
      <c r="AG61" s="171" t="e">
        <f>K61/COMB_CORR!$E6</f>
        <v>#DIV/0!</v>
      </c>
    </row>
    <row r="62" spans="1:58" ht="15.75" thickBot="1">
      <c r="A62" s="127" t="s">
        <v>15</v>
      </c>
      <c r="B62" s="167">
        <f t="shared" si="44"/>
        <v>300580473.55422461</v>
      </c>
      <c r="C62" s="167">
        <f t="shared" si="45"/>
        <v>62593047.125625156</v>
      </c>
      <c r="D62" s="167">
        <f t="shared" si="46"/>
        <v>341815109.53920519</v>
      </c>
      <c r="E62" s="167">
        <f t="shared" si="47"/>
        <v>74003014.657820031</v>
      </c>
      <c r="F62" s="167">
        <f t="shared" si="48"/>
        <v>379822715.97884268</v>
      </c>
      <c r="G62" s="167">
        <f t="shared" si="49"/>
        <v>84957423.595459282</v>
      </c>
      <c r="H62" s="167">
        <f t="shared" si="50"/>
        <v>406248770.16397256</v>
      </c>
      <c r="I62" s="225">
        <f t="shared" si="51"/>
        <v>93864266.524184242</v>
      </c>
      <c r="J62" s="167" t="e">
        <f t="shared" si="52"/>
        <v>#DIV/0!</v>
      </c>
      <c r="K62" s="225" t="e">
        <f t="shared" si="53"/>
        <v>#DIV/0!</v>
      </c>
      <c r="W62" s="127" t="s">
        <v>15</v>
      </c>
      <c r="X62" s="171">
        <f>B62/COMB_CORR!$B7</f>
        <v>0.74527969220584822</v>
      </c>
      <c r="Y62" s="171">
        <f>C62/COMB_CORR!$B7</f>
        <v>0.15519746291036615</v>
      </c>
      <c r="Z62" s="171">
        <f>D62/COMB_CORR!$C7</f>
        <v>0.72930172437968799</v>
      </c>
      <c r="AA62" s="171">
        <f>E62/COMB_CORR!$C7</f>
        <v>0.15789391601793196</v>
      </c>
      <c r="AB62" s="171">
        <f>F62/COMB_CORR!$D7</f>
        <v>0.72852978356677045</v>
      </c>
      <c r="AC62" s="171">
        <f>G62/COMB_CORR!$D7</f>
        <v>0.16295500721931039</v>
      </c>
      <c r="AD62" s="171">
        <f>H62/COMB_CORR!$E7</f>
        <v>0.71347223709629792</v>
      </c>
      <c r="AE62" s="171">
        <f>I62/COMB_CORR!$E7</f>
        <v>0.16484861774075582</v>
      </c>
      <c r="AF62" s="171" t="e">
        <f>J62/COMB_CORR!$F7</f>
        <v>#DIV/0!</v>
      </c>
      <c r="AG62" s="171" t="e">
        <f>K62/COMB_CORR!$E7</f>
        <v>#DIV/0!</v>
      </c>
    </row>
    <row r="63" spans="1:58" ht="15.75" thickBot="1">
      <c r="A63" s="127" t="s">
        <v>16</v>
      </c>
      <c r="B63" s="167">
        <f t="shared" si="44"/>
        <v>398065576.68246186</v>
      </c>
      <c r="C63" s="167">
        <f t="shared" si="45"/>
        <v>62569353.29776226</v>
      </c>
      <c r="D63" s="167">
        <f t="shared" si="46"/>
        <v>442350681.00860757</v>
      </c>
      <c r="E63" s="167">
        <f t="shared" si="47"/>
        <v>71007243.578431904</v>
      </c>
      <c r="F63" s="167">
        <f t="shared" si="48"/>
        <v>501276180.80825198</v>
      </c>
      <c r="G63" s="167">
        <f t="shared" si="49"/>
        <v>82504947.85767293</v>
      </c>
      <c r="H63" s="167">
        <f t="shared" si="50"/>
        <v>553077803.51660335</v>
      </c>
      <c r="I63" s="225">
        <f t="shared" si="51"/>
        <v>94536230.233898833</v>
      </c>
      <c r="J63" s="167" t="e">
        <f t="shared" si="52"/>
        <v>#DIV/0!</v>
      </c>
      <c r="K63" s="225" t="e">
        <f t="shared" si="53"/>
        <v>#DIV/0!</v>
      </c>
      <c r="W63" s="127" t="s">
        <v>16</v>
      </c>
      <c r="X63" s="171">
        <f>B63/COMB_CORR!$B8</f>
        <v>0.68001613928330307</v>
      </c>
      <c r="Y63" s="171">
        <f>C63/COMB_CORR!$B8</f>
        <v>0.10688733856768054</v>
      </c>
      <c r="Z63" s="171">
        <f>D63/COMB_CORR!$C8</f>
        <v>0.65539197691994899</v>
      </c>
      <c r="AA63" s="171">
        <f>E63/COMB_CORR!$C8</f>
        <v>0.10520516807704265</v>
      </c>
      <c r="AB63" s="171">
        <f>F63/COMB_CORR!$D8</f>
        <v>0.65220014809986204</v>
      </c>
      <c r="AC63" s="171">
        <f>G63/COMB_CORR!$D8</f>
        <v>0.10734549390514322</v>
      </c>
      <c r="AD63" s="171">
        <f>H63/COMB_CORR!$E8</f>
        <v>0.60810830356967915</v>
      </c>
      <c r="AE63" s="171">
        <f>I63/COMB_CORR!$E8</f>
        <v>0.10394245841703362</v>
      </c>
      <c r="AF63" s="171" t="e">
        <f>J63/COMB_CORR!$F8</f>
        <v>#DIV/0!</v>
      </c>
      <c r="AG63" s="171" t="e">
        <f>K63/COMB_CORR!$E8</f>
        <v>#DIV/0!</v>
      </c>
    </row>
    <row r="64" spans="1:58" ht="15.75" thickBot="1">
      <c r="A64" s="127" t="s">
        <v>17</v>
      </c>
      <c r="B64" s="167">
        <f t="shared" si="44"/>
        <v>136176694.27372554</v>
      </c>
      <c r="C64" s="167">
        <f t="shared" si="45"/>
        <v>27093889.056745321</v>
      </c>
      <c r="D64" s="167">
        <f t="shared" si="46"/>
        <v>173993510.15455207</v>
      </c>
      <c r="E64" s="167">
        <f t="shared" si="47"/>
        <v>34070560.506469883</v>
      </c>
      <c r="F64" s="167">
        <f t="shared" si="48"/>
        <v>212559552.85159013</v>
      </c>
      <c r="G64" s="167">
        <f t="shared" si="49"/>
        <v>41553943.838825077</v>
      </c>
      <c r="H64" s="167">
        <f t="shared" si="50"/>
        <v>245772906.43096662</v>
      </c>
      <c r="I64" s="225">
        <f t="shared" si="51"/>
        <v>48112944.519779682</v>
      </c>
      <c r="J64" s="167" t="e">
        <f t="shared" si="52"/>
        <v>#DIV/0!</v>
      </c>
      <c r="K64" s="225" t="e">
        <f t="shared" si="53"/>
        <v>#DIV/0!</v>
      </c>
      <c r="W64" s="127" t="s">
        <v>17</v>
      </c>
      <c r="X64" s="171">
        <f>B64/COMB_CORR!$B9</f>
        <v>0.58290666693162907</v>
      </c>
      <c r="Y64" s="171">
        <f>C64/COMB_CORR!$B9</f>
        <v>0.11597585510878389</v>
      </c>
      <c r="Z64" s="171">
        <f>D64/COMB_CORR!$C9</f>
        <v>0.60805872588308807</v>
      </c>
      <c r="AA64" s="171">
        <f>E64/COMB_CORR!$C9</f>
        <v>0.11906709390071314</v>
      </c>
      <c r="AB64" s="171">
        <f>F64/COMB_CORR!$D9</f>
        <v>0.65360682350597499</v>
      </c>
      <c r="AC64" s="171">
        <f>G64/COMB_CORR!$D9</f>
        <v>0.12777567920272825</v>
      </c>
      <c r="AD64" s="171">
        <f>H64/COMB_CORR!$E9</f>
        <v>0.67266801148765154</v>
      </c>
      <c r="AE64" s="171">
        <f>I64/COMB_CORR!$E9</f>
        <v>0.1316826951632539</v>
      </c>
      <c r="AF64" s="171" t="e">
        <f>J64/COMB_CORR!$F9</f>
        <v>#DIV/0!</v>
      </c>
      <c r="AG64" s="171" t="e">
        <f>K64/COMB_CORR!$E9</f>
        <v>#DIV/0!</v>
      </c>
    </row>
    <row r="65" spans="1:58" ht="15.75" thickBot="1">
      <c r="A65" s="127" t="s">
        <v>18</v>
      </c>
      <c r="B65" s="167">
        <f t="shared" si="44"/>
        <v>47766170.086332425</v>
      </c>
      <c r="C65" s="167">
        <f t="shared" si="45"/>
        <v>11530821.339054449</v>
      </c>
      <c r="D65" s="167">
        <f t="shared" si="46"/>
        <v>54892861.030022807</v>
      </c>
      <c r="E65" s="167">
        <f t="shared" si="47"/>
        <v>13089798.183068659</v>
      </c>
      <c r="F65" s="167">
        <f t="shared" si="48"/>
        <v>62498729.159157522</v>
      </c>
      <c r="G65" s="167">
        <f t="shared" si="49"/>
        <v>14920039.846698478</v>
      </c>
      <c r="H65" s="167">
        <f t="shared" si="50"/>
        <v>68577273.812718034</v>
      </c>
      <c r="I65" s="225">
        <f t="shared" si="51"/>
        <v>16807688.13187715</v>
      </c>
      <c r="J65" s="167" t="e">
        <f t="shared" si="52"/>
        <v>#DIV/0!</v>
      </c>
      <c r="K65" s="225" t="e">
        <f t="shared" si="53"/>
        <v>#DIV/0!</v>
      </c>
      <c r="W65" s="127" t="s">
        <v>18</v>
      </c>
      <c r="X65" s="171">
        <f>B65/COMB_CORR!$B10</f>
        <v>0.64006547238080191</v>
      </c>
      <c r="Y65" s="171">
        <f>C65/COMB_CORR!$B10</f>
        <v>0.15451271462587557</v>
      </c>
      <c r="Z65" s="171">
        <f>D65/COMB_CORR!$C10</f>
        <v>0.64001265069679281</v>
      </c>
      <c r="AA65" s="171">
        <f>E65/COMB_CORR!$C10</f>
        <v>0.15261795933081018</v>
      </c>
      <c r="AB65" s="171">
        <f>F65/COMB_CORR!$D10</f>
        <v>0.70801436629055248</v>
      </c>
      <c r="AC65" s="171">
        <f>G65/COMB_CORR!$D10</f>
        <v>0.16902107769566063</v>
      </c>
      <c r="AD65" s="171">
        <f>H65/COMB_CORR!$E10</f>
        <v>0.68970405121912937</v>
      </c>
      <c r="AE65" s="171">
        <f>I65/COMB_CORR!$E10</f>
        <v>0.16904041166526351</v>
      </c>
      <c r="AF65" s="171" t="e">
        <f>J65/COMB_CORR!$F10</f>
        <v>#DIV/0!</v>
      </c>
      <c r="AG65" s="171" t="e">
        <f>K65/COMB_CORR!$E10</f>
        <v>#DIV/0!</v>
      </c>
    </row>
    <row r="66" spans="1:58" ht="15.75" thickBot="1">
      <c r="A66" s="128" t="s">
        <v>19</v>
      </c>
      <c r="B66" s="167">
        <f t="shared" si="44"/>
        <v>105410547.85608615</v>
      </c>
      <c r="C66" s="167">
        <f t="shared" si="45"/>
        <v>20160546.829492103</v>
      </c>
      <c r="D66" s="167">
        <f t="shared" si="46"/>
        <v>124316322.02896427</v>
      </c>
      <c r="E66" s="167">
        <f t="shared" si="47"/>
        <v>24080987.622819521</v>
      </c>
      <c r="F66" s="167">
        <f t="shared" si="48"/>
        <v>151980578.41181254</v>
      </c>
      <c r="G66" s="167">
        <f t="shared" si="49"/>
        <v>29187625.966573868</v>
      </c>
      <c r="H66" s="167">
        <f t="shared" si="50"/>
        <v>176226549.53616032</v>
      </c>
      <c r="I66" s="225">
        <f t="shared" si="51"/>
        <v>33657042.937242933</v>
      </c>
      <c r="J66" s="167" t="e">
        <f t="shared" si="52"/>
        <v>#DIV/0!</v>
      </c>
      <c r="K66" s="225" t="e">
        <f t="shared" si="53"/>
        <v>#DIV/0!</v>
      </c>
      <c r="W66" s="128" t="s">
        <v>19</v>
      </c>
      <c r="X66" s="171">
        <f>B66/COMB_CORR!$B11</f>
        <v>0.59344036745710749</v>
      </c>
      <c r="Y66" s="171">
        <f>C66/COMB_CORR!$B11</f>
        <v>0.11349985899859109</v>
      </c>
      <c r="Z66" s="171">
        <f>D66/COMB_CORR!$C11</f>
        <v>0.5721983807925265</v>
      </c>
      <c r="AA66" s="171">
        <f>E66/COMB_CORR!$C11</f>
        <v>0.11083904269989447</v>
      </c>
      <c r="AB66" s="171">
        <f>F66/COMB_CORR!$D11</f>
        <v>0.60871566494768992</v>
      </c>
      <c r="AC66" s="171">
        <f>G66/COMB_CORR!$D11</f>
        <v>0.11690286570923164</v>
      </c>
      <c r="AD66" s="171">
        <f>H66/COMB_CORR!$E11</f>
        <v>0.59495357919494718</v>
      </c>
      <c r="AE66" s="171">
        <f>I66/COMB_CORR!$E11</f>
        <v>0.11362861165548642</v>
      </c>
      <c r="AF66" s="171" t="e">
        <f>J66/COMB_CORR!$F11</f>
        <v>#DIV/0!</v>
      </c>
      <c r="AG66" s="171" t="e">
        <f>K66/COMB_CORR!$E11</f>
        <v>#DIV/0!</v>
      </c>
    </row>
    <row r="67" spans="1:58" s="408" customFormat="1" ht="15.75" thickBot="1">
      <c r="A67" s="4" t="s">
        <v>54</v>
      </c>
      <c r="B67" s="147">
        <f t="shared" ref="B67:K67" si="54">SUM(B68:B76)</f>
        <v>2705556544.3087125</v>
      </c>
      <c r="C67" s="147">
        <f t="shared" si="54"/>
        <v>464234997.13038445</v>
      </c>
      <c r="D67" s="147">
        <f t="shared" si="54"/>
        <v>3200808052.7983432</v>
      </c>
      <c r="E67" s="147">
        <f t="shared" si="54"/>
        <v>557435193.92044604</v>
      </c>
      <c r="F67" s="147">
        <f t="shared" si="54"/>
        <v>3872745674.8829603</v>
      </c>
      <c r="G67" s="147">
        <f t="shared" si="54"/>
        <v>681381441.3363142</v>
      </c>
      <c r="H67" s="147">
        <f t="shared" si="54"/>
        <v>4394633329.4378252</v>
      </c>
      <c r="I67" s="224">
        <f t="shared" si="54"/>
        <v>783621818.3396163</v>
      </c>
      <c r="J67" s="224" t="e">
        <f t="shared" si="54"/>
        <v>#DIV/0!</v>
      </c>
      <c r="K67" s="224" t="e">
        <f t="shared" si="54"/>
        <v>#DIV/0!</v>
      </c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" t="s">
        <v>54</v>
      </c>
      <c r="X67" s="560">
        <f>B67/COMB_CORR!$B12</f>
        <v>0.64754641881088337</v>
      </c>
      <c r="Y67" s="560">
        <f>C67/COMB_CORR!$B12</f>
        <v>0.11110974949343369</v>
      </c>
      <c r="Z67" s="560">
        <f>D67/COMB_CORR!$C12</f>
        <v>0.61401104271764595</v>
      </c>
      <c r="AA67" s="560">
        <f>E67/COMB_CORR!$C12</f>
        <v>0.10693279916219019</v>
      </c>
      <c r="AB67" s="560">
        <f>F67/COMB_CORR!$D12</f>
        <v>0.62067225577483953</v>
      </c>
      <c r="AC67" s="560">
        <f>G67/COMB_CORR!$D12</f>
        <v>0.10920277026714455</v>
      </c>
      <c r="AD67" s="560">
        <f>H67/COMB_CORR!$E12</f>
        <v>0.60088720176683874</v>
      </c>
      <c r="AE67" s="560">
        <f>I67/COMB_CORR!$E12</f>
        <v>0.10714621365823232</v>
      </c>
      <c r="AF67" s="560" t="e">
        <f>J67/COMB_CORR!$F12</f>
        <v>#DIV/0!</v>
      </c>
      <c r="AG67" s="560" t="e">
        <f>K67/COMB_CORR!$E12</f>
        <v>#DIV/0!</v>
      </c>
      <c r="AH67" s="399"/>
      <c r="AI67" s="399"/>
      <c r="AJ67" s="399"/>
      <c r="AK67" s="399"/>
      <c r="AL67" s="399"/>
      <c r="AM67" s="399"/>
      <c r="AN67" s="399"/>
      <c r="AO67" s="399"/>
      <c r="AP67" s="399"/>
      <c r="AQ67" s="399"/>
      <c r="AR67" s="399"/>
      <c r="AS67" s="399"/>
      <c r="AT67" s="399"/>
      <c r="AU67" s="399"/>
      <c r="AV67" s="399"/>
      <c r="AW67" s="399"/>
      <c r="AX67" s="399"/>
      <c r="AY67" s="399"/>
      <c r="AZ67" s="399"/>
      <c r="BA67" s="399"/>
      <c r="BB67" s="399"/>
      <c r="BC67" s="399"/>
      <c r="BD67" s="399"/>
      <c r="BE67" s="399"/>
      <c r="BF67" s="399"/>
    </row>
    <row r="68" spans="1:58" ht="15.75" thickBot="1">
      <c r="A68" s="127" t="s">
        <v>21</v>
      </c>
      <c r="B68" s="167">
        <f>B$50*E21/B$57</f>
        <v>114816571.61451501</v>
      </c>
      <c r="C68" s="167">
        <f>C$50*Z21/C$57</f>
        <v>20969083.075311251</v>
      </c>
      <c r="D68" s="167">
        <f>D$50*I21/D$57</f>
        <v>149585567.04111993</v>
      </c>
      <c r="E68" s="167">
        <f>E$50*AC21/E$57</f>
        <v>26529059.04678062</v>
      </c>
      <c r="F68" s="167">
        <f>F$50*M21/F$57</f>
        <v>182888740.04392844</v>
      </c>
      <c r="G68" s="167">
        <f>G$50*AF21/G$57</f>
        <v>32264679.01606977</v>
      </c>
      <c r="H68" s="167">
        <f>H$50*Q21/H$57</f>
        <v>212848497.98558038</v>
      </c>
      <c r="I68" s="225">
        <f>I$50*AI21/I$57</f>
        <v>37648109.364634357</v>
      </c>
      <c r="J68" s="167" t="e">
        <f>J$50*U21/J$57</f>
        <v>#DIV/0!</v>
      </c>
      <c r="K68" s="225" t="e">
        <f>K$50*AL21/K$57</f>
        <v>#DIV/0!</v>
      </c>
      <c r="W68" s="127" t="s">
        <v>21</v>
      </c>
      <c r="X68" s="171">
        <f>B68/COMB_CORR!$B13</f>
        <v>0.64000152444027336</v>
      </c>
      <c r="Y68" s="171">
        <f>C68/COMB_CORR!$B13</f>
        <v>0.116884217544581</v>
      </c>
      <c r="Z68" s="171">
        <f>D68/COMB_CORR!$C13</f>
        <v>0.60973745139980662</v>
      </c>
      <c r="AA68" s="171">
        <f>E68/COMB_CORR!$C13</f>
        <v>0.10813717640801807</v>
      </c>
      <c r="AB68" s="171">
        <f>F68/COMB_CORR!$D13</f>
        <v>0.60340185735929341</v>
      </c>
      <c r="AC68" s="171">
        <f>G68/COMB_CORR!$D13</f>
        <v>0.10645033281284413</v>
      </c>
      <c r="AD68" s="171">
        <f>H68/COMB_CORR!$E13</f>
        <v>0.58501758588900132</v>
      </c>
      <c r="AE68" s="171">
        <f>I68/COMB_CORR!$E13</f>
        <v>0.10347644574534694</v>
      </c>
      <c r="AF68" s="171" t="e">
        <f>J68/COMB_CORR!$F13</f>
        <v>#DIV/0!</v>
      </c>
      <c r="AG68" s="171" t="e">
        <f>K68/COMB_CORR!$E13</f>
        <v>#DIV/0!</v>
      </c>
    </row>
    <row r="69" spans="1:58" ht="15.75" thickBot="1">
      <c r="A69" s="127" t="s">
        <v>22</v>
      </c>
      <c r="B69" s="167">
        <f t="shared" ref="B69:B76" si="55">B$50*E22/B$57</f>
        <v>699543395.19062185</v>
      </c>
      <c r="C69" s="167">
        <f t="shared" ref="C69:C75" si="56">C$50*Z22/C$57</f>
        <v>133910810.38456835</v>
      </c>
      <c r="D69" s="167">
        <f t="shared" ref="D69:D76" si="57">D$50*I22/D$57</f>
        <v>809557765.74491119</v>
      </c>
      <c r="E69" s="167">
        <f t="shared" ref="E69:E76" si="58">E$50*AC22/E$57</f>
        <v>157405940.60996896</v>
      </c>
      <c r="F69" s="167">
        <f t="shared" ref="F69:F76" si="59">F$50*M22/F$57</f>
        <v>1021193800.1194344</v>
      </c>
      <c r="G69" s="167">
        <f t="shared" ref="G69:G76" si="60">G$50*AF22/G$57</f>
        <v>199929867.17249528</v>
      </c>
      <c r="H69" s="167">
        <f t="shared" ref="H69:H76" si="61">H$50*Q22/H$57</f>
        <v>1172019106.5349386</v>
      </c>
      <c r="I69" s="225">
        <f t="shared" ref="I69:I76" si="62">I$50*AI22/I$57</f>
        <v>230616817.81178981</v>
      </c>
      <c r="J69" s="167" t="e">
        <f t="shared" ref="J69:J76" si="63">J$50*U22/J$57</f>
        <v>#DIV/0!</v>
      </c>
      <c r="K69" s="225" t="e">
        <f t="shared" ref="K69:K76" si="64">K$50*AL22/K$57</f>
        <v>#DIV/0!</v>
      </c>
      <c r="W69" s="127" t="s">
        <v>22</v>
      </c>
      <c r="X69" s="171">
        <f>B69/COMB_CORR!$B14</f>
        <v>0.66215619275716187</v>
      </c>
      <c r="Y69" s="171">
        <f>C69/COMB_CORR!$B14</f>
        <v>0.12675392689414203</v>
      </c>
      <c r="Z69" s="171">
        <f>D69/COMB_CORR!$C14</f>
        <v>0.63574204503006193</v>
      </c>
      <c r="AA69" s="171">
        <f>E69/COMB_CORR!$C14</f>
        <v>0.12361017189574303</v>
      </c>
      <c r="AB69" s="171">
        <f>F69/COMB_CORR!$D14</f>
        <v>0.64273494657400398</v>
      </c>
      <c r="AC69" s="171">
        <f>G69/COMB_CORR!$D14</f>
        <v>0.12583499085152342</v>
      </c>
      <c r="AD69" s="171">
        <f>H69/COMB_CORR!$E14</f>
        <v>0.6360232680755058</v>
      </c>
      <c r="AE69" s="171">
        <f>I69/COMB_CORR!$E14</f>
        <v>0.12514954860375863</v>
      </c>
      <c r="AF69" s="171" t="e">
        <f>J69/COMB_CORR!$F14</f>
        <v>#DIV/0!</v>
      </c>
      <c r="AG69" s="171" t="e">
        <f>K69/COMB_CORR!$E14</f>
        <v>#DIV/0!</v>
      </c>
    </row>
    <row r="70" spans="1:58" ht="15.75" thickBot="1">
      <c r="A70" s="127" t="s">
        <v>23</v>
      </c>
      <c r="B70" s="167">
        <f t="shared" si="55"/>
        <v>451936933.82053286</v>
      </c>
      <c r="C70" s="167">
        <f t="shared" si="56"/>
        <v>72840896.148465797</v>
      </c>
      <c r="D70" s="167">
        <f t="shared" si="57"/>
        <v>524314569.32403803</v>
      </c>
      <c r="E70" s="167">
        <f t="shared" si="58"/>
        <v>85844270.543295264</v>
      </c>
      <c r="F70" s="167">
        <f t="shared" si="59"/>
        <v>612229445.71029234</v>
      </c>
      <c r="G70" s="167">
        <f t="shared" si="60"/>
        <v>100799062.9383916</v>
      </c>
      <c r="H70" s="167">
        <f t="shared" si="61"/>
        <v>705862261.72487593</v>
      </c>
      <c r="I70" s="225">
        <f t="shared" si="62"/>
        <v>115452864.9759573</v>
      </c>
      <c r="J70" s="167" t="e">
        <f t="shared" si="63"/>
        <v>#DIV/0!</v>
      </c>
      <c r="K70" s="225" t="e">
        <f t="shared" si="64"/>
        <v>#DIV/0!</v>
      </c>
      <c r="W70" s="127" t="s">
        <v>23</v>
      </c>
      <c r="X70" s="171">
        <f>B70/COMB_CORR!$B15</f>
        <v>0.67867803355459544</v>
      </c>
      <c r="Y70" s="171">
        <f>C70/COMB_CORR!$B15</f>
        <v>0.10938587325112589</v>
      </c>
      <c r="Z70" s="171">
        <f>D70/COMB_CORR!$C15</f>
        <v>0.63927935172358996</v>
      </c>
      <c r="AA70" s="171">
        <f>E70/COMB_CORR!$C15</f>
        <v>0.10466706979524376</v>
      </c>
      <c r="AB70" s="171">
        <f>F70/COMB_CORR!$D15</f>
        <v>0.64901011653085339</v>
      </c>
      <c r="AC70" s="171">
        <f>G70/COMB_CORR!$D15</f>
        <v>0.10685472912520282</v>
      </c>
      <c r="AD70" s="171">
        <f>H70/COMB_CORR!$E15</f>
        <v>0.62980246415529817</v>
      </c>
      <c r="AE70" s="171">
        <f>I70/COMB_CORR!$E15</f>
        <v>0.10301230537238722</v>
      </c>
      <c r="AF70" s="171" t="e">
        <f>J70/COMB_CORR!$F15</f>
        <v>#DIV/0!</v>
      </c>
      <c r="AG70" s="171" t="e">
        <f>K70/COMB_CORR!$E15</f>
        <v>#DIV/0!</v>
      </c>
    </row>
    <row r="71" spans="1:58" ht="15.75" thickBot="1">
      <c r="A71" s="127" t="s">
        <v>24</v>
      </c>
      <c r="B71" s="167">
        <f t="shared" si="55"/>
        <v>184711398.46421337</v>
      </c>
      <c r="C71" s="167">
        <f t="shared" si="56"/>
        <v>36460338.841736451</v>
      </c>
      <c r="D71" s="167">
        <f t="shared" si="57"/>
        <v>232622628.97789413</v>
      </c>
      <c r="E71" s="167">
        <f t="shared" si="58"/>
        <v>47952001.855764918</v>
      </c>
      <c r="F71" s="167">
        <f t="shared" si="59"/>
        <v>285247851.46298498</v>
      </c>
      <c r="G71" s="167">
        <f t="shared" si="60"/>
        <v>61004093.208513752</v>
      </c>
      <c r="H71" s="167">
        <f t="shared" si="61"/>
        <v>319674473.35734689</v>
      </c>
      <c r="I71" s="225">
        <f t="shared" si="62"/>
        <v>71264459.099689484</v>
      </c>
      <c r="J71" s="167" t="e">
        <f t="shared" si="63"/>
        <v>#DIV/0!</v>
      </c>
      <c r="K71" s="225" t="e">
        <f t="shared" si="64"/>
        <v>#DIV/0!</v>
      </c>
      <c r="W71" s="127" t="s">
        <v>24</v>
      </c>
      <c r="X71" s="171">
        <f>B71/COMB_CORR!$B16</f>
        <v>0.47080494672914247</v>
      </c>
      <c r="Y71" s="171">
        <f>C71/COMB_CORR!$B16</f>
        <v>9.2932585800523604E-2</v>
      </c>
      <c r="Z71" s="171">
        <f>D71/COMB_CORR!$C16</f>
        <v>0.44539205156433281</v>
      </c>
      <c r="AA71" s="171">
        <f>E71/COMB_CORR!$C16</f>
        <v>9.1811534316317125E-2</v>
      </c>
      <c r="AB71" s="171">
        <f>F71/COMB_CORR!$D16</f>
        <v>0.45357407537319544</v>
      </c>
      <c r="AC71" s="171">
        <f>G71/COMB_CORR!$D16</f>
        <v>9.7002922297637087E-2</v>
      </c>
      <c r="AD71" s="171">
        <f>H71/COMB_CORR!$E16</f>
        <v>0.42579950788370996</v>
      </c>
      <c r="AE71" s="171">
        <f>I71/COMB_CORR!$E16</f>
        <v>9.4922723405338083E-2</v>
      </c>
      <c r="AF71" s="171" t="e">
        <f>J71/COMB_CORR!$F16</f>
        <v>#DIV/0!</v>
      </c>
      <c r="AG71" s="171" t="e">
        <f>K71/COMB_CORR!$E16</f>
        <v>#DIV/0!</v>
      </c>
    </row>
    <row r="72" spans="1:58" ht="15.75" thickBot="1">
      <c r="A72" s="127" t="s">
        <v>25</v>
      </c>
      <c r="B72" s="167">
        <f t="shared" si="55"/>
        <v>218630857.29689386</v>
      </c>
      <c r="C72" s="167">
        <f t="shared" si="56"/>
        <v>34007042.229801282</v>
      </c>
      <c r="D72" s="167">
        <f t="shared" si="57"/>
        <v>258443280.2228097</v>
      </c>
      <c r="E72" s="167">
        <f t="shared" si="58"/>
        <v>40439741.785420932</v>
      </c>
      <c r="F72" s="167">
        <f t="shared" si="59"/>
        <v>303730575.75523865</v>
      </c>
      <c r="G72" s="167">
        <f t="shared" si="60"/>
        <v>47526338.100746565</v>
      </c>
      <c r="H72" s="167">
        <f t="shared" si="61"/>
        <v>339976194.97141755</v>
      </c>
      <c r="I72" s="225">
        <f t="shared" si="62"/>
        <v>54429328.090163618</v>
      </c>
      <c r="J72" s="167" t="e">
        <f t="shared" si="63"/>
        <v>#DIV/0!</v>
      </c>
      <c r="K72" s="225" t="e">
        <f t="shared" si="64"/>
        <v>#DIV/0!</v>
      </c>
      <c r="W72" s="127" t="s">
        <v>25</v>
      </c>
      <c r="X72" s="171">
        <f>B72/COMB_CORR!$B17</f>
        <v>0.60885599302971938</v>
      </c>
      <c r="Y72" s="171">
        <f>C72/COMB_CORR!$B17</f>
        <v>9.4704799326254252E-2</v>
      </c>
      <c r="Z72" s="171">
        <f>D72/COMB_CORR!$C17</f>
        <v>0.58099906863913231</v>
      </c>
      <c r="AA72" s="171">
        <f>E72/COMB_CORR!$C17</f>
        <v>9.0911445997282694E-2</v>
      </c>
      <c r="AB72" s="171">
        <f>F72/COMB_CORR!$D17</f>
        <v>0.59358395870708225</v>
      </c>
      <c r="AC72" s="171">
        <f>G72/COMB_CORR!$D17</f>
        <v>9.2881238059569327E-2</v>
      </c>
      <c r="AD72" s="171">
        <f>H72/COMB_CORR!$E17</f>
        <v>0.57784762328486361</v>
      </c>
      <c r="AE72" s="171">
        <f>I72/COMB_CORR!$E17</f>
        <v>9.2511941539134321E-2</v>
      </c>
      <c r="AF72" s="171" t="e">
        <f>J72/COMB_CORR!$F17</f>
        <v>#DIV/0!</v>
      </c>
      <c r="AG72" s="171" t="e">
        <f>K72/COMB_CORR!$E17</f>
        <v>#DIV/0!</v>
      </c>
    </row>
    <row r="73" spans="1:58" ht="15.75" thickBot="1">
      <c r="A73" s="127" t="s">
        <v>26</v>
      </c>
      <c r="B73" s="167">
        <f t="shared" si="55"/>
        <v>530094275.1698395</v>
      </c>
      <c r="C73" s="167">
        <f t="shared" si="56"/>
        <v>83585244.594295502</v>
      </c>
      <c r="D73" s="167">
        <f t="shared" si="57"/>
        <v>629217150.81628144</v>
      </c>
      <c r="E73" s="167">
        <f t="shared" si="58"/>
        <v>101145785.12723984</v>
      </c>
      <c r="F73" s="167">
        <f t="shared" si="59"/>
        <v>776404056.39445984</v>
      </c>
      <c r="G73" s="167">
        <f t="shared" si="60"/>
        <v>126106791.29213242</v>
      </c>
      <c r="H73" s="167">
        <f t="shared" si="61"/>
        <v>873492315.91829038</v>
      </c>
      <c r="I73" s="225">
        <f t="shared" si="62"/>
        <v>145147706.48418388</v>
      </c>
      <c r="J73" s="167" t="e">
        <f t="shared" si="63"/>
        <v>#DIV/0!</v>
      </c>
      <c r="K73" s="225" t="e">
        <f t="shared" si="64"/>
        <v>#DIV/0!</v>
      </c>
      <c r="W73" s="127" t="s">
        <v>26</v>
      </c>
      <c r="X73" s="171">
        <f>B73/COMB_CORR!$B18</f>
        <v>0.75584694403940111</v>
      </c>
      <c r="Y73" s="171">
        <f>C73/COMB_CORR!$B18</f>
        <v>0.11918191659991485</v>
      </c>
      <c r="Z73" s="171">
        <f>D73/COMB_CORR!$C18</f>
        <v>0.69996014687326802</v>
      </c>
      <c r="AA73" s="171">
        <f>E73/COMB_CORR!$C18</f>
        <v>0.11251762371929748</v>
      </c>
      <c r="AB73" s="171">
        <f>F73/COMB_CORR!$D18</f>
        <v>0.7014436083003599</v>
      </c>
      <c r="AC73" s="171">
        <f>G73/COMB_CORR!$D18</f>
        <v>0.11393140206649359</v>
      </c>
      <c r="AD73" s="171">
        <f>H73/COMB_CORR!$E18</f>
        <v>0.67700713277295654</v>
      </c>
      <c r="AE73" s="171">
        <f>I73/COMB_CORR!$E18</f>
        <v>0.11249787869298229</v>
      </c>
      <c r="AF73" s="171" t="e">
        <f>J73/COMB_CORR!$F18</f>
        <v>#DIV/0!</v>
      </c>
      <c r="AG73" s="171" t="e">
        <f>K73/COMB_CORR!$E18</f>
        <v>#DIV/0!</v>
      </c>
    </row>
    <row r="74" spans="1:58" ht="15.75" thickBot="1">
      <c r="A74" s="127" t="s">
        <v>27</v>
      </c>
      <c r="B74" s="167">
        <f t="shared" si="55"/>
        <v>148320157.70496449</v>
      </c>
      <c r="C74" s="167">
        <f t="shared" si="56"/>
        <v>23711846.717222504</v>
      </c>
      <c r="D74" s="167">
        <f t="shared" si="57"/>
        <v>176226412.00541165</v>
      </c>
      <c r="E74" s="167">
        <f t="shared" si="58"/>
        <v>28512668.792447511</v>
      </c>
      <c r="F74" s="167">
        <f t="shared" si="59"/>
        <v>200450124.56955191</v>
      </c>
      <c r="G74" s="167">
        <f t="shared" si="60"/>
        <v>32010655.957092982</v>
      </c>
      <c r="H74" s="167">
        <f t="shared" si="61"/>
        <v>222963963.6876297</v>
      </c>
      <c r="I74" s="225">
        <f t="shared" si="62"/>
        <v>36241113.877507292</v>
      </c>
      <c r="J74" s="167" t="e">
        <f t="shared" si="63"/>
        <v>#DIV/0!</v>
      </c>
      <c r="K74" s="225" t="e">
        <f t="shared" si="64"/>
        <v>#DIV/0!</v>
      </c>
      <c r="W74" s="127" t="s">
        <v>27</v>
      </c>
      <c r="X74" s="171">
        <f>B74/COMB_CORR!$B19</f>
        <v>0.53106139941188857</v>
      </c>
      <c r="Y74" s="171">
        <f>C74/COMB_CORR!$B19</f>
        <v>8.4900438990477764E-2</v>
      </c>
      <c r="Z74" s="171">
        <f>D74/COMB_CORR!$C19</f>
        <v>0.51022301541314752</v>
      </c>
      <c r="AA74" s="171">
        <f>E74/COMB_CORR!$C19</f>
        <v>8.2551869967778579E-2</v>
      </c>
      <c r="AB74" s="171">
        <f>F74/COMB_CORR!$D19</f>
        <v>0.53598310676833516</v>
      </c>
      <c r="AC74" s="171">
        <f>G74/COMB_CORR!$D19</f>
        <v>8.5593216100106936E-2</v>
      </c>
      <c r="AD74" s="171">
        <f>H74/COMB_CORR!$E19</f>
        <v>0.4901273942512554</v>
      </c>
      <c r="AE74" s="171">
        <f>I74/COMB_CORR!$E19</f>
        <v>7.9666518372588285E-2</v>
      </c>
      <c r="AF74" s="171" t="e">
        <f>J74/COMB_CORR!$F19</f>
        <v>#DIV/0!</v>
      </c>
      <c r="AG74" s="171" t="e">
        <f>K74/COMB_CORR!$E19</f>
        <v>#DIV/0!</v>
      </c>
    </row>
    <row r="75" spans="1:58" ht="26.25" thickBot="1">
      <c r="A75" s="127" t="s">
        <v>28</v>
      </c>
      <c r="B75" s="167">
        <f t="shared" si="55"/>
        <v>218931058.9850969</v>
      </c>
      <c r="C75" s="167">
        <f t="shared" si="56"/>
        <v>39322867.434670419</v>
      </c>
      <c r="D75" s="167">
        <f t="shared" si="57"/>
        <v>256776637.43226174</v>
      </c>
      <c r="E75" s="167">
        <f t="shared" si="58"/>
        <v>46468804.836180545</v>
      </c>
      <c r="F75" s="167">
        <f t="shared" si="59"/>
        <v>299332164.84863037</v>
      </c>
      <c r="G75" s="167">
        <f t="shared" si="60"/>
        <v>54225165.679331921</v>
      </c>
      <c r="H75" s="167">
        <f t="shared" si="61"/>
        <v>333551945.91151947</v>
      </c>
      <c r="I75" s="225">
        <f t="shared" si="62"/>
        <v>61187620.273398697</v>
      </c>
      <c r="J75" s="167" t="e">
        <f t="shared" si="63"/>
        <v>#DIV/0!</v>
      </c>
      <c r="K75" s="225" t="e">
        <f t="shared" si="64"/>
        <v>#DIV/0!</v>
      </c>
      <c r="W75" s="127" t="s">
        <v>28</v>
      </c>
      <c r="X75" s="171">
        <f>B75/COMB_CORR!$B20</f>
        <v>0.65490704598961746</v>
      </c>
      <c r="Y75" s="171">
        <f>C75/COMB_CORR!$B20</f>
        <v>0.1176298286358464</v>
      </c>
      <c r="Z75" s="171">
        <f>D75/COMB_CORR!$C20</f>
        <v>0.63629490894431162</v>
      </c>
      <c r="AA75" s="171">
        <f>E75/COMB_CORR!$C20</f>
        <v>0.1151501329624996</v>
      </c>
      <c r="AB75" s="171">
        <f>F75/COMB_CORR!$D20</f>
        <v>0.61779484246567395</v>
      </c>
      <c r="AC75" s="171">
        <f>G75/COMB_CORR!$D20</f>
        <v>0.11191589686153042</v>
      </c>
      <c r="AD75" s="171">
        <f>H75/COMB_CORR!$E20</f>
        <v>0.59361060266016796</v>
      </c>
      <c r="AE75" s="171">
        <f>I75/COMB_CORR!$E20</f>
        <v>0.10889344400787475</v>
      </c>
      <c r="AF75" s="171" t="e">
        <f>J75/COMB_CORR!$F20</f>
        <v>#DIV/0!</v>
      </c>
      <c r="AG75" s="171" t="e">
        <f>K75/COMB_CORR!$E20</f>
        <v>#DIV/0!</v>
      </c>
    </row>
    <row r="76" spans="1:58" ht="15.75" thickBot="1">
      <c r="A76" s="128" t="s">
        <v>29</v>
      </c>
      <c r="B76" s="167">
        <f t="shared" si="55"/>
        <v>138571896.06203443</v>
      </c>
      <c r="C76" s="167">
        <f>C$50*Z29/C$57</f>
        <v>19426867.704312902</v>
      </c>
      <c r="D76" s="167">
        <f t="shared" si="57"/>
        <v>164064041.23361504</v>
      </c>
      <c r="E76" s="167">
        <f t="shared" si="58"/>
        <v>23136921.323347364</v>
      </c>
      <c r="F76" s="167">
        <f t="shared" si="59"/>
        <v>191268915.97843936</v>
      </c>
      <c r="G76" s="167">
        <f t="shared" si="60"/>
        <v>27514787.971540026</v>
      </c>
      <c r="H76" s="167">
        <f t="shared" si="61"/>
        <v>214244569.3462258</v>
      </c>
      <c r="I76" s="225">
        <f t="shared" si="62"/>
        <v>31633798.362291802</v>
      </c>
      <c r="J76" s="167" t="e">
        <f t="shared" si="63"/>
        <v>#DIV/0!</v>
      </c>
      <c r="K76" s="225" t="e">
        <f t="shared" si="64"/>
        <v>#DIV/0!</v>
      </c>
      <c r="W76" s="128" t="s">
        <v>29</v>
      </c>
      <c r="X76" s="171">
        <f>B76/COMB_CORR!$B21</f>
        <v>0.65964251423852116</v>
      </c>
      <c r="Y76" s="171">
        <f>C76/COMB_CORR!$B21</f>
        <v>9.2477538522784578E-2</v>
      </c>
      <c r="Z76" s="171">
        <f>D76/COMB_CORR!$C21</f>
        <v>0.63329714230686651</v>
      </c>
      <c r="AA76" s="171">
        <f>E76/COMB_CORR!$C21</f>
        <v>8.9309918527427659E-2</v>
      </c>
      <c r="AB76" s="171">
        <f>F76/COMB_CORR!$D21</f>
        <v>0.64097915594627441</v>
      </c>
      <c r="AC76" s="171">
        <f>G76/COMB_CORR!$D21</f>
        <v>9.2207379750228108E-2</v>
      </c>
      <c r="AD76" s="171">
        <f>H76/COMB_CORR!$E21</f>
        <v>0.62996039483779809</v>
      </c>
      <c r="AE76" s="171">
        <f>I76/COMB_CORR!$E21</f>
        <v>9.3015380354049076E-2</v>
      </c>
      <c r="AF76" s="171" t="e">
        <f>J76/COMB_CORR!$F21</f>
        <v>#DIV/0!</v>
      </c>
      <c r="AG76" s="171" t="e">
        <f>K76/COMB_CORR!$E21</f>
        <v>#DIV/0!</v>
      </c>
    </row>
    <row r="77" spans="1:58" s="408" customFormat="1" ht="15.75" thickBot="1">
      <c r="A77" s="4" t="s">
        <v>64</v>
      </c>
      <c r="B77" s="147">
        <f t="shared" ref="B77:K77" si="65">SUM(B78:B81)</f>
        <v>10024794783.15995</v>
      </c>
      <c r="C77" s="147">
        <f t="shared" si="65"/>
        <v>1497452961.510191</v>
      </c>
      <c r="D77" s="147">
        <f t="shared" si="65"/>
        <v>11093018931.140682</v>
      </c>
      <c r="E77" s="147">
        <f t="shared" si="65"/>
        <v>1708992511.9089582</v>
      </c>
      <c r="F77" s="147">
        <f t="shared" si="65"/>
        <v>12641004242.362885</v>
      </c>
      <c r="G77" s="147">
        <f t="shared" si="65"/>
        <v>2011043020.3246582</v>
      </c>
      <c r="H77" s="147">
        <f t="shared" si="65"/>
        <v>13745717299.659647</v>
      </c>
      <c r="I77" s="224">
        <f t="shared" si="65"/>
        <v>2267832192.3860378</v>
      </c>
      <c r="J77" s="224" t="e">
        <f t="shared" si="65"/>
        <v>#DIV/0!</v>
      </c>
      <c r="K77" s="224" t="e">
        <f t="shared" si="65"/>
        <v>#DIV/0!</v>
      </c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" t="s">
        <v>64</v>
      </c>
      <c r="X77" s="560">
        <f>B77/COMB_CORR!$B22</f>
        <v>0.84576293904452104</v>
      </c>
      <c r="Y77" s="560">
        <f>C77/COMB_CORR!$B22</f>
        <v>0.12633577496621495</v>
      </c>
      <c r="Z77" s="560">
        <f>D77/COMB_CORR!$C22</f>
        <v>0.81448775026469611</v>
      </c>
      <c r="AA77" s="560">
        <f>E77/COMB_CORR!$C22</f>
        <v>0.12548013078174799</v>
      </c>
      <c r="AB77" s="560">
        <f>F77/COMB_CORR!$D22</f>
        <v>0.76345519824214847</v>
      </c>
      <c r="AC77" s="560">
        <f>G77/COMB_CORR!$D22</f>
        <v>0.12145722114467558</v>
      </c>
      <c r="AD77" s="560">
        <f>H77/COMB_CORR!$E22</f>
        <v>0.76121561948113725</v>
      </c>
      <c r="AE77" s="560">
        <f>I77/COMB_CORR!$E22</f>
        <v>0.12558888340073371</v>
      </c>
      <c r="AF77" s="560" t="e">
        <f>J77/COMB_CORR!$F22</f>
        <v>#DIV/0!</v>
      </c>
      <c r="AG77" s="560" t="e">
        <f>K77/COMB_CORR!$E22</f>
        <v>#DIV/0!</v>
      </c>
      <c r="AH77" s="399"/>
      <c r="AI77" s="399"/>
      <c r="AJ77" s="399"/>
      <c r="AK77" s="399"/>
      <c r="AL77" s="399"/>
      <c r="AM77" s="399"/>
      <c r="AN77" s="399"/>
      <c r="AO77" s="399"/>
      <c r="AP77" s="399"/>
      <c r="AQ77" s="399"/>
      <c r="AR77" s="399"/>
      <c r="AS77" s="399"/>
      <c r="AT77" s="399"/>
      <c r="AU77" s="399"/>
      <c r="AV77" s="399"/>
      <c r="AW77" s="399"/>
      <c r="AX77" s="399"/>
      <c r="AY77" s="399"/>
      <c r="AZ77" s="399"/>
      <c r="BA77" s="399"/>
      <c r="BB77" s="399"/>
      <c r="BC77" s="399"/>
      <c r="BD77" s="399"/>
      <c r="BE77" s="399"/>
      <c r="BF77" s="399"/>
    </row>
    <row r="78" spans="1:58" ht="15.75" thickBot="1">
      <c r="A78" s="127" t="s">
        <v>31</v>
      </c>
      <c r="B78" s="167">
        <f>B51*E31/B$57</f>
        <v>405998405.50769985</v>
      </c>
      <c r="C78" s="167">
        <f>C51*Z31/C$57</f>
        <v>67824635.960560098</v>
      </c>
      <c r="D78" s="167">
        <f>D51*I31/D$57</f>
        <v>486260379.72462541</v>
      </c>
      <c r="E78" s="167">
        <f>E51*AC31/E$57</f>
        <v>82685846.995016292</v>
      </c>
      <c r="F78" s="167">
        <f>F51*M31/F$57</f>
        <v>536685617.12283355</v>
      </c>
      <c r="G78" s="167">
        <f>G51*AF31/G$57</f>
        <v>93333116.884455219</v>
      </c>
      <c r="H78" s="167">
        <f>H51*Q31/H$57</f>
        <v>586042652.42560065</v>
      </c>
      <c r="I78" s="225">
        <f>I51*AI31/I$57</f>
        <v>103768429.16775475</v>
      </c>
      <c r="J78" s="167" t="e">
        <f>J51*U31/J$57</f>
        <v>#DIV/0!</v>
      </c>
      <c r="K78" s="225" t="e">
        <f>K51*AL31/K$57</f>
        <v>#DIV/0!</v>
      </c>
      <c r="W78" s="127" t="s">
        <v>31</v>
      </c>
      <c r="X78" s="171">
        <f>B78/COMB_CORR!$B23</f>
        <v>0.79421032059859831</v>
      </c>
      <c r="Y78" s="171">
        <f>C78/COMB_CORR!$B23</f>
        <v>0.13267792469125364</v>
      </c>
      <c r="Z78" s="171">
        <f>D78/COMB_CORR!$C23</f>
        <v>0.76189656222738211</v>
      </c>
      <c r="AA78" s="171">
        <f>E78/COMB_CORR!$C23</f>
        <v>0.12955623200483396</v>
      </c>
      <c r="AB78" s="171">
        <f>F78/COMB_CORR!$D23</f>
        <v>0.74982001304810297</v>
      </c>
      <c r="AC78" s="171">
        <f>G78/COMB_CORR!$D23</f>
        <v>0.13039857355466453</v>
      </c>
      <c r="AD78" s="171">
        <f>H78/COMB_CORR!$E23</f>
        <v>0.71314034109760505</v>
      </c>
      <c r="AE78" s="171">
        <f>I78/COMB_CORR!$E23</f>
        <v>0.12627315207445577</v>
      </c>
      <c r="AF78" s="171" t="e">
        <f>J78/COMB_CORR!$F23</f>
        <v>#DIV/0!</v>
      </c>
      <c r="AG78" s="171" t="e">
        <f>K78/COMB_CORR!$E23</f>
        <v>#DIV/0!</v>
      </c>
    </row>
    <row r="79" spans="1:58" ht="15.75" thickBot="1">
      <c r="A79" s="127" t="s">
        <v>32</v>
      </c>
      <c r="B79" s="167">
        <f>B52*E32/B$57</f>
        <v>2408519241.3389845</v>
      </c>
      <c r="C79" s="167">
        <f>C52*Z32/C$57</f>
        <v>364994484.00129914</v>
      </c>
      <c r="D79" s="167">
        <f>D52*I32/D$57</f>
        <v>2773189360.4396839</v>
      </c>
      <c r="E79" s="167">
        <f>E52*AC32/E$57</f>
        <v>428844466.77451426</v>
      </c>
      <c r="F79" s="167">
        <f>F52*M32/F$57</f>
        <v>3138616119.4172192</v>
      </c>
      <c r="G79" s="167">
        <f>G52*AF32/G$57</f>
        <v>498444131.32429236</v>
      </c>
      <c r="H79" s="167">
        <f>H52*Q32/H$57</f>
        <v>3435298119.1692891</v>
      </c>
      <c r="I79" s="225">
        <f>I52*AI32/I$57</f>
        <v>560029299.76447344</v>
      </c>
      <c r="J79" s="167" t="e">
        <f t="shared" ref="J79:J81" si="66">J52*U32/J$57</f>
        <v>#DIV/0!</v>
      </c>
      <c r="K79" s="225" t="e">
        <f t="shared" ref="K79:K81" si="67">K52*AL32/K$57</f>
        <v>#DIV/0!</v>
      </c>
      <c r="W79" s="127" t="s">
        <v>32</v>
      </c>
      <c r="X79" s="171">
        <f>B79/COMB_CORR!$B24</f>
        <v>0.80067959524045329</v>
      </c>
      <c r="Y79" s="171">
        <f>C79/COMB_CORR!$B24</f>
        <v>0.12133747187865077</v>
      </c>
      <c r="Z79" s="171">
        <f>D79/COMB_CORR!$C24</f>
        <v>0.75401357523714496</v>
      </c>
      <c r="AA79" s="171">
        <f>E79/COMB_CORR!$C24</f>
        <v>0.11660024166616997</v>
      </c>
      <c r="AB79" s="171">
        <f>F79/COMB_CORR!$D24</f>
        <v>0.76553137103073354</v>
      </c>
      <c r="AC79" s="171">
        <f>G79/COMB_CORR!$D24</f>
        <v>0.12157416030405133</v>
      </c>
      <c r="AD79" s="171">
        <f>H79/COMB_CORR!$E24</f>
        <v>0.77036617558305576</v>
      </c>
      <c r="AE79" s="171">
        <f>I79/COMB_CORR!$E24</f>
        <v>0.12558666377936956</v>
      </c>
      <c r="AF79" s="171" t="e">
        <f>J79/COMB_CORR!$F24</f>
        <v>#DIV/0!</v>
      </c>
      <c r="AG79" s="171" t="e">
        <f>K79/COMB_CORR!$E24</f>
        <v>#DIV/0!</v>
      </c>
    </row>
    <row r="80" spans="1:58" ht="15.75" thickBot="1">
      <c r="A80" s="127" t="s">
        <v>33</v>
      </c>
      <c r="B80" s="167">
        <f>B53*E33/B$57</f>
        <v>1238816216.5127258</v>
      </c>
      <c r="C80" s="167">
        <f>C53*Z33/C$57</f>
        <v>215272036.07223982</v>
      </c>
      <c r="D80" s="167">
        <f>D53*I33/D$57</f>
        <v>1396086290.4021909</v>
      </c>
      <c r="E80" s="167">
        <f>E53*AC33/E$57</f>
        <v>245106667.51482302</v>
      </c>
      <c r="F80" s="167">
        <f>F53*M33/F$57</f>
        <v>1594671504.9289768</v>
      </c>
      <c r="G80" s="167">
        <f>G53*AF33/G$57</f>
        <v>286431509.716353</v>
      </c>
      <c r="H80" s="167">
        <f>H53*Q33/H$57</f>
        <v>1709755366.0771763</v>
      </c>
      <c r="I80" s="225">
        <f>I53*AI33/I$57</f>
        <v>325338435.92866927</v>
      </c>
      <c r="J80" s="167" t="e">
        <f t="shared" si="66"/>
        <v>#DIV/0!</v>
      </c>
      <c r="K80" s="225" t="e">
        <f t="shared" si="67"/>
        <v>#DIV/0!</v>
      </c>
      <c r="W80" s="127" t="s">
        <v>33</v>
      </c>
      <c r="X80" s="171">
        <f>B80/COMB_CORR!$B25</f>
        <v>0.75681060045328707</v>
      </c>
      <c r="Y80" s="171">
        <f>C80/COMB_CORR!$B25</f>
        <v>0.13151277542947781</v>
      </c>
      <c r="Z80" s="171">
        <f>D80/COMB_CORR!$C25</f>
        <v>0.74766473717010773</v>
      </c>
      <c r="AA80" s="171">
        <f>E80/COMB_CORR!$C25</f>
        <v>0.13126524728877428</v>
      </c>
      <c r="AB80" s="171">
        <f>F80/COMB_CORR!$D25</f>
        <v>0.69939345808096942</v>
      </c>
      <c r="AC80" s="171">
        <f>G80/COMB_CORR!$D25</f>
        <v>0.12562356790390827</v>
      </c>
      <c r="AD80" s="171">
        <f>H80/COMB_CORR!$E25</f>
        <v>0.69202392803440993</v>
      </c>
      <c r="AE80" s="171">
        <f>I80/COMB_CORR!$E25</f>
        <v>0.13168081635473355</v>
      </c>
      <c r="AF80" s="171" t="e">
        <f>J80/COMB_CORR!$F25</f>
        <v>#DIV/0!</v>
      </c>
      <c r="AG80" s="171" t="e">
        <f>K80/COMB_CORR!$E25</f>
        <v>#DIV/0!</v>
      </c>
    </row>
    <row r="81" spans="1:58" ht="15.75" thickBot="1">
      <c r="A81" s="128" t="s">
        <v>34</v>
      </c>
      <c r="B81" s="167">
        <f>B54*E34/B$57</f>
        <v>5971460919.80054</v>
      </c>
      <c r="C81" s="167">
        <f>C54*Z34/C$57</f>
        <v>849361805.47609174</v>
      </c>
      <c r="D81" s="167">
        <f>D54*I34/D$57</f>
        <v>6437482900.5741806</v>
      </c>
      <c r="E81" s="167">
        <f>E54*AC34/E$57</f>
        <v>952355530.6246047</v>
      </c>
      <c r="F81" s="167">
        <f>F54*M34/F$57</f>
        <v>7371031000.8938551</v>
      </c>
      <c r="G81" s="167">
        <f>G54*AF34/G$57</f>
        <v>1132834262.3995576</v>
      </c>
      <c r="H81" s="167">
        <f>H54*Q34/H$57</f>
        <v>8014621161.9875813</v>
      </c>
      <c r="I81" s="225">
        <f>I54*AI34/I$57</f>
        <v>1278696027.52514</v>
      </c>
      <c r="J81" s="167" t="e">
        <f t="shared" si="66"/>
        <v>#DIV/0!</v>
      </c>
      <c r="K81" s="225" t="e">
        <f t="shared" si="67"/>
        <v>#DIV/0!</v>
      </c>
      <c r="W81" s="128" t="s">
        <v>34</v>
      </c>
      <c r="X81" s="171">
        <f>B81/COMB_CORR!$B26</f>
        <v>0.8916915515759265</v>
      </c>
      <c r="Y81" s="171">
        <f>C81/COMB_CORR!$B26</f>
        <v>0.12683139960993067</v>
      </c>
      <c r="Z81" s="171">
        <f>D81/COMB_CORR!$C26</f>
        <v>0.86569096698203196</v>
      </c>
      <c r="AA81" s="171">
        <f>E81/COMB_CORR!$C26</f>
        <v>0.12806955652551172</v>
      </c>
      <c r="AB81" s="171">
        <f>F81/COMB_CORR!$D26</f>
        <v>0.77902431388449311</v>
      </c>
      <c r="AC81" s="171">
        <f>G81/COMB_CORR!$D26</f>
        <v>0.11972618673068168</v>
      </c>
      <c r="AD81" s="171">
        <f>H81/COMB_CORR!$E26</f>
        <v>0.77767726388578817</v>
      </c>
      <c r="AE81" s="171">
        <f>I81/COMB_CORR!$E26</f>
        <v>0.12407483871399463</v>
      </c>
      <c r="AF81" s="171" t="e">
        <f>J81/COMB_CORR!$F26</f>
        <v>#DIV/0!</v>
      </c>
      <c r="AG81" s="171" t="e">
        <f>K81/COMB_CORR!$E26</f>
        <v>#DIV/0!</v>
      </c>
    </row>
    <row r="82" spans="1:58" s="408" customFormat="1" ht="15.75" thickBot="1">
      <c r="A82" s="4" t="s">
        <v>69</v>
      </c>
      <c r="B82" s="147">
        <f t="shared" ref="B82:K82" si="68">SUM(B83:B85)</f>
        <v>4859240140.6214218</v>
      </c>
      <c r="C82" s="147">
        <f t="shared" si="68"/>
        <v>630715074.2946986</v>
      </c>
      <c r="D82" s="147">
        <f t="shared" si="68"/>
        <v>5337790774.5349636</v>
      </c>
      <c r="E82" s="147">
        <f t="shared" si="68"/>
        <v>715842602.29367161</v>
      </c>
      <c r="F82" s="147">
        <f t="shared" si="68"/>
        <v>6012629676.3649101</v>
      </c>
      <c r="G82" s="147">
        <f t="shared" si="68"/>
        <v>835197857.17946672</v>
      </c>
      <c r="H82" s="147">
        <f t="shared" si="68"/>
        <v>6475387785.4912786</v>
      </c>
      <c r="I82" s="224">
        <f t="shared" si="68"/>
        <v>935951117.01195419</v>
      </c>
      <c r="J82" s="224" t="e">
        <f t="shared" si="68"/>
        <v>#DIV/0!</v>
      </c>
      <c r="K82" s="224" t="e">
        <f t="shared" si="68"/>
        <v>#DIV/0!</v>
      </c>
      <c r="L82" s="46"/>
      <c r="M82" s="46"/>
      <c r="N82" s="46"/>
      <c r="O82" s="46"/>
      <c r="P82" s="46"/>
      <c r="Q82" s="46"/>
      <c r="R82" s="46"/>
      <c r="S82" s="46"/>
      <c r="T82" s="46"/>
      <c r="U82" s="46"/>
      <c r="V82" s="46"/>
      <c r="W82" s="4" t="s">
        <v>69</v>
      </c>
      <c r="X82" s="560">
        <f>B82/COMB_CORR!$B27</f>
        <v>0.91661661712787601</v>
      </c>
      <c r="Y82" s="560">
        <f>C82/COMB_CORR!$B27</f>
        <v>0.11897414020325213</v>
      </c>
      <c r="Z82" s="560">
        <f>D82/COMB_CORR!$C27</f>
        <v>0.8532610563032581</v>
      </c>
      <c r="AA82" s="560">
        <f>E82/COMB_CORR!$C27</f>
        <v>0.11442947855766887</v>
      </c>
      <c r="AB82" s="560">
        <f>F82/COMB_CORR!$D27</f>
        <v>0.83214995645827361</v>
      </c>
      <c r="AC82" s="560">
        <f>G82/COMB_CORR!$D27</f>
        <v>0.11559166253294395</v>
      </c>
      <c r="AD82" s="560">
        <f>H82/COMB_CORR!$E27</f>
        <v>0.80158613627838116</v>
      </c>
      <c r="AE82" s="560">
        <f>I82/COMB_CORR!$E27</f>
        <v>0.11586108268481518</v>
      </c>
      <c r="AF82" s="560" t="e">
        <f>J82/COMB_CORR!$F27</f>
        <v>#DIV/0!</v>
      </c>
      <c r="AG82" s="560" t="e">
        <f>K82/COMB_CORR!$E27</f>
        <v>#DIV/0!</v>
      </c>
      <c r="AH82" s="399"/>
      <c r="AI82" s="399"/>
      <c r="AJ82" s="399"/>
      <c r="AK82" s="399"/>
      <c r="AL82" s="399"/>
      <c r="AM82" s="399"/>
      <c r="AN82" s="399"/>
      <c r="AO82" s="399"/>
      <c r="AP82" s="399"/>
      <c r="AQ82" s="399"/>
      <c r="AR82" s="399"/>
      <c r="AS82" s="399"/>
      <c r="AT82" s="399"/>
      <c r="AU82" s="399"/>
      <c r="AV82" s="399"/>
      <c r="AW82" s="399"/>
      <c r="AX82" s="399"/>
      <c r="AY82" s="399"/>
      <c r="AZ82" s="399"/>
      <c r="BA82" s="399"/>
      <c r="BB82" s="399"/>
      <c r="BC82" s="399"/>
      <c r="BD82" s="399"/>
      <c r="BE82" s="399"/>
      <c r="BF82" s="399"/>
    </row>
    <row r="83" spans="1:58" ht="15.75" thickBot="1">
      <c r="A83" s="127" t="s">
        <v>36</v>
      </c>
      <c r="B83" s="167">
        <f>B$55*E36/B$57</f>
        <v>1659297772.5511751</v>
      </c>
      <c r="C83" s="167">
        <f>C$55*Z36/C$57</f>
        <v>231984102.86067858</v>
      </c>
      <c r="D83" s="167">
        <f>D$55*I36/D$57</f>
        <v>1781845082.0095298</v>
      </c>
      <c r="E83" s="167">
        <f>E$55*AC36/E$57</f>
        <v>255432428.69461042</v>
      </c>
      <c r="F83" s="167">
        <f>F$55*M36/F$57</f>
        <v>2102128738.4613233</v>
      </c>
      <c r="G83" s="167">
        <f>G$55*AF36/G$57</f>
        <v>309038339.03498679</v>
      </c>
      <c r="H83" s="167">
        <f>H$55*Q36/H$57</f>
        <v>2275849633.0572977</v>
      </c>
      <c r="I83" s="225">
        <f>I$55*AI36/I$57</f>
        <v>347392207.70293909</v>
      </c>
      <c r="J83" s="167" t="e">
        <f>J$55*U36/J$57</f>
        <v>#DIV/0!</v>
      </c>
      <c r="K83" s="225" t="e">
        <f>K$55*AL36/K$57</f>
        <v>#DIV/0!</v>
      </c>
      <c r="W83" s="127" t="s">
        <v>36</v>
      </c>
      <c r="X83" s="171">
        <f>B83/COMB_CORR!$B28</f>
        <v>1.0344343422917173</v>
      </c>
      <c r="Y83" s="171">
        <f>C83/COMB_CORR!$B28</f>
        <v>0.14462281986666081</v>
      </c>
      <c r="Z83" s="171">
        <f>D83/COMB_CORR!$C28</f>
        <v>0.94494245969416446</v>
      </c>
      <c r="AA83" s="171">
        <f>E83/COMB_CORR!$C28</f>
        <v>0.13546011934108676</v>
      </c>
      <c r="AB83" s="171">
        <f>F83/COMB_CORR!$D28</f>
        <v>0.87479156255123713</v>
      </c>
      <c r="AC83" s="171">
        <f>G83/COMB_CORR!$D28</f>
        <v>0.12860493581879123</v>
      </c>
      <c r="AD83" s="171">
        <f>H83/COMB_CORR!$E28</f>
        <v>0.8212291870179641</v>
      </c>
      <c r="AE83" s="171">
        <f>I83/COMB_CORR!$E28</f>
        <v>0.12535477571293385</v>
      </c>
      <c r="AF83" s="171" t="e">
        <f>J83/COMB_CORR!$F28</f>
        <v>#DIV/0!</v>
      </c>
      <c r="AG83" s="171" t="e">
        <f>K83/COMB_CORR!$E28</f>
        <v>#DIV/0!</v>
      </c>
    </row>
    <row r="84" spans="1:58" ht="15.75" thickBot="1">
      <c r="A84" s="127" t="s">
        <v>37</v>
      </c>
      <c r="B84" s="167">
        <f>B$55*E37/B$57</f>
        <v>2019243514.8151314</v>
      </c>
      <c r="C84" s="167">
        <f>C$55*Z37/C$57</f>
        <v>243747350.59650165</v>
      </c>
      <c r="D84" s="167">
        <f>D$55*I37/D$57</f>
        <v>2196505566.9488077</v>
      </c>
      <c r="E84" s="167">
        <f>E$55*AC37/E$57</f>
        <v>275596593.56057459</v>
      </c>
      <c r="F84" s="167">
        <f>F$55*M37/F$57</f>
        <v>2375418892.2958002</v>
      </c>
      <c r="G84" s="167">
        <f>G$55*AF37/G$57</f>
        <v>309435193.46510124</v>
      </c>
      <c r="H84" s="167">
        <f>H$55*Q37/H$57</f>
        <v>2542606189.9483924</v>
      </c>
      <c r="I84" s="225">
        <f>I$55*AI37/I$57</f>
        <v>344716777.02741343</v>
      </c>
      <c r="J84" s="167" t="e">
        <f t="shared" ref="J84:J85" si="69">J$55*U37/J$57</f>
        <v>#DIV/0!</v>
      </c>
      <c r="K84" s="225" t="e">
        <f t="shared" ref="K84:K85" si="70">K$55*AL37/K$57</f>
        <v>#DIV/0!</v>
      </c>
      <c r="W84" s="127" t="s">
        <v>37</v>
      </c>
      <c r="X84" s="171">
        <f>B84/COMB_CORR!$B29</f>
        <v>0.89923491705900915</v>
      </c>
      <c r="Y84" s="171">
        <f>C84/COMB_CORR!$B29</f>
        <v>0.10854863565926352</v>
      </c>
      <c r="Z84" s="171">
        <f>D84/COMB_CORR!$C29</f>
        <v>0.85040170348382993</v>
      </c>
      <c r="AA84" s="171">
        <f>E84/COMB_CORR!$C29</f>
        <v>0.1067003044129847</v>
      </c>
      <c r="AB84" s="171">
        <f>F84/COMB_CORR!$D29</f>
        <v>0.84421599041369189</v>
      </c>
      <c r="AC84" s="171">
        <f>G84/COMB_CORR!$D29</f>
        <v>0.10997224075603715</v>
      </c>
      <c r="AD84" s="171">
        <f>H84/COMB_CORR!$E29</f>
        <v>0.82512323379830554</v>
      </c>
      <c r="AE84" s="171">
        <f>I84/COMB_CORR!$E29</f>
        <v>0.11186703742397559</v>
      </c>
      <c r="AF84" s="171" t="e">
        <f>J84/COMB_CORR!$F29</f>
        <v>#DIV/0!</v>
      </c>
      <c r="AG84" s="171" t="e">
        <f>K84/COMB_CORR!$E29</f>
        <v>#DIV/0!</v>
      </c>
    </row>
    <row r="85" spans="1:58" ht="15.75" thickBot="1">
      <c r="A85" s="128" t="s">
        <v>38</v>
      </c>
      <c r="B85" s="167">
        <f>B$55*E38/B$57</f>
        <v>1180698853.255116</v>
      </c>
      <c r="C85" s="167">
        <f>C$55*Z38/C$57</f>
        <v>154983620.83751836</v>
      </c>
      <c r="D85" s="167">
        <f>D$55*I38/D$57</f>
        <v>1359440125.5766261</v>
      </c>
      <c r="E85" s="167">
        <f>E$55*AC38/E$57</f>
        <v>184813580.03848666</v>
      </c>
      <c r="F85" s="167">
        <f>F$55*M38/F$57</f>
        <v>1535082045.6077859</v>
      </c>
      <c r="G85" s="167">
        <f>G$55*AF38/G$57</f>
        <v>216724324.67937881</v>
      </c>
      <c r="H85" s="167">
        <f>H$55*Q38/H$57</f>
        <v>1656931962.4855888</v>
      </c>
      <c r="I85" s="225">
        <f>I$55*AI38/I$57</f>
        <v>243842132.2816017</v>
      </c>
      <c r="J85" s="167" t="e">
        <f t="shared" si="69"/>
        <v>#DIV/0!</v>
      </c>
      <c r="K85" s="225" t="e">
        <f t="shared" si="70"/>
        <v>#DIV/0!</v>
      </c>
      <c r="W85" s="128" t="s">
        <v>38</v>
      </c>
      <c r="X85" s="171">
        <f>B85/COMB_CORR!$B30</f>
        <v>0.81331985653172922</v>
      </c>
      <c r="Y85" s="171">
        <f>C85/COMB_CORR!$B30</f>
        <v>0.10675987015386913</v>
      </c>
      <c r="Z85" s="171">
        <f>D85/COMB_CORR!$C30</f>
        <v>0.76066010992787925</v>
      </c>
      <c r="AA85" s="171">
        <f>E85/COMB_CORR!$C30</f>
        <v>0.10341045218788948</v>
      </c>
      <c r="AB85" s="171">
        <f>F85/COMB_CORR!$D30</f>
        <v>0.76423436336562278</v>
      </c>
      <c r="AC85" s="171">
        <f>G85/COMB_CORR!$D30</f>
        <v>0.10789532505515842</v>
      </c>
      <c r="AD85" s="171">
        <f>H85/COMB_CORR!$E30</f>
        <v>0.74453477519779887</v>
      </c>
      <c r="AE85" s="171">
        <f>I85/COMB_CORR!$E30</f>
        <v>0.10956934337224682</v>
      </c>
      <c r="AF85" s="171" t="e">
        <f>J85/COMB_CORR!$F30</f>
        <v>#DIV/0!</v>
      </c>
      <c r="AG85" s="171" t="e">
        <f>K85/COMB_CORR!$E30</f>
        <v>#DIV/0!</v>
      </c>
    </row>
    <row r="86" spans="1:58" s="408" customFormat="1" ht="26.25" thickBot="1">
      <c r="A86" s="126" t="s">
        <v>73</v>
      </c>
      <c r="B86" s="147">
        <f t="shared" ref="B86:K86" si="71">SUM(B87:B90)</f>
        <v>1970087462.425473</v>
      </c>
      <c r="C86" s="147">
        <f t="shared" si="71"/>
        <v>293897245.20109373</v>
      </c>
      <c r="D86" s="147">
        <f t="shared" si="71"/>
        <v>2201462007.8853765</v>
      </c>
      <c r="E86" s="147">
        <f t="shared" si="71"/>
        <v>338038222.88771147</v>
      </c>
      <c r="F86" s="147">
        <f t="shared" si="71"/>
        <v>2542459490.8296967</v>
      </c>
      <c r="G86" s="147">
        <f t="shared" si="71"/>
        <v>401223557.23818696</v>
      </c>
      <c r="H86" s="147">
        <f t="shared" si="71"/>
        <v>2801402279.7109532</v>
      </c>
      <c r="I86" s="224">
        <f t="shared" si="71"/>
        <v>454533488.86399293</v>
      </c>
      <c r="J86" s="224" t="e">
        <f t="shared" si="71"/>
        <v>#DIV/0!</v>
      </c>
      <c r="K86" s="224" t="e">
        <f t="shared" si="71"/>
        <v>#DIV/0!</v>
      </c>
      <c r="L86" s="46"/>
      <c r="M86" s="46"/>
      <c r="N86" s="46"/>
      <c r="O86" s="46"/>
      <c r="P86" s="46"/>
      <c r="Q86" s="46"/>
      <c r="R86" s="46"/>
      <c r="S86" s="46"/>
      <c r="T86" s="46"/>
      <c r="U86" s="46"/>
      <c r="V86" s="46"/>
      <c r="W86" s="126" t="s">
        <v>73</v>
      </c>
      <c r="X86" s="560">
        <f>B86/COMB_CORR!$B31</f>
        <v>0.80728143086358495</v>
      </c>
      <c r="Y86" s="560">
        <f>C86/COMB_CORR!$B31</f>
        <v>0.12043007894720822</v>
      </c>
      <c r="Z86" s="560">
        <f>D86/COMB_CORR!$C31</f>
        <v>0.77841004987896412</v>
      </c>
      <c r="AA86" s="560">
        <f>E86/COMB_CORR!$C31</f>
        <v>0.11952618259888698</v>
      </c>
      <c r="AB86" s="560">
        <f>F86/COMB_CORR!$D31</f>
        <v>0.7706647421766778</v>
      </c>
      <c r="AC86" s="560">
        <f>G86/COMB_CORR!$D31</f>
        <v>0.12161800430231076</v>
      </c>
      <c r="AD86" s="560">
        <f>H86/COMB_CORR!$E31</f>
        <v>0.74474599922575491</v>
      </c>
      <c r="AE86" s="560">
        <f>I86/COMB_CORR!$E31</f>
        <v>0.12083662521346644</v>
      </c>
      <c r="AF86" s="560" t="e">
        <f>J86/COMB_CORR!$F31</f>
        <v>#DIV/0!</v>
      </c>
      <c r="AG86" s="560" t="e">
        <f>K86/COMB_CORR!$E31</f>
        <v>#DIV/0!</v>
      </c>
      <c r="AH86" s="399"/>
      <c r="AI86" s="399"/>
      <c r="AJ86" s="399"/>
      <c r="AK86" s="399"/>
      <c r="AL86" s="399"/>
      <c r="AM86" s="399"/>
      <c r="AN86" s="399"/>
      <c r="AO86" s="399"/>
      <c r="AP86" s="399"/>
      <c r="AQ86" s="399"/>
      <c r="AR86" s="399"/>
      <c r="AS86" s="399"/>
      <c r="AT86" s="399"/>
      <c r="AU86" s="399"/>
      <c r="AV86" s="399"/>
      <c r="AW86" s="399"/>
      <c r="AX86" s="399"/>
      <c r="AY86" s="399"/>
      <c r="AZ86" s="399"/>
      <c r="BA86" s="399"/>
      <c r="BB86" s="399"/>
      <c r="BC86" s="399"/>
      <c r="BD86" s="399"/>
      <c r="BE86" s="399"/>
      <c r="BF86" s="399"/>
    </row>
    <row r="87" spans="1:58" ht="15.75" thickBot="1">
      <c r="A87" s="127" t="s">
        <v>40</v>
      </c>
      <c r="B87" s="167">
        <f>B$56*E40/B$57</f>
        <v>755568270.72111404</v>
      </c>
      <c r="C87" s="167">
        <f>C$56*Z40/C$57</f>
        <v>84153847.708294943</v>
      </c>
      <c r="D87" s="167">
        <f>D$56*I40/D$57</f>
        <v>853728349.26600981</v>
      </c>
      <c r="E87" s="167">
        <f>E$56*AC40/E$57</f>
        <v>101912139.17922823</v>
      </c>
      <c r="F87" s="167">
        <f>F$56*M40/F$57</f>
        <v>941097317.11206555</v>
      </c>
      <c r="G87" s="167">
        <f>G$56*AF40/G$57</f>
        <v>119157430.17827404</v>
      </c>
      <c r="H87" s="167">
        <f>H$56*Q40/H$57</f>
        <v>1005754355.1011486</v>
      </c>
      <c r="I87" s="225">
        <f>I$56*AI40/I$57</f>
        <v>134475337.25204206</v>
      </c>
      <c r="J87" s="167" t="e">
        <f>J$56*U40/J$57</f>
        <v>#DIV/0!</v>
      </c>
      <c r="K87" s="225" t="e">
        <f>K$56*AL40/K$57</f>
        <v>#DIV/0!</v>
      </c>
      <c r="W87" s="127" t="s">
        <v>40</v>
      </c>
      <c r="X87" s="171">
        <f>B87/COMB_CORR!$B32</f>
        <v>0.99198773229941439</v>
      </c>
      <c r="Y87" s="171">
        <f>C87/COMB_CORR!$B32</f>
        <v>0.11048582608259726</v>
      </c>
      <c r="Z87" s="171">
        <f>D87/COMB_CORR!$C32</f>
        <v>0.94904374408009973</v>
      </c>
      <c r="AA87" s="171">
        <f>E87/COMB_CORR!$C32</f>
        <v>0.1132902265890794</v>
      </c>
      <c r="AB87" s="171">
        <f>F87/COMB_CORR!$D32</f>
        <v>0.93920193060155344</v>
      </c>
      <c r="AC87" s="171">
        <f>G87/COMB_CORR!$D32</f>
        <v>0.11891744502298716</v>
      </c>
      <c r="AD87" s="171">
        <f>H87/COMB_CORR!$E32</f>
        <v>0.93204972594112623</v>
      </c>
      <c r="AE87" s="171">
        <f>I87/COMB_CORR!$E32</f>
        <v>0.12462059010323762</v>
      </c>
      <c r="AF87" s="171" t="e">
        <f>J87/COMB_CORR!$F32</f>
        <v>#DIV/0!</v>
      </c>
      <c r="AG87" s="171" t="e">
        <f>K87/COMB_CORR!$E32</f>
        <v>#DIV/0!</v>
      </c>
    </row>
    <row r="88" spans="1:58" ht="15.75" thickBot="1">
      <c r="A88" s="127" t="s">
        <v>41</v>
      </c>
      <c r="B88" s="167">
        <f>B$56*E41/B$57</f>
        <v>732361644.46390605</v>
      </c>
      <c r="C88" s="167">
        <f>C$56*Z41/C$57</f>
        <v>123152549.73248905</v>
      </c>
      <c r="D88" s="167">
        <f>D$56*I41/D$57</f>
        <v>800026402.70003963</v>
      </c>
      <c r="E88" s="167">
        <f>E$56*AC41/E$57</f>
        <v>137660837.37007293</v>
      </c>
      <c r="F88" s="167">
        <f>F$56*M41/F$57</f>
        <v>930979161.2950753</v>
      </c>
      <c r="G88" s="167">
        <f>G$56*AF41/G$57</f>
        <v>161901382.4857924</v>
      </c>
      <c r="H88" s="167">
        <f>H$56*Q41/H$57</f>
        <v>1037862294.286868</v>
      </c>
      <c r="I88" s="225">
        <f>I$56*AI41/I$57</f>
        <v>183341271.88737026</v>
      </c>
      <c r="J88" s="167" t="e">
        <f t="shared" ref="J88:J90" si="72">J$56*U41/J$57</f>
        <v>#DIV/0!</v>
      </c>
      <c r="K88" s="225" t="e">
        <f t="shared" ref="K88:K90" si="73">K$56*AL41/K$57</f>
        <v>#DIV/0!</v>
      </c>
      <c r="W88" s="127" t="s">
        <v>41</v>
      </c>
      <c r="X88" s="171">
        <f>B88/COMB_CORR!$B33</f>
        <v>0.76989588725600755</v>
      </c>
      <c r="Y88" s="171">
        <f>C88/COMB_CORR!$B33</f>
        <v>0.12946423704854074</v>
      </c>
      <c r="Z88" s="171">
        <f>D88/COMB_CORR!$C33</f>
        <v>0.73836732339433597</v>
      </c>
      <c r="AA88" s="171">
        <f>E88/COMB_CORR!$C33</f>
        <v>0.12705113691513259</v>
      </c>
      <c r="AB88" s="171">
        <f>F88/COMB_CORR!$D33</f>
        <v>0.74089699474762583</v>
      </c>
      <c r="AC88" s="171">
        <f>G88/COMB_CORR!$D33</f>
        <v>0.1288452553141417</v>
      </c>
      <c r="AD88" s="171">
        <f>H88/COMB_CORR!$E33</f>
        <v>0.71764327937174877</v>
      </c>
      <c r="AE88" s="171">
        <f>I88/COMB_CORR!$E33</f>
        <v>0.12677368888504248</v>
      </c>
      <c r="AF88" s="171" t="e">
        <f>J88/COMB_CORR!$F33</f>
        <v>#DIV/0!</v>
      </c>
      <c r="AG88" s="171" t="e">
        <f>K88/COMB_CORR!$E33</f>
        <v>#DIV/0!</v>
      </c>
    </row>
    <row r="89" spans="1:58" ht="15.75" thickBot="1">
      <c r="A89" s="127" t="s">
        <v>42</v>
      </c>
      <c r="B89" s="167">
        <f>B$56*E42/B$57</f>
        <v>184190402.22653705</v>
      </c>
      <c r="C89" s="167">
        <f>C$56*Z42/C$57</f>
        <v>36274853.72256887</v>
      </c>
      <c r="D89" s="167">
        <f>D$56*I42/D$57</f>
        <v>203769407.41686991</v>
      </c>
      <c r="E89" s="167">
        <f>E$56*AC42/E$57</f>
        <v>39870156.962354712</v>
      </c>
      <c r="F89" s="167">
        <f>F$56*M42/F$57</f>
        <v>262209364.82210815</v>
      </c>
      <c r="G89" s="167">
        <f>G$56*AF42/G$57</f>
        <v>50742805.108686551</v>
      </c>
      <c r="H89" s="167">
        <f>H$56*Q42/H$57</f>
        <v>301583987.02156681</v>
      </c>
      <c r="I89" s="225">
        <f>I$56*AI42/I$57</f>
        <v>58695199.525977112</v>
      </c>
      <c r="J89" s="167" t="e">
        <f t="shared" si="72"/>
        <v>#DIV/0!</v>
      </c>
      <c r="K89" s="225" t="e">
        <f t="shared" si="73"/>
        <v>#DIV/0!</v>
      </c>
      <c r="W89" s="127" t="s">
        <v>42</v>
      </c>
      <c r="X89" s="171">
        <f>B89/COMB_CORR!$B34</f>
        <v>0.5189330813254609</v>
      </c>
      <c r="Y89" s="171">
        <f>C89/COMB_CORR!$B34</f>
        <v>0.10219979645698905</v>
      </c>
      <c r="Z89" s="171">
        <f>D89/COMB_CORR!$C34</f>
        <v>0.51743520454068426</v>
      </c>
      <c r="AA89" s="171">
        <f>E89/COMB_CORR!$C34</f>
        <v>0.10124298384339923</v>
      </c>
      <c r="AB89" s="171">
        <f>F89/COMB_CORR!$D34</f>
        <v>0.53686559335760908</v>
      </c>
      <c r="AC89" s="171">
        <f>G89/COMB_CORR!$D34</f>
        <v>0.10389432960102885</v>
      </c>
      <c r="AD89" s="171">
        <f>H89/COMB_CORR!$E34</f>
        <v>0.50856342852271053</v>
      </c>
      <c r="AE89" s="171">
        <f>I89/COMB_CORR!$E34</f>
        <v>9.8978172560006822E-2</v>
      </c>
      <c r="AF89" s="171" t="e">
        <f>J89/COMB_CORR!$F34</f>
        <v>#DIV/0!</v>
      </c>
      <c r="AG89" s="171" t="e">
        <f>K89/COMB_CORR!$E34</f>
        <v>#DIV/0!</v>
      </c>
    </row>
    <row r="90" spans="1:58" ht="26.25" thickBot="1">
      <c r="A90" s="128" t="s">
        <v>43</v>
      </c>
      <c r="B90" s="167">
        <f>B$56*E43/B$57</f>
        <v>297967145.01391608</v>
      </c>
      <c r="C90" s="167">
        <f>C$56*Z43/C$57</f>
        <v>50315994.037740879</v>
      </c>
      <c r="D90" s="167">
        <f>D$56*I43/D$57</f>
        <v>343937848.50245732</v>
      </c>
      <c r="E90" s="167">
        <f>E$56*AC43/E$57</f>
        <v>58595089.376055583</v>
      </c>
      <c r="F90" s="167">
        <f>F$56*M43/F$57</f>
        <v>408173647.60044765</v>
      </c>
      <c r="G90" s="167">
        <f>G$56*AF43/G$57</f>
        <v>69421939.465433955</v>
      </c>
      <c r="H90" s="167">
        <f>H$56*Q43/H$57</f>
        <v>456201643.30136979</v>
      </c>
      <c r="I90" s="225">
        <f>I$56*AI43/I$57</f>
        <v>78021680.198603481</v>
      </c>
      <c r="J90" s="167" t="e">
        <f t="shared" si="72"/>
        <v>#DIV/0!</v>
      </c>
      <c r="K90" s="225" t="e">
        <f t="shared" si="73"/>
        <v>#DIV/0!</v>
      </c>
      <c r="W90" s="128" t="s">
        <v>43</v>
      </c>
      <c r="X90" s="171">
        <f>B90/COMB_CORR!$B35</f>
        <v>0.79982986321671201</v>
      </c>
      <c r="Y90" s="171">
        <f>C90/COMB_CORR!$B35</f>
        <v>0.13506265808916498</v>
      </c>
      <c r="Z90" s="171">
        <f>D90/COMB_CORR!$C35</f>
        <v>0.76215327072709171</v>
      </c>
      <c r="AA90" s="171">
        <f>E90/COMB_CORR!$C35</f>
        <v>0.12984450304307804</v>
      </c>
      <c r="AB90" s="171">
        <f>F90/COMB_CORR!$D35</f>
        <v>0.73935843114627087</v>
      </c>
      <c r="AC90" s="171">
        <f>G90/COMB_CORR!$D35</f>
        <v>0.12574965716683945</v>
      </c>
      <c r="AD90" s="171">
        <f>H90/COMB_CORR!$E35</f>
        <v>0.70920779523790523</v>
      </c>
      <c r="AE90" s="171">
        <f>I90/COMB_CORR!$E35</f>
        <v>0.12129194317227562</v>
      </c>
      <c r="AF90" s="171" t="e">
        <f>J90/COMB_CORR!$F35</f>
        <v>#DIV/0!</v>
      </c>
      <c r="AG90" s="171" t="e">
        <f>K90/COMB_CORR!$E35</f>
        <v>#DIV/0!</v>
      </c>
    </row>
  </sheetData>
  <mergeCells count="48">
    <mergeCell ref="AD47:AD48"/>
    <mergeCell ref="AE47:AE48"/>
    <mergeCell ref="AB46:AC46"/>
    <mergeCell ref="X46:Y46"/>
    <mergeCell ref="Z46:AA46"/>
    <mergeCell ref="Y47:Y48"/>
    <mergeCell ref="X47:X48"/>
    <mergeCell ref="Z47:Z48"/>
    <mergeCell ref="AA47:AA48"/>
    <mergeCell ref="AB47:AB48"/>
    <mergeCell ref="AC47:AC48"/>
    <mergeCell ref="AF47:AF48"/>
    <mergeCell ref="R9:U9"/>
    <mergeCell ref="B8:U8"/>
    <mergeCell ref="AJ9:AL9"/>
    <mergeCell ref="X8:AL8"/>
    <mergeCell ref="J46:K46"/>
    <mergeCell ref="X9:Z9"/>
    <mergeCell ref="AA9:AC9"/>
    <mergeCell ref="AD9:AF9"/>
    <mergeCell ref="AG9:AI9"/>
    <mergeCell ref="H46:I46"/>
    <mergeCell ref="AG47:AG48"/>
    <mergeCell ref="J47:J48"/>
    <mergeCell ref="K47:K48"/>
    <mergeCell ref="AF46:AG46"/>
    <mergeCell ref="AD46:AE46"/>
    <mergeCell ref="B1:C1"/>
    <mergeCell ref="D1:E1"/>
    <mergeCell ref="F1:G1"/>
    <mergeCell ref="H1:I1"/>
    <mergeCell ref="J1:K1"/>
    <mergeCell ref="A46:A48"/>
    <mergeCell ref="B9:E9"/>
    <mergeCell ref="F9:I9"/>
    <mergeCell ref="J9:M9"/>
    <mergeCell ref="N9:Q9"/>
    <mergeCell ref="B46:C46"/>
    <mergeCell ref="B47:B48"/>
    <mergeCell ref="C47:C48"/>
    <mergeCell ref="D46:E46"/>
    <mergeCell ref="F46:G46"/>
    <mergeCell ref="D47:D48"/>
    <mergeCell ref="E47:E48"/>
    <mergeCell ref="F47:F48"/>
    <mergeCell ref="G47:G48"/>
    <mergeCell ref="H47:H48"/>
    <mergeCell ref="I47:I48"/>
  </mergeCells>
  <pageMargins left="0.511811024" right="0.511811024" top="0.78740157499999996" bottom="0.78740157499999996" header="0.31496062000000002" footer="0.31496062000000002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FFC000"/>
  </sheetPr>
  <dimension ref="A1:CG45"/>
  <sheetViews>
    <sheetView topLeftCell="AW7" workbookViewId="0">
      <selection activeCell="BT29" sqref="BT29"/>
    </sheetView>
  </sheetViews>
  <sheetFormatPr defaultColWidth="8.85546875" defaultRowHeight="15"/>
  <cols>
    <col min="1" max="1" width="17.7109375" style="45" customWidth="1"/>
    <col min="2" max="13" width="12.85546875" style="45" customWidth="1"/>
    <col min="14" max="14" width="10.42578125" style="45" bestFit="1" customWidth="1"/>
    <col min="15" max="15" width="13.85546875" style="45" customWidth="1"/>
    <col min="16" max="16" width="10.42578125" style="46" bestFit="1" customWidth="1"/>
    <col min="17" max="21" width="10.42578125" style="46" customWidth="1"/>
    <col min="22" max="22" width="8.85546875" style="1"/>
    <col min="23" max="23" width="20.42578125" style="1" customWidth="1"/>
    <col min="24" max="35" width="12.7109375" style="1" bestFit="1" customWidth="1"/>
    <col min="36" max="36" width="11.140625" style="1" bestFit="1" customWidth="1"/>
    <col min="37" max="37" width="12.7109375" style="1" bestFit="1" customWidth="1"/>
    <col min="38" max="38" width="11.42578125" style="1" bestFit="1" customWidth="1"/>
    <col min="39" max="39" width="10.140625" style="1" bestFit="1" customWidth="1"/>
    <col min="40" max="40" width="11.140625" style="1" bestFit="1" customWidth="1"/>
    <col min="41" max="41" width="12.7109375" style="1" bestFit="1" customWidth="1"/>
    <col min="42" max="42" width="11.42578125" style="1" bestFit="1" customWidth="1"/>
    <col min="43" max="43" width="10.140625" style="1" bestFit="1" customWidth="1"/>
    <col min="44" max="85" width="8.85546875" style="1"/>
  </cols>
  <sheetData>
    <row r="1" spans="1:65" ht="15.75" thickBot="1">
      <c r="A1" s="226" t="s">
        <v>440</v>
      </c>
      <c r="B1" s="1204">
        <v>2004</v>
      </c>
      <c r="C1" s="1205"/>
      <c r="D1" s="1204">
        <v>2005</v>
      </c>
      <c r="E1" s="1205"/>
      <c r="F1" s="1204">
        <v>2006</v>
      </c>
      <c r="G1" s="1205"/>
      <c r="H1" s="1204">
        <v>2007</v>
      </c>
      <c r="I1" s="1039"/>
      <c r="J1" s="1204">
        <v>2008</v>
      </c>
      <c r="K1" s="1039"/>
      <c r="L1" s="1"/>
      <c r="M1" s="1"/>
      <c r="N1" s="1"/>
    </row>
    <row r="2" spans="1:65" ht="15.75" thickBot="1">
      <c r="A2" s="102" t="s">
        <v>107</v>
      </c>
      <c r="B2" s="161">
        <f>MOT!C5</f>
        <v>8069964</v>
      </c>
      <c r="C2" s="187">
        <f>B2/B$5</f>
        <v>0.96354822305751331</v>
      </c>
      <c r="D2" s="161">
        <f>MOT!E5</f>
        <v>8279477</v>
      </c>
      <c r="E2" s="187">
        <f>D2/D$5</f>
        <v>0.95153485486625322</v>
      </c>
      <c r="F2" s="161">
        <f>MOT!G5</f>
        <v>8279477</v>
      </c>
      <c r="G2" s="187">
        <f>F2/F$5</f>
        <v>0.95153485486625322</v>
      </c>
      <c r="H2" s="161">
        <f>MOT!I5</f>
        <v>8279477</v>
      </c>
      <c r="I2" s="187">
        <f>H2/H$5</f>
        <v>0.95153485486625322</v>
      </c>
      <c r="J2" s="161">
        <f>MOT!K5</f>
        <v>0</v>
      </c>
      <c r="K2" s="187" t="e">
        <f>J2/J$5</f>
        <v>#DIV/0!</v>
      </c>
      <c r="L2" s="1"/>
      <c r="M2" s="1"/>
      <c r="N2" s="1218"/>
      <c r="O2" s="1218"/>
      <c r="P2" s="1218"/>
      <c r="Q2" s="1218"/>
      <c r="R2" s="1218"/>
      <c r="S2" s="1218"/>
      <c r="T2" s="1218"/>
      <c r="U2" s="1218"/>
      <c r="V2" s="1218"/>
      <c r="W2" s="1218"/>
      <c r="X2" s="1218"/>
      <c r="Y2" s="1218"/>
      <c r="Z2" s="1218"/>
    </row>
    <row r="3" spans="1:65" ht="15.75" thickBot="1">
      <c r="A3" s="102" t="s">
        <v>108</v>
      </c>
      <c r="B3" s="161">
        <f>MOT!C6</f>
        <v>197908</v>
      </c>
      <c r="C3" s="187">
        <f t="shared" ref="C3:E4" si="0">B3/B$5</f>
        <v>2.3630080844086337E-2</v>
      </c>
      <c r="D3" s="161">
        <f>MOT!E6</f>
        <v>299028</v>
      </c>
      <c r="E3" s="187">
        <f t="shared" si="0"/>
        <v>3.4366369346873718E-2</v>
      </c>
      <c r="F3" s="161">
        <f>MOT!G6</f>
        <v>299028</v>
      </c>
      <c r="G3" s="187">
        <f>F3/F$5</f>
        <v>3.4366369346873718E-2</v>
      </c>
      <c r="H3" s="161">
        <f>MOT!I6</f>
        <v>299028</v>
      </c>
      <c r="I3" s="187">
        <f>H3/H$5</f>
        <v>3.4366369346873718E-2</v>
      </c>
      <c r="J3" s="161">
        <f>MOT!K6</f>
        <v>0</v>
      </c>
      <c r="K3" s="187" t="e">
        <f>J3/J$5</f>
        <v>#DIV/0!</v>
      </c>
      <c r="L3" s="1"/>
      <c r="M3" s="1"/>
      <c r="N3" s="1218"/>
      <c r="O3" s="1218"/>
      <c r="P3" s="1218"/>
      <c r="Q3" s="1218"/>
      <c r="R3" s="1218"/>
      <c r="S3" s="1218"/>
      <c r="T3" s="1218"/>
      <c r="U3" s="1218"/>
      <c r="V3" s="1218"/>
      <c r="W3" s="1218"/>
      <c r="X3" s="1218"/>
      <c r="Y3" s="1218"/>
      <c r="Z3" s="1218"/>
    </row>
    <row r="4" spans="1:65" ht="15.75" thickBot="1">
      <c r="A4" s="102" t="s">
        <v>109</v>
      </c>
      <c r="B4" s="161">
        <f>MOT!C7</f>
        <v>107385</v>
      </c>
      <c r="C4" s="187">
        <f t="shared" si="0"/>
        <v>1.2821696098400323E-2</v>
      </c>
      <c r="D4" s="161">
        <f>MOT!E7</f>
        <v>122676</v>
      </c>
      <c r="E4" s="187">
        <f t="shared" si="0"/>
        <v>1.4098775786873069E-2</v>
      </c>
      <c r="F4" s="161">
        <f>MOT!G7</f>
        <v>122676</v>
      </c>
      <c r="G4" s="187">
        <f>F4/F$5</f>
        <v>1.4098775786873069E-2</v>
      </c>
      <c r="H4" s="161">
        <f>MOT!I7</f>
        <v>122676</v>
      </c>
      <c r="I4" s="187">
        <f>H4/H$5</f>
        <v>1.4098775786873069E-2</v>
      </c>
      <c r="J4" s="161">
        <f>MOT!K7</f>
        <v>0</v>
      </c>
      <c r="K4" s="187" t="e">
        <f>J4/J$5</f>
        <v>#DIV/0!</v>
      </c>
      <c r="L4" s="1"/>
      <c r="M4" s="1"/>
      <c r="N4" s="232"/>
      <c r="O4" s="232"/>
      <c r="P4" s="232"/>
      <c r="Q4" s="232"/>
      <c r="R4" s="232"/>
      <c r="S4" s="232"/>
      <c r="T4" s="232"/>
      <c r="U4" s="232"/>
      <c r="V4" s="232"/>
      <c r="W4" s="232"/>
      <c r="X4" s="232"/>
      <c r="Y4" s="232"/>
      <c r="Z4" s="232"/>
    </row>
    <row r="5" spans="1:65" ht="15.75" thickBot="1">
      <c r="A5" s="233" t="s">
        <v>449</v>
      </c>
      <c r="B5" s="149">
        <f>SUM(B2:B4)</f>
        <v>8375257</v>
      </c>
      <c r="C5" s="201">
        <f t="shared" ref="C5:I5" si="1">SUM(C2:C4)</f>
        <v>1</v>
      </c>
      <c r="D5" s="149">
        <f t="shared" si="1"/>
        <v>8701181</v>
      </c>
      <c r="E5" s="201">
        <f t="shared" si="1"/>
        <v>1</v>
      </c>
      <c r="F5" s="149">
        <f t="shared" si="1"/>
        <v>8701181</v>
      </c>
      <c r="G5" s="201">
        <f t="shared" si="1"/>
        <v>1</v>
      </c>
      <c r="H5" s="149">
        <f t="shared" si="1"/>
        <v>8701181</v>
      </c>
      <c r="I5" s="201">
        <f t="shared" si="1"/>
        <v>1</v>
      </c>
      <c r="J5" s="149">
        <f>SUM(J2:J4)</f>
        <v>0</v>
      </c>
      <c r="K5" s="201" t="e">
        <f>SUM(K2:K4)</f>
        <v>#DIV/0!</v>
      </c>
      <c r="L5" s="1"/>
      <c r="M5" s="1"/>
      <c r="N5" s="1"/>
    </row>
    <row r="6" spans="1:65" ht="15.75" thickBot="1"/>
    <row r="7" spans="1:65" ht="15" customHeight="1">
      <c r="A7" s="1219" t="s">
        <v>450</v>
      </c>
      <c r="B7" s="1200">
        <v>2004</v>
      </c>
      <c r="C7" s="1214"/>
      <c r="D7" s="1214"/>
      <c r="E7" s="1201"/>
      <c r="F7" s="1200">
        <v>2005</v>
      </c>
      <c r="G7" s="1214"/>
      <c r="H7" s="1214"/>
      <c r="I7" s="1201"/>
      <c r="J7" s="1200">
        <v>2006</v>
      </c>
      <c r="K7" s="1214"/>
      <c r="L7" s="1214"/>
      <c r="M7" s="1201"/>
      <c r="N7" s="1200">
        <v>2007</v>
      </c>
      <c r="O7" s="1214"/>
      <c r="P7" s="1214"/>
      <c r="Q7" s="1201"/>
      <c r="R7" s="1200">
        <v>2008</v>
      </c>
      <c r="S7" s="1214"/>
      <c r="T7" s="1214"/>
      <c r="U7" s="1201"/>
      <c r="W7" s="1219" t="s">
        <v>446</v>
      </c>
      <c r="X7" s="1200">
        <v>2004</v>
      </c>
      <c r="Y7" s="1214"/>
      <c r="Z7" s="1214"/>
      <c r="AA7" s="1201"/>
      <c r="AB7" s="1200">
        <v>2005</v>
      </c>
      <c r="AC7" s="1214"/>
      <c r="AD7" s="1214"/>
      <c r="AE7" s="1201"/>
      <c r="AF7" s="1200">
        <v>2006</v>
      </c>
      <c r="AG7" s="1214"/>
      <c r="AH7" s="1214"/>
      <c r="AI7" s="1201"/>
      <c r="AJ7" s="1200">
        <v>2007</v>
      </c>
      <c r="AK7" s="1214"/>
      <c r="AL7" s="1214"/>
      <c r="AM7" s="1201"/>
      <c r="AN7" s="1200">
        <v>2008</v>
      </c>
      <c r="AO7" s="1214"/>
      <c r="AP7" s="1214"/>
      <c r="AQ7" s="1201"/>
      <c r="AS7" s="1219" t="s">
        <v>447</v>
      </c>
      <c r="AT7" s="1200">
        <v>2004</v>
      </c>
      <c r="AU7" s="1214"/>
      <c r="AV7" s="1214"/>
      <c r="AW7" s="1201"/>
      <c r="AX7" s="1200">
        <v>2005</v>
      </c>
      <c r="AY7" s="1214"/>
      <c r="AZ7" s="1214"/>
      <c r="BA7" s="1201"/>
      <c r="BB7" s="1200">
        <v>2006</v>
      </c>
      <c r="BC7" s="1214"/>
      <c r="BD7" s="1214"/>
      <c r="BE7" s="1201"/>
      <c r="BF7" s="1200">
        <v>2007</v>
      </c>
      <c r="BG7" s="1214"/>
      <c r="BH7" s="1214"/>
      <c r="BI7" s="1201"/>
      <c r="BJ7" s="1200">
        <v>2008</v>
      </c>
      <c r="BK7" s="1214"/>
      <c r="BL7" s="1214"/>
      <c r="BM7" s="1201"/>
    </row>
    <row r="8" spans="1:65" ht="15.75" thickBot="1">
      <c r="A8" s="1220"/>
      <c r="B8" s="1215"/>
      <c r="C8" s="1216"/>
      <c r="D8" s="1216"/>
      <c r="E8" s="1217"/>
      <c r="F8" s="1215"/>
      <c r="G8" s="1216"/>
      <c r="H8" s="1216"/>
      <c r="I8" s="1217"/>
      <c r="J8" s="1215"/>
      <c r="K8" s="1216"/>
      <c r="L8" s="1216"/>
      <c r="M8" s="1217"/>
      <c r="N8" s="1215"/>
      <c r="O8" s="1216"/>
      <c r="P8" s="1216"/>
      <c r="Q8" s="1217"/>
      <c r="R8" s="1215"/>
      <c r="S8" s="1216"/>
      <c r="T8" s="1216"/>
      <c r="U8" s="1217"/>
      <c r="W8" s="1220"/>
      <c r="X8" s="1215"/>
      <c r="Y8" s="1216"/>
      <c r="Z8" s="1216"/>
      <c r="AA8" s="1217"/>
      <c r="AB8" s="1215"/>
      <c r="AC8" s="1216"/>
      <c r="AD8" s="1216"/>
      <c r="AE8" s="1217"/>
      <c r="AF8" s="1215"/>
      <c r="AG8" s="1216"/>
      <c r="AH8" s="1216"/>
      <c r="AI8" s="1217"/>
      <c r="AJ8" s="1215"/>
      <c r="AK8" s="1216"/>
      <c r="AL8" s="1216"/>
      <c r="AM8" s="1217"/>
      <c r="AN8" s="1215"/>
      <c r="AO8" s="1216"/>
      <c r="AP8" s="1216"/>
      <c r="AQ8" s="1217"/>
      <c r="AS8" s="1220"/>
      <c r="AT8" s="1215"/>
      <c r="AU8" s="1216"/>
      <c r="AV8" s="1216"/>
      <c r="AW8" s="1217"/>
      <c r="AX8" s="1215"/>
      <c r="AY8" s="1216"/>
      <c r="AZ8" s="1216"/>
      <c r="BA8" s="1217"/>
      <c r="BB8" s="1215"/>
      <c r="BC8" s="1216"/>
      <c r="BD8" s="1216"/>
      <c r="BE8" s="1217"/>
      <c r="BF8" s="1215"/>
      <c r="BG8" s="1216"/>
      <c r="BH8" s="1216"/>
      <c r="BI8" s="1217"/>
      <c r="BJ8" s="1215"/>
      <c r="BK8" s="1216"/>
      <c r="BL8" s="1216"/>
      <c r="BM8" s="1217"/>
    </row>
    <row r="9" spans="1:65" ht="15.75" thickBot="1">
      <c r="A9" s="1221"/>
      <c r="B9" s="99" t="s">
        <v>106</v>
      </c>
      <c r="C9" s="99" t="s">
        <v>107</v>
      </c>
      <c r="D9" s="99" t="s">
        <v>108</v>
      </c>
      <c r="E9" s="99" t="s">
        <v>109</v>
      </c>
      <c r="F9" s="99" t="s">
        <v>106</v>
      </c>
      <c r="G9" s="99" t="s">
        <v>107</v>
      </c>
      <c r="H9" s="99" t="s">
        <v>108</v>
      </c>
      <c r="I9" s="99" t="s">
        <v>109</v>
      </c>
      <c r="J9" s="99" t="s">
        <v>106</v>
      </c>
      <c r="K9" s="99" t="s">
        <v>107</v>
      </c>
      <c r="L9" s="99" t="s">
        <v>108</v>
      </c>
      <c r="M9" s="99" t="s">
        <v>109</v>
      </c>
      <c r="N9" s="99" t="s">
        <v>106</v>
      </c>
      <c r="O9" s="99" t="s">
        <v>107</v>
      </c>
      <c r="P9" s="99" t="s">
        <v>108</v>
      </c>
      <c r="Q9" s="99" t="s">
        <v>109</v>
      </c>
      <c r="R9" s="99" t="s">
        <v>106</v>
      </c>
      <c r="S9" s="99" t="s">
        <v>107</v>
      </c>
      <c r="T9" s="99" t="s">
        <v>108</v>
      </c>
      <c r="U9" s="99" t="s">
        <v>109</v>
      </c>
      <c r="W9" s="1221"/>
      <c r="X9" s="99" t="s">
        <v>106</v>
      </c>
      <c r="Y9" s="99" t="s">
        <v>107</v>
      </c>
      <c r="Z9" s="99" t="s">
        <v>108</v>
      </c>
      <c r="AA9" s="99" t="s">
        <v>109</v>
      </c>
      <c r="AB9" s="99" t="s">
        <v>106</v>
      </c>
      <c r="AC9" s="99" t="s">
        <v>107</v>
      </c>
      <c r="AD9" s="99" t="s">
        <v>108</v>
      </c>
      <c r="AE9" s="99" t="s">
        <v>109</v>
      </c>
      <c r="AF9" s="99" t="s">
        <v>106</v>
      </c>
      <c r="AG9" s="99" t="s">
        <v>107</v>
      </c>
      <c r="AH9" s="99" t="s">
        <v>108</v>
      </c>
      <c r="AI9" s="99" t="s">
        <v>109</v>
      </c>
      <c r="AJ9" s="99" t="s">
        <v>106</v>
      </c>
      <c r="AK9" s="99" t="s">
        <v>107</v>
      </c>
      <c r="AL9" s="99" t="s">
        <v>108</v>
      </c>
      <c r="AM9" s="99" t="s">
        <v>109</v>
      </c>
      <c r="AN9" s="99" t="s">
        <v>106</v>
      </c>
      <c r="AO9" s="99" t="s">
        <v>107</v>
      </c>
      <c r="AP9" s="99" t="s">
        <v>108</v>
      </c>
      <c r="AQ9" s="99" t="s">
        <v>109</v>
      </c>
      <c r="AS9" s="1221"/>
      <c r="AT9" s="99" t="s">
        <v>106</v>
      </c>
      <c r="AU9" s="99" t="s">
        <v>107</v>
      </c>
      <c r="AV9" s="99" t="s">
        <v>108</v>
      </c>
      <c r="AW9" s="99" t="s">
        <v>109</v>
      </c>
      <c r="AX9" s="99" t="s">
        <v>106</v>
      </c>
      <c r="AY9" s="99" t="s">
        <v>107</v>
      </c>
      <c r="AZ9" s="99" t="s">
        <v>108</v>
      </c>
      <c r="BA9" s="99" t="s">
        <v>109</v>
      </c>
      <c r="BB9" s="99" t="s">
        <v>106</v>
      </c>
      <c r="BC9" s="99" t="s">
        <v>107</v>
      </c>
      <c r="BD9" s="99" t="s">
        <v>108</v>
      </c>
      <c r="BE9" s="99" t="s">
        <v>109</v>
      </c>
      <c r="BF9" s="99" t="s">
        <v>106</v>
      </c>
      <c r="BG9" s="99" t="s">
        <v>107</v>
      </c>
      <c r="BH9" s="99" t="s">
        <v>108</v>
      </c>
      <c r="BI9" s="99" t="s">
        <v>109</v>
      </c>
      <c r="BJ9" s="99" t="s">
        <v>106</v>
      </c>
      <c r="BK9" s="99" t="s">
        <v>107</v>
      </c>
      <c r="BL9" s="99" t="s">
        <v>108</v>
      </c>
      <c r="BM9" s="99" t="s">
        <v>109</v>
      </c>
    </row>
    <row r="10" spans="1:65" ht="15.75" thickBot="1">
      <c r="A10" s="164" t="s">
        <v>245</v>
      </c>
      <c r="B10" s="176">
        <f>(MOT!$C4*MOT!$N4*MOT!$P4+MOT!$C4*MOT!$O4*MOT!$Q4)/(MOT!$C4)</f>
        <v>7500</v>
      </c>
      <c r="C10" s="176">
        <f>(MOT!$C5*MOT!$N5*MOT!$P5+MOT!$C5*MOT!$O5*MOT!$Q5)/(MOT!$C5)</f>
        <v>17250</v>
      </c>
      <c r="D10" s="176">
        <f>(MOT!$C6*MOT!$N6*MOT!$P6+MOT!$C6*MOT!$O6*MOT!$Q6)/(MOT!$C6)</f>
        <v>7500</v>
      </c>
      <c r="E10" s="176">
        <f>(MOT!$C7*MOT!$N7*MOT!$P7+MOT!$C7*MOT!$O7*MOT!$Q7)/(MOT!$C7)</f>
        <v>5000</v>
      </c>
      <c r="F10" s="176">
        <f>(MOT!$E4*MOT!$N4*MOT!$P4+MOT!$E4*MOT!$O4*MOT!$Q4)/(MOT!$E4)</f>
        <v>7500</v>
      </c>
      <c r="G10" s="176">
        <f>(MOT!$E5*MOT!$N5*MOT!$P5+MOT!$E5*MOT!$O5*MOT!$Q5)/(MOT!$E5)</f>
        <v>17250</v>
      </c>
      <c r="H10" s="176">
        <f>(MOT!$E6*MOT!$N6*MOT!$P6+MOT!$E6*MOT!$O6*MOT!$Q6)/(MOT!$E6)</f>
        <v>7500</v>
      </c>
      <c r="I10" s="176">
        <f>(MOT!$E7*MOT!$N7*MOT!$P7+MOT!$E7*MOT!$O7*MOT!$Q7)/(MOT!$E7)</f>
        <v>5000</v>
      </c>
      <c r="J10" s="176">
        <f>(MOT!$G4*MOT!$N4*MOT!$P4+MOT!$G4*MOT!$O4*MOT!$Q4)/(MOT!$G4)</f>
        <v>7500</v>
      </c>
      <c r="K10" s="176">
        <f>(MOT!$G5*MOT!$N5*MOT!$P5+MOT!$G5*MOT!$O5*MOT!$Q5)/(MOT!$G5)</f>
        <v>17250</v>
      </c>
      <c r="L10" s="176">
        <f>(MOT!$G6*MOT!$N6*MOT!$P6+MOT!$G6*MOT!$O6*MOT!$Q6)/(MOT!$G6)</f>
        <v>7500</v>
      </c>
      <c r="M10" s="176">
        <f>(MOT!$G7*MOT!$N7*MOT!$P7+MOT!$G7*MOT!$O7*MOT!$Q7)/(MOT!$G7)</f>
        <v>5000</v>
      </c>
      <c r="N10" s="176">
        <f>(MOT!$G4*MOT!$N4*MOT!$P4+MOT!$G4*MOT!$O4*MOT!$Q4)/(MOT!$G4)</f>
        <v>7500</v>
      </c>
      <c r="O10" s="176">
        <f>(MOT!$G5*MOT!$N5*MOT!$P5+MOT!$G5*MOT!$O5*MOT!$Q5)/(MOT!$G5)</f>
        <v>17250</v>
      </c>
      <c r="P10" s="176">
        <f>(MOT!$G6*MOT!$N6*MOT!$P6+MOT!$G6*MOT!$O6*MOT!$Q6)/(MOT!$G6)</f>
        <v>7500</v>
      </c>
      <c r="Q10" s="176">
        <f>(MOT!$G7*MOT!$N7*MOT!$P7+MOT!$G7*MOT!$O7*MOT!$Q7)/(MOT!$G7)</f>
        <v>5000</v>
      </c>
      <c r="R10" s="176" t="e">
        <f>(MOT!$K4*MOT!$N4*MOT!$P4+MOT!$K4*MOT!$O4*MOT!$Q4)/(MOT!$K4)</f>
        <v>#DIV/0!</v>
      </c>
      <c r="S10" s="176" t="e">
        <f>(MOT!$K5*MOT!$N5*MOT!$P5+MOT!$K5*MOT!$O5*MOT!$Q5)/(MOT!$K5)</f>
        <v>#DIV/0!</v>
      </c>
      <c r="T10" s="176" t="e">
        <f>(MOT!$K6*MOT!$N6*MOT!$P6+MOT!$K6*MOT!$O6*MOT!$Q6)/(MOT!$K6)</f>
        <v>#DIV/0!</v>
      </c>
      <c r="U10" s="176" t="e">
        <f>(MOT!$K7*MOT!$N7*MOT!$P7+MOT!$K7*MOT!$O7*MOT!$Q7)/(MOT!$K7)</f>
        <v>#DIV/0!</v>
      </c>
      <c r="W10" s="164" t="s">
        <v>245</v>
      </c>
      <c r="X10" s="176">
        <f>(MOT!$C4*MOT!$N4*MOT!$P4+MOT!$C4*MOT!$O4*MOT!$Q4)/(MOT!$C4)</f>
        <v>7500</v>
      </c>
      <c r="Y10" s="176">
        <f>(MOT!$C5*MOT!$N5*MOT!$P5+MOT!$C5*MOT!$O5*MOT!$Q5)/(MOT!$C5)</f>
        <v>17250</v>
      </c>
      <c r="Z10" s="176">
        <f>(MOT!$C6*MOT!$N6*MOT!$P6+MOT!$C6*MOT!$O6*MOT!$Q6)/(MOT!$C6)</f>
        <v>7500</v>
      </c>
      <c r="AA10" s="176">
        <f>(MOT!$C7*MOT!$N7*MOT!$P7+MOT!$C7*MOT!$O7*MOT!$Q7)/(MOT!$C7)</f>
        <v>5000</v>
      </c>
      <c r="AB10" s="176">
        <f>(MOT!$E4*MOT!$N4*MOT!$P4+MOT!$E4*MOT!$O4*MOT!$Q4)/(MOT!$E4)</f>
        <v>7500</v>
      </c>
      <c r="AC10" s="176">
        <f>(MOT!$E5*MOT!$N5*MOT!$P5+MOT!$E5*MOT!$O5*MOT!$Q5)/(MOT!$E5)</f>
        <v>17250</v>
      </c>
      <c r="AD10" s="176">
        <f>(MOT!$E6*MOT!$N6*MOT!$P6+MOT!$E6*MOT!$O6*MOT!$Q6)/(MOT!$E6)</f>
        <v>7500</v>
      </c>
      <c r="AE10" s="176">
        <f>(MOT!$E7*MOT!$N7*MOT!$P7+MOT!$E7*MOT!$O7*MOT!$Q7)/(MOT!$E7)</f>
        <v>5000</v>
      </c>
      <c r="AF10" s="176">
        <f>(MOT!$G4*MOT!$N4*MOT!$P4+MOT!$G4*MOT!$O4*MOT!$Q4)/(MOT!$G4)</f>
        <v>7500</v>
      </c>
      <c r="AG10" s="176">
        <f>(MOT!$G5*MOT!$N5*MOT!$P5+MOT!$G5*MOT!$O5*MOT!$Q5)/(MOT!$G5)</f>
        <v>17250</v>
      </c>
      <c r="AH10" s="176">
        <f>(MOT!$G6*MOT!$N6*MOT!$P6+MOT!$G6*MOT!$O6*MOT!$Q6)/(MOT!$G6)</f>
        <v>7500</v>
      </c>
      <c r="AI10" s="176">
        <f>(MOT!$G7*MOT!$N7*MOT!$P7+MOT!$G7*MOT!$O7*MOT!$Q7)/(MOT!$G7)</f>
        <v>5000</v>
      </c>
      <c r="AJ10" s="176">
        <f>(MOT!$G4*MOT!$N4*MOT!$P4+MOT!$G4*MOT!$O4*MOT!$Q4)/(MOT!$G4)</f>
        <v>7500</v>
      </c>
      <c r="AK10" s="176">
        <f>(MOT!$G5*MOT!$N5*MOT!$P5+MOT!$G5*MOT!$O5*MOT!$Q5)/(MOT!$G5)</f>
        <v>17250</v>
      </c>
      <c r="AL10" s="176">
        <f>(MOT!$G6*MOT!$N6*MOT!$P6+MOT!$G6*MOT!$O6*MOT!$Q6)/(MOT!$G6)</f>
        <v>7500</v>
      </c>
      <c r="AM10" s="176">
        <f>(MOT!$G7*MOT!$N7*MOT!$P7+MOT!$G7*MOT!$O7*MOT!$Q7)/(MOT!$G7)</f>
        <v>5000</v>
      </c>
      <c r="AN10" s="176" t="e">
        <f>(MOT!$K4*MOT!$N4*MOT!$P4+MOT!$K4*MOT!$O4*MOT!$Q4)/(MOT!$K4)</f>
        <v>#DIV/0!</v>
      </c>
      <c r="AO10" s="176" t="e">
        <f>(MOT!$K5*MOT!$N5*MOT!$P5+MOT!$K5*MOT!$O5*MOT!$Q5)/(MOT!$K5)</f>
        <v>#DIV/0!</v>
      </c>
      <c r="AP10" s="176" t="e">
        <f>(MOT!$K6*MOT!$N6*MOT!$P6+MOT!$K6*MOT!$O6*MOT!$Q6)/(MOT!$K6)</f>
        <v>#DIV/0!</v>
      </c>
      <c r="AQ10" s="176" t="e">
        <f>(MOT!$K7*MOT!$N7*MOT!$P7+MOT!$K7*MOT!$O7*MOT!$Q7)/(MOT!$K7)</f>
        <v>#DIV/0!</v>
      </c>
      <c r="AS10" s="164" t="s">
        <v>245</v>
      </c>
      <c r="AT10" s="263">
        <f>X10</f>
        <v>7500</v>
      </c>
      <c r="AU10" s="263">
        <f t="shared" ref="AU10:BI11" si="2">Y10</f>
        <v>17250</v>
      </c>
      <c r="AV10" s="263">
        <f t="shared" si="2"/>
        <v>7500</v>
      </c>
      <c r="AW10" s="263">
        <f t="shared" si="2"/>
        <v>5000</v>
      </c>
      <c r="AX10" s="263">
        <f t="shared" si="2"/>
        <v>7500</v>
      </c>
      <c r="AY10" s="263">
        <f t="shared" si="2"/>
        <v>17250</v>
      </c>
      <c r="AZ10" s="263">
        <f t="shared" si="2"/>
        <v>7500</v>
      </c>
      <c r="BA10" s="263">
        <f t="shared" si="2"/>
        <v>5000</v>
      </c>
      <c r="BB10" s="263">
        <f t="shared" si="2"/>
        <v>7500</v>
      </c>
      <c r="BC10" s="263">
        <f t="shared" si="2"/>
        <v>17250</v>
      </c>
      <c r="BD10" s="263">
        <f t="shared" si="2"/>
        <v>7500</v>
      </c>
      <c r="BE10" s="263">
        <f t="shared" si="2"/>
        <v>5000</v>
      </c>
      <c r="BF10" s="263">
        <f t="shared" si="2"/>
        <v>7500</v>
      </c>
      <c r="BG10" s="263">
        <f t="shared" si="2"/>
        <v>17250</v>
      </c>
      <c r="BH10" s="263">
        <f t="shared" si="2"/>
        <v>7500</v>
      </c>
      <c r="BI10" s="263">
        <f t="shared" si="2"/>
        <v>5000</v>
      </c>
      <c r="BJ10" s="263" t="e">
        <f t="shared" ref="BJ10:BM11" si="3">AN10</f>
        <v>#DIV/0!</v>
      </c>
      <c r="BK10" s="263" t="e">
        <f t="shared" si="3"/>
        <v>#DIV/0!</v>
      </c>
      <c r="BL10" s="263" t="e">
        <f t="shared" si="3"/>
        <v>#DIV/0!</v>
      </c>
      <c r="BM10" s="263" t="e">
        <f t="shared" si="3"/>
        <v>#DIV/0!</v>
      </c>
    </row>
    <row r="11" spans="1:65" ht="15.75" thickBot="1">
      <c r="A11" s="164" t="s">
        <v>448</v>
      </c>
      <c r="B11" s="165">
        <f>TAX!$B7</f>
        <v>40</v>
      </c>
      <c r="C11" s="165">
        <f>TAX!$B8</f>
        <v>30</v>
      </c>
      <c r="D11" s="165">
        <f>TAX!$B9</f>
        <v>20</v>
      </c>
      <c r="E11" s="165">
        <f>TAX!$B10</f>
        <v>10</v>
      </c>
      <c r="F11" s="165">
        <f>TAX!$C7</f>
        <v>40</v>
      </c>
      <c r="G11" s="165">
        <f>TAX!$C8</f>
        <v>30</v>
      </c>
      <c r="H11" s="165">
        <f>TAX!$C9</f>
        <v>20</v>
      </c>
      <c r="I11" s="165">
        <f>TAX!$C10</f>
        <v>10</v>
      </c>
      <c r="J11" s="165">
        <f>TAX!$D7</f>
        <v>40</v>
      </c>
      <c r="K11" s="165">
        <f>TAX!$D8</f>
        <v>30</v>
      </c>
      <c r="L11" s="165">
        <f>TAX!$D9</f>
        <v>20</v>
      </c>
      <c r="M11" s="165">
        <f>TAX!$D10</f>
        <v>10</v>
      </c>
      <c r="N11" s="165">
        <f>TAX!$E7</f>
        <v>40</v>
      </c>
      <c r="O11" s="165">
        <f>TAX!$E8</f>
        <v>30</v>
      </c>
      <c r="P11" s="165">
        <f>TAX!$E9</f>
        <v>20</v>
      </c>
      <c r="Q11" s="165">
        <f>TAX!$E10</f>
        <v>10</v>
      </c>
      <c r="R11" s="165">
        <f>TAX!$E7</f>
        <v>40</v>
      </c>
      <c r="S11" s="165">
        <f>TAX!$E8</f>
        <v>30</v>
      </c>
      <c r="T11" s="165">
        <f>TAX!$E9</f>
        <v>20</v>
      </c>
      <c r="U11" s="165">
        <f>TAX!$E10</f>
        <v>10</v>
      </c>
      <c r="W11" s="164" t="s">
        <v>448</v>
      </c>
      <c r="X11" s="165">
        <f>TAX!$B7</f>
        <v>40</v>
      </c>
      <c r="Y11" s="165">
        <f>TAX!$B8</f>
        <v>30</v>
      </c>
      <c r="Z11" s="165">
        <f>TAX!$B9</f>
        <v>20</v>
      </c>
      <c r="AA11" s="165">
        <f>TAX!$B10</f>
        <v>10</v>
      </c>
      <c r="AB11" s="165">
        <f>TAX!$C7</f>
        <v>40</v>
      </c>
      <c r="AC11" s="165">
        <f>TAX!$C8</f>
        <v>30</v>
      </c>
      <c r="AD11" s="165">
        <f>TAX!$C9</f>
        <v>20</v>
      </c>
      <c r="AE11" s="165">
        <f>TAX!$C10</f>
        <v>10</v>
      </c>
      <c r="AF11" s="165">
        <f>TAX!$D7</f>
        <v>40</v>
      </c>
      <c r="AG11" s="165">
        <f>TAX!$D8</f>
        <v>30</v>
      </c>
      <c r="AH11" s="165">
        <f>TAX!$D9</f>
        <v>20</v>
      </c>
      <c r="AI11" s="165">
        <f>TAX!$D10</f>
        <v>10</v>
      </c>
      <c r="AJ11" s="165">
        <f>TAX!$E7</f>
        <v>40</v>
      </c>
      <c r="AK11" s="165">
        <f>TAX!$E8</f>
        <v>30</v>
      </c>
      <c r="AL11" s="165">
        <f>TAX!$E9</f>
        <v>20</v>
      </c>
      <c r="AM11" s="165">
        <f>TAX!$E10</f>
        <v>10</v>
      </c>
      <c r="AN11" s="165">
        <f>TAX!$E7</f>
        <v>40</v>
      </c>
      <c r="AO11" s="165">
        <f>TAX!$E8</f>
        <v>30</v>
      </c>
      <c r="AP11" s="165">
        <f>TAX!$E9</f>
        <v>20</v>
      </c>
      <c r="AQ11" s="165">
        <f>TAX!$E10</f>
        <v>10</v>
      </c>
      <c r="AS11" s="164" t="s">
        <v>448</v>
      </c>
      <c r="AT11" s="165">
        <f>X11</f>
        <v>40</v>
      </c>
      <c r="AU11" s="165">
        <f t="shared" si="2"/>
        <v>30</v>
      </c>
      <c r="AV11" s="165">
        <f t="shared" si="2"/>
        <v>20</v>
      </c>
      <c r="AW11" s="165">
        <f t="shared" si="2"/>
        <v>10</v>
      </c>
      <c r="AX11" s="165">
        <f t="shared" si="2"/>
        <v>40</v>
      </c>
      <c r="AY11" s="165">
        <f t="shared" si="2"/>
        <v>30</v>
      </c>
      <c r="AZ11" s="165">
        <f t="shared" si="2"/>
        <v>20</v>
      </c>
      <c r="BA11" s="165">
        <f t="shared" si="2"/>
        <v>10</v>
      </c>
      <c r="BB11" s="165">
        <f t="shared" si="2"/>
        <v>40</v>
      </c>
      <c r="BC11" s="165">
        <f t="shared" si="2"/>
        <v>30</v>
      </c>
      <c r="BD11" s="165">
        <f t="shared" si="2"/>
        <v>20</v>
      </c>
      <c r="BE11" s="165">
        <f t="shared" si="2"/>
        <v>10</v>
      </c>
      <c r="BF11" s="165">
        <f t="shared" si="2"/>
        <v>40</v>
      </c>
      <c r="BG11" s="165">
        <f t="shared" si="2"/>
        <v>30</v>
      </c>
      <c r="BH11" s="165">
        <f t="shared" si="2"/>
        <v>20</v>
      </c>
      <c r="BI11" s="165">
        <f t="shared" si="2"/>
        <v>10</v>
      </c>
      <c r="BJ11" s="165">
        <f t="shared" si="3"/>
        <v>40</v>
      </c>
      <c r="BK11" s="165">
        <f t="shared" si="3"/>
        <v>30</v>
      </c>
      <c r="BL11" s="165">
        <f t="shared" si="3"/>
        <v>20</v>
      </c>
      <c r="BM11" s="165">
        <f t="shared" si="3"/>
        <v>10</v>
      </c>
    </row>
    <row r="12" spans="1:65" s="273" customFormat="1" ht="15.75" thickBot="1">
      <c r="A12" s="164" t="s">
        <v>11</v>
      </c>
      <c r="B12" s="281">
        <f>B13+B21+B31+B36+B40</f>
        <v>2064240</v>
      </c>
      <c r="C12" s="281">
        <f t="shared" ref="C12:U12" si="4">C13+C21+C31+C36+C40</f>
        <v>11177554.03955172</v>
      </c>
      <c r="D12" s="281">
        <f t="shared" si="4"/>
        <v>360143.17997586826</v>
      </c>
      <c r="E12" s="281">
        <f t="shared" si="4"/>
        <v>159942.7804724125</v>
      </c>
      <c r="F12" s="281">
        <f t="shared" si="4"/>
        <v>2287533</v>
      </c>
      <c r="G12" s="281">
        <f t="shared" si="4"/>
        <v>12540744.394068826</v>
      </c>
      <c r="H12" s="281">
        <f t="shared" si="4"/>
        <v>404065.54725034337</v>
      </c>
      <c r="I12" s="281">
        <f t="shared" si="4"/>
        <v>179449.05868082982</v>
      </c>
      <c r="J12" s="281">
        <f t="shared" si="4"/>
        <v>2584552</v>
      </c>
      <c r="K12" s="281">
        <f t="shared" si="4"/>
        <v>14067151.335871829</v>
      </c>
      <c r="L12" s="281">
        <f t="shared" si="4"/>
        <v>453246.81252118252</v>
      </c>
      <c r="M12" s="281">
        <f t="shared" si="4"/>
        <v>201290.85160699012</v>
      </c>
      <c r="N12" s="281">
        <f t="shared" si="4"/>
        <v>2879628</v>
      </c>
      <c r="O12" s="281">
        <f t="shared" si="4"/>
        <v>15554169.065758072</v>
      </c>
      <c r="P12" s="281">
        <f t="shared" si="4"/>
        <v>501158.92257112911</v>
      </c>
      <c r="Q12" s="281">
        <f t="shared" si="4"/>
        <v>222569.01167079969</v>
      </c>
      <c r="R12" s="281">
        <f t="shared" si="4"/>
        <v>3170944</v>
      </c>
      <c r="S12" s="281" t="e">
        <f t="shared" si="4"/>
        <v>#DIV/0!</v>
      </c>
      <c r="T12" s="281" t="e">
        <f t="shared" si="4"/>
        <v>#DIV/0!</v>
      </c>
      <c r="U12" s="281" t="e">
        <f t="shared" si="4"/>
        <v>#DIV/0!</v>
      </c>
      <c r="W12" s="164" t="s">
        <v>11</v>
      </c>
      <c r="X12" s="282">
        <f>X13+X21+X31+X36+X40</f>
        <v>387045000</v>
      </c>
      <c r="Y12" s="282">
        <f t="shared" ref="Y12:AM12" si="5">Y13+Y21+Y31+Y36+Y40</f>
        <v>6427093572.7422371</v>
      </c>
      <c r="Z12" s="282">
        <f t="shared" si="5"/>
        <v>135053692.49095061</v>
      </c>
      <c r="AA12" s="282">
        <f t="shared" si="5"/>
        <v>79971390.236206248</v>
      </c>
      <c r="AB12" s="282">
        <f t="shared" si="5"/>
        <v>428912437.5</v>
      </c>
      <c r="AC12" s="282">
        <f t="shared" si="5"/>
        <v>7210928026.5895758</v>
      </c>
      <c r="AD12" s="282">
        <f t="shared" si="5"/>
        <v>151524580.21887875</v>
      </c>
      <c r="AE12" s="282">
        <f t="shared" si="5"/>
        <v>89724529.340414912</v>
      </c>
      <c r="AF12" s="282">
        <f t="shared" si="5"/>
        <v>484603500</v>
      </c>
      <c r="AG12" s="282">
        <f t="shared" si="5"/>
        <v>8088612018.1262999</v>
      </c>
      <c r="AH12" s="282">
        <f t="shared" si="5"/>
        <v>169967554.69544342</v>
      </c>
      <c r="AI12" s="282">
        <f t="shared" si="5"/>
        <v>100645425.80349506</v>
      </c>
      <c r="AJ12" s="282">
        <f t="shared" si="5"/>
        <v>539930250</v>
      </c>
      <c r="AK12" s="282">
        <f t="shared" si="5"/>
        <v>8943647212.8108902</v>
      </c>
      <c r="AL12" s="282">
        <f t="shared" si="5"/>
        <v>187934595.96417341</v>
      </c>
      <c r="AM12" s="263">
        <f t="shared" si="5"/>
        <v>111284505.83539987</v>
      </c>
      <c r="AN12" s="282" t="e">
        <f>AN13+AN21+AN31+AN36+AN40</f>
        <v>#DIV/0!</v>
      </c>
      <c r="AO12" s="282" t="e">
        <f>AO13+AO21+AO31+AO36+AO40</f>
        <v>#DIV/0!</v>
      </c>
      <c r="AP12" s="282" t="e">
        <f>AP13+AP21+AP31+AP36+AP40</f>
        <v>#DIV/0!</v>
      </c>
      <c r="AQ12" s="263" t="e">
        <f>AQ13+AQ21+AQ31+AQ36+AQ40</f>
        <v>#DIV/0!</v>
      </c>
      <c r="AR12" s="284"/>
      <c r="AS12" s="164" t="s">
        <v>11</v>
      </c>
      <c r="AT12" s="283">
        <f>X12/COMB_CORR!$B3</f>
        <v>1.5232540947111154E-2</v>
      </c>
      <c r="AU12" s="283">
        <f>Y12/COMB_CORR!$B3</f>
        <v>0.25294466022739232</v>
      </c>
      <c r="AV12" s="283">
        <f>Z12/COMB_CORR!$B3</f>
        <v>5.3151723983696046E-3</v>
      </c>
      <c r="AW12" s="283">
        <f>AA12/COMB_CORR!$B3</f>
        <v>3.1473536058350239E-3</v>
      </c>
      <c r="AX12" s="283">
        <f>AB12/COMB_CORR!$C3</f>
        <v>1.4371976020997943E-2</v>
      </c>
      <c r="AY12" s="283">
        <f>AC12/COMB_CORR!$C3</f>
        <v>0.24162340754524611</v>
      </c>
      <c r="AZ12" s="283">
        <f>AD12/COMB_CORR!$C3</f>
        <v>5.0772778849470981E-3</v>
      </c>
      <c r="BA12" s="283">
        <f>AE12/COMB_CORR!$C3</f>
        <v>3.0064849405906291E-3</v>
      </c>
      <c r="BB12" s="283">
        <f>AF12/COMB_CORR!$D3</f>
        <v>1.365416608993834E-2</v>
      </c>
      <c r="BC12" s="283">
        <f>AG12/COMB_CORR!$D3</f>
        <v>0.22790436291229396</v>
      </c>
      <c r="BD12" s="283">
        <f>AH12/COMB_CORR!$D3</f>
        <v>4.7889980607079058E-3</v>
      </c>
      <c r="BE12" s="283">
        <f>AI12/COMB_CORR!$D3</f>
        <v>2.8357809221631449E-3</v>
      </c>
      <c r="BF12" s="283">
        <f>AJ12/COMB_CORR!$E3</f>
        <v>1.3601041111315508E-2</v>
      </c>
      <c r="BG12" s="283">
        <f>AK12/COMB_CORR!$E3</f>
        <v>0.22529375493694467</v>
      </c>
      <c r="BH12" s="283">
        <f>AL12/COMB_CORR!$E3</f>
        <v>4.7341414302073132E-3</v>
      </c>
      <c r="BI12" s="283">
        <f>AM12/COMB_CORR!$E3</f>
        <v>2.8032975350421726E-3</v>
      </c>
      <c r="BJ12" s="283" t="e">
        <f>AN12/COMB_CORR!$F3</f>
        <v>#DIV/0!</v>
      </c>
      <c r="BK12" s="283" t="e">
        <f>AO12/COMB_CORR!$F3</f>
        <v>#DIV/0!</v>
      </c>
      <c r="BL12" s="283" t="e">
        <f>AP12/COMB_CORR!$F3</f>
        <v>#DIV/0!</v>
      </c>
      <c r="BM12" s="283" t="e">
        <f>AQ12/COMB_CORR!$F3</f>
        <v>#DIV/0!</v>
      </c>
    </row>
    <row r="13" spans="1:65" s="273" customFormat="1" ht="26.25" thickBot="1">
      <c r="A13" s="269" t="s">
        <v>46</v>
      </c>
      <c r="B13" s="281">
        <f>SUM(B14:B20)</f>
        <v>220956</v>
      </c>
      <c r="C13" s="924">
        <f t="shared" ref="C13:U13" si="6">SUM(C14:C20)</f>
        <v>759713.45603323216</v>
      </c>
      <c r="D13" s="924">
        <f t="shared" si="6"/>
        <v>24478.672292024403</v>
      </c>
      <c r="E13" s="924">
        <f t="shared" si="6"/>
        <v>10870.871674743477</v>
      </c>
      <c r="F13" s="281">
        <f t="shared" si="6"/>
        <v>244901</v>
      </c>
      <c r="G13" s="924">
        <f t="shared" si="6"/>
        <v>893218.4353454489</v>
      </c>
      <c r="H13" s="924">
        <f t="shared" si="6"/>
        <v>28780.345633988116</v>
      </c>
      <c r="I13" s="924">
        <f t="shared" si="6"/>
        <v>12781.219020562978</v>
      </c>
      <c r="J13" s="281">
        <f t="shared" si="6"/>
        <v>280884</v>
      </c>
      <c r="K13" s="924">
        <f t="shared" si="6"/>
        <v>1041600.1874415069</v>
      </c>
      <c r="L13" s="924">
        <f t="shared" si="6"/>
        <v>33561.377453368543</v>
      </c>
      <c r="M13" s="924">
        <f t="shared" si="6"/>
        <v>14904.435105124534</v>
      </c>
      <c r="N13" s="281">
        <f t="shared" si="6"/>
        <v>317870</v>
      </c>
      <c r="O13" s="281">
        <f t="shared" si="6"/>
        <v>1197272.7196034838</v>
      </c>
      <c r="P13" s="281">
        <f t="shared" si="6"/>
        <v>38577.301718800241</v>
      </c>
      <c r="Q13" s="281">
        <f t="shared" si="6"/>
        <v>17131.978677716124</v>
      </c>
      <c r="R13" s="281">
        <f t="shared" si="6"/>
        <v>359419</v>
      </c>
      <c r="S13" s="281" t="e">
        <f t="shared" si="6"/>
        <v>#DIV/0!</v>
      </c>
      <c r="T13" s="281" t="e">
        <f t="shared" si="6"/>
        <v>#DIV/0!</v>
      </c>
      <c r="U13" s="281" t="e">
        <f t="shared" si="6"/>
        <v>#DIV/0!</v>
      </c>
      <c r="W13" s="269" t="s">
        <v>46</v>
      </c>
      <c r="X13" s="282">
        <f>SUM(X14:X20)</f>
        <v>41429250</v>
      </c>
      <c r="Y13" s="282">
        <f t="shared" ref="Y13:AM13" si="7">SUM(Y14:Y20)</f>
        <v>436835237.21910846</v>
      </c>
      <c r="Z13" s="282">
        <f t="shared" si="7"/>
        <v>9179502.1095091514</v>
      </c>
      <c r="AA13" s="282">
        <f t="shared" si="7"/>
        <v>5435435.8373717377</v>
      </c>
      <c r="AB13" s="282">
        <f t="shared" si="7"/>
        <v>45918937.5</v>
      </c>
      <c r="AC13" s="282">
        <f t="shared" si="7"/>
        <v>513600600.32363307</v>
      </c>
      <c r="AD13" s="282">
        <f t="shared" si="7"/>
        <v>10792629.612745544</v>
      </c>
      <c r="AE13" s="282">
        <f t="shared" si="7"/>
        <v>6390609.5102814874</v>
      </c>
      <c r="AF13" s="282">
        <f t="shared" si="7"/>
        <v>52665750</v>
      </c>
      <c r="AG13" s="282">
        <f t="shared" si="7"/>
        <v>598920107.77886653</v>
      </c>
      <c r="AH13" s="282">
        <f t="shared" si="7"/>
        <v>12585516.545013204</v>
      </c>
      <c r="AI13" s="282">
        <f t="shared" si="7"/>
        <v>7452217.5525622675</v>
      </c>
      <c r="AJ13" s="282">
        <f t="shared" si="7"/>
        <v>59600625</v>
      </c>
      <c r="AK13" s="282">
        <f t="shared" si="7"/>
        <v>688431813.77200305</v>
      </c>
      <c r="AL13" s="282">
        <f t="shared" si="7"/>
        <v>14466488.144550089</v>
      </c>
      <c r="AM13" s="282">
        <f t="shared" si="7"/>
        <v>8565989.3388580624</v>
      </c>
      <c r="AN13" s="282" t="e">
        <f>SUM(AN14:AN20)</f>
        <v>#DIV/0!</v>
      </c>
      <c r="AO13" s="282" t="e">
        <f>SUM(AO14:AO20)</f>
        <v>#DIV/0!</v>
      </c>
      <c r="AP13" s="282" t="e">
        <f>SUM(AP14:AP20)</f>
        <v>#DIV/0!</v>
      </c>
      <c r="AQ13" s="282" t="e">
        <f>SUM(AQ14:AQ20)</f>
        <v>#DIV/0!</v>
      </c>
      <c r="AS13" s="269" t="s">
        <v>46</v>
      </c>
      <c r="AT13" s="283">
        <f>X13/COMB_CORR!$B4</f>
        <v>2.5319061633230514E-2</v>
      </c>
      <c r="AU13" s="283">
        <f>Y13/COMB_CORR!$B4</f>
        <v>0.26696737919990055</v>
      </c>
      <c r="AV13" s="283">
        <f>Z13/COMB_CORR!$B4</f>
        <v>5.6099586565779421E-3</v>
      </c>
      <c r="AW13" s="283">
        <f>AA13/COMB_CORR!$B4</f>
        <v>3.3218109178873604E-3</v>
      </c>
      <c r="AX13" s="283">
        <f>AB13/COMB_CORR!$C4</f>
        <v>2.3826956866683461E-2</v>
      </c>
      <c r="AY13" s="283">
        <f>AC13/COMB_CORR!$C4</f>
        <v>0.26650310344428019</v>
      </c>
      <c r="AZ13" s="283">
        <f>AD13/COMB_CORR!$C4</f>
        <v>5.6002062386782949E-3</v>
      </c>
      <c r="BA13" s="283">
        <f>AE13/COMB_CORR!$C4</f>
        <v>3.3160344172443912E-3</v>
      </c>
      <c r="BB13" s="283">
        <f>AF13/COMB_CORR!$D4</f>
        <v>2.4274745799371639E-2</v>
      </c>
      <c r="BC13" s="283">
        <f>AG13/COMB_CORR!$D4</f>
        <v>0.27605480545637817</v>
      </c>
      <c r="BD13" s="283">
        <f>AH13/COMB_CORR!$D4</f>
        <v>5.8009278304017612E-3</v>
      </c>
      <c r="BE13" s="283">
        <f>AI13/COMB_CORR!$D4</f>
        <v>3.4348829501158629E-3</v>
      </c>
      <c r="BF13" s="283">
        <f>AJ13/COMB_CORR!$E4</f>
        <v>2.3966978765184731E-2</v>
      </c>
      <c r="BG13" s="283">
        <f>AK13/COMB_CORR!$E4</f>
        <v>0.27683653756904741</v>
      </c>
      <c r="BH13" s="283">
        <f>AL13/COMB_CORR!$E4</f>
        <v>5.8173553409419558E-3</v>
      </c>
      <c r="BI13" s="283">
        <f>AM13/COMB_CORR!$E4</f>
        <v>3.4446095923861535E-3</v>
      </c>
      <c r="BJ13" s="283" t="e">
        <f>AN13/COMB_CORR!$F4</f>
        <v>#DIV/0!</v>
      </c>
      <c r="BK13" s="283" t="e">
        <f>AO13/COMB_CORR!$F4</f>
        <v>#DIV/0!</v>
      </c>
      <c r="BL13" s="283" t="e">
        <f>AP13/COMB_CORR!$F4</f>
        <v>#DIV/0!</v>
      </c>
      <c r="BM13" s="283" t="e">
        <f>AQ13/COMB_CORR!$F4</f>
        <v>#DIV/0!</v>
      </c>
    </row>
    <row r="14" spans="1:65" ht="15.75" thickBot="1">
      <c r="A14" s="127" t="s">
        <v>13</v>
      </c>
      <c r="B14" s="921">
        <f>DEN!J5</f>
        <v>10088</v>
      </c>
      <c r="C14" s="920">
        <f>DEN!$I5*ONSV_2013!P4</f>
        <v>43245.515020845742</v>
      </c>
      <c r="D14" s="920">
        <f>DEN!$I5*ONSV_2013!Q4</f>
        <v>1393.5905896366885</v>
      </c>
      <c r="E14" s="920">
        <f>DEN!$I5*ONSV_2013!R4</f>
        <v>618.89438951756995</v>
      </c>
      <c r="F14" s="922">
        <f>DEN!J41</f>
        <v>11429</v>
      </c>
      <c r="G14" s="920">
        <f>DEN!$I41*ONSV_2013!P4</f>
        <v>53634.07039904705</v>
      </c>
      <c r="H14" s="920">
        <f>DEN!$I41*ONSV_2013!Q4</f>
        <v>1728.3627159023229</v>
      </c>
      <c r="I14" s="920">
        <f>DEN!$I41*ONSV_2013!R4</f>
        <v>767.56688505062539</v>
      </c>
      <c r="J14" s="922">
        <f>DEN!J77</f>
        <v>13060</v>
      </c>
      <c r="K14" s="920">
        <f>DEN!$I77*ONSV_2013!P4</f>
        <v>63589.769303156638</v>
      </c>
      <c r="L14" s="920">
        <f>DEN!$I77*ONSV_2013!Q4</f>
        <v>2049.1860035735558</v>
      </c>
      <c r="M14" s="920">
        <f>DEN!$I77*ONSV_2013!R4</f>
        <v>910.04469326980347</v>
      </c>
      <c r="N14" s="923">
        <f>DEN!J113</f>
        <v>14562</v>
      </c>
      <c r="O14" s="920">
        <f>DEN!$I113*ONSV_2013!P4</f>
        <v>72239.25452054794</v>
      </c>
      <c r="P14" s="920">
        <f>DEN!$I113*ONSV_2013!Q4</f>
        <v>2327.9164383561642</v>
      </c>
      <c r="Q14" s="920">
        <f>DEN!$I113*ONSV_2013!R4</f>
        <v>1033.8290410958905</v>
      </c>
      <c r="R14" s="167">
        <f>DEN!J149</f>
        <v>16419</v>
      </c>
      <c r="S14" s="167" t="e">
        <f>DEN!$I149*$K$2</f>
        <v>#DIV/0!</v>
      </c>
      <c r="T14" s="167" t="e">
        <f>DEN!$I149*$K$3</f>
        <v>#DIV/0!</v>
      </c>
      <c r="U14" s="167" t="e">
        <f>DEN!$I149*$K$4</f>
        <v>#DIV/0!</v>
      </c>
      <c r="W14" s="127" t="s">
        <v>13</v>
      </c>
      <c r="X14" s="167">
        <f>B14*B$10/B$11</f>
        <v>1891500</v>
      </c>
      <c r="Y14" s="167">
        <f t="shared" ref="Y14:AQ20" si="8">C14*C$10/C$11</f>
        <v>24866171.136986304</v>
      </c>
      <c r="Z14" s="167">
        <f t="shared" si="8"/>
        <v>522596.47111375816</v>
      </c>
      <c r="AA14" s="167">
        <f t="shared" si="8"/>
        <v>309447.19475878496</v>
      </c>
      <c r="AB14" s="167">
        <f t="shared" si="8"/>
        <v>2142937.5</v>
      </c>
      <c r="AC14" s="167">
        <f t="shared" si="8"/>
        <v>30839590.479452055</v>
      </c>
      <c r="AD14" s="167">
        <f t="shared" si="8"/>
        <v>648136.01846337109</v>
      </c>
      <c r="AE14" s="167">
        <f t="shared" si="8"/>
        <v>383783.44252531265</v>
      </c>
      <c r="AF14" s="167">
        <f t="shared" si="8"/>
        <v>2448750</v>
      </c>
      <c r="AG14" s="167">
        <f t="shared" si="8"/>
        <v>36564117.349315062</v>
      </c>
      <c r="AH14" s="167">
        <f t="shared" si="8"/>
        <v>768444.75134008343</v>
      </c>
      <c r="AI14" s="167">
        <f t="shared" si="8"/>
        <v>455022.34663490177</v>
      </c>
      <c r="AJ14" s="167">
        <f t="shared" si="8"/>
        <v>2730375</v>
      </c>
      <c r="AK14" s="167">
        <f t="shared" si="8"/>
        <v>41537571.349315062</v>
      </c>
      <c r="AL14" s="167">
        <f t="shared" si="8"/>
        <v>872968.66438356158</v>
      </c>
      <c r="AM14" s="167">
        <f t="shared" si="8"/>
        <v>516914.52054794523</v>
      </c>
      <c r="AN14" s="167" t="e">
        <f t="shared" si="8"/>
        <v>#DIV/0!</v>
      </c>
      <c r="AO14" s="167" t="e">
        <f t="shared" si="8"/>
        <v>#DIV/0!</v>
      </c>
      <c r="AP14" s="167" t="e">
        <f t="shared" si="8"/>
        <v>#DIV/0!</v>
      </c>
      <c r="AQ14" s="167" t="e">
        <f t="shared" si="8"/>
        <v>#DIV/0!</v>
      </c>
      <c r="AS14" s="127" t="s">
        <v>13</v>
      </c>
      <c r="AT14" s="265">
        <f>X14/COMB_CORR!$B5</f>
        <v>2.4978803757387893E-2</v>
      </c>
      <c r="AU14" s="265">
        <f>Y14/COMB_CORR!$B5</f>
        <v>0.32837811738218547</v>
      </c>
      <c r="AV14" s="265">
        <f>Z14/COMB_CORR!$B5</f>
        <v>6.9013136115537903E-3</v>
      </c>
      <c r="AW14" s="265">
        <f>AA14/COMB_CORR!$B5</f>
        <v>4.0865031726956807E-3</v>
      </c>
      <c r="AX14" s="265">
        <f>AB14/COMB_CORR!$C5</f>
        <v>2.2561083863131565E-2</v>
      </c>
      <c r="AY14" s="265">
        <f>AC14/COMB_CORR!$C5</f>
        <v>0.32468263172003459</v>
      </c>
      <c r="AZ14" s="265">
        <f>AD14/COMB_CORR!$C5</f>
        <v>6.8236479445939529E-3</v>
      </c>
      <c r="BA14" s="265">
        <f>AE14/COMB_CORR!$C5</f>
        <v>4.0405146823437044E-3</v>
      </c>
      <c r="BB14" s="265">
        <f>AF14/COMB_CORR!$D5</f>
        <v>2.2896473726119911E-2</v>
      </c>
      <c r="BC14" s="265">
        <f>AG14/COMB_CORR!$D5</f>
        <v>0.34188437047773662</v>
      </c>
      <c r="BD14" s="265">
        <f>AH14/COMB_CORR!$D5</f>
        <v>7.185165925077272E-3</v>
      </c>
      <c r="BE14" s="265">
        <f>AI14/COMB_CORR!$D5</f>
        <v>4.2545818088916615E-3</v>
      </c>
      <c r="BF14" s="265">
        <f>AJ14/COMB_CORR!$E5</f>
        <v>2.2965218360399272E-2</v>
      </c>
      <c r="BG14" s="265">
        <f>AK14/COMB_CORR!$E5</f>
        <v>0.3493730334469386</v>
      </c>
      <c r="BH14" s="265">
        <f>AL14/COMB_CORR!$E5</f>
        <v>7.3425503820371187E-3</v>
      </c>
      <c r="BI14" s="265">
        <f>AM14/COMB_CORR!$E5</f>
        <v>4.3477745137736239E-3</v>
      </c>
      <c r="BJ14" s="265" t="e">
        <f>AN14/COMB_CORR!$F5</f>
        <v>#DIV/0!</v>
      </c>
      <c r="BK14" s="265" t="e">
        <f>AO14/COMB_CORR!$F5</f>
        <v>#DIV/0!</v>
      </c>
      <c r="BL14" s="265" t="e">
        <f>AP14/COMB_CORR!$F5</f>
        <v>#DIV/0!</v>
      </c>
      <c r="BM14" s="265" t="e">
        <f>AQ14/COMB_CORR!$F5</f>
        <v>#DIV/0!</v>
      </c>
    </row>
    <row r="15" spans="1:65" ht="15.75" thickBot="1">
      <c r="A15" s="127" t="s">
        <v>14</v>
      </c>
      <c r="B15" s="167">
        <f>DEN!J6</f>
        <v>5518</v>
      </c>
      <c r="C15" s="920">
        <f>DEN!$I6*ONSV_2013!P5</f>
        <v>25918.051554910617</v>
      </c>
      <c r="D15" s="920">
        <f>DEN!$I6*ONSV_2013!Q5</f>
        <v>835.30789850252938</v>
      </c>
      <c r="E15" s="920">
        <f>DEN!$I6*ONSV_2013!R5</f>
        <v>370.64054658685529</v>
      </c>
      <c r="F15" s="167">
        <f>DEN!J42</f>
        <v>6303</v>
      </c>
      <c r="G15" s="920">
        <f>DEN!$I42*ONSV_2013!P5</f>
        <v>30602.105850817261</v>
      </c>
      <c r="H15" s="920">
        <f>DEN!$I42*ONSV_2013!Q5</f>
        <v>986.26938347743715</v>
      </c>
      <c r="I15" s="920">
        <f>DEN!$I42*ONSV_2013!R5</f>
        <v>437.62476570530265</v>
      </c>
      <c r="J15" s="167">
        <f>DEN!J78</f>
        <v>7449</v>
      </c>
      <c r="K15" s="920">
        <f>DEN!$I78*ONSV_2013!P5</f>
        <v>37433.257250539129</v>
      </c>
      <c r="L15" s="920">
        <f>DEN!$I78*ONSV_2013!Q5</f>
        <v>1206.4292480399863</v>
      </c>
      <c r="M15" s="920">
        <f>DEN!$I78*ONSV_2013!R5</f>
        <v>535.31350142088399</v>
      </c>
      <c r="N15" s="167">
        <f>DEN!J114</f>
        <v>8364</v>
      </c>
      <c r="O15" s="920">
        <f>DEN!$I114*ONSV_2013!P5</f>
        <v>43204.715420118104</v>
      </c>
      <c r="P15" s="920">
        <f>DEN!$I114*ONSV_2013!Q5</f>
        <v>1392.4364633089465</v>
      </c>
      <c r="Q15" s="920">
        <f>DEN!$I114*ONSV_2013!R5</f>
        <v>617.84811657294881</v>
      </c>
      <c r="R15" s="167">
        <f>DEN!J150</f>
        <v>8966</v>
      </c>
      <c r="S15" s="167" t="e">
        <f>DEN!$I150*$K$2</f>
        <v>#DIV/0!</v>
      </c>
      <c r="T15" s="167" t="e">
        <f>DEN!$I150*$K$3</f>
        <v>#DIV/0!</v>
      </c>
      <c r="U15" s="167" t="e">
        <f>DEN!$I150*$K$4</f>
        <v>#DIV/0!</v>
      </c>
      <c r="W15" s="127" t="s">
        <v>14</v>
      </c>
      <c r="X15" s="167">
        <f t="shared" ref="X15:X20" si="9">B15*B$10/B$11</f>
        <v>1034625</v>
      </c>
      <c r="Y15" s="167">
        <f t="shared" si="8"/>
        <v>14902879.644073606</v>
      </c>
      <c r="Z15" s="167">
        <f t="shared" si="8"/>
        <v>313240.46193844854</v>
      </c>
      <c r="AA15" s="167">
        <f t="shared" si="8"/>
        <v>185320.27329342766</v>
      </c>
      <c r="AB15" s="167">
        <f t="shared" si="8"/>
        <v>1181812.5</v>
      </c>
      <c r="AC15" s="167">
        <f t="shared" si="8"/>
        <v>17596210.864219926</v>
      </c>
      <c r="AD15" s="167">
        <f t="shared" si="8"/>
        <v>369851.01880403893</v>
      </c>
      <c r="AE15" s="167">
        <f t="shared" si="8"/>
        <v>218812.38285265132</v>
      </c>
      <c r="AF15" s="167">
        <f t="shared" si="8"/>
        <v>1396687.5</v>
      </c>
      <c r="AG15" s="167">
        <f t="shared" si="8"/>
        <v>21524122.919059999</v>
      </c>
      <c r="AH15" s="167">
        <f t="shared" si="8"/>
        <v>452410.96801499481</v>
      </c>
      <c r="AI15" s="167">
        <f t="shared" si="8"/>
        <v>267656.75071044202</v>
      </c>
      <c r="AJ15" s="167">
        <f t="shared" si="8"/>
        <v>1568250</v>
      </c>
      <c r="AK15" s="167">
        <f t="shared" si="8"/>
        <v>24842711.36656791</v>
      </c>
      <c r="AL15" s="167">
        <f t="shared" si="8"/>
        <v>522163.67374085495</v>
      </c>
      <c r="AM15" s="167">
        <f t="shared" si="8"/>
        <v>308924.05828647444</v>
      </c>
      <c r="AN15" s="167" t="e">
        <f t="shared" si="8"/>
        <v>#DIV/0!</v>
      </c>
      <c r="AO15" s="167" t="e">
        <f t="shared" si="8"/>
        <v>#DIV/0!</v>
      </c>
      <c r="AP15" s="167" t="e">
        <f t="shared" si="8"/>
        <v>#DIV/0!</v>
      </c>
      <c r="AQ15" s="167" t="e">
        <f t="shared" si="8"/>
        <v>#DIV/0!</v>
      </c>
      <c r="AS15" s="127" t="s">
        <v>14</v>
      </c>
      <c r="AT15" s="265">
        <f>X15/COMB_CORR!$B6</f>
        <v>1.2029971185289827E-2</v>
      </c>
      <c r="AU15" s="265">
        <f>Y15/COMB_CORR!$B6</f>
        <v>0.17328134608775914</v>
      </c>
      <c r="AV15" s="265">
        <f>Z15/COMB_CORR!$B6</f>
        <v>3.6421638092897532E-3</v>
      </c>
      <c r="AW15" s="265">
        <f>AA15/COMB_CORR!$B6</f>
        <v>2.1547880128258748E-3</v>
      </c>
      <c r="AX15" s="265">
        <f>AB15/COMB_CORR!$C6</f>
        <v>1.1889880428385305E-2</v>
      </c>
      <c r="AY15" s="265">
        <f>AC15/COMB_CORR!$C6</f>
        <v>0.17703048763507695</v>
      </c>
      <c r="AZ15" s="265">
        <f>AD15/COMB_CORR!$C6</f>
        <v>3.720966219173099E-3</v>
      </c>
      <c r="BA15" s="265">
        <f>AE15/COMB_CORR!$C6</f>
        <v>2.2014093338563363E-3</v>
      </c>
      <c r="BB15" s="265">
        <f>AF15/COMB_CORR!$D6</f>
        <v>1.2753320074948227E-2</v>
      </c>
      <c r="BC15" s="265">
        <f>AG15/COMB_CORR!$D6</f>
        <v>0.19653933247007732</v>
      </c>
      <c r="BD15" s="265">
        <f>AH15/COMB_CORR!$D6</f>
        <v>4.1310184851746671E-3</v>
      </c>
      <c r="BE15" s="265">
        <f>AI15/COMB_CORR!$D6</f>
        <v>2.4440057006530763E-3</v>
      </c>
      <c r="BF15" s="265">
        <f>AJ15/COMB_CORR!$E6</f>
        <v>1.225343693962941E-2</v>
      </c>
      <c r="BG15" s="265">
        <f>AK15/COMB_CORR!$E6</f>
        <v>0.1941071877185746</v>
      </c>
      <c r="BH15" s="265">
        <f>AL15/COMB_CORR!$E6</f>
        <v>4.0798977512187416E-3</v>
      </c>
      <c r="BI15" s="265">
        <f>AM15/COMB_CORR!$E6</f>
        <v>2.4137614967943343E-3</v>
      </c>
      <c r="BJ15" s="265" t="e">
        <f>AN15/COMB_CORR!$F6</f>
        <v>#DIV/0!</v>
      </c>
      <c r="BK15" s="265" t="e">
        <f>AO15/COMB_CORR!$F6</f>
        <v>#DIV/0!</v>
      </c>
      <c r="BL15" s="265" t="e">
        <f>AP15/COMB_CORR!$F6</f>
        <v>#DIV/0!</v>
      </c>
      <c r="BM15" s="265" t="e">
        <f>AQ15/COMB_CORR!$F6</f>
        <v>#DIV/0!</v>
      </c>
    </row>
    <row r="16" spans="1:65" ht="26.25" thickBot="1">
      <c r="A16" s="127" t="s">
        <v>15</v>
      </c>
      <c r="B16" s="167">
        <f>DEN!J7</f>
        <v>23859</v>
      </c>
      <c r="C16" s="920">
        <f>DEN!$I7*ONSV_2013!P6</f>
        <v>93352.13188646792</v>
      </c>
      <c r="D16" s="920">
        <f>DEN!$I7*ONSV_2013!Q6</f>
        <v>3007.9374624997859</v>
      </c>
      <c r="E16" s="920">
        <f>DEN!$I7*ONSV_2013!R6</f>
        <v>1335.9306510322917</v>
      </c>
      <c r="F16" s="167">
        <f>DEN!J43</f>
        <v>26690</v>
      </c>
      <c r="G16" s="920">
        <f>DEN!$I43*ONSV_2013!P6</f>
        <v>108002.42346527695</v>
      </c>
      <c r="H16" s="920">
        <f>DEN!$I43*ONSV_2013!Q6</f>
        <v>3479.9905370887836</v>
      </c>
      <c r="I16" s="920">
        <f>DEN!$I43*ONSV_2013!R6</f>
        <v>1545.5859976342722</v>
      </c>
      <c r="J16" s="167">
        <f>DEN!J79</f>
        <v>30641</v>
      </c>
      <c r="K16" s="920">
        <f>DEN!$I79*ONSV_2013!P6</f>
        <v>127095.96157692331</v>
      </c>
      <c r="L16" s="920">
        <f>DEN!$I79*ONSV_2013!Q6</f>
        <v>4095.2112869216398</v>
      </c>
      <c r="M16" s="920">
        <f>DEN!$I79*ONSV_2013!R6</f>
        <v>1818.827136155064</v>
      </c>
      <c r="N16" s="167">
        <f>DEN!J115</f>
        <v>34633</v>
      </c>
      <c r="O16" s="920">
        <f>DEN!$I115*ONSV_2013!P6</f>
        <v>146535.40404230883</v>
      </c>
      <c r="P16" s="920">
        <f>DEN!$I115*ONSV_2013!Q6</f>
        <v>4721.5775633003614</v>
      </c>
      <c r="Q16" s="920">
        <f>DEN!$I115*ONSV_2013!R6</f>
        <v>2097.0183943908251</v>
      </c>
      <c r="R16" s="167">
        <f>DEN!J151</f>
        <v>39419</v>
      </c>
      <c r="S16" s="167" t="e">
        <f>DEN!$I151*$K$2</f>
        <v>#DIV/0!</v>
      </c>
      <c r="T16" s="167" t="e">
        <f>DEN!$I151*$K$3</f>
        <v>#DIV/0!</v>
      </c>
      <c r="U16" s="167" t="e">
        <f>DEN!$I151*$K$4</f>
        <v>#DIV/0!</v>
      </c>
      <c r="W16" s="127" t="s">
        <v>15</v>
      </c>
      <c r="X16" s="167">
        <f t="shared" si="9"/>
        <v>4473562.5</v>
      </c>
      <c r="Y16" s="167">
        <f t="shared" si="8"/>
        <v>53677475.834719054</v>
      </c>
      <c r="Z16" s="167">
        <f t="shared" si="8"/>
        <v>1127976.5484374198</v>
      </c>
      <c r="AA16" s="167">
        <f t="shared" si="8"/>
        <v>667965.32551614591</v>
      </c>
      <c r="AB16" s="167">
        <f t="shared" si="8"/>
        <v>5004375</v>
      </c>
      <c r="AC16" s="167">
        <f t="shared" si="8"/>
        <v>62101393.49253425</v>
      </c>
      <c r="AD16" s="167">
        <f t="shared" si="8"/>
        <v>1304996.4514082938</v>
      </c>
      <c r="AE16" s="167">
        <f t="shared" si="8"/>
        <v>772792.99881713616</v>
      </c>
      <c r="AF16" s="167">
        <f t="shared" si="8"/>
        <v>5745187.5</v>
      </c>
      <c r="AG16" s="167">
        <f t="shared" si="8"/>
        <v>73080177.906730905</v>
      </c>
      <c r="AH16" s="167">
        <f t="shared" si="8"/>
        <v>1535704.2325956149</v>
      </c>
      <c r="AI16" s="167">
        <f t="shared" si="8"/>
        <v>909413.56807753199</v>
      </c>
      <c r="AJ16" s="167">
        <f>N16*N$10/N$11</f>
        <v>6493687.5</v>
      </c>
      <c r="AK16" s="167">
        <f t="shared" si="8"/>
        <v>84257857.324327573</v>
      </c>
      <c r="AL16" s="167">
        <f t="shared" si="8"/>
        <v>1770591.5862376355</v>
      </c>
      <c r="AM16" s="167">
        <f t="shared" si="8"/>
        <v>1048509.1971954126</v>
      </c>
      <c r="AN16" s="167" t="e">
        <f t="shared" si="8"/>
        <v>#DIV/0!</v>
      </c>
      <c r="AO16" s="167" t="e">
        <f t="shared" si="8"/>
        <v>#DIV/0!</v>
      </c>
      <c r="AP16" s="167" t="e">
        <f t="shared" si="8"/>
        <v>#DIV/0!</v>
      </c>
      <c r="AQ16" s="167" t="e">
        <f t="shared" si="8"/>
        <v>#DIV/0!</v>
      </c>
      <c r="AS16" s="127" t="s">
        <v>15</v>
      </c>
      <c r="AT16" s="265">
        <f>X16/COMB_CORR!$B7</f>
        <v>1.1092055460689006E-2</v>
      </c>
      <c r="AU16" s="265">
        <f>Y16/COMB_CORR!$B7</f>
        <v>0.13309158840376048</v>
      </c>
      <c r="AV16" s="265">
        <f>Z16/COMB_CORR!$B7</f>
        <v>2.7967818564342E-3</v>
      </c>
      <c r="AW16" s="265">
        <f>AA16/COMB_CORR!$B7</f>
        <v>1.6561987088460877E-3</v>
      </c>
      <c r="AX16" s="265">
        <f>AB16/COMB_CORR!$C7</f>
        <v>1.0677407800558305E-2</v>
      </c>
      <c r="AY16" s="265">
        <f>AC16/COMB_CORR!$C7</f>
        <v>0.13250044277311873</v>
      </c>
      <c r="AZ16" s="265">
        <f>AD16/COMB_CORR!$C7</f>
        <v>2.7843595433930959E-3</v>
      </c>
      <c r="BA16" s="265">
        <f>AE16/COMB_CORR!$C7</f>
        <v>1.6488424616034839E-3</v>
      </c>
      <c r="BB16" s="265">
        <f>AF16/COMB_CORR!$D7</f>
        <v>1.1019720595538744E-2</v>
      </c>
      <c r="BC16" s="265">
        <f>AG16/COMB_CORR!$D7</f>
        <v>0.14017351767969941</v>
      </c>
      <c r="BD16" s="265">
        <f>AH16/COMB_CORR!$D7</f>
        <v>2.9456012637690096E-3</v>
      </c>
      <c r="BE16" s="265">
        <f>AI16/COMB_CORR!$D7</f>
        <v>1.7443266083145858E-3</v>
      </c>
      <c r="BF16" s="265">
        <f>AJ16/COMB_CORR!$E7</f>
        <v>1.1404504057351954E-2</v>
      </c>
      <c r="BG16" s="265">
        <f>AK16/COMB_CORR!$E7</f>
        <v>0.14797741279035614</v>
      </c>
      <c r="BH16" s="265">
        <f>AL16/COMB_CORR!$E7</f>
        <v>3.1095920352127117E-3</v>
      </c>
      <c r="BI16" s="265">
        <f>AM16/COMB_CORR!$E7</f>
        <v>1.8414386885087901E-3</v>
      </c>
      <c r="BJ16" s="265" t="e">
        <f>AN16/COMB_CORR!$F7</f>
        <v>#DIV/0!</v>
      </c>
      <c r="BK16" s="265" t="e">
        <f>AO16/COMB_CORR!$F7</f>
        <v>#DIV/0!</v>
      </c>
      <c r="BL16" s="265" t="e">
        <f>AP16/COMB_CORR!$F7</f>
        <v>#DIV/0!</v>
      </c>
      <c r="BM16" s="265" t="e">
        <f>AQ16/COMB_CORR!$F7</f>
        <v>#DIV/0!</v>
      </c>
    </row>
    <row r="17" spans="1:65" ht="15.75" thickBot="1">
      <c r="A17" s="127" t="s">
        <v>16</v>
      </c>
      <c r="B17" s="167">
        <f>DEN!J8</f>
        <v>66769</v>
      </c>
      <c r="C17" s="920">
        <f>DEN!$I8*ONSV_2013!P7</f>
        <v>264601.21464691026</v>
      </c>
      <c r="D17" s="920">
        <f>DEN!$I8*ONSV_2013!Q7</f>
        <v>8525.5559815554516</v>
      </c>
      <c r="E17" s="920">
        <f>DEN!$I8*ONSV_2013!R7</f>
        <v>3786.2293715342948</v>
      </c>
      <c r="F17" s="167">
        <f>DEN!J44</f>
        <v>74886</v>
      </c>
      <c r="G17" s="920">
        <f>DEN!$I44*ONSV_2013!P7</f>
        <v>317588.72753296152</v>
      </c>
      <c r="H17" s="920">
        <f>DEN!$I44*ONSV_2013!Q7</f>
        <v>10232.834642525484</v>
      </c>
      <c r="I17" s="920">
        <f>DEN!$I44*ONSV_2013!R7</f>
        <v>4544.4378245129965</v>
      </c>
      <c r="J17" s="167">
        <f>DEN!J80</f>
        <v>87562</v>
      </c>
      <c r="K17" s="920">
        <f>DEN!$I80*ONSV_2013!P7</f>
        <v>378218.64259856375</v>
      </c>
      <c r="L17" s="920">
        <f>DEN!$I80*ONSV_2013!Q7</f>
        <v>12186.354529947437</v>
      </c>
      <c r="M17" s="920">
        <f>DEN!$I80*ONSV_2013!R7</f>
        <v>5412.0028714888431</v>
      </c>
      <c r="N17" s="167">
        <f>DEN!J116</f>
        <v>102544</v>
      </c>
      <c r="O17" s="920">
        <f>DEN!$I116*ONSV_2013!P7</f>
        <v>450477.46920769371</v>
      </c>
      <c r="P17" s="920">
        <f>DEN!$I116*ONSV_2013!Q7</f>
        <v>14514.562555143815</v>
      </c>
      <c r="Q17" s="920">
        <f>DEN!$I116*ONSV_2013!R7</f>
        <v>6445.9682371625204</v>
      </c>
      <c r="R17" s="167">
        <f>DEN!J152</f>
        <v>120515</v>
      </c>
      <c r="S17" s="167" t="e">
        <f>DEN!$I152*$K$2</f>
        <v>#DIV/0!</v>
      </c>
      <c r="T17" s="167" t="e">
        <f>DEN!$I152*$K$3</f>
        <v>#DIV/0!</v>
      </c>
      <c r="U17" s="167" t="e">
        <f>DEN!$I152*$K$4</f>
        <v>#DIV/0!</v>
      </c>
      <c r="W17" s="127" t="s">
        <v>16</v>
      </c>
      <c r="X17" s="167">
        <f t="shared" si="9"/>
        <v>12519187.5</v>
      </c>
      <c r="Y17" s="167">
        <f t="shared" si="8"/>
        <v>152145698.42197338</v>
      </c>
      <c r="Z17" s="167">
        <f t="shared" si="8"/>
        <v>3197083.4930832945</v>
      </c>
      <c r="AA17" s="167">
        <f t="shared" si="8"/>
        <v>1893114.6857671472</v>
      </c>
      <c r="AB17" s="167">
        <f t="shared" si="8"/>
        <v>14041125</v>
      </c>
      <c r="AC17" s="167">
        <f t="shared" si="8"/>
        <v>182613518.33145288</v>
      </c>
      <c r="AD17" s="167">
        <f t="shared" si="8"/>
        <v>3837312.9909470566</v>
      </c>
      <c r="AE17" s="167">
        <f t="shared" si="8"/>
        <v>2272218.9122564984</v>
      </c>
      <c r="AF17" s="167">
        <f t="shared" si="8"/>
        <v>16417875</v>
      </c>
      <c r="AG17" s="167">
        <f t="shared" si="8"/>
        <v>217475719.49417415</v>
      </c>
      <c r="AH17" s="167">
        <f t="shared" si="8"/>
        <v>4569882.948730289</v>
      </c>
      <c r="AI17" s="167">
        <f t="shared" si="8"/>
        <v>2706001.4357444216</v>
      </c>
      <c r="AJ17" s="167">
        <f t="shared" si="8"/>
        <v>19227000</v>
      </c>
      <c r="AK17" s="167">
        <f t="shared" si="8"/>
        <v>259024544.79442388</v>
      </c>
      <c r="AL17" s="167">
        <f t="shared" si="8"/>
        <v>5442960.9581789309</v>
      </c>
      <c r="AM17" s="167">
        <f t="shared" si="8"/>
        <v>3222984.1185812606</v>
      </c>
      <c r="AN17" s="167" t="e">
        <f t="shared" si="8"/>
        <v>#DIV/0!</v>
      </c>
      <c r="AO17" s="167" t="e">
        <f t="shared" si="8"/>
        <v>#DIV/0!</v>
      </c>
      <c r="AP17" s="167" t="e">
        <f t="shared" si="8"/>
        <v>#DIV/0!</v>
      </c>
      <c r="AQ17" s="167" t="e">
        <f t="shared" si="8"/>
        <v>#DIV/0!</v>
      </c>
      <c r="AS17" s="127" t="s">
        <v>16</v>
      </c>
      <c r="AT17" s="265">
        <f>X17/COMB_CORR!$B8</f>
        <v>2.1386550481617837E-2</v>
      </c>
      <c r="AU17" s="265">
        <f>Y17/COMB_CORR!$B8</f>
        <v>0.25991076975742533</v>
      </c>
      <c r="AV17" s="265">
        <f>Z17/COMB_CORR!$B8</f>
        <v>5.4615834708740462E-3</v>
      </c>
      <c r="AW17" s="265">
        <f>AA17/COMB_CORR!$B8</f>
        <v>3.2340112163549897E-3</v>
      </c>
      <c r="AX17" s="265">
        <f>AB17/COMB_CORR!$C8</f>
        <v>2.0803496110704645E-2</v>
      </c>
      <c r="AY17" s="265">
        <f>AC17/COMB_CORR!$C8</f>
        <v>0.27056233872787766</v>
      </c>
      <c r="AZ17" s="265">
        <f>AD17/COMB_CORR!$C8</f>
        <v>5.6854081053137476E-3</v>
      </c>
      <c r="BA17" s="265">
        <f>AE17/COMB_CORR!$C8</f>
        <v>3.366546291967175E-3</v>
      </c>
      <c r="BB17" s="265">
        <f>AF17/COMB_CORR!$D8</f>
        <v>2.1360960118272494E-2</v>
      </c>
      <c r="BC17" s="265">
        <f>AG17/COMB_CORR!$D8</f>
        <v>0.2829531940526816</v>
      </c>
      <c r="BD17" s="265">
        <f>AH17/COMB_CORR!$D8</f>
        <v>5.9457808890006295E-3</v>
      </c>
      <c r="BE17" s="265">
        <f>AI17/COMB_CORR!$D8</f>
        <v>3.5207229162680736E-3</v>
      </c>
      <c r="BF17" s="265">
        <f>AJ17/COMB_CORR!$E8</f>
        <v>2.114006072634449E-2</v>
      </c>
      <c r="BG17" s="265">
        <f>AK17/COMB_CORR!$E8</f>
        <v>0.28479713978092575</v>
      </c>
      <c r="BH17" s="265">
        <f>AL17/COMB_CORR!$E8</f>
        <v>5.9845282772676336E-3</v>
      </c>
      <c r="BI17" s="265">
        <f>AM17/COMB_CORR!$E8</f>
        <v>3.5436667179930162E-3</v>
      </c>
      <c r="BJ17" s="265" t="e">
        <f>AN17/COMB_CORR!$F8</f>
        <v>#DIV/0!</v>
      </c>
      <c r="BK17" s="265" t="e">
        <f>AO17/COMB_CORR!$F8</f>
        <v>#DIV/0!</v>
      </c>
      <c r="BL17" s="265" t="e">
        <f>AP17/COMB_CORR!$F8</f>
        <v>#DIV/0!</v>
      </c>
      <c r="BM17" s="265" t="e">
        <f>AQ17/COMB_CORR!$F8</f>
        <v>#DIV/0!</v>
      </c>
    </row>
    <row r="18" spans="1:65" ht="15.75" thickBot="1">
      <c r="A18" s="127" t="s">
        <v>17</v>
      </c>
      <c r="B18" s="167">
        <f>DEN!J9</f>
        <v>56474</v>
      </c>
      <c r="C18" s="920">
        <f>DEN!$I9*ONSV_2013!P8</f>
        <v>185052.25851536734</v>
      </c>
      <c r="D18" s="920">
        <f>DEN!$I9*ONSV_2013!Q8</f>
        <v>5962.6592291636789</v>
      </c>
      <c r="E18" s="920">
        <f>DEN!$I9*ONSV_2013!R8</f>
        <v>2648.0822554689867</v>
      </c>
      <c r="F18" s="167">
        <f>DEN!J45</f>
        <v>62952</v>
      </c>
      <c r="G18" s="920">
        <f>DEN!$I45*ONSV_2013!P8</f>
        <v>214231.50709813106</v>
      </c>
      <c r="H18" s="920">
        <f>DEN!$I45*ONSV_2013!Q8</f>
        <v>6902.8580533116647</v>
      </c>
      <c r="I18" s="920">
        <f>DEN!$I45*ONSV_2013!R8</f>
        <v>3065.6348485572712</v>
      </c>
      <c r="J18" s="167">
        <f>DEN!J81</f>
        <v>71315</v>
      </c>
      <c r="K18" s="920">
        <f>DEN!$I81*ONSV_2013!P8</f>
        <v>245589.38117680798</v>
      </c>
      <c r="L18" s="920">
        <f>DEN!$I81*ONSV_2013!Q8</f>
        <v>7913.2554339340059</v>
      </c>
      <c r="M18" s="920">
        <f>DEN!$I81*ONSV_2013!R8</f>
        <v>3514.3633892580024</v>
      </c>
      <c r="N18" s="167">
        <f>DEN!J117</f>
        <v>79744</v>
      </c>
      <c r="O18" s="920">
        <f>DEN!$I117*ONSV_2013!P8</f>
        <v>273712.76082405238</v>
      </c>
      <c r="P18" s="920">
        <f>DEN!$I117*ONSV_2013!Q8</f>
        <v>8819.4325892643756</v>
      </c>
      <c r="Q18" s="920">
        <f>DEN!$I117*ONSV_2013!R8</f>
        <v>3916.8065866832371</v>
      </c>
      <c r="R18" s="167">
        <f>DEN!J153</f>
        <v>88209</v>
      </c>
      <c r="S18" s="167" t="e">
        <f>DEN!$I153*$K$2</f>
        <v>#DIV/0!</v>
      </c>
      <c r="T18" s="167" t="e">
        <f>DEN!$I153*$K$3</f>
        <v>#DIV/0!</v>
      </c>
      <c r="U18" s="167" t="e">
        <f>DEN!$I153*$K$4</f>
        <v>#DIV/0!</v>
      </c>
      <c r="W18" s="127" t="s">
        <v>17</v>
      </c>
      <c r="X18" s="167">
        <f t="shared" si="9"/>
        <v>10588875</v>
      </c>
      <c r="Y18" s="167">
        <f t="shared" si="8"/>
        <v>106405048.64633623</v>
      </c>
      <c r="Z18" s="167">
        <f t="shared" si="8"/>
        <v>2235997.2109363796</v>
      </c>
      <c r="AA18" s="167">
        <f t="shared" si="8"/>
        <v>1324041.1277344932</v>
      </c>
      <c r="AB18" s="167">
        <f t="shared" si="8"/>
        <v>11803500</v>
      </c>
      <c r="AC18" s="167">
        <f t="shared" si="8"/>
        <v>123183116.58142537</v>
      </c>
      <c r="AD18" s="167">
        <f t="shared" si="8"/>
        <v>2588571.7699918742</v>
      </c>
      <c r="AE18" s="167">
        <f t="shared" si="8"/>
        <v>1532817.4242786355</v>
      </c>
      <c r="AF18" s="167">
        <f t="shared" si="8"/>
        <v>13371562.5</v>
      </c>
      <c r="AG18" s="167">
        <f t="shared" si="8"/>
        <v>141213894.17666459</v>
      </c>
      <c r="AH18" s="167">
        <f t="shared" si="8"/>
        <v>2967470.7877252521</v>
      </c>
      <c r="AI18" s="167">
        <f t="shared" si="8"/>
        <v>1757181.6946290012</v>
      </c>
      <c r="AJ18" s="167">
        <f t="shared" si="8"/>
        <v>14952000</v>
      </c>
      <c r="AK18" s="167">
        <f t="shared" si="8"/>
        <v>157384837.47383013</v>
      </c>
      <c r="AL18" s="167">
        <f t="shared" si="8"/>
        <v>3307287.2209741408</v>
      </c>
      <c r="AM18" s="167">
        <f t="shared" si="8"/>
        <v>1958403.2933416185</v>
      </c>
      <c r="AN18" s="167" t="e">
        <f t="shared" si="8"/>
        <v>#DIV/0!</v>
      </c>
      <c r="AO18" s="167" t="e">
        <f t="shared" si="8"/>
        <v>#DIV/0!</v>
      </c>
      <c r="AP18" s="167" t="e">
        <f t="shared" si="8"/>
        <v>#DIV/0!</v>
      </c>
      <c r="AQ18" s="167" t="e">
        <f t="shared" si="8"/>
        <v>#DIV/0!</v>
      </c>
      <c r="AS18" s="127" t="s">
        <v>17</v>
      </c>
      <c r="AT18" s="265">
        <f>X18/COMB_CORR!$B9</f>
        <v>4.5325860388406899E-2</v>
      </c>
      <c r="AU18" s="265">
        <f>Y18/COMB_CORR!$B9</f>
        <v>0.45546862906262287</v>
      </c>
      <c r="AV18" s="265">
        <f>Z18/COMB_CORR!$B9</f>
        <v>9.5712242718673669E-3</v>
      </c>
      <c r="AW18" s="265">
        <f>AA18/COMB_CORR!$B9</f>
        <v>5.6675806735089866E-3</v>
      </c>
      <c r="AX18" s="265">
        <f>AB18/COMB_CORR!$C9</f>
        <v>4.1249936072821146E-2</v>
      </c>
      <c r="AY18" s="265">
        <f>AC18/COMB_CORR!$C9</f>
        <v>0.43049059043797777</v>
      </c>
      <c r="AZ18" s="265">
        <f>AD18/COMB_CORR!$C9</f>
        <v>9.0463354117062134E-3</v>
      </c>
      <c r="BA18" s="265">
        <f>AE18/COMB_CORR!$C9</f>
        <v>5.356768819655194E-3</v>
      </c>
      <c r="BB18" s="265">
        <f>AF18/COMB_CORR!$D9</f>
        <v>4.1116686470632241E-2</v>
      </c>
      <c r="BC18" s="265">
        <f>AG18/COMB_CORR!$D9</f>
        <v>0.43422355556121117</v>
      </c>
      <c r="BD18" s="265">
        <f>AH18/COMB_CORR!$D9</f>
        <v>9.124779994085154E-3</v>
      </c>
      <c r="BE18" s="265">
        <f>AI18/COMB_CORR!$D9</f>
        <v>5.4032196170039877E-3</v>
      </c>
      <c r="BF18" s="265">
        <f>AJ18/COMB_CORR!$E9</f>
        <v>4.0922867592764582E-2</v>
      </c>
      <c r="BG18" s="265">
        <f>AK18/COMB_CORR!$E9</f>
        <v>0.43075433821898906</v>
      </c>
      <c r="BH18" s="265">
        <f>AL18/COMB_CORR!$E9</f>
        <v>9.0518778113407635E-3</v>
      </c>
      <c r="BI18" s="265">
        <f>AM18/COMB_CORR!$E9</f>
        <v>5.3600507401453416E-3</v>
      </c>
      <c r="BJ18" s="265" t="e">
        <f>AN18/COMB_CORR!$F9</f>
        <v>#DIV/0!</v>
      </c>
      <c r="BK18" s="265" t="e">
        <f>AO18/COMB_CORR!$F9</f>
        <v>#DIV/0!</v>
      </c>
      <c r="BL18" s="265" t="e">
        <f>AP18/COMB_CORR!$F9</f>
        <v>#DIV/0!</v>
      </c>
      <c r="BM18" s="265" t="e">
        <f>AQ18/COMB_CORR!$F9</f>
        <v>#DIV/0!</v>
      </c>
    </row>
    <row r="19" spans="1:65" ht="15.75" thickBot="1">
      <c r="A19" s="127" t="s">
        <v>18</v>
      </c>
      <c r="B19" s="167">
        <f>DEN!J10</f>
        <v>10217</v>
      </c>
      <c r="C19" s="920">
        <f>DEN!$I10*ONSV_2013!P9</f>
        <v>38493.162055959729</v>
      </c>
      <c r="D19" s="920">
        <f>DEN!$I10*ONSV_2013!Q9</f>
        <v>1240.2999037353827</v>
      </c>
      <c r="E19" s="920">
        <f>DEN!$I10*ONSV_2013!R9</f>
        <v>550.53804030489061</v>
      </c>
      <c r="F19" s="167">
        <f>DEN!J46</f>
        <v>10960</v>
      </c>
      <c r="G19" s="920">
        <f>DEN!$I46*ONSV_2013!P9</f>
        <v>44407.983650796152</v>
      </c>
      <c r="H19" s="920">
        <f>DEN!$I46*ONSV_2013!Q9</f>
        <v>1430.8831726292865</v>
      </c>
      <c r="I19" s="920">
        <f>DEN!$I46*ONSV_2013!R9</f>
        <v>635.13317657455775</v>
      </c>
      <c r="J19" s="167">
        <f>DEN!J82</f>
        <v>12590</v>
      </c>
      <c r="K19" s="920">
        <f>DEN!$I82*ONSV_2013!P9</f>
        <v>49475.237110798997</v>
      </c>
      <c r="L19" s="920">
        <f>DEN!$I82*ONSV_2013!Q9</f>
        <v>1594.1566903908974</v>
      </c>
      <c r="M19" s="920">
        <f>DEN!$I82*ONSV_2013!R9</f>
        <v>707.60619881010621</v>
      </c>
      <c r="N19" s="167">
        <f>DEN!J118</f>
        <v>13982</v>
      </c>
      <c r="O19" s="920">
        <f>DEN!$I118*ONSV_2013!P9</f>
        <v>54976.30785740212</v>
      </c>
      <c r="P19" s="920">
        <f>DEN!$I118*ONSV_2013!Q9</f>
        <v>1771.4083671311566</v>
      </c>
      <c r="Q19" s="920">
        <f>DEN!$I118*ONSV_2013!R9</f>
        <v>786.28377546672561</v>
      </c>
      <c r="R19" s="167">
        <f>DEN!J154</f>
        <v>15311</v>
      </c>
      <c r="S19" s="167" t="e">
        <f>DEN!$I154*$K$2</f>
        <v>#DIV/0!</v>
      </c>
      <c r="T19" s="167" t="e">
        <f>DEN!$I154*$K$3</f>
        <v>#DIV/0!</v>
      </c>
      <c r="U19" s="167" t="e">
        <f>DEN!$I154*$K$4</f>
        <v>#DIV/0!</v>
      </c>
      <c r="W19" s="127" t="s">
        <v>18</v>
      </c>
      <c r="X19" s="167">
        <f t="shared" si="9"/>
        <v>1915687.5</v>
      </c>
      <c r="Y19" s="167">
        <f t="shared" si="8"/>
        <v>22133568.182176843</v>
      </c>
      <c r="Z19" s="167">
        <f t="shared" si="8"/>
        <v>465112.46390076849</v>
      </c>
      <c r="AA19" s="167">
        <f t="shared" si="8"/>
        <v>275269.0201524453</v>
      </c>
      <c r="AB19" s="167">
        <f t="shared" si="8"/>
        <v>2055000</v>
      </c>
      <c r="AC19" s="167">
        <f t="shared" si="8"/>
        <v>25534590.599207785</v>
      </c>
      <c r="AD19" s="167">
        <f t="shared" si="8"/>
        <v>536581.18973598245</v>
      </c>
      <c r="AE19" s="167">
        <f t="shared" si="8"/>
        <v>317566.58828727889</v>
      </c>
      <c r="AF19" s="167">
        <f t="shared" si="8"/>
        <v>2360625</v>
      </c>
      <c r="AG19" s="167">
        <f t="shared" si="8"/>
        <v>28448261.338709421</v>
      </c>
      <c r="AH19" s="167">
        <f t="shared" si="8"/>
        <v>597808.7588965866</v>
      </c>
      <c r="AI19" s="167">
        <f t="shared" si="8"/>
        <v>353803.09940505313</v>
      </c>
      <c r="AJ19" s="167">
        <f t="shared" si="8"/>
        <v>2621625</v>
      </c>
      <c r="AK19" s="167">
        <f t="shared" si="8"/>
        <v>31611377.018006217</v>
      </c>
      <c r="AL19" s="167">
        <f t="shared" si="8"/>
        <v>664278.13767418382</v>
      </c>
      <c r="AM19" s="167">
        <f t="shared" si="8"/>
        <v>393141.88773336279</v>
      </c>
      <c r="AN19" s="167" t="e">
        <f t="shared" si="8"/>
        <v>#DIV/0!</v>
      </c>
      <c r="AO19" s="167" t="e">
        <f t="shared" si="8"/>
        <v>#DIV/0!</v>
      </c>
      <c r="AP19" s="167" t="e">
        <f t="shared" si="8"/>
        <v>#DIV/0!</v>
      </c>
      <c r="AQ19" s="167" t="e">
        <f t="shared" si="8"/>
        <v>#DIV/0!</v>
      </c>
      <c r="AS19" s="127" t="s">
        <v>18</v>
      </c>
      <c r="AT19" s="265">
        <f>X19/COMB_CORR!$B10</f>
        <v>2.5670164101608519E-2</v>
      </c>
      <c r="AU19" s="265">
        <f>Y19/COMB_CORR!$B10</f>
        <v>0.29658925445335971</v>
      </c>
      <c r="AV19" s="265">
        <f>Z19/COMB_CORR!$B10</f>
        <v>6.2324952655567235E-3</v>
      </c>
      <c r="AW19" s="265">
        <f>AA19/COMB_CORR!$B10</f>
        <v>3.6885979155797874E-3</v>
      </c>
      <c r="AX19" s="265">
        <f>AB19/COMB_CORR!$C10</f>
        <v>2.3959873333302243E-2</v>
      </c>
      <c r="AY19" s="265">
        <f>AC19/COMB_CORR!$C10</f>
        <v>0.29771559920912344</v>
      </c>
      <c r="AZ19" s="265">
        <f>AD19/COMB_CORR!$C10</f>
        <v>6.2561641552830935E-3</v>
      </c>
      <c r="BA19" s="265">
        <f>AE19/COMB_CORR!$C10</f>
        <v>3.7026059514608982E-3</v>
      </c>
      <c r="BB19" s="265">
        <f>AF19/COMB_CORR!$D10</f>
        <v>2.6742246377016814E-2</v>
      </c>
      <c r="BC19" s="265">
        <f>AG19/COMB_CORR!$D10</f>
        <v>0.32227499654435987</v>
      </c>
      <c r="BD19" s="265">
        <f>AH19/COMB_CORR!$D10</f>
        <v>6.7722527367757111E-3</v>
      </c>
      <c r="BE19" s="265">
        <f>AI19/COMB_CORR!$D10</f>
        <v>4.008044332853419E-3</v>
      </c>
      <c r="BF19" s="265">
        <f>AJ19/COMB_CORR!$E10</f>
        <v>2.6366539273861008E-2</v>
      </c>
      <c r="BG19" s="265">
        <f>AK19/COMB_CORR!$E10</f>
        <v>0.31792594808414176</v>
      </c>
      <c r="BH19" s="265">
        <f>AL19/COMB_CORR!$E10</f>
        <v>6.680862291805127E-3</v>
      </c>
      <c r="BI19" s="265">
        <f>AM19/COMB_CORR!$E10</f>
        <v>3.9539564289788071E-3</v>
      </c>
      <c r="BJ19" s="265" t="e">
        <f>AN19/COMB_CORR!$F10</f>
        <v>#DIV/0!</v>
      </c>
      <c r="BK19" s="265" t="e">
        <f>AO19/COMB_CORR!$F10</f>
        <v>#DIV/0!</v>
      </c>
      <c r="BL19" s="265" t="e">
        <f>AP19/COMB_CORR!$F10</f>
        <v>#DIV/0!</v>
      </c>
      <c r="BM19" s="265" t="e">
        <f>AQ19/COMB_CORR!$F10</f>
        <v>#DIV/0!</v>
      </c>
    </row>
    <row r="20" spans="1:65" ht="26.25" thickBot="1">
      <c r="A20" s="128" t="s">
        <v>19</v>
      </c>
      <c r="B20" s="167">
        <f>DEN!J11</f>
        <v>48031</v>
      </c>
      <c r="C20" s="920">
        <f>DEN!$I11*ONSV_2013!P10</f>
        <v>109051.12235277052</v>
      </c>
      <c r="D20" s="920">
        <f>DEN!$I11*ONSV_2013!Q10</f>
        <v>3513.3212269308874</v>
      </c>
      <c r="E20" s="920">
        <f>DEN!$I11*ONSV_2013!R10</f>
        <v>1560.5564202985875</v>
      </c>
      <c r="F20" s="167">
        <f>DEN!J47</f>
        <v>51681</v>
      </c>
      <c r="G20" s="920">
        <f>DEN!$I47*ONSV_2013!P10</f>
        <v>124751.61734841891</v>
      </c>
      <c r="H20" s="920">
        <f>DEN!$I47*ONSV_2013!Q10</f>
        <v>4019.1471290531344</v>
      </c>
      <c r="I20" s="920">
        <f>DEN!$I47*ONSV_2013!R10</f>
        <v>1785.2355225279507</v>
      </c>
      <c r="J20" s="167">
        <f>DEN!J83</f>
        <v>58267</v>
      </c>
      <c r="K20" s="920">
        <f>DEN!$I83*ONSV_2013!P10</f>
        <v>140197.93842471714</v>
      </c>
      <c r="L20" s="920">
        <f>DEN!$I83*ONSV_2013!Q10</f>
        <v>4516.7842605610231</v>
      </c>
      <c r="M20" s="920">
        <f>DEN!$I83*ONSV_2013!R10</f>
        <v>2006.2773147218318</v>
      </c>
      <c r="N20" s="167">
        <f>DEN!J119</f>
        <v>64041</v>
      </c>
      <c r="O20" s="920">
        <f>DEN!$I119*ONSV_2013!P10</f>
        <v>156126.8077313606</v>
      </c>
      <c r="P20" s="920">
        <f>DEN!$I119*ONSV_2013!Q10</f>
        <v>5029.9677422954182</v>
      </c>
      <c r="Q20" s="920">
        <f>DEN!$I119*ONSV_2013!R10</f>
        <v>2234.2245263439781</v>
      </c>
      <c r="R20" s="167">
        <f>DEN!J155</f>
        <v>70580</v>
      </c>
      <c r="S20" s="167" t="e">
        <f>DEN!$I155*$K$2</f>
        <v>#DIV/0!</v>
      </c>
      <c r="T20" s="167" t="e">
        <f>DEN!$I155*$K$3</f>
        <v>#DIV/0!</v>
      </c>
      <c r="U20" s="167" t="e">
        <f>DEN!$I155*$K$4</f>
        <v>#DIV/0!</v>
      </c>
      <c r="W20" s="128" t="s">
        <v>19</v>
      </c>
      <c r="X20" s="167">
        <f t="shared" si="9"/>
        <v>9005812.5</v>
      </c>
      <c r="Y20" s="167">
        <f t="shared" si="8"/>
        <v>62704395.352843046</v>
      </c>
      <c r="Z20" s="167">
        <f t="shared" si="8"/>
        <v>1317495.4600990829</v>
      </c>
      <c r="AA20" s="167">
        <f t="shared" si="8"/>
        <v>780278.21014929377</v>
      </c>
      <c r="AB20" s="167">
        <f t="shared" si="8"/>
        <v>9690187.5</v>
      </c>
      <c r="AC20" s="167">
        <f t="shared" si="8"/>
        <v>71732179.975340873</v>
      </c>
      <c r="AD20" s="167">
        <f t="shared" si="8"/>
        <v>1507180.1733949254</v>
      </c>
      <c r="AE20" s="167">
        <f t="shared" si="8"/>
        <v>892617.76126397529</v>
      </c>
      <c r="AF20" s="167">
        <f t="shared" si="8"/>
        <v>10925062.5</v>
      </c>
      <c r="AG20" s="167">
        <f t="shared" si="8"/>
        <v>80613814.594212353</v>
      </c>
      <c r="AH20" s="167">
        <f t="shared" si="8"/>
        <v>1693794.0977103836</v>
      </c>
      <c r="AI20" s="167">
        <f t="shared" si="8"/>
        <v>1003138.6573609158</v>
      </c>
      <c r="AJ20" s="167">
        <f t="shared" si="8"/>
        <v>12007687.5</v>
      </c>
      <c r="AK20" s="167">
        <f t="shared" si="8"/>
        <v>89772914.445532352</v>
      </c>
      <c r="AL20" s="167">
        <f t="shared" si="8"/>
        <v>1886237.9033607817</v>
      </c>
      <c r="AM20" s="167">
        <f t="shared" si="8"/>
        <v>1117112.263171989</v>
      </c>
      <c r="AN20" s="167" t="e">
        <f t="shared" si="8"/>
        <v>#DIV/0!</v>
      </c>
      <c r="AO20" s="167" t="e">
        <f t="shared" si="8"/>
        <v>#DIV/0!</v>
      </c>
      <c r="AP20" s="167" t="e">
        <f t="shared" si="8"/>
        <v>#DIV/0!</v>
      </c>
      <c r="AQ20" s="167" t="e">
        <f t="shared" si="8"/>
        <v>#DIV/0!</v>
      </c>
      <c r="AS20" s="128" t="s">
        <v>19</v>
      </c>
      <c r="AT20" s="265">
        <f>X20/COMB_CORR!$B11</f>
        <v>5.0700928777510743E-2</v>
      </c>
      <c r="AU20" s="265">
        <f>Y20/COMB_CORR!$B11</f>
        <v>0.35301324370470416</v>
      </c>
      <c r="AV20" s="265">
        <f>Z20/COMB_CORR!$B11</f>
        <v>7.417236755392958E-3</v>
      </c>
      <c r="AW20" s="265">
        <f>AA20/COMB_CORR!$B11</f>
        <v>4.3928107496600559E-3</v>
      </c>
      <c r="AX20" s="265">
        <f>AB20/COMB_CORR!$C11</f>
        <v>4.4601621947793206E-2</v>
      </c>
      <c r="AY20" s="265">
        <f>AC20/COMB_CORR!$C11</f>
        <v>0.33016611626464565</v>
      </c>
      <c r="AZ20" s="265">
        <f>AD20/COMB_CORR!$C11</f>
        <v>6.9371908748896626E-3</v>
      </c>
      <c r="BA20" s="265">
        <f>AE20/COMB_CORR!$C11</f>
        <v>4.1085066653025401E-3</v>
      </c>
      <c r="BB20" s="265">
        <f>AF20/COMB_CORR!$D11</f>
        <v>4.3757279737827913E-2</v>
      </c>
      <c r="BC20" s="265">
        <f>AG20/COMB_CORR!$D11</f>
        <v>0.32287606921537926</v>
      </c>
      <c r="BD20" s="265">
        <f>AH20/COMB_CORR!$D11</f>
        <v>6.7840181373603195E-3</v>
      </c>
      <c r="BE20" s="265">
        <f>AI20/COMB_CORR!$D11</f>
        <v>4.017791096936122E-3</v>
      </c>
      <c r="BF20" s="265">
        <f>AJ20/COMB_CORR!$E11</f>
        <v>4.0538821617871666E-2</v>
      </c>
      <c r="BG20" s="265">
        <f>AK20/COMB_CORR!$E11</f>
        <v>0.30307985320436515</v>
      </c>
      <c r="BH20" s="265">
        <f>AL20/COMB_CORR!$E11</f>
        <v>6.3680756093303544E-3</v>
      </c>
      <c r="BI20" s="265">
        <f>AM20/COMB_CORR!$E11</f>
        <v>3.7714518106726352E-3</v>
      </c>
      <c r="BJ20" s="265" t="e">
        <f>AN20/COMB_CORR!$F11</f>
        <v>#DIV/0!</v>
      </c>
      <c r="BK20" s="265" t="e">
        <f>AO20/COMB_CORR!$F11</f>
        <v>#DIV/0!</v>
      </c>
      <c r="BL20" s="265" t="e">
        <f>AP20/COMB_CORR!$F11</f>
        <v>#DIV/0!</v>
      </c>
      <c r="BM20" s="265" t="e">
        <f>AQ20/COMB_CORR!$F11</f>
        <v>#DIV/0!</v>
      </c>
    </row>
    <row r="21" spans="1:65" s="273" customFormat="1" ht="39" thickBot="1">
      <c r="A21" s="269" t="s">
        <v>54</v>
      </c>
      <c r="B21" s="281">
        <f>SUM(B22:B30)</f>
        <v>347299</v>
      </c>
      <c r="C21" s="281">
        <f t="shared" ref="C21:M21" si="10">SUM(C22:C30)</f>
        <v>2461485.0198110593</v>
      </c>
      <c r="D21" s="281">
        <f t="shared" si="10"/>
        <v>79309.859558761047</v>
      </c>
      <c r="E21" s="281">
        <f t="shared" si="10"/>
        <v>35222.120630179576</v>
      </c>
      <c r="F21" s="281">
        <f t="shared" si="10"/>
        <v>400179</v>
      </c>
      <c r="G21" s="281">
        <f t="shared" si="10"/>
        <v>2940986.0022435826</v>
      </c>
      <c r="H21" s="281">
        <f t="shared" si="10"/>
        <v>94759.541233201744</v>
      </c>
      <c r="I21" s="281">
        <f t="shared" si="10"/>
        <v>42083.456523215355</v>
      </c>
      <c r="J21" s="281">
        <f t="shared" si="10"/>
        <v>476464</v>
      </c>
      <c r="K21" s="281">
        <f t="shared" si="10"/>
        <v>3499626.635146847</v>
      </c>
      <c r="L21" s="281">
        <f t="shared" si="10"/>
        <v>112759.12412119207</v>
      </c>
      <c r="M21" s="281">
        <f t="shared" si="10"/>
        <v>50077.240731960905</v>
      </c>
      <c r="N21" s="281">
        <f t="shared" ref="N21:U21" si="11">SUM(N22:N30)</f>
        <v>551263</v>
      </c>
      <c r="O21" s="281">
        <f t="shared" si="11"/>
        <v>4057398.690349943</v>
      </c>
      <c r="P21" s="281">
        <f t="shared" si="11"/>
        <v>130730.71158129368</v>
      </c>
      <c r="Q21" s="281">
        <f t="shared" si="11"/>
        <v>58058.598068763626</v>
      </c>
      <c r="R21" s="281">
        <f t="shared" si="11"/>
        <v>632253</v>
      </c>
      <c r="S21" s="281" t="e">
        <f t="shared" si="11"/>
        <v>#DIV/0!</v>
      </c>
      <c r="T21" s="281" t="e">
        <f t="shared" si="11"/>
        <v>#DIV/0!</v>
      </c>
      <c r="U21" s="281" t="e">
        <f t="shared" si="11"/>
        <v>#DIV/0!</v>
      </c>
      <c r="W21" s="164" t="s">
        <v>54</v>
      </c>
      <c r="X21" s="282">
        <f>SUM(X22:X30)</f>
        <v>65118562.5</v>
      </c>
      <c r="Y21" s="282">
        <f t="shared" ref="Y21:AM21" si="12">SUM(Y22:Y30)</f>
        <v>1415353886.3913591</v>
      </c>
      <c r="Z21" s="282">
        <f t="shared" si="12"/>
        <v>29741197.334535383</v>
      </c>
      <c r="AA21" s="282">
        <f t="shared" si="12"/>
        <v>17611060.315089785</v>
      </c>
      <c r="AB21" s="282">
        <f t="shared" si="12"/>
        <v>75033562.5</v>
      </c>
      <c r="AC21" s="282">
        <f t="shared" si="12"/>
        <v>1691066951.2900605</v>
      </c>
      <c r="AD21" s="282">
        <f t="shared" si="12"/>
        <v>35534827.962450653</v>
      </c>
      <c r="AE21" s="282">
        <f t="shared" si="12"/>
        <v>21041728.26160768</v>
      </c>
      <c r="AF21" s="282">
        <f t="shared" si="12"/>
        <v>89337000</v>
      </c>
      <c r="AG21" s="282">
        <f t="shared" si="12"/>
        <v>2012285315.2094369</v>
      </c>
      <c r="AH21" s="282">
        <f t="shared" si="12"/>
        <v>42284671.545447029</v>
      </c>
      <c r="AI21" s="282">
        <f t="shared" si="12"/>
        <v>25038620.36598045</v>
      </c>
      <c r="AJ21" s="282">
        <f t="shared" si="12"/>
        <v>103361812.5</v>
      </c>
      <c r="AK21" s="282">
        <f t="shared" si="12"/>
        <v>2333004246.9512167</v>
      </c>
      <c r="AL21" s="282">
        <f t="shared" si="12"/>
        <v>49024016.842985146</v>
      </c>
      <c r="AM21" s="282">
        <f t="shared" si="12"/>
        <v>29029299.034381814</v>
      </c>
      <c r="AN21" s="282" t="e">
        <f>SUM(AN22:AN30)</f>
        <v>#DIV/0!</v>
      </c>
      <c r="AO21" s="282" t="e">
        <f>SUM(AO22:AO30)</f>
        <v>#DIV/0!</v>
      </c>
      <c r="AP21" s="282" t="e">
        <f>SUM(AP22:AP30)</f>
        <v>#DIV/0!</v>
      </c>
      <c r="AQ21" s="282" t="e">
        <f>SUM(AQ22:AQ30)</f>
        <v>#DIV/0!</v>
      </c>
      <c r="AS21" s="164" t="s">
        <v>54</v>
      </c>
      <c r="AT21" s="283">
        <f>X21/COMB_CORR!$B12</f>
        <v>1.5585441019035034E-2</v>
      </c>
      <c r="AU21" s="283">
        <f>Y21/COMB_CORR!$B12</f>
        <v>0.33875002258249387</v>
      </c>
      <c r="AV21" s="283">
        <f>Z21/COMB_CORR!$B12</f>
        <v>7.1182418514364959E-3</v>
      </c>
      <c r="AW21" s="283">
        <f>AA21/COMB_CORR!$B12</f>
        <v>4.215021512852044E-3</v>
      </c>
      <c r="AX21" s="283">
        <f>AB21/COMB_CORR!$C12</f>
        <v>1.4393689090217758E-2</v>
      </c>
      <c r="AY21" s="283">
        <f>AC21/COMB_CORR!$C12</f>
        <v>0.32439739120225769</v>
      </c>
      <c r="AZ21" s="283">
        <f>AD21/COMB_CORR!$C12</f>
        <v>6.8166464249367195E-3</v>
      </c>
      <c r="BA21" s="283">
        <f>AE21/COMB_CORR!$C12</f>
        <v>4.0364349556030899E-3</v>
      </c>
      <c r="BB21" s="283">
        <f>AF21/COMB_CORR!$D12</f>
        <v>1.4317748173802448E-2</v>
      </c>
      <c r="BC21" s="283">
        <f>AG21/COMB_CORR!$D12</f>
        <v>0.32250237188409503</v>
      </c>
      <c r="BD21" s="283">
        <f>AH21/COMB_CORR!$D12</f>
        <v>6.7768257138661539E-3</v>
      </c>
      <c r="BE21" s="283">
        <f>AI21/COMB_CORR!$D12</f>
        <v>4.012857618003172E-3</v>
      </c>
      <c r="BF21" s="283">
        <f>AJ21/COMB_CORR!$E12</f>
        <v>1.4132871988803399E-2</v>
      </c>
      <c r="BG21" s="283">
        <f>AK21/COMB_CORR!$E12</f>
        <v>0.31899644147103373</v>
      </c>
      <c r="BH21" s="283">
        <f>AL21/COMB_CORR!$E12</f>
        <v>6.7031540726789282E-3</v>
      </c>
      <c r="BI21" s="283">
        <f>AM21/COMB_CORR!$E12</f>
        <v>3.9692354192958088E-3</v>
      </c>
      <c r="BJ21" s="283" t="e">
        <f>AN21/COMB_CORR!$F12</f>
        <v>#DIV/0!</v>
      </c>
      <c r="BK21" s="283" t="e">
        <f>AO21/COMB_CORR!$F12</f>
        <v>#DIV/0!</v>
      </c>
      <c r="BL21" s="283" t="e">
        <f>AP21/COMB_CORR!$F12</f>
        <v>#DIV/0!</v>
      </c>
      <c r="BM21" s="283" t="e">
        <f>AQ21/COMB_CORR!$F12</f>
        <v>#DIV/0!</v>
      </c>
    </row>
    <row r="22" spans="1:65" ht="15.75" thickBot="1">
      <c r="A22" s="127" t="s">
        <v>21</v>
      </c>
      <c r="B22" s="167">
        <f>DEN!J13</f>
        <v>15632</v>
      </c>
      <c r="C22" s="920">
        <f>DEN!$I13*ONSV_2013!P12</f>
        <v>93842.645045225916</v>
      </c>
      <c r="D22" s="920">
        <f>DEN!$I13*ONSV_2013!Q12</f>
        <v>3023.4997411133181</v>
      </c>
      <c r="E22" s="920">
        <f>DEN!$I13*ONSV_2013!R12</f>
        <v>1342.8552136607632</v>
      </c>
      <c r="F22" s="167">
        <f>DEN!J49</f>
        <v>17945</v>
      </c>
      <c r="G22" s="920">
        <f>DEN!$I49*ONSV_2013!P12</f>
        <v>111462.80587197261</v>
      </c>
      <c r="H22" s="920">
        <f>DEN!$I49*ONSV_2013!Q12</f>
        <v>3591.200616044634</v>
      </c>
      <c r="I22" s="920">
        <f>DEN!$I49*ONSV_2013!R12</f>
        <v>1594.9935119827549</v>
      </c>
      <c r="J22" s="167">
        <f>DEN!J85</f>
        <v>20675</v>
      </c>
      <c r="K22" s="920">
        <f>DEN!$I85*ONSV_2013!P12</f>
        <v>131836.83348302971</v>
      </c>
      <c r="L22" s="920">
        <f>DEN!$I85*ONSV_2013!Q12</f>
        <v>4247.6278424700959</v>
      </c>
      <c r="M22" s="920">
        <f>DEN!$I85*ONSV_2013!R12</f>
        <v>1886.5386745001902</v>
      </c>
      <c r="N22" s="167">
        <f>DEN!J121</f>
        <v>23981</v>
      </c>
      <c r="O22" s="920">
        <f>DEN!$I121*ONSV_2013!P12</f>
        <v>156362.68315440213</v>
      </c>
      <c r="P22" s="920">
        <f>DEN!$I121*ONSV_2013!Q12</f>
        <v>5037.821896529862</v>
      </c>
      <c r="Q22" s="920">
        <f>DEN!$I121*ONSV_2013!R12</f>
        <v>2237.4949490680078</v>
      </c>
      <c r="R22" s="167">
        <f>DEN!J157</f>
        <v>27547</v>
      </c>
      <c r="S22" s="167" t="e">
        <f>DEN!$I157*$K$2</f>
        <v>#DIV/0!</v>
      </c>
      <c r="T22" s="167" t="e">
        <f>DEN!$I157*$K$3</f>
        <v>#DIV/0!</v>
      </c>
      <c r="U22" s="167" t="e">
        <f>DEN!$I157*$K$4</f>
        <v>#DIV/0!</v>
      </c>
      <c r="W22" s="260" t="s">
        <v>21</v>
      </c>
      <c r="X22" s="167">
        <f>B22*B$10/B$11</f>
        <v>2931000</v>
      </c>
      <c r="Y22" s="167">
        <f t="shared" ref="Y22:AQ30" si="13">C22*C$10/C$11</f>
        <v>53959520.901004903</v>
      </c>
      <c r="Z22" s="167">
        <f t="shared" si="13"/>
        <v>1133812.4029174943</v>
      </c>
      <c r="AA22" s="167">
        <f t="shared" si="13"/>
        <v>671427.60683038156</v>
      </c>
      <c r="AB22" s="167">
        <f t="shared" si="13"/>
        <v>3364687.5</v>
      </c>
      <c r="AC22" s="167">
        <f t="shared" si="13"/>
        <v>64091113.376384251</v>
      </c>
      <c r="AD22" s="167">
        <f t="shared" si="13"/>
        <v>1346700.2310167379</v>
      </c>
      <c r="AE22" s="167">
        <f t="shared" si="13"/>
        <v>797496.7559913774</v>
      </c>
      <c r="AF22" s="167">
        <f t="shared" si="13"/>
        <v>3876562.5</v>
      </c>
      <c r="AG22" s="167">
        <f t="shared" si="13"/>
        <v>75806179.252742082</v>
      </c>
      <c r="AH22" s="167">
        <f t="shared" si="13"/>
        <v>1592860.4409262859</v>
      </c>
      <c r="AI22" s="167">
        <f t="shared" si="13"/>
        <v>943269.33725009509</v>
      </c>
      <c r="AJ22" s="167">
        <f t="shared" si="13"/>
        <v>4496437.5</v>
      </c>
      <c r="AK22" s="167">
        <f t="shared" si="13"/>
        <v>89908542.813781232</v>
      </c>
      <c r="AL22" s="167">
        <f t="shared" si="13"/>
        <v>1889183.2111986983</v>
      </c>
      <c r="AM22" s="167">
        <f t="shared" si="13"/>
        <v>1118747.474534004</v>
      </c>
      <c r="AN22" s="167" t="e">
        <f t="shared" si="13"/>
        <v>#DIV/0!</v>
      </c>
      <c r="AO22" s="167" t="e">
        <f t="shared" si="13"/>
        <v>#DIV/0!</v>
      </c>
      <c r="AP22" s="167" t="e">
        <f t="shared" si="13"/>
        <v>#DIV/0!</v>
      </c>
      <c r="AQ22" s="167" t="e">
        <f t="shared" si="13"/>
        <v>#DIV/0!</v>
      </c>
      <c r="AS22" s="260" t="s">
        <v>21</v>
      </c>
      <c r="AT22" s="265">
        <f>X22/COMB_CORR!$B13</f>
        <v>1.6337750219823657E-2</v>
      </c>
      <c r="AU22" s="265">
        <f>Y22/COMB_CORR!$B13</f>
        <v>0.30077692748617268</v>
      </c>
      <c r="AV22" s="265">
        <f>Z22/COMB_CORR!$B13</f>
        <v>6.3200081320382399E-3</v>
      </c>
      <c r="AW22" s="265">
        <f>AA22/COMB_CORR!$B13</f>
        <v>3.7426190825959531E-3</v>
      </c>
      <c r="AX22" s="265">
        <f>AB22/COMB_CORR!$C13</f>
        <v>1.3715066376977562E-2</v>
      </c>
      <c r="AY22" s="265">
        <f>AC22/COMB_CORR!$C13</f>
        <v>0.26124680943817352</v>
      </c>
      <c r="AZ22" s="265">
        <f>AD22/COMB_CORR!$C13</f>
        <v>5.489390339603775E-3</v>
      </c>
      <c r="BA22" s="265">
        <f>AE22/COMB_CORR!$C13</f>
        <v>3.2507390192539481E-3</v>
      </c>
      <c r="BB22" s="265">
        <f>AF22/COMB_CORR!$D13</f>
        <v>1.2789879858691936E-2</v>
      </c>
      <c r="BC22" s="265">
        <f>AG22/COMB_CORR!$D13</f>
        <v>0.25010609920233107</v>
      </c>
      <c r="BD22" s="265">
        <f>AH22/COMB_CORR!$D13</f>
        <v>5.2552986495407366E-3</v>
      </c>
      <c r="BE22" s="265">
        <f>AI22/COMB_CORR!$D13</f>
        <v>3.1121132440962017E-3</v>
      </c>
      <c r="BF22" s="265">
        <f>AJ22/COMB_CORR!$E13</f>
        <v>1.235853217779804E-2</v>
      </c>
      <c r="BG22" s="265">
        <f>AK22/COMB_CORR!$E13</f>
        <v>0.24711510377338686</v>
      </c>
      <c r="BH22" s="265">
        <f>AL22/COMB_CORR!$E13</f>
        <v>5.1924510249180475E-3</v>
      </c>
      <c r="BI22" s="265">
        <f>AM22/COMB_CORR!$E13</f>
        <v>3.0748957731223403E-3</v>
      </c>
      <c r="BJ22" s="265" t="e">
        <f>AN22/COMB_CORR!$F13</f>
        <v>#DIV/0!</v>
      </c>
      <c r="BK22" s="265" t="e">
        <f>AO22/COMB_CORR!$F13</f>
        <v>#DIV/0!</v>
      </c>
      <c r="BL22" s="265" t="e">
        <f>AP22/COMB_CORR!$F13</f>
        <v>#DIV/0!</v>
      </c>
      <c r="BM22" s="265" t="e">
        <f>AQ22/COMB_CORR!$F13</f>
        <v>#DIV/0!</v>
      </c>
    </row>
    <row r="23" spans="1:65" ht="15.75" thickBot="1">
      <c r="A23" s="127" t="s">
        <v>22</v>
      </c>
      <c r="B23" s="167">
        <f>DEN!J14</f>
        <v>70554</v>
      </c>
      <c r="C23" s="920">
        <f>DEN!$I14*ONSV_2013!P13</f>
        <v>513111.13483820745</v>
      </c>
      <c r="D23" s="920">
        <f>DEN!$I14*ONSV_2013!Q13</f>
        <v>16532.729824583199</v>
      </c>
      <c r="E23" s="920">
        <f>DEN!$I14*ONSV_2013!R13</f>
        <v>7342.135337209399</v>
      </c>
      <c r="F23" s="167">
        <f>DEN!J50</f>
        <v>83304</v>
      </c>
      <c r="G23" s="920">
        <f>DEN!$I50*ONSV_2013!P13</f>
        <v>613491.47590089531</v>
      </c>
      <c r="H23" s="920">
        <f>DEN!$I50*ONSV_2013!Q13</f>
        <v>19767.04096268045</v>
      </c>
      <c r="I23" s="920">
        <f>DEN!$I50*ONSV_2013!R13</f>
        <v>8778.4831364242473</v>
      </c>
      <c r="J23" s="167">
        <f>DEN!J86</f>
        <v>97762</v>
      </c>
      <c r="K23" s="920">
        <f>DEN!$I86*ONSV_2013!P13</f>
        <v>720095.24331213092</v>
      </c>
      <c r="L23" s="920">
        <f>DEN!$I86*ONSV_2013!Q13</f>
        <v>23201.874403682265</v>
      </c>
      <c r="M23" s="920">
        <f>DEN!$I86*ONSV_2013!R13</f>
        <v>10303.882284186813</v>
      </c>
      <c r="N23" s="167">
        <f>DEN!J122</f>
        <v>111545</v>
      </c>
      <c r="O23" s="920">
        <f>DEN!$I122*ONSV_2013!P13</f>
        <v>822001.58036416792</v>
      </c>
      <c r="P23" s="920">
        <f>DEN!$I122*ONSV_2013!Q13</f>
        <v>26485.353992223023</v>
      </c>
      <c r="Q23" s="920">
        <f>DEN!$I122*ONSV_2013!R13</f>
        <v>11762.065643609048</v>
      </c>
      <c r="R23" s="167">
        <f>DEN!J158</f>
        <v>128582</v>
      </c>
      <c r="S23" s="167" t="e">
        <f>DEN!$I158*$K$2</f>
        <v>#DIV/0!</v>
      </c>
      <c r="T23" s="167" t="e">
        <f>DEN!$I158*$K$3</f>
        <v>#DIV/0!</v>
      </c>
      <c r="U23" s="167" t="e">
        <f>DEN!$I158*$K$4</f>
        <v>#DIV/0!</v>
      </c>
      <c r="W23" s="127" t="s">
        <v>22</v>
      </c>
      <c r="X23" s="167">
        <f t="shared" ref="X23:X30" si="14">B23*B$10/B$11</f>
        <v>13228875</v>
      </c>
      <c r="Y23" s="167">
        <f t="shared" si="13"/>
        <v>295038902.53196925</v>
      </c>
      <c r="Z23" s="167">
        <f t="shared" si="13"/>
        <v>6199773.6842186991</v>
      </c>
      <c r="AA23" s="167">
        <f t="shared" si="13"/>
        <v>3671067.6686046994</v>
      </c>
      <c r="AB23" s="167">
        <f t="shared" si="13"/>
        <v>15619500</v>
      </c>
      <c r="AC23" s="167">
        <f t="shared" si="13"/>
        <v>352757598.64301479</v>
      </c>
      <c r="AD23" s="167">
        <f t="shared" si="13"/>
        <v>7412640.3610051693</v>
      </c>
      <c r="AE23" s="167">
        <f t="shared" si="13"/>
        <v>4389241.5682121236</v>
      </c>
      <c r="AF23" s="167">
        <f t="shared" si="13"/>
        <v>18330375</v>
      </c>
      <c r="AG23" s="167">
        <f t="shared" si="13"/>
        <v>414054764.90447527</v>
      </c>
      <c r="AH23" s="167">
        <f t="shared" si="13"/>
        <v>8700702.9013808481</v>
      </c>
      <c r="AI23" s="167">
        <f t="shared" si="13"/>
        <v>5151941.142093407</v>
      </c>
      <c r="AJ23" s="167">
        <f t="shared" si="13"/>
        <v>20914687.5</v>
      </c>
      <c r="AK23" s="167">
        <f t="shared" si="13"/>
        <v>472650908.70939654</v>
      </c>
      <c r="AL23" s="167">
        <f t="shared" si="13"/>
        <v>9932007.7470836341</v>
      </c>
      <c r="AM23" s="167">
        <f t="shared" si="13"/>
        <v>5881032.8218045244</v>
      </c>
      <c r="AN23" s="167" t="e">
        <f t="shared" si="13"/>
        <v>#DIV/0!</v>
      </c>
      <c r="AO23" s="167" t="e">
        <f t="shared" si="13"/>
        <v>#DIV/0!</v>
      </c>
      <c r="AP23" s="167" t="e">
        <f t="shared" si="13"/>
        <v>#DIV/0!</v>
      </c>
      <c r="AQ23" s="167" t="e">
        <f t="shared" si="13"/>
        <v>#DIV/0!</v>
      </c>
      <c r="AS23" s="127" t="s">
        <v>22</v>
      </c>
      <c r="AT23" s="265">
        <f>X23/COMB_CORR!$B14</f>
        <v>1.2521855777186576E-2</v>
      </c>
      <c r="AU23" s="265">
        <f>Y23/COMB_CORR!$B14</f>
        <v>0.27927050381568547</v>
      </c>
      <c r="AV23" s="265">
        <f>Z23/COMB_CORR!$B14</f>
        <v>5.8684258430881852E-3</v>
      </c>
      <c r="AW23" s="265">
        <f>AA23/COMB_CORR!$B14</f>
        <v>3.4748669024811715E-3</v>
      </c>
      <c r="AX23" s="265">
        <f>AB23/COMB_CORR!$C14</f>
        <v>1.226592257219598E-2</v>
      </c>
      <c r="AY23" s="265">
        <f>AC23/COMB_CORR!$C14</f>
        <v>0.27701894373757197</v>
      </c>
      <c r="AZ23" s="265">
        <f>AD23/COMB_CORR!$C14</f>
        <v>5.8211128860478417E-3</v>
      </c>
      <c r="BA23" s="265">
        <f>AE23/COMB_CORR!$C14</f>
        <v>3.4468515142196594E-3</v>
      </c>
      <c r="BB23" s="265">
        <f>AF23/COMB_CORR!$D14</f>
        <v>1.1537058484813104E-2</v>
      </c>
      <c r="BC23" s="265">
        <f>AG23/COMB_CORR!$D14</f>
        <v>0.26060427234131717</v>
      </c>
      <c r="BD23" s="265">
        <f>AH23/COMB_CORR!$D14</f>
        <v>5.4761846515531684E-3</v>
      </c>
      <c r="BE23" s="265">
        <f>AI23/COMB_CORR!$D14</f>
        <v>3.2426093992428662E-3</v>
      </c>
      <c r="BF23" s="265">
        <f>AJ23/COMB_CORR!$E14</f>
        <v>1.1349838769997374E-2</v>
      </c>
      <c r="BG23" s="265">
        <f>AK23/COMB_CORR!$E14</f>
        <v>0.25649494444248322</v>
      </c>
      <c r="BH23" s="265">
        <f>AL23/COMB_CORR!$E14</f>
        <v>5.3898336559780827E-3</v>
      </c>
      <c r="BI23" s="265">
        <f>AM23/COMB_CORR!$E14</f>
        <v>3.1914784444445586E-3</v>
      </c>
      <c r="BJ23" s="265" t="e">
        <f>AN23/COMB_CORR!$F14</f>
        <v>#DIV/0!</v>
      </c>
      <c r="BK23" s="265" t="e">
        <f>AO23/COMB_CORR!$F14</f>
        <v>#DIV/0!</v>
      </c>
      <c r="BL23" s="265" t="e">
        <f>AP23/COMB_CORR!$F14</f>
        <v>#DIV/0!</v>
      </c>
      <c r="BM23" s="265" t="e">
        <f>AQ23/COMB_CORR!$F14</f>
        <v>#DIV/0!</v>
      </c>
    </row>
    <row r="24" spans="1:65" ht="15.75" thickBot="1">
      <c r="A24" s="127" t="s">
        <v>23</v>
      </c>
      <c r="B24" s="167">
        <f>DEN!J15</f>
        <v>59745</v>
      </c>
      <c r="C24" s="920">
        <f>DEN!$I15*ONSV_2013!P14</f>
        <v>511523.12741590699</v>
      </c>
      <c r="D24" s="920">
        <f>DEN!$I15*ONSV_2013!Q14</f>
        <v>16481.356255411731</v>
      </c>
      <c r="E24" s="920">
        <f>DEN!$I15*ONSV_2013!R14</f>
        <v>7319.5163286813276</v>
      </c>
      <c r="F24" s="167">
        <f>DEN!J51</f>
        <v>69535</v>
      </c>
      <c r="G24" s="920">
        <f>DEN!$I51*ONSV_2013!P14</f>
        <v>609174.46755060786</v>
      </c>
      <c r="H24" s="920">
        <f>DEN!$I51*ONSV_2013!Q14</f>
        <v>19627.697914896085</v>
      </c>
      <c r="I24" s="920">
        <f>DEN!$I51*ONSV_2013!R14</f>
        <v>8716.8345344961017</v>
      </c>
      <c r="J24" s="167">
        <f>DEN!J87</f>
        <v>82714</v>
      </c>
      <c r="K24" s="920">
        <f>DEN!$I87*ONSV_2013!P14</f>
        <v>729078.40721617534</v>
      </c>
      <c r="L24" s="920">
        <f>DEN!$I87*ONSV_2013!Q14</f>
        <v>23491.021858896038</v>
      </c>
      <c r="M24" s="920">
        <f>DEN!$I87*ONSV_2013!R14</f>
        <v>10432.570924928661</v>
      </c>
      <c r="N24" s="167">
        <f>DEN!J123</f>
        <v>96282</v>
      </c>
      <c r="O24" s="920">
        <f>DEN!$I123*ONSV_2013!P14</f>
        <v>845809.00082188332</v>
      </c>
      <c r="P24" s="920">
        <f>DEN!$I123*ONSV_2013!Q14</f>
        <v>27252.100089787251</v>
      </c>
      <c r="Q24" s="920">
        <f>DEN!$I123*ONSV_2013!R14</f>
        <v>12102.899088329457</v>
      </c>
      <c r="R24" s="167">
        <f>DEN!J159</f>
        <v>110604</v>
      </c>
      <c r="S24" s="167" t="e">
        <f>DEN!$I159*$K$2</f>
        <v>#DIV/0!</v>
      </c>
      <c r="T24" s="167" t="e">
        <f>DEN!$I159*$K$3</f>
        <v>#DIV/0!</v>
      </c>
      <c r="U24" s="167" t="e">
        <f>DEN!$I159*$K$4</f>
        <v>#DIV/0!</v>
      </c>
      <c r="W24" s="127" t="s">
        <v>23</v>
      </c>
      <c r="X24" s="167">
        <f t="shared" si="14"/>
        <v>11202187.5</v>
      </c>
      <c r="Y24" s="167">
        <f t="shared" si="13"/>
        <v>294125798.26414651</v>
      </c>
      <c r="Z24" s="167">
        <f t="shared" si="13"/>
        <v>6180508.5957793985</v>
      </c>
      <c r="AA24" s="167">
        <f t="shared" si="13"/>
        <v>3659758.1643406637</v>
      </c>
      <c r="AB24" s="167">
        <f t="shared" si="13"/>
        <v>13037812.5</v>
      </c>
      <c r="AC24" s="167">
        <f t="shared" si="13"/>
        <v>350275318.84159952</v>
      </c>
      <c r="AD24" s="167">
        <f t="shared" si="13"/>
        <v>7360386.7180860322</v>
      </c>
      <c r="AE24" s="167">
        <f t="shared" si="13"/>
        <v>4358417.2672480512</v>
      </c>
      <c r="AF24" s="167">
        <f t="shared" si="13"/>
        <v>15508875</v>
      </c>
      <c r="AG24" s="167">
        <f t="shared" si="13"/>
        <v>419220084.14930081</v>
      </c>
      <c r="AH24" s="167">
        <f t="shared" si="13"/>
        <v>8809133.1970860139</v>
      </c>
      <c r="AI24" s="167">
        <f t="shared" si="13"/>
        <v>5216285.4624643307</v>
      </c>
      <c r="AJ24" s="167">
        <f t="shared" si="13"/>
        <v>18052875</v>
      </c>
      <c r="AK24" s="167">
        <f t="shared" si="13"/>
        <v>486340175.47258288</v>
      </c>
      <c r="AL24" s="167">
        <f t="shared" si="13"/>
        <v>10219537.533670221</v>
      </c>
      <c r="AM24" s="167">
        <f t="shared" si="13"/>
        <v>6051449.5441647284</v>
      </c>
      <c r="AN24" s="167" t="e">
        <f t="shared" si="13"/>
        <v>#DIV/0!</v>
      </c>
      <c r="AO24" s="167" t="e">
        <f t="shared" si="13"/>
        <v>#DIV/0!</v>
      </c>
      <c r="AP24" s="167" t="e">
        <f t="shared" si="13"/>
        <v>#DIV/0!</v>
      </c>
      <c r="AQ24" s="167" t="e">
        <f t="shared" si="13"/>
        <v>#DIV/0!</v>
      </c>
      <c r="AS24" s="127" t="s">
        <v>23</v>
      </c>
      <c r="AT24" s="265">
        <f>X24/COMB_CORR!$B15</f>
        <v>1.6822432545486411E-2</v>
      </c>
      <c r="AU24" s="265">
        <f>Y24/COMB_CORR!$B15</f>
        <v>0.44169153579923104</v>
      </c>
      <c r="AV24" s="265">
        <f>Z24/COMB_CORR!$B15</f>
        <v>9.2813291108810557E-3</v>
      </c>
      <c r="AW24" s="265">
        <f>AA24/COMB_CORR!$B15</f>
        <v>5.4958939807438489E-3</v>
      </c>
      <c r="AX24" s="265">
        <f>AB24/COMB_CORR!$C15</f>
        <v>1.5896572040023978E-2</v>
      </c>
      <c r="AY24" s="265">
        <f>AC24/COMB_CORR!$C15</f>
        <v>0.42707907018971591</v>
      </c>
      <c r="AZ24" s="265">
        <f>AD24/COMB_CORR!$C15</f>
        <v>8.9742752249650989E-3</v>
      </c>
      <c r="BA24" s="265">
        <f>AE24/COMB_CORR!$C15</f>
        <v>5.314073512661199E-3</v>
      </c>
      <c r="BB24" s="265">
        <f>AF24/COMB_CORR!$D15</f>
        <v>1.6440595664808003E-2</v>
      </c>
      <c r="BC24" s="265">
        <f>AG24/COMB_CORR!$D15</f>
        <v>0.44440540645697646</v>
      </c>
      <c r="BD24" s="265">
        <f>AH24/COMB_CORR!$D15</f>
        <v>9.3383560735855169E-3</v>
      </c>
      <c r="BE24" s="265">
        <f>AI24/COMB_CORR!$D15</f>
        <v>5.5296622198961615E-3</v>
      </c>
      <c r="BF24" s="265">
        <f>AJ24/COMB_CORR!$E15</f>
        <v>1.6107597440191759E-2</v>
      </c>
      <c r="BG24" s="265">
        <f>AK24/COMB_CORR!$E15</f>
        <v>0.43393485888007244</v>
      </c>
      <c r="BH24" s="265">
        <f>AL24/COMB_CORR!$E15</f>
        <v>9.118336919592589E-3</v>
      </c>
      <c r="BI24" s="265">
        <f>AM24/COMB_CORR!$E15</f>
        <v>5.3993789458486457E-3</v>
      </c>
      <c r="BJ24" s="265" t="e">
        <f>AN24/COMB_CORR!$F15</f>
        <v>#DIV/0!</v>
      </c>
      <c r="BK24" s="265" t="e">
        <f>AO24/COMB_CORR!$F15</f>
        <v>#DIV/0!</v>
      </c>
      <c r="BL24" s="265" t="e">
        <f>AP24/COMB_CORR!$F15</f>
        <v>#DIV/0!</v>
      </c>
      <c r="BM24" s="265" t="e">
        <f>AQ24/COMB_CORR!$F15</f>
        <v>#DIV/0!</v>
      </c>
    </row>
    <row r="25" spans="1:65" ht="26.25" thickBot="1">
      <c r="A25" s="127" t="s">
        <v>24</v>
      </c>
      <c r="B25" s="167">
        <f>DEN!J16</f>
        <v>49801</v>
      </c>
      <c r="C25" s="920">
        <f>DEN!$I16*ONSV_2013!P15</f>
        <v>252303.16262839318</v>
      </c>
      <c r="D25" s="920">
        <f>DEN!$I16*ONSV_2013!Q15</f>
        <v>8129.2181235323287</v>
      </c>
      <c r="E25" s="920">
        <f>DEN!$I16*ONSV_2013!R15</f>
        <v>3610.6192480744758</v>
      </c>
      <c r="F25" s="167">
        <f>DEN!J52</f>
        <v>54856</v>
      </c>
      <c r="G25" s="920">
        <f>DEN!$I52*ONSV_2013!P15</f>
        <v>311909.63310766802</v>
      </c>
      <c r="H25" s="920">
        <f>DEN!$I52*ONSV_2013!Q15</f>
        <v>10049.741017704668</v>
      </c>
      <c r="I25" s="920">
        <f>DEN!$I52*ONSV_2013!R15</f>
        <v>4463.6258746272943</v>
      </c>
      <c r="J25" s="167">
        <f>DEN!J88</f>
        <v>70148</v>
      </c>
      <c r="K25" s="920">
        <f>DEN!$I88*ONSV_2013!P15</f>
        <v>389801.28183464089</v>
      </c>
      <c r="L25" s="920">
        <f>DEN!$I88*ONSV_2013!Q15</f>
        <v>12559.413095956548</v>
      </c>
      <c r="M25" s="920">
        <f>DEN!$I88*ONSV_2013!R15</f>
        <v>5578.3050694025351</v>
      </c>
      <c r="N25" s="167">
        <f>DEN!J124</f>
        <v>82294</v>
      </c>
      <c r="O25" s="920">
        <f>DEN!$I124*ONSV_2013!P15</f>
        <v>469101.39381083549</v>
      </c>
      <c r="P25" s="920">
        <f>DEN!$I124*ONSV_2013!Q15</f>
        <v>15114.465917171077</v>
      </c>
      <c r="Q25" s="920">
        <f>DEN!$I124*ONSV_2013!R15</f>
        <v>6713.140271993404</v>
      </c>
      <c r="R25" s="167">
        <f>DEN!J160</f>
        <v>96559</v>
      </c>
      <c r="S25" s="167" t="e">
        <f>DEN!$I160*$K$2</f>
        <v>#DIV/0!</v>
      </c>
      <c r="T25" s="167" t="e">
        <f>DEN!$I160*$K$3</f>
        <v>#DIV/0!</v>
      </c>
      <c r="U25" s="167" t="e">
        <f>DEN!$I160*$K$4</f>
        <v>#DIV/0!</v>
      </c>
      <c r="W25" s="127" t="s">
        <v>24</v>
      </c>
      <c r="X25" s="167">
        <f t="shared" si="14"/>
        <v>9337687.5</v>
      </c>
      <c r="Y25" s="167">
        <f t="shared" si="13"/>
        <v>145074318.5113261</v>
      </c>
      <c r="Z25" s="167">
        <f t="shared" si="13"/>
        <v>3048456.7963246233</v>
      </c>
      <c r="AA25" s="167">
        <f t="shared" si="13"/>
        <v>1805309.6240372378</v>
      </c>
      <c r="AB25" s="167">
        <f t="shared" si="13"/>
        <v>10285500</v>
      </c>
      <c r="AC25" s="167">
        <f t="shared" si="13"/>
        <v>179348039.0369091</v>
      </c>
      <c r="AD25" s="167">
        <f t="shared" si="13"/>
        <v>3768652.8816392506</v>
      </c>
      <c r="AE25" s="167">
        <f t="shared" si="13"/>
        <v>2231812.937313647</v>
      </c>
      <c r="AF25" s="167">
        <f t="shared" si="13"/>
        <v>13152750</v>
      </c>
      <c r="AG25" s="167">
        <f t="shared" si="13"/>
        <v>224135737.0549185</v>
      </c>
      <c r="AH25" s="167">
        <f t="shared" si="13"/>
        <v>4709779.9109837059</v>
      </c>
      <c r="AI25" s="167">
        <f t="shared" si="13"/>
        <v>2789152.5347012677</v>
      </c>
      <c r="AJ25" s="167">
        <f t="shared" si="13"/>
        <v>15430125</v>
      </c>
      <c r="AK25" s="167">
        <f t="shared" si="13"/>
        <v>269733301.44123042</v>
      </c>
      <c r="AL25" s="167">
        <f t="shared" si="13"/>
        <v>5667924.7189391535</v>
      </c>
      <c r="AM25" s="167">
        <f t="shared" si="13"/>
        <v>3356570.1359967021</v>
      </c>
      <c r="AN25" s="167" t="e">
        <f t="shared" si="13"/>
        <v>#DIV/0!</v>
      </c>
      <c r="AO25" s="167" t="e">
        <f t="shared" si="13"/>
        <v>#DIV/0!</v>
      </c>
      <c r="AP25" s="167" t="e">
        <f t="shared" si="13"/>
        <v>#DIV/0!</v>
      </c>
      <c r="AQ25" s="167" t="e">
        <f t="shared" si="13"/>
        <v>#DIV/0!</v>
      </c>
      <c r="AS25" s="127" t="s">
        <v>24</v>
      </c>
      <c r="AT25" s="265">
        <f>X25/COMB_CORR!$B16</f>
        <v>2.3800531545770415E-2</v>
      </c>
      <c r="AU25" s="265">
        <f>Y25/COMB_CORR!$B16</f>
        <v>0.36977526761416701</v>
      </c>
      <c r="AV25" s="265">
        <f>Z25/COMB_CORR!$B16</f>
        <v>7.7701135475825699E-3</v>
      </c>
      <c r="AW25" s="265">
        <f>AA25/COMB_CORR!$B16</f>
        <v>4.6014956761811967E-3</v>
      </c>
      <c r="AX25" s="265">
        <f>AB25/COMB_CORR!$C16</f>
        <v>1.9693182759104148E-2</v>
      </c>
      <c r="AY25" s="265">
        <f>AC25/COMB_CORR!$C16</f>
        <v>0.34338959800114682</v>
      </c>
      <c r="AZ25" s="265">
        <f>AD25/COMB_CORR!$C16</f>
        <v>7.2156696275092365E-3</v>
      </c>
      <c r="BA25" s="265">
        <f>AE25/COMB_CORR!$C16</f>
        <v>4.2731515296923527E-3</v>
      </c>
      <c r="BB25" s="265">
        <f>AF25/COMB_CORR!$D16</f>
        <v>2.0914255407245154E-2</v>
      </c>
      <c r="BC25" s="265">
        <f>AG25/COMB_CORR!$D16</f>
        <v>0.35639938801069793</v>
      </c>
      <c r="BD25" s="265">
        <f>AH25/COMB_CORR!$D16</f>
        <v>7.4890452544316265E-3</v>
      </c>
      <c r="BE25" s="265">
        <f>AI25/COMB_CORR!$D16</f>
        <v>4.435045787421453E-3</v>
      </c>
      <c r="BF25" s="265">
        <f>AJ25/COMB_CORR!$E16</f>
        <v>2.0552593901483413E-2</v>
      </c>
      <c r="BG25" s="265">
        <f>AK25/COMB_CORR!$E16</f>
        <v>0.35927894338043403</v>
      </c>
      <c r="BH25" s="265">
        <f>AL25/COMB_CORR!$E16</f>
        <v>7.5495535527117207E-3</v>
      </c>
      <c r="BI25" s="265">
        <f>AM25/COMB_CORR!$E16</f>
        <v>4.4708790698057971E-3</v>
      </c>
      <c r="BJ25" s="265" t="e">
        <f>AN25/COMB_CORR!$F16</f>
        <v>#DIV/0!</v>
      </c>
      <c r="BK25" s="265" t="e">
        <f>AO25/COMB_CORR!$F16</f>
        <v>#DIV/0!</v>
      </c>
      <c r="BL25" s="265" t="e">
        <f>AP25/COMB_CORR!$F16</f>
        <v>#DIV/0!</v>
      </c>
      <c r="BM25" s="265" t="e">
        <f>AQ25/COMB_CORR!$F16</f>
        <v>#DIV/0!</v>
      </c>
    </row>
    <row r="26" spans="1:65" ht="15.75" thickBot="1">
      <c r="A26" s="127" t="s">
        <v>25</v>
      </c>
      <c r="B26" s="167">
        <f>DEN!J17</f>
        <v>27313</v>
      </c>
      <c r="C26" s="920">
        <f>DEN!$I17*ONSV_2013!P16</f>
        <v>183170.18069809413</v>
      </c>
      <c r="D26" s="920">
        <f>DEN!$I17*ONSV_2013!Q16</f>
        <v>5901.9079897625625</v>
      </c>
      <c r="E26" s="920">
        <f>DEN!$I17*ONSV_2013!R16</f>
        <v>2620.9113121433015</v>
      </c>
      <c r="F26" s="167">
        <f>DEN!J53</f>
        <v>31703</v>
      </c>
      <c r="G26" s="920">
        <f>DEN!$I53*ONSV_2013!P16</f>
        <v>218377.02345093997</v>
      </c>
      <c r="H26" s="920">
        <f>DEN!$I53*ONSV_2013!Q16</f>
        <v>7036.3041329853286</v>
      </c>
      <c r="I26" s="920">
        <f>DEN!$I53*ONSV_2013!R16</f>
        <v>3124.6724160746917</v>
      </c>
      <c r="J26" s="167">
        <f>DEN!J89</f>
        <v>37263</v>
      </c>
      <c r="K26" s="920">
        <f>DEN!$I89*ONSV_2013!P16</f>
        <v>260897.5634335397</v>
      </c>
      <c r="L26" s="920">
        <f>DEN!$I89*ONSV_2013!Q16</f>
        <v>8406.3541798646838</v>
      </c>
      <c r="M26" s="920">
        <f>DEN!$I89*ONSV_2013!R16</f>
        <v>3733.0823865956013</v>
      </c>
      <c r="N26" s="167">
        <f>DEN!J125</f>
        <v>43445</v>
      </c>
      <c r="O26" s="920">
        <f>DEN!$I125*ONSV_2013!P16</f>
        <v>304564.7504863909</v>
      </c>
      <c r="P26" s="920">
        <f>DEN!$I125*ONSV_2013!Q16</f>
        <v>9813.3502267947188</v>
      </c>
      <c r="Q26" s="920">
        <f>DEN!$I125*ONSV_2013!R16</f>
        <v>4357.8992868143714</v>
      </c>
      <c r="R26" s="167">
        <f>DEN!J161</f>
        <v>48579</v>
      </c>
      <c r="S26" s="167" t="e">
        <f>DEN!$I161*$K$2</f>
        <v>#DIV/0!</v>
      </c>
      <c r="T26" s="167" t="e">
        <f>DEN!$I161*$K$3</f>
        <v>#DIV/0!</v>
      </c>
      <c r="U26" s="167" t="e">
        <f>DEN!$I161*$K$4</f>
        <v>#DIV/0!</v>
      </c>
      <c r="W26" s="127" t="s">
        <v>25</v>
      </c>
      <c r="X26" s="167">
        <f t="shared" si="14"/>
        <v>5121187.5</v>
      </c>
      <c r="Y26" s="167">
        <f t="shared" si="13"/>
        <v>105322853.90140413</v>
      </c>
      <c r="Z26" s="167">
        <f t="shared" si="13"/>
        <v>2213215.4961609608</v>
      </c>
      <c r="AA26" s="167">
        <f t="shared" si="13"/>
        <v>1310455.6560716508</v>
      </c>
      <c r="AB26" s="167">
        <f t="shared" si="13"/>
        <v>5944312.5</v>
      </c>
      <c r="AC26" s="167">
        <f t="shared" si="13"/>
        <v>125566788.4842905</v>
      </c>
      <c r="AD26" s="167">
        <f t="shared" si="13"/>
        <v>2638614.0498694982</v>
      </c>
      <c r="AE26" s="167">
        <f t="shared" si="13"/>
        <v>1562336.2080373459</v>
      </c>
      <c r="AF26" s="167">
        <f t="shared" si="13"/>
        <v>6986812.5</v>
      </c>
      <c r="AG26" s="167">
        <f t="shared" si="13"/>
        <v>150016098.9742853</v>
      </c>
      <c r="AH26" s="167">
        <f t="shared" si="13"/>
        <v>3152382.8174492563</v>
      </c>
      <c r="AI26" s="167">
        <f t="shared" si="13"/>
        <v>1866541.1932978008</v>
      </c>
      <c r="AJ26" s="167">
        <f t="shared" si="13"/>
        <v>8145937.5</v>
      </c>
      <c r="AK26" s="167">
        <f t="shared" si="13"/>
        <v>175124731.52967474</v>
      </c>
      <c r="AL26" s="167">
        <f t="shared" si="13"/>
        <v>3680006.3350480199</v>
      </c>
      <c r="AM26" s="167">
        <f t="shared" si="13"/>
        <v>2178949.6434071856</v>
      </c>
      <c r="AN26" s="167" t="e">
        <f t="shared" si="13"/>
        <v>#DIV/0!</v>
      </c>
      <c r="AO26" s="167" t="e">
        <f t="shared" si="13"/>
        <v>#DIV/0!</v>
      </c>
      <c r="AP26" s="167" t="e">
        <f t="shared" si="13"/>
        <v>#DIV/0!</v>
      </c>
      <c r="AQ26" s="167" t="e">
        <f t="shared" si="13"/>
        <v>#DIV/0!</v>
      </c>
      <c r="AS26" s="127" t="s">
        <v>25</v>
      </c>
      <c r="AT26" s="265">
        <f>X26/COMB_CORR!$B17</f>
        <v>1.4261782345616706E-2</v>
      </c>
      <c r="AU26" s="265">
        <f>Y26/COMB_CORR!$B17</f>
        <v>0.29330924094480293</v>
      </c>
      <c r="AV26" s="265">
        <f>Z26/COMB_CORR!$B17</f>
        <v>6.1634919030388374E-3</v>
      </c>
      <c r="AW26" s="265">
        <f>AA26/COMB_CORR!$B17</f>
        <v>3.6494335230796036E-3</v>
      </c>
      <c r="AX26" s="265">
        <f>AB26/COMB_CORR!$C17</f>
        <v>1.3363241726472797E-2</v>
      </c>
      <c r="AY26" s="265">
        <f>AC26/COMB_CORR!$C17</f>
        <v>0.28228316518225693</v>
      </c>
      <c r="AZ26" s="265">
        <f>AD26/COMB_CORR!$C17</f>
        <v>5.9317940251750649E-3</v>
      </c>
      <c r="BA26" s="265">
        <f>AE26/COMB_CORR!$C17</f>
        <v>3.5122440830666194E-3</v>
      </c>
      <c r="BB26" s="265">
        <f>AF26/COMB_CORR!$D17</f>
        <v>1.3654403453395473E-2</v>
      </c>
      <c r="BC26" s="265">
        <f>AG26/COMB_CORR!$D17</f>
        <v>0.29317808942195001</v>
      </c>
      <c r="BD26" s="265">
        <f>AH26/COMB_CORR!$D17</f>
        <v>6.1607359334465714E-3</v>
      </c>
      <c r="BE26" s="265">
        <f>AI26/COMB_CORR!$D17</f>
        <v>3.647801700084323E-3</v>
      </c>
      <c r="BF26" s="265">
        <f>AJ26/COMB_CORR!$E17</f>
        <v>1.3845412394823054E-2</v>
      </c>
      <c r="BG26" s="265">
        <f>AK26/COMB_CORR!$E17</f>
        <v>0.29765439871850458</v>
      </c>
      <c r="BH26" s="265">
        <f>AL26/COMB_CORR!$E17</f>
        <v>6.2547994413535849E-3</v>
      </c>
      <c r="BI26" s="265">
        <f>AM26/COMB_CORR!$E17</f>
        <v>3.7034971604588325E-3</v>
      </c>
      <c r="BJ26" s="265" t="e">
        <f>AN26/COMB_CORR!$F17</f>
        <v>#DIV/0!</v>
      </c>
      <c r="BK26" s="265" t="e">
        <f>AO26/COMB_CORR!$F17</f>
        <v>#DIV/0!</v>
      </c>
      <c r="BL26" s="265" t="e">
        <f>AP26/COMB_CORR!$F17</f>
        <v>#DIV/0!</v>
      </c>
      <c r="BM26" s="265" t="e">
        <f>AQ26/COMB_CORR!$F17</f>
        <v>#DIV/0!</v>
      </c>
    </row>
    <row r="27" spans="1:65" ht="26.25" thickBot="1">
      <c r="A27" s="127" t="s">
        <v>26</v>
      </c>
      <c r="B27" s="167">
        <f>DEN!J18</f>
        <v>41546</v>
      </c>
      <c r="C27" s="920">
        <f>DEN!$I18*ONSV_2013!P17</f>
        <v>422847.27706376853</v>
      </c>
      <c r="D27" s="920">
        <f>DEN!$I18*ONSV_2013!Q17</f>
        <v>13624.262883868032</v>
      </c>
      <c r="E27" s="920">
        <f>DEN!$I18*ONSV_2013!R17</f>
        <v>6050.4600523634408</v>
      </c>
      <c r="F27" s="167">
        <f>DEN!J54</f>
        <v>48789</v>
      </c>
      <c r="G27" s="920">
        <f>DEN!$I54*ONSV_2013!P17</f>
        <v>504149.36050588154</v>
      </c>
      <c r="H27" s="920">
        <f>DEN!$I54*ONSV_2013!Q17</f>
        <v>16243.839780550936</v>
      </c>
      <c r="I27" s="920">
        <f>DEN!$I54*ONSV_2013!R17</f>
        <v>7213.7997135675014</v>
      </c>
      <c r="J27" s="167">
        <f>DEN!J90</f>
        <v>58875</v>
      </c>
      <c r="K27" s="920">
        <f>DEN!$I90*ONSV_2013!P17</f>
        <v>595649.91766930476</v>
      </c>
      <c r="L27" s="920">
        <f>DEN!$I90*ONSV_2013!Q17</f>
        <v>19192.01448199727</v>
      </c>
      <c r="M27" s="920">
        <f>DEN!$I90*ONSV_2013!R17</f>
        <v>8523.0678486979996</v>
      </c>
      <c r="N27" s="167">
        <f>DEN!J126</f>
        <v>69085</v>
      </c>
      <c r="O27" s="920">
        <f>DEN!$I126*ONSV_2013!P17</f>
        <v>686964.14461857488</v>
      </c>
      <c r="P27" s="920">
        <f>DEN!$I126*ONSV_2013!Q17</f>
        <v>22134.185569471072</v>
      </c>
      <c r="Q27" s="920">
        <f>DEN!$I126*ONSV_2013!R17</f>
        <v>9829.6698119540815</v>
      </c>
      <c r="R27" s="167">
        <f>DEN!J162</f>
        <v>79146</v>
      </c>
      <c r="S27" s="167" t="e">
        <f>DEN!$I162*$K$2</f>
        <v>#DIV/0!</v>
      </c>
      <c r="T27" s="167" t="e">
        <f>DEN!$I162*$K$3</f>
        <v>#DIV/0!</v>
      </c>
      <c r="U27" s="167" t="e">
        <f>DEN!$I162*$K$4</f>
        <v>#DIV/0!</v>
      </c>
      <c r="W27" s="127" t="s">
        <v>26</v>
      </c>
      <c r="X27" s="167">
        <f t="shared" si="14"/>
        <v>7789875</v>
      </c>
      <c r="Y27" s="167">
        <f t="shared" si="13"/>
        <v>243137184.31166691</v>
      </c>
      <c r="Z27" s="167">
        <f t="shared" si="13"/>
        <v>5109098.5814505126</v>
      </c>
      <c r="AA27" s="167">
        <f t="shared" si="13"/>
        <v>3025230.0261817207</v>
      </c>
      <c r="AB27" s="167">
        <f t="shared" si="13"/>
        <v>9147937.5</v>
      </c>
      <c r="AC27" s="167">
        <f t="shared" si="13"/>
        <v>289885882.29088193</v>
      </c>
      <c r="AD27" s="167">
        <f t="shared" si="13"/>
        <v>6091439.9177066004</v>
      </c>
      <c r="AE27" s="167">
        <f t="shared" si="13"/>
        <v>3606899.8567837505</v>
      </c>
      <c r="AF27" s="167">
        <f t="shared" si="13"/>
        <v>11039062.5</v>
      </c>
      <c r="AG27" s="167">
        <f t="shared" si="13"/>
        <v>342498702.65985024</v>
      </c>
      <c r="AH27" s="167">
        <f t="shared" si="13"/>
        <v>7197005.4307489768</v>
      </c>
      <c r="AI27" s="167">
        <f t="shared" si="13"/>
        <v>4261533.9243489997</v>
      </c>
      <c r="AJ27" s="167">
        <f t="shared" si="13"/>
        <v>12953437.5</v>
      </c>
      <c r="AK27" s="167">
        <f t="shared" si="13"/>
        <v>395004383.15568054</v>
      </c>
      <c r="AL27" s="167">
        <f t="shared" si="13"/>
        <v>8300319.5885516526</v>
      </c>
      <c r="AM27" s="167">
        <f t="shared" si="13"/>
        <v>4914834.9059770405</v>
      </c>
      <c r="AN27" s="167" t="e">
        <f t="shared" si="13"/>
        <v>#DIV/0!</v>
      </c>
      <c r="AO27" s="167" t="e">
        <f t="shared" si="13"/>
        <v>#DIV/0!</v>
      </c>
      <c r="AP27" s="167" t="e">
        <f t="shared" si="13"/>
        <v>#DIV/0!</v>
      </c>
      <c r="AQ27" s="167" t="e">
        <f t="shared" si="13"/>
        <v>#DIV/0!</v>
      </c>
      <c r="AS27" s="127" t="s">
        <v>26</v>
      </c>
      <c r="AT27" s="265">
        <f>X27/COMB_CORR!$B18</f>
        <v>1.1107369932098323E-2</v>
      </c>
      <c r="AU27" s="265">
        <f>Y27/COMB_CORR!$B18</f>
        <v>0.34668266825827848</v>
      </c>
      <c r="AV27" s="265">
        <f>Z27/COMB_CORR!$B18</f>
        <v>7.284924079491599E-3</v>
      </c>
      <c r="AW27" s="265">
        <f>AA27/COMB_CORR!$B18</f>
        <v>4.3135928407698285E-3</v>
      </c>
      <c r="AX27" s="265">
        <f>AB27/COMB_CORR!$C18</f>
        <v>1.017644173840563E-2</v>
      </c>
      <c r="AY27" s="265">
        <f>AC27/COMB_CORR!$C18</f>
        <v>0.32247780353981126</v>
      </c>
      <c r="AZ27" s="265">
        <f>AD27/COMB_CORR!$C18</f>
        <v>6.776301589898226E-3</v>
      </c>
      <c r="BA27" s="265">
        <f>AE27/COMB_CORR!$C18</f>
        <v>4.0124242485066654E-3</v>
      </c>
      <c r="BB27" s="265">
        <f>AF27/COMB_CORR!$D18</f>
        <v>9.9732604028528425E-3</v>
      </c>
      <c r="BC27" s="265">
        <f>AG27/COMB_CORR!$D18</f>
        <v>0.30943105442748908</v>
      </c>
      <c r="BD27" s="265">
        <f>AH27/COMB_CORR!$D18</f>
        <v>6.5021471960690167E-3</v>
      </c>
      <c r="BE27" s="265">
        <f>AI27/COMB_CORR!$D18</f>
        <v>3.8500903082235435E-3</v>
      </c>
      <c r="BF27" s="265">
        <f>AJ27/COMB_CORR!$E18</f>
        <v>1.0039664255328184E-2</v>
      </c>
      <c r="BG27" s="265">
        <f>AK27/COMB_CORR!$E18</f>
        <v>0.30615127345664378</v>
      </c>
      <c r="BH27" s="265">
        <f>AL27/COMB_CORR!$E18</f>
        <v>6.4332283906092394E-3</v>
      </c>
      <c r="BI27" s="265">
        <f>AM27/COMB_CORR!$E18</f>
        <v>3.8092816927072022E-3</v>
      </c>
      <c r="BJ27" s="265" t="e">
        <f>AN27/COMB_CORR!$F18</f>
        <v>#DIV/0!</v>
      </c>
      <c r="BK27" s="265" t="e">
        <f>AO27/COMB_CORR!$F18</f>
        <v>#DIV/0!</v>
      </c>
      <c r="BL27" s="265" t="e">
        <f>AP27/COMB_CORR!$F18</f>
        <v>#DIV/0!</v>
      </c>
      <c r="BM27" s="265" t="e">
        <f>AQ27/COMB_CORR!$F18</f>
        <v>#DIV/0!</v>
      </c>
    </row>
    <row r="28" spans="1:65" ht="15.75" thickBot="1">
      <c r="A28" s="127" t="s">
        <v>27</v>
      </c>
      <c r="B28" s="167">
        <f>DEN!J19</f>
        <v>37178</v>
      </c>
      <c r="C28" s="920">
        <f>DEN!$I19*ONSV_2013!P18</f>
        <v>195714.46759315915</v>
      </c>
      <c r="D28" s="920">
        <f>DEN!$I19*ONSV_2013!Q18</f>
        <v>6306.0086785371923</v>
      </c>
      <c r="E28" s="920">
        <f>DEN!$I19*ONSV_2013!R18</f>
        <v>2800.5237283036572</v>
      </c>
      <c r="F28" s="167">
        <f>DEN!J55</f>
        <v>42156</v>
      </c>
      <c r="G28" s="920">
        <f>DEN!$I55*ONSV_2013!P18</f>
        <v>234664.15111209691</v>
      </c>
      <c r="H28" s="920">
        <f>DEN!$I55*ONSV_2013!Q18</f>
        <v>7560.9851006547142</v>
      </c>
      <c r="I28" s="920">
        <f>DEN!$I55*ONSV_2013!R18</f>
        <v>3357.8637872483632</v>
      </c>
      <c r="J28" s="167">
        <f>DEN!J91</f>
        <v>49571</v>
      </c>
      <c r="K28" s="920">
        <f>DEN!$I91*ONSV_2013!P18</f>
        <v>280226.16498653858</v>
      </c>
      <c r="L28" s="920">
        <f>DEN!$I91*ONSV_2013!Q18</f>
        <v>9029.0137979563115</v>
      </c>
      <c r="M28" s="920">
        <f>DEN!$I91*ONSV_2013!R18</f>
        <v>4009.8212155051092</v>
      </c>
      <c r="N28" s="167">
        <f>DEN!J127</f>
        <v>57214</v>
      </c>
      <c r="O28" s="920">
        <f>DEN!$I127*ONSV_2013!P18</f>
        <v>328799.08246649941</v>
      </c>
      <c r="P28" s="920">
        <f>DEN!$I127*ONSV_2013!Q18</f>
        <v>10594.055171429154</v>
      </c>
      <c r="Q28" s="920">
        <f>DEN!$I127*ONSV_2013!R18</f>
        <v>4704.862362071427</v>
      </c>
      <c r="R28" s="167">
        <f>DEN!J163</f>
        <v>65746</v>
      </c>
      <c r="S28" s="167" t="e">
        <f>DEN!$I163*$K$2</f>
        <v>#DIV/0!</v>
      </c>
      <c r="T28" s="167" t="e">
        <f>DEN!$I163*$K$3</f>
        <v>#DIV/0!</v>
      </c>
      <c r="U28" s="167" t="e">
        <f>DEN!$I163*$K$4</f>
        <v>#DIV/0!</v>
      </c>
      <c r="W28" s="127" t="s">
        <v>27</v>
      </c>
      <c r="X28" s="167">
        <f t="shared" si="14"/>
        <v>6970875</v>
      </c>
      <c r="Y28" s="167">
        <f t="shared" si="13"/>
        <v>112535818.8660665</v>
      </c>
      <c r="Z28" s="167">
        <f t="shared" si="13"/>
        <v>2364753.2544514472</v>
      </c>
      <c r="AA28" s="167">
        <f t="shared" si="13"/>
        <v>1400261.8641518285</v>
      </c>
      <c r="AB28" s="167">
        <f t="shared" si="13"/>
        <v>7904250</v>
      </c>
      <c r="AC28" s="167">
        <f t="shared" si="13"/>
        <v>134931886.88945571</v>
      </c>
      <c r="AD28" s="167">
        <f t="shared" si="13"/>
        <v>2835369.4127455177</v>
      </c>
      <c r="AE28" s="167">
        <f t="shared" si="13"/>
        <v>1678931.8936241816</v>
      </c>
      <c r="AF28" s="167">
        <f t="shared" si="13"/>
        <v>9294562.5</v>
      </c>
      <c r="AG28" s="167">
        <f t="shared" si="13"/>
        <v>161130044.86725968</v>
      </c>
      <c r="AH28" s="167">
        <f t="shared" si="13"/>
        <v>3385880.1742336168</v>
      </c>
      <c r="AI28" s="167">
        <f t="shared" si="13"/>
        <v>2004910.6077525546</v>
      </c>
      <c r="AJ28" s="167">
        <f t="shared" si="13"/>
        <v>10727625</v>
      </c>
      <c r="AK28" s="167">
        <f t="shared" si="13"/>
        <v>189059472.41823718</v>
      </c>
      <c r="AL28" s="167">
        <f t="shared" si="13"/>
        <v>3972770.6892859326</v>
      </c>
      <c r="AM28" s="167">
        <f t="shared" si="13"/>
        <v>2352431.1810357133</v>
      </c>
      <c r="AN28" s="167" t="e">
        <f t="shared" si="13"/>
        <v>#DIV/0!</v>
      </c>
      <c r="AO28" s="167" t="e">
        <f t="shared" si="13"/>
        <v>#DIV/0!</v>
      </c>
      <c r="AP28" s="167" t="e">
        <f t="shared" si="13"/>
        <v>#DIV/0!</v>
      </c>
      <c r="AQ28" s="167" t="e">
        <f t="shared" si="13"/>
        <v>#DIV/0!</v>
      </c>
      <c r="AS28" s="127" t="s">
        <v>27</v>
      </c>
      <c r="AT28" s="265">
        <f>X28/COMB_CORR!$B19</f>
        <v>2.4959268449466047E-2</v>
      </c>
      <c r="AU28" s="265">
        <f>Y28/COMB_CORR!$B19</f>
        <v>0.40293531490073192</v>
      </c>
      <c r="AV28" s="265">
        <f>Z28/COMB_CORR!$B19</f>
        <v>8.4670161629066872E-3</v>
      </c>
      <c r="AW28" s="265">
        <f>AA28/COMB_CORR!$B19</f>
        <v>5.0136477510951266E-3</v>
      </c>
      <c r="AX28" s="265">
        <f>AB28/COMB_CORR!$C19</f>
        <v>2.2884936620371783E-2</v>
      </c>
      <c r="AY28" s="265">
        <f>AC28/COMB_CORR!$C19</f>
        <v>0.39066422235283149</v>
      </c>
      <c r="AZ28" s="265">
        <f>AD28/COMB_CORR!$C19</f>
        <v>8.2091595415152534E-3</v>
      </c>
      <c r="BA28" s="265">
        <f>AE28/COMB_CORR!$C19</f>
        <v>4.8609608723800711E-3</v>
      </c>
      <c r="BB28" s="265">
        <f>AF28/COMB_CORR!$D19</f>
        <v>2.4852708350769373E-2</v>
      </c>
      <c r="BC28" s="265">
        <f>AG28/COMB_CORR!$D19</f>
        <v>0.43084524006723163</v>
      </c>
      <c r="BD28" s="265">
        <f>AH28/COMB_CORR!$D19</f>
        <v>9.0534968677525463E-3</v>
      </c>
      <c r="BE28" s="265">
        <f>AI28/COMB_CORR!$D19</f>
        <v>5.3609256599047037E-3</v>
      </c>
      <c r="BF28" s="265">
        <f>AJ28/COMB_CORR!$E19</f>
        <v>2.3581850630897887E-2</v>
      </c>
      <c r="BG28" s="265">
        <f>AK28/COMB_CORR!$E19</f>
        <v>0.41559732363157997</v>
      </c>
      <c r="BH28" s="265">
        <f>AL28/COMB_CORR!$E19</f>
        <v>8.7330872383729018E-3</v>
      </c>
      <c r="BI28" s="265">
        <f>AM28/COMB_CORR!$E19</f>
        <v>5.171198725780487E-3</v>
      </c>
      <c r="BJ28" s="265" t="e">
        <f>AN28/COMB_CORR!$F19</f>
        <v>#DIV/0!</v>
      </c>
      <c r="BK28" s="265" t="e">
        <f>AO28/COMB_CORR!$F19</f>
        <v>#DIV/0!</v>
      </c>
      <c r="BL28" s="265" t="e">
        <f>AP28/COMB_CORR!$F19</f>
        <v>#DIV/0!</v>
      </c>
      <c r="BM28" s="265" t="e">
        <f>AQ28/COMB_CORR!$F19</f>
        <v>#DIV/0!</v>
      </c>
    </row>
    <row r="29" spans="1:65" ht="39" thickBot="1">
      <c r="A29" s="127" t="s">
        <v>28</v>
      </c>
      <c r="B29" s="167">
        <f>DEN!J20</f>
        <v>28462</v>
      </c>
      <c r="C29" s="920">
        <f>DEN!$I20*ONSV_2013!P19</f>
        <v>191973.57174965317</v>
      </c>
      <c r="D29" s="920">
        <f>DEN!$I20*ONSV_2013!Q19</f>
        <v>6185.3931555065519</v>
      </c>
      <c r="E29" s="920">
        <f>DEN!$I20*ONSV_2013!R19</f>
        <v>2747.035094840277</v>
      </c>
      <c r="F29" s="167">
        <f>DEN!J56</f>
        <v>31669</v>
      </c>
      <c r="G29" s="920">
        <f>DEN!$I56*ONSV_2013!P19</f>
        <v>221110.83058394471</v>
      </c>
      <c r="H29" s="920">
        <f>DEN!$I56*ONSV_2013!Q19</f>
        <v>7124.1963445146512</v>
      </c>
      <c r="I29" s="920">
        <f>DEN!$I56*ONSV_2013!R19</f>
        <v>3163.9730715406472</v>
      </c>
      <c r="J29" s="167">
        <f>DEN!J92</f>
        <v>35733</v>
      </c>
      <c r="K29" s="920">
        <f>DEN!$I92*ONSV_2013!P19</f>
        <v>253018.19775000453</v>
      </c>
      <c r="L29" s="920">
        <f>DEN!$I92*ONSV_2013!Q19</f>
        <v>8152.2524914125779</v>
      </c>
      <c r="M29" s="920">
        <f>DEN!$I92*ONSV_2013!R19</f>
        <v>3620.5497585828784</v>
      </c>
      <c r="N29" s="167">
        <f>DEN!J128</f>
        <v>39933</v>
      </c>
      <c r="O29" s="920">
        <f>DEN!$I128*ONSV_2013!P19</f>
        <v>284947.54231917951</v>
      </c>
      <c r="P29" s="920">
        <f>DEN!$I128*ONSV_2013!Q19</f>
        <v>9181.0167507739279</v>
      </c>
      <c r="Q29" s="920">
        <f>DEN!$I128*ONSV_2013!R19</f>
        <v>4077.4409300465873</v>
      </c>
      <c r="R29" s="167">
        <f>DEN!J164</f>
        <v>44357</v>
      </c>
      <c r="S29" s="167" t="e">
        <f>DEN!$I164*$K$2</f>
        <v>#DIV/0!</v>
      </c>
      <c r="T29" s="167" t="e">
        <f>DEN!$I164*$K$3</f>
        <v>#DIV/0!</v>
      </c>
      <c r="U29" s="167" t="e">
        <f>DEN!$I164*$K$4</f>
        <v>#DIV/0!</v>
      </c>
      <c r="W29" s="127" t="s">
        <v>28</v>
      </c>
      <c r="X29" s="167">
        <f t="shared" si="14"/>
        <v>5336625</v>
      </c>
      <c r="Y29" s="167">
        <f t="shared" si="13"/>
        <v>110384803.75605057</v>
      </c>
      <c r="Z29" s="167">
        <f t="shared" si="13"/>
        <v>2319522.4333149572</v>
      </c>
      <c r="AA29" s="167">
        <f t="shared" si="13"/>
        <v>1373517.5474201385</v>
      </c>
      <c r="AB29" s="167">
        <f t="shared" si="13"/>
        <v>5937937.5</v>
      </c>
      <c r="AC29" s="167">
        <f t="shared" si="13"/>
        <v>127138727.58576821</v>
      </c>
      <c r="AD29" s="167">
        <f t="shared" si="13"/>
        <v>2671573.629192994</v>
      </c>
      <c r="AE29" s="167">
        <f t="shared" si="13"/>
        <v>1581986.5357703236</v>
      </c>
      <c r="AF29" s="167">
        <f t="shared" si="13"/>
        <v>6699937.5</v>
      </c>
      <c r="AG29" s="167">
        <f t="shared" si="13"/>
        <v>145485463.7062526</v>
      </c>
      <c r="AH29" s="167">
        <f t="shared" si="13"/>
        <v>3057094.6842797166</v>
      </c>
      <c r="AI29" s="167">
        <f t="shared" si="13"/>
        <v>1810274.879291439</v>
      </c>
      <c r="AJ29" s="167">
        <f t="shared" si="13"/>
        <v>7487437.5</v>
      </c>
      <c r="AK29" s="167">
        <f t="shared" si="13"/>
        <v>163844836.83352822</v>
      </c>
      <c r="AL29" s="167">
        <f t="shared" si="13"/>
        <v>3442881.2815402234</v>
      </c>
      <c r="AM29" s="167">
        <f t="shared" si="13"/>
        <v>2038720.4650232936</v>
      </c>
      <c r="AN29" s="167" t="e">
        <f t="shared" si="13"/>
        <v>#DIV/0!</v>
      </c>
      <c r="AO29" s="167" t="e">
        <f t="shared" si="13"/>
        <v>#DIV/0!</v>
      </c>
      <c r="AP29" s="167" t="e">
        <f t="shared" si="13"/>
        <v>#DIV/0!</v>
      </c>
      <c r="AQ29" s="167" t="e">
        <f t="shared" si="13"/>
        <v>#DIV/0!</v>
      </c>
      <c r="AS29" s="127" t="s">
        <v>28</v>
      </c>
      <c r="AT29" s="265">
        <f>X29/COMB_CORR!$B20</f>
        <v>1.5963899003212028E-2</v>
      </c>
      <c r="AU29" s="265">
        <f>Y29/COMB_CORR!$B20</f>
        <v>0.33020342607002945</v>
      </c>
      <c r="AV29" s="265">
        <f>Z29/COMB_CORR!$B20</f>
        <v>6.9385841915301488E-3</v>
      </c>
      <c r="AW29" s="265">
        <f>AA29/COMB_CORR!$B20</f>
        <v>4.1087195383139302E-3</v>
      </c>
      <c r="AX29" s="265">
        <f>AB29/COMB_CORR!$C20</f>
        <v>1.4714264656870243E-2</v>
      </c>
      <c r="AY29" s="265">
        <f>AC29/COMB_CORR!$C20</f>
        <v>0.31505095596488225</v>
      </c>
      <c r="AZ29" s="265">
        <f>AD29/COMB_CORR!$C20</f>
        <v>6.6201844378222302E-3</v>
      </c>
      <c r="BA29" s="265">
        <f>AE29/COMB_CORR!$C20</f>
        <v>3.9201774304512072E-3</v>
      </c>
      <c r="BB29" s="265">
        <f>AF29/COMB_CORR!$D20</f>
        <v>1.3828072350445572E-2</v>
      </c>
      <c r="BC29" s="265">
        <f>AG29/COMB_CORR!$D20</f>
        <v>0.30026899774336469</v>
      </c>
      <c r="BD29" s="265">
        <f>AH29/COMB_CORR!$D20</f>
        <v>6.3095702723170903E-3</v>
      </c>
      <c r="BE29" s="265">
        <f>AI29/COMB_CORR!$D20</f>
        <v>3.7362456000576338E-3</v>
      </c>
      <c r="BF29" s="265">
        <f>AJ29/COMB_CORR!$E20</f>
        <v>1.3325127738677188E-2</v>
      </c>
      <c r="BG29" s="265">
        <f>AK29/COMB_CORR!$E20</f>
        <v>0.29158886202782791</v>
      </c>
      <c r="BH29" s="265">
        <f>AL29/COMB_CORR!$E20</f>
        <v>6.1271740653092727E-3</v>
      </c>
      <c r="BI29" s="265">
        <f>AM29/COMB_CORR!$E20</f>
        <v>3.6282387158344557E-3</v>
      </c>
      <c r="BJ29" s="265" t="e">
        <f>AN29/COMB_CORR!$F20</f>
        <v>#DIV/0!</v>
      </c>
      <c r="BK29" s="265" t="e">
        <f>AO29/COMB_CORR!$F20</f>
        <v>#DIV/0!</v>
      </c>
      <c r="BL29" s="265" t="e">
        <f>AP29/COMB_CORR!$F20</f>
        <v>#DIV/0!</v>
      </c>
      <c r="BM29" s="265" t="e">
        <f>AQ29/COMB_CORR!$F20</f>
        <v>#DIV/0!</v>
      </c>
    </row>
    <row r="30" spans="1:65" ht="15.75" thickBot="1">
      <c r="A30" s="128" t="s">
        <v>29</v>
      </c>
      <c r="B30" s="167">
        <f>DEN!J21</f>
        <v>17068</v>
      </c>
      <c r="C30" s="920">
        <f>DEN!$I21*ONSV_2013!P20</f>
        <v>96999.452778650942</v>
      </c>
      <c r="D30" s="920">
        <f>DEN!$I21*ONSV_2013!Q20</f>
        <v>3125.4829064461233</v>
      </c>
      <c r="E30" s="920">
        <f>DEN!$I21*ONSV_2013!R20</f>
        <v>1388.0643149029343</v>
      </c>
      <c r="F30" s="167">
        <f>DEN!J57</f>
        <v>20222</v>
      </c>
      <c r="G30" s="920">
        <f>DEN!$I57*ONSV_2013!P20</f>
        <v>116646.25415957597</v>
      </c>
      <c r="H30" s="920">
        <f>DEN!$I57*ONSV_2013!Q20</f>
        <v>3758.5353631702746</v>
      </c>
      <c r="I30" s="920">
        <f>DEN!$I57*ONSV_2013!R20</f>
        <v>1669.2104772537587</v>
      </c>
      <c r="J30" s="167">
        <f>DEN!J93</f>
        <v>23723</v>
      </c>
      <c r="K30" s="920">
        <f>DEN!$I93*ONSV_2013!P20</f>
        <v>139023.02546148261</v>
      </c>
      <c r="L30" s="920">
        <f>DEN!$I93*ONSV_2013!Q20</f>
        <v>4479.5519689562852</v>
      </c>
      <c r="M30" s="920">
        <f>DEN!$I93*ONSV_2013!R20</f>
        <v>1989.4225695611174</v>
      </c>
      <c r="N30" s="167">
        <f>DEN!J129</f>
        <v>27484</v>
      </c>
      <c r="O30" s="920">
        <f>DEN!$I129*ONSV_2013!P20</f>
        <v>158848.51230800914</v>
      </c>
      <c r="P30" s="920">
        <f>DEN!$I129*ONSV_2013!Q20</f>
        <v>5118.3619671136066</v>
      </c>
      <c r="Q30" s="920">
        <f>DEN!$I129*ONSV_2013!R20</f>
        <v>2273.1257248772454</v>
      </c>
      <c r="R30" s="167">
        <f>DEN!J165</f>
        <v>31133</v>
      </c>
      <c r="S30" s="167" t="e">
        <f>DEN!$I165*$K$2</f>
        <v>#DIV/0!</v>
      </c>
      <c r="T30" s="167" t="e">
        <f>DEN!$I165*$K$3</f>
        <v>#DIV/0!</v>
      </c>
      <c r="U30" s="167" t="e">
        <f>DEN!$I165*$K$4</f>
        <v>#DIV/0!</v>
      </c>
      <c r="W30" s="128" t="s">
        <v>29</v>
      </c>
      <c r="X30" s="167">
        <f t="shared" si="14"/>
        <v>3200250</v>
      </c>
      <c r="Y30" s="167">
        <f t="shared" si="13"/>
        <v>55774685.347724296</v>
      </c>
      <c r="Z30" s="167">
        <f t="shared" si="13"/>
        <v>1172056.0899172961</v>
      </c>
      <c r="AA30" s="167">
        <f t="shared" si="13"/>
        <v>694032.15745146712</v>
      </c>
      <c r="AB30" s="167">
        <f t="shared" si="13"/>
        <v>3791625</v>
      </c>
      <c r="AC30" s="167">
        <f t="shared" si="13"/>
        <v>67071596.141756184</v>
      </c>
      <c r="AD30" s="167">
        <f t="shared" si="13"/>
        <v>1409450.7611888531</v>
      </c>
      <c r="AE30" s="167">
        <f t="shared" si="13"/>
        <v>834605.23862687941</v>
      </c>
      <c r="AF30" s="167">
        <f t="shared" si="13"/>
        <v>4448062.5</v>
      </c>
      <c r="AG30" s="167">
        <f t="shared" si="13"/>
        <v>79938239.640352502</v>
      </c>
      <c r="AH30" s="167">
        <f t="shared" si="13"/>
        <v>1679831.9883586071</v>
      </c>
      <c r="AI30" s="167">
        <f t="shared" si="13"/>
        <v>994711.28478055878</v>
      </c>
      <c r="AJ30" s="167">
        <f t="shared" si="13"/>
        <v>5153250</v>
      </c>
      <c r="AK30" s="167">
        <f t="shared" si="13"/>
        <v>91337894.577105254</v>
      </c>
      <c r="AL30" s="167">
        <f t="shared" si="13"/>
        <v>1919385.7376676023</v>
      </c>
      <c r="AM30" s="167">
        <f t="shared" si="13"/>
        <v>1136562.8624386226</v>
      </c>
      <c r="AN30" s="167" t="e">
        <f t="shared" si="13"/>
        <v>#DIV/0!</v>
      </c>
      <c r="AO30" s="167" t="e">
        <f t="shared" si="13"/>
        <v>#DIV/0!</v>
      </c>
      <c r="AP30" s="167" t="e">
        <f t="shared" si="13"/>
        <v>#DIV/0!</v>
      </c>
      <c r="AQ30" s="167" t="e">
        <f t="shared" si="13"/>
        <v>#DIV/0!</v>
      </c>
      <c r="AS30" s="128" t="s">
        <v>29</v>
      </c>
      <c r="AT30" s="265">
        <f>X30/COMB_CORR!$B21</f>
        <v>1.5234120454314829E-2</v>
      </c>
      <c r="AU30" s="265">
        <f>Y30/COMB_CORR!$B21</f>
        <v>0.26550371842472942</v>
      </c>
      <c r="AV30" s="265">
        <f>Z30/COMB_CORR!$B21</f>
        <v>5.5793277565856858E-3</v>
      </c>
      <c r="AW30" s="265">
        <f>AA30/COMB_CORR!$B21</f>
        <v>3.303794855334316E-3</v>
      </c>
      <c r="AX30" s="265">
        <f>AB30/COMB_CORR!$C21</f>
        <v>1.4635902292447532E-2</v>
      </c>
      <c r="AY30" s="265">
        <f>AC30/COMB_CORR!$C21</f>
        <v>0.25890042599920732</v>
      </c>
      <c r="AZ30" s="265">
        <f>AD30/COMB_CORR!$C21</f>
        <v>5.4405653583294378E-3</v>
      </c>
      <c r="BA30" s="265">
        <f>AE30/COMB_CORR!$C21</f>
        <v>3.2216268025735311E-3</v>
      </c>
      <c r="BB30" s="265">
        <f>AF30/COMB_CORR!$D21</f>
        <v>1.4906318322877227E-2</v>
      </c>
      <c r="BC30" s="265">
        <f>AG30/COMB_CORR!$D21</f>
        <v>0.26788851241400885</v>
      </c>
      <c r="BD30" s="265">
        <f>AH30/COMB_CORR!$D21</f>
        <v>5.6294421104526272E-3</v>
      </c>
      <c r="BE30" s="265">
        <f>AI30/COMB_CORR!$D21</f>
        <v>3.3334700333678292E-3</v>
      </c>
      <c r="BF30" s="265">
        <f>AJ30/COMB_CORR!$E21</f>
        <v>1.5152511984804117E-2</v>
      </c>
      <c r="BG30" s="265">
        <f>AK30/COMB_CORR!$E21</f>
        <v>0.26856809629774653</v>
      </c>
      <c r="BH30" s="265">
        <f>AL30/COMB_CORR!$E21</f>
        <v>5.6437229696735917E-3</v>
      </c>
      <c r="BI30" s="265">
        <f>AM30/COMB_CORR!$E21</f>
        <v>3.341926433723282E-3</v>
      </c>
      <c r="BJ30" s="265" t="e">
        <f>AN30/COMB_CORR!$F21</f>
        <v>#DIV/0!</v>
      </c>
      <c r="BK30" s="265" t="e">
        <f>AO30/COMB_CORR!$F21</f>
        <v>#DIV/0!</v>
      </c>
      <c r="BL30" s="265" t="e">
        <f>AP30/COMB_CORR!$F21</f>
        <v>#DIV/0!</v>
      </c>
      <c r="BM30" s="265" t="e">
        <f>AQ30/COMB_CORR!$F21</f>
        <v>#DIV/0!</v>
      </c>
    </row>
    <row r="31" spans="1:65" s="273" customFormat="1" ht="26.25" thickBot="1">
      <c r="A31" s="269" t="s">
        <v>64</v>
      </c>
      <c r="B31" s="281">
        <f>SUM(B32:B35)</f>
        <v>741803</v>
      </c>
      <c r="C31" s="281">
        <f t="shared" ref="C31:M31" si="15">SUM(C32:C35)</f>
        <v>4856266.3763953783</v>
      </c>
      <c r="D31" s="281">
        <f t="shared" si="15"/>
        <v>156469.30553423578</v>
      </c>
      <c r="E31" s="281">
        <f t="shared" si="15"/>
        <v>69489.318070386027</v>
      </c>
      <c r="F31" s="281">
        <f t="shared" si="15"/>
        <v>817332</v>
      </c>
      <c r="G31" s="281">
        <f t="shared" si="15"/>
        <v>5332502.4703025669</v>
      </c>
      <c r="H31" s="281">
        <f t="shared" si="15"/>
        <v>171813.65812794317</v>
      </c>
      <c r="I31" s="281">
        <f t="shared" si="15"/>
        <v>76303.871569489842</v>
      </c>
      <c r="J31" s="281">
        <f t="shared" si="15"/>
        <v>908421</v>
      </c>
      <c r="K31" s="281">
        <f t="shared" si="15"/>
        <v>5858318.6402901839</v>
      </c>
      <c r="L31" s="281">
        <f t="shared" si="15"/>
        <v>188755.48409985425</v>
      </c>
      <c r="M31" s="281">
        <f t="shared" si="15"/>
        <v>83827.875609962502</v>
      </c>
      <c r="N31" s="281">
        <f t="shared" ref="N31:U31" si="16">SUM(N32:N35)</f>
        <v>1005946</v>
      </c>
      <c r="O31" s="281">
        <f t="shared" si="16"/>
        <v>6360724.0985139394</v>
      </c>
      <c r="P31" s="281">
        <f t="shared" si="16"/>
        <v>204943.01219302716</v>
      </c>
      <c r="Q31" s="281">
        <f t="shared" si="16"/>
        <v>91016.889293033106</v>
      </c>
      <c r="R31" s="281">
        <f t="shared" si="16"/>
        <v>1093365</v>
      </c>
      <c r="S31" s="281" t="e">
        <f t="shared" si="16"/>
        <v>#DIV/0!</v>
      </c>
      <c r="T31" s="281" t="e">
        <f t="shared" si="16"/>
        <v>#DIV/0!</v>
      </c>
      <c r="U31" s="281" t="e">
        <f t="shared" si="16"/>
        <v>#DIV/0!</v>
      </c>
      <c r="W31" s="164" t="s">
        <v>64</v>
      </c>
      <c r="X31" s="282">
        <f>SUM(X32:X35)</f>
        <v>139088062.5</v>
      </c>
      <c r="Y31" s="282">
        <f t="shared" ref="Y31:AM31" si="17">SUM(Y32:Y35)</f>
        <v>2792353166.4273424</v>
      </c>
      <c r="Z31" s="282">
        <f t="shared" si="17"/>
        <v>58675989.575338423</v>
      </c>
      <c r="AA31" s="282">
        <f t="shared" si="17"/>
        <v>34744659.035193019</v>
      </c>
      <c r="AB31" s="282">
        <f t="shared" si="17"/>
        <v>153249750</v>
      </c>
      <c r="AC31" s="282">
        <f t="shared" si="17"/>
        <v>3066188920.4239759</v>
      </c>
      <c r="AD31" s="282">
        <f t="shared" si="17"/>
        <v>64430121.797978699</v>
      </c>
      <c r="AE31" s="282">
        <f t="shared" si="17"/>
        <v>38151935.784744926</v>
      </c>
      <c r="AF31" s="282">
        <f t="shared" si="17"/>
        <v>170328937.5</v>
      </c>
      <c r="AG31" s="282">
        <f t="shared" si="17"/>
        <v>3368533218.1668549</v>
      </c>
      <c r="AH31" s="282">
        <f t="shared" si="17"/>
        <v>70783306.537445337</v>
      </c>
      <c r="AI31" s="282">
        <f t="shared" si="17"/>
        <v>41913937.804981254</v>
      </c>
      <c r="AJ31" s="282">
        <f t="shared" si="17"/>
        <v>188614875</v>
      </c>
      <c r="AK31" s="282">
        <f t="shared" si="17"/>
        <v>3657416356.6455154</v>
      </c>
      <c r="AL31" s="282">
        <f t="shared" si="17"/>
        <v>76853629.572385192</v>
      </c>
      <c r="AM31" s="282">
        <f t="shared" si="17"/>
        <v>45508444.646516554</v>
      </c>
      <c r="AN31" s="282" t="e">
        <f>SUM(AN32:AN35)</f>
        <v>#DIV/0!</v>
      </c>
      <c r="AO31" s="282" t="e">
        <f>SUM(AO32:AO35)</f>
        <v>#DIV/0!</v>
      </c>
      <c r="AP31" s="282" t="e">
        <f>SUM(AP32:AP35)</f>
        <v>#DIV/0!</v>
      </c>
      <c r="AQ31" s="282" t="e">
        <f>SUM(AQ32:AQ35)</f>
        <v>#DIV/0!</v>
      </c>
      <c r="AS31" s="164" t="s">
        <v>64</v>
      </c>
      <c r="AT31" s="283">
        <f>X31/COMB_CORR!$B22</f>
        <v>1.1734457519630913E-2</v>
      </c>
      <c r="AU31" s="283">
        <f>Y31/COMB_CORR!$B22</f>
        <v>0.23558275974437792</v>
      </c>
      <c r="AV31" s="283">
        <f>Z31/COMB_CORR!$B22</f>
        <v>4.9503235196342969E-3</v>
      </c>
      <c r="AW31" s="283">
        <f>AA31/COMB_CORR!$B22</f>
        <v>2.9313063835548999E-3</v>
      </c>
      <c r="AX31" s="283">
        <f>AB31/COMB_CORR!$C22</f>
        <v>1.1252125763143543E-2</v>
      </c>
      <c r="AY31" s="283">
        <f>AC31/COMB_CORR!$C22</f>
        <v>0.22513017702259158</v>
      </c>
      <c r="AZ31" s="283">
        <f>AD31/COMB_CORR!$C22</f>
        <v>4.7306819972333554E-3</v>
      </c>
      <c r="BA31" s="283">
        <f>AE31/COMB_CORR!$C22</f>
        <v>2.8012468506951982E-3</v>
      </c>
      <c r="BB31" s="283">
        <f>AF31/COMB_CORR!$D22</f>
        <v>1.0287039720281744E-2</v>
      </c>
      <c r="BC31" s="283">
        <f>AG31/COMB_CORR!$D22</f>
        <v>0.20344302925256563</v>
      </c>
      <c r="BD31" s="283">
        <f>AH31/COMB_CORR!$D22</f>
        <v>4.2749675807939478E-3</v>
      </c>
      <c r="BE31" s="283">
        <f>AI31/COMB_CORR!$D22</f>
        <v>2.5313980663635664E-3</v>
      </c>
      <c r="BF31" s="283">
        <f>AJ31/COMB_CORR!$E22</f>
        <v>1.0445187092567176E-2</v>
      </c>
      <c r="BG31" s="283">
        <f>AK31/COMB_CORR!$E22</f>
        <v>0.20254180970921729</v>
      </c>
      <c r="BH31" s="283">
        <f>AL31/COMB_CORR!$E22</f>
        <v>4.2560298578063725E-3</v>
      </c>
      <c r="BI31" s="283">
        <f>AM31/COMB_CORR!$E22</f>
        <v>2.520184151035821E-3</v>
      </c>
      <c r="BJ31" s="283" t="e">
        <f>AN31/COMB_CORR!$F22</f>
        <v>#DIV/0!</v>
      </c>
      <c r="BK31" s="283" t="e">
        <f>AO31/COMB_CORR!$F22</f>
        <v>#DIV/0!</v>
      </c>
      <c r="BL31" s="283" t="e">
        <f>AP31/COMB_CORR!$F22</f>
        <v>#DIV/0!</v>
      </c>
      <c r="BM31" s="283" t="e">
        <f>AQ31/COMB_CORR!$F22</f>
        <v>#DIV/0!</v>
      </c>
    </row>
    <row r="32" spans="1:65" ht="26.25" thickBot="1">
      <c r="A32" s="127" t="s">
        <v>31</v>
      </c>
      <c r="B32" s="167">
        <f>DEN!J23</f>
        <v>50039</v>
      </c>
      <c r="C32" s="920">
        <f>DEN!$I23*ONSV_2013!P22</f>
        <v>234029.09061047513</v>
      </c>
      <c r="D32" s="920">
        <f>DEN!$I23*ONSV_2013!Q22</f>
        <v>7540.1775584279076</v>
      </c>
      <c r="E32" s="920">
        <f>DEN!$I23*ONSV_2013!R22</f>
        <v>3348.7318310969499</v>
      </c>
      <c r="F32" s="167">
        <f>DEN!J59</f>
        <v>56223</v>
      </c>
      <c r="G32" s="920">
        <f>DEN!$I59*ONSV_2013!P22</f>
        <v>262249.07090183452</v>
      </c>
      <c r="H32" s="920">
        <f>DEN!$I59*ONSV_2013!Q22</f>
        <v>8449.3964146697981</v>
      </c>
      <c r="I32" s="920">
        <f>DEN!$I59*ONSV_2013!R22</f>
        <v>3752.5326834956559</v>
      </c>
      <c r="J32" s="167">
        <f>DEN!J95</f>
        <v>64410</v>
      </c>
      <c r="K32" s="920">
        <f>DEN!$I95*ONSV_2013!P22</f>
        <v>292284.57831721054</v>
      </c>
      <c r="L32" s="920">
        <f>DEN!$I95*ONSV_2013!Q22</f>
        <v>9417.1096950087867</v>
      </c>
      <c r="M32" s="920">
        <f>DEN!$I95*ONSV_2013!R22</f>
        <v>4182.311987780643</v>
      </c>
      <c r="N32" s="167">
        <f>DEN!J131</f>
        <v>72700</v>
      </c>
      <c r="O32" s="920">
        <f>DEN!$I131*ONSV_2013!P22</f>
        <v>323829.83986729517</v>
      </c>
      <c r="P32" s="920">
        <f>DEN!$I131*ONSV_2013!Q22</f>
        <v>10433.465706965362</v>
      </c>
      <c r="Q32" s="920">
        <f>DEN!$I131*ONSV_2013!R22</f>
        <v>4633.6944257394844</v>
      </c>
      <c r="R32" s="167">
        <f>DEN!J167</f>
        <v>80042</v>
      </c>
      <c r="S32" s="167" t="e">
        <f>DEN!$I167*$K$2</f>
        <v>#DIV/0!</v>
      </c>
      <c r="T32" s="167" t="e">
        <f>DEN!$I167*$K$3</f>
        <v>#DIV/0!</v>
      </c>
      <c r="U32" s="167" t="e">
        <f>DEN!$I167*$K$4</f>
        <v>#DIV/0!</v>
      </c>
      <c r="W32" s="260" t="s">
        <v>31</v>
      </c>
      <c r="X32" s="167">
        <f>B32*B$10/B$11</f>
        <v>9382312.5</v>
      </c>
      <c r="Y32" s="167">
        <f t="shared" ref="Y32:AQ35" si="18">C32*C$10/C$11</f>
        <v>134566727.1010232</v>
      </c>
      <c r="Z32" s="167">
        <f t="shared" si="18"/>
        <v>2827566.5844104653</v>
      </c>
      <c r="AA32" s="167">
        <f t="shared" si="18"/>
        <v>1674365.915548475</v>
      </c>
      <c r="AB32" s="167">
        <f t="shared" si="18"/>
        <v>10541812.5</v>
      </c>
      <c r="AC32" s="167">
        <f t="shared" si="18"/>
        <v>150793215.76855484</v>
      </c>
      <c r="AD32" s="167">
        <f t="shared" si="18"/>
        <v>3168523.6555011743</v>
      </c>
      <c r="AE32" s="167">
        <f t="shared" si="18"/>
        <v>1876266.3417478278</v>
      </c>
      <c r="AF32" s="167">
        <f t="shared" si="18"/>
        <v>12076875</v>
      </c>
      <c r="AG32" s="167">
        <f t="shared" si="18"/>
        <v>168063632.53239605</v>
      </c>
      <c r="AH32" s="167">
        <f t="shared" si="18"/>
        <v>3531416.1356282951</v>
      </c>
      <c r="AI32" s="167">
        <f t="shared" si="18"/>
        <v>2091155.9938903216</v>
      </c>
      <c r="AJ32" s="167">
        <f t="shared" si="18"/>
        <v>13631250</v>
      </c>
      <c r="AK32" s="167">
        <f t="shared" si="18"/>
        <v>186202157.92369473</v>
      </c>
      <c r="AL32" s="167">
        <f t="shared" si="18"/>
        <v>3912549.6401120112</v>
      </c>
      <c r="AM32" s="167">
        <f t="shared" si="18"/>
        <v>2316847.212869742</v>
      </c>
      <c r="AN32" s="167" t="e">
        <f t="shared" si="18"/>
        <v>#DIV/0!</v>
      </c>
      <c r="AO32" s="167" t="e">
        <f t="shared" si="18"/>
        <v>#DIV/0!</v>
      </c>
      <c r="AP32" s="167" t="e">
        <f t="shared" si="18"/>
        <v>#DIV/0!</v>
      </c>
      <c r="AQ32" s="167" t="e">
        <f t="shared" si="18"/>
        <v>#DIV/0!</v>
      </c>
      <c r="AS32" s="260" t="s">
        <v>31</v>
      </c>
      <c r="AT32" s="265">
        <f>X32/COMB_CORR!$B23</f>
        <v>1.8353592815871088E-2</v>
      </c>
      <c r="AU32" s="265">
        <f>Y32/COMB_CORR!$B23</f>
        <v>0.26323818523169257</v>
      </c>
      <c r="AV32" s="265">
        <f>Z32/COMB_CORR!$B23</f>
        <v>5.5312595642101094E-3</v>
      </c>
      <c r="AW32" s="265">
        <f>AA32/COMB_CORR!$B23</f>
        <v>3.2753790964381016E-3</v>
      </c>
      <c r="AX32" s="265">
        <f>AB32/COMB_CORR!$C23</f>
        <v>1.6517427777982086E-2</v>
      </c>
      <c r="AY32" s="265">
        <f>AC32/COMB_CORR!$C23</f>
        <v>0.23627019081080924</v>
      </c>
      <c r="AZ32" s="265">
        <f>AD32/COMB_CORR!$C23</f>
        <v>4.9645979420112471E-3</v>
      </c>
      <c r="BA32" s="265">
        <f>AE32/COMB_CORR!$C23</f>
        <v>2.9398259352533922E-3</v>
      </c>
      <c r="BB32" s="265">
        <f>AF32/COMB_CORR!$D23</f>
        <v>1.6872974197867766E-2</v>
      </c>
      <c r="BC32" s="265">
        <f>AG32/COMB_CORR!$D23</f>
        <v>0.23480687970348688</v>
      </c>
      <c r="BD32" s="265">
        <f>AH32/COMB_CORR!$D23</f>
        <v>4.933850299716617E-3</v>
      </c>
      <c r="BE32" s="265">
        <f>AI32/COMB_CORR!$D23</f>
        <v>2.921618475692422E-3</v>
      </c>
      <c r="BF32" s="265">
        <f>AJ32/COMB_CORR!$E23</f>
        <v>1.6587520096621004E-2</v>
      </c>
      <c r="BG32" s="265">
        <f>AK32/COMB_CORR!$E23</f>
        <v>0.22658465192799518</v>
      </c>
      <c r="BH32" s="265">
        <f>AL32/COMB_CORR!$E23</f>
        <v>4.7610817631827795E-3</v>
      </c>
      <c r="BI32" s="265">
        <f>AM32/COMB_CORR!$E23</f>
        <v>2.8193122203963102E-3</v>
      </c>
      <c r="BJ32" s="265" t="e">
        <f>AN32/COMB_CORR!$F23</f>
        <v>#DIV/0!</v>
      </c>
      <c r="BK32" s="265" t="e">
        <f>AO32/COMB_CORR!$F23</f>
        <v>#DIV/0!</v>
      </c>
      <c r="BL32" s="265" t="e">
        <f>AP32/COMB_CORR!$F23</f>
        <v>#DIV/0!</v>
      </c>
      <c r="BM32" s="265" t="e">
        <f>AQ32/COMB_CORR!$F23</f>
        <v>#DIV/0!</v>
      </c>
    </row>
    <row r="33" spans="1:65" ht="26.25" thickBot="1">
      <c r="A33" s="127" t="s">
        <v>32</v>
      </c>
      <c r="B33" s="167">
        <f>DEN!J24</f>
        <v>141217</v>
      </c>
      <c r="C33" s="920">
        <f>DEN!$I24*ONSV_2013!P23</f>
        <v>1373273.8133212344</v>
      </c>
      <c r="D33" s="920">
        <f>DEN!$I24*ONSV_2013!Q23</f>
        <v>44246.733729546679</v>
      </c>
      <c r="E33" s="920">
        <f>DEN!$I24*ONSV_2013!R23</f>
        <v>19650.452949218845</v>
      </c>
      <c r="F33" s="167">
        <f>DEN!J60</f>
        <v>155587</v>
      </c>
      <c r="G33" s="920">
        <f>DEN!$I60*ONSV_2013!P23</f>
        <v>1522383.8580000876</v>
      </c>
      <c r="H33" s="920">
        <f>DEN!$I60*ONSV_2013!Q23</f>
        <v>49051.043241099796</v>
      </c>
      <c r="I33" s="920">
        <f>DEN!$I60*ONSV_2013!R23</f>
        <v>21784.098758812626</v>
      </c>
      <c r="J33" s="167">
        <f>DEN!J96</f>
        <v>176198</v>
      </c>
      <c r="K33" s="920">
        <f>DEN!$I96*ONSV_2013!P23</f>
        <v>1688753.8146101036</v>
      </c>
      <c r="L33" s="920">
        <f>DEN!$I96*ONSV_2013!Q23</f>
        <v>54411.46524821315</v>
      </c>
      <c r="M33" s="920">
        <f>DEN!$I96*ONSV_2013!R23</f>
        <v>24164.72014168317</v>
      </c>
      <c r="N33" s="167">
        <f>DEN!J132</f>
        <v>196580</v>
      </c>
      <c r="O33" s="920">
        <f>DEN!$I132*ONSV_2013!P23</f>
        <v>1845717.4393234043</v>
      </c>
      <c r="P33" s="920">
        <f>DEN!$I132*ONSV_2013!Q23</f>
        <v>59468.816259019412</v>
      </c>
      <c r="Q33" s="920">
        <f>DEN!$I132*ONSV_2013!R23</f>
        <v>26410.744417576108</v>
      </c>
      <c r="R33" s="167">
        <f>DEN!J168</f>
        <v>214821</v>
      </c>
      <c r="S33" s="167" t="e">
        <f>DEN!$I168*$K$2</f>
        <v>#DIV/0!</v>
      </c>
      <c r="T33" s="167" t="e">
        <f>DEN!$I168*$K$3</f>
        <v>#DIV/0!</v>
      </c>
      <c r="U33" s="167" t="e">
        <f>DEN!$I168*$K$4</f>
        <v>#DIV/0!</v>
      </c>
      <c r="W33" s="127" t="s">
        <v>32</v>
      </c>
      <c r="X33" s="167">
        <f>B33*B$10/B$11</f>
        <v>26478187.5</v>
      </c>
      <c r="Y33" s="167">
        <f t="shared" si="18"/>
        <v>789632442.65970981</v>
      </c>
      <c r="Z33" s="167">
        <f t="shared" si="18"/>
        <v>16592525.148580005</v>
      </c>
      <c r="AA33" s="167">
        <f t="shared" si="18"/>
        <v>9825226.4746094234</v>
      </c>
      <c r="AB33" s="167">
        <f t="shared" si="18"/>
        <v>29172562.5</v>
      </c>
      <c r="AC33" s="167">
        <f t="shared" si="18"/>
        <v>875370718.35005033</v>
      </c>
      <c r="AD33" s="167">
        <f t="shared" si="18"/>
        <v>18394141.215412423</v>
      </c>
      <c r="AE33" s="167">
        <f t="shared" si="18"/>
        <v>10892049.379406314</v>
      </c>
      <c r="AF33" s="167">
        <f t="shared" si="18"/>
        <v>33037125</v>
      </c>
      <c r="AG33" s="167">
        <f t="shared" si="18"/>
        <v>971033443.40080965</v>
      </c>
      <c r="AH33" s="167">
        <f t="shared" si="18"/>
        <v>20404299.468079932</v>
      </c>
      <c r="AI33" s="167">
        <f t="shared" si="18"/>
        <v>12082360.070841584</v>
      </c>
      <c r="AJ33" s="167">
        <f t="shared" si="18"/>
        <v>36858750</v>
      </c>
      <c r="AK33" s="167">
        <f t="shared" si="18"/>
        <v>1061287527.6109575</v>
      </c>
      <c r="AL33" s="167">
        <f t="shared" si="18"/>
        <v>22300806.09713228</v>
      </c>
      <c r="AM33" s="167">
        <f t="shared" si="18"/>
        <v>13205372.208788054</v>
      </c>
      <c r="AN33" s="167" t="e">
        <f t="shared" si="18"/>
        <v>#DIV/0!</v>
      </c>
      <c r="AO33" s="167" t="e">
        <f t="shared" si="18"/>
        <v>#DIV/0!</v>
      </c>
      <c r="AP33" s="167" t="e">
        <f t="shared" si="18"/>
        <v>#DIV/0!</v>
      </c>
      <c r="AQ33" s="167" t="e">
        <f t="shared" si="18"/>
        <v>#DIV/0!</v>
      </c>
      <c r="AS33" s="127" t="s">
        <v>32</v>
      </c>
      <c r="AT33" s="265">
        <f>X33/COMB_CORR!$B24</f>
        <v>8.8023147527003642E-3</v>
      </c>
      <c r="AU33" s="265">
        <f>Y33/COMB_CORR!$B24</f>
        <v>0.26250260895819955</v>
      </c>
      <c r="AV33" s="265">
        <f>Z33/COMB_CORR!$B24</f>
        <v>5.5159602181946016E-3</v>
      </c>
      <c r="AW33" s="265">
        <f>AA33/COMB_CORR!$B24</f>
        <v>3.2662634459430695E-3</v>
      </c>
      <c r="AX33" s="265">
        <f>AB33/COMB_CORR!$C24</f>
        <v>7.9318449952391849E-3</v>
      </c>
      <c r="AY33" s="265">
        <f>AC33/COMB_CORR!$C24</f>
        <v>0.23800805470290026</v>
      </c>
      <c r="AZ33" s="265">
        <f>AD33/COMB_CORR!$C24</f>
        <v>5.0012568124994791E-3</v>
      </c>
      <c r="BA33" s="265">
        <f>AE33/COMB_CORR!$C24</f>
        <v>2.9614829810696965E-3</v>
      </c>
      <c r="BB33" s="265">
        <f>AF33/COMB_CORR!$D24</f>
        <v>8.0579958280657046E-3</v>
      </c>
      <c r="BC33" s="265">
        <f>AG33/COMB_CORR!$D24</f>
        <v>0.23684214155547734</v>
      </c>
      <c r="BD33" s="265">
        <f>AH33/COMB_CORR!$D24</f>
        <v>4.9767575110846165E-3</v>
      </c>
      <c r="BE33" s="265">
        <f>AI33/COMB_CORR!$D24</f>
        <v>2.9469757747996876E-3</v>
      </c>
      <c r="BF33" s="265">
        <f>AJ33/COMB_CORR!$E24</f>
        <v>8.2655808285827213E-3</v>
      </c>
      <c r="BG33" s="265">
        <f>AK33/COMB_CORR!$E24</f>
        <v>0.23799390488920774</v>
      </c>
      <c r="BH33" s="265">
        <f>AL33/COMB_CORR!$E24</f>
        <v>5.0009594828472814E-3</v>
      </c>
      <c r="BI33" s="265">
        <f>AM33/COMB_CORR!$E24</f>
        <v>2.9613069179844028E-3</v>
      </c>
      <c r="BJ33" s="265" t="e">
        <f>AN33/COMB_CORR!$F24</f>
        <v>#DIV/0!</v>
      </c>
      <c r="BK33" s="265" t="e">
        <f>AO33/COMB_CORR!$F24</f>
        <v>#DIV/0!</v>
      </c>
      <c r="BL33" s="265" t="e">
        <f>AP33/COMB_CORR!$F24</f>
        <v>#DIV/0!</v>
      </c>
      <c r="BM33" s="265" t="e">
        <f>AQ33/COMB_CORR!$F24</f>
        <v>#DIV/0!</v>
      </c>
    </row>
    <row r="34" spans="1:65" ht="26.25" thickBot="1">
      <c r="A34" s="127" t="s">
        <v>33</v>
      </c>
      <c r="B34" s="167">
        <f>DEN!J25</f>
        <v>91134</v>
      </c>
      <c r="C34" s="920">
        <f>DEN!$I25*ONSV_2013!P24</f>
        <v>456247.29973735049</v>
      </c>
      <c r="D34" s="920">
        <f>DEN!$I25*ONSV_2013!Q24</f>
        <v>14700.335397598397</v>
      </c>
      <c r="E34" s="920">
        <f>DEN!$I25*ONSV_2013!R24</f>
        <v>6528.3648650510831</v>
      </c>
      <c r="F34" s="167">
        <f>DEN!J61</f>
        <v>100430</v>
      </c>
      <c r="G34" s="920">
        <f>DEN!$I61*ONSV_2013!P24</f>
        <v>511166.94711733237</v>
      </c>
      <c r="H34" s="920">
        <f>DEN!$I61*ONSV_2013!Q24</f>
        <v>16469.852141847256</v>
      </c>
      <c r="I34" s="920">
        <f>DEN!$I61*ONSV_2013!R24</f>
        <v>7314.2007408203599</v>
      </c>
      <c r="J34" s="167">
        <f>DEN!J97</f>
        <v>110086</v>
      </c>
      <c r="K34" s="920">
        <f>DEN!$I97*ONSV_2013!P24</f>
        <v>572676.95218291203</v>
      </c>
      <c r="L34" s="920">
        <f>DEN!$I97*ONSV_2013!Q24</f>
        <v>18451.710895405977</v>
      </c>
      <c r="M34" s="920">
        <f>DEN!$I97*ONSV_2013!R24</f>
        <v>8194.3369216819483</v>
      </c>
      <c r="N34" s="167">
        <f>DEN!J133</f>
        <v>119118</v>
      </c>
      <c r="O34" s="920">
        <f>DEN!$I133*ONSV_2013!P24</f>
        <v>634708.68195435463</v>
      </c>
      <c r="P34" s="920">
        <f>DEN!$I133*ONSV_2013!Q24</f>
        <v>20450.379673190186</v>
      </c>
      <c r="Q34" s="920">
        <f>DEN!$I133*ONSV_2013!R24</f>
        <v>9081.9383724551535</v>
      </c>
      <c r="R34" s="167">
        <f>DEN!J169</f>
        <v>127583</v>
      </c>
      <c r="S34" s="167" t="e">
        <f>DEN!$I169*$K$2</f>
        <v>#DIV/0!</v>
      </c>
      <c r="T34" s="167" t="e">
        <f>DEN!$I169*$K$3</f>
        <v>#DIV/0!</v>
      </c>
      <c r="U34" s="167" t="e">
        <f>DEN!$I169*$K$4</f>
        <v>#DIV/0!</v>
      </c>
      <c r="W34" s="127" t="s">
        <v>33</v>
      </c>
      <c r="X34" s="167">
        <f>B34*B$10/B$11</f>
        <v>17087625</v>
      </c>
      <c r="Y34" s="167">
        <f t="shared" si="18"/>
        <v>262342197.34897652</v>
      </c>
      <c r="Z34" s="167">
        <f t="shared" si="18"/>
        <v>5512625.7740993993</v>
      </c>
      <c r="AA34" s="167">
        <f t="shared" si="18"/>
        <v>3264182.4325255416</v>
      </c>
      <c r="AB34" s="167">
        <f t="shared" si="18"/>
        <v>18830625</v>
      </c>
      <c r="AC34" s="167">
        <f t="shared" si="18"/>
        <v>293920994.59246612</v>
      </c>
      <c r="AD34" s="167">
        <f t="shared" si="18"/>
        <v>6176194.5531927207</v>
      </c>
      <c r="AE34" s="167">
        <f t="shared" si="18"/>
        <v>3657100.3704101802</v>
      </c>
      <c r="AF34" s="167">
        <f t="shared" si="18"/>
        <v>20641125</v>
      </c>
      <c r="AG34" s="167">
        <f t="shared" si="18"/>
        <v>329289247.50517446</v>
      </c>
      <c r="AH34" s="167">
        <f t="shared" si="18"/>
        <v>6919391.5857772408</v>
      </c>
      <c r="AI34" s="167">
        <f t="shared" si="18"/>
        <v>4097168.460840974</v>
      </c>
      <c r="AJ34" s="167">
        <f t="shared" si="18"/>
        <v>22334625</v>
      </c>
      <c r="AK34" s="167">
        <f t="shared" si="18"/>
        <v>364957492.12375391</v>
      </c>
      <c r="AL34" s="167">
        <f t="shared" si="18"/>
        <v>7668892.377446319</v>
      </c>
      <c r="AM34" s="167">
        <f t="shared" si="18"/>
        <v>4540969.1862275768</v>
      </c>
      <c r="AN34" s="167" t="e">
        <f t="shared" si="18"/>
        <v>#DIV/0!</v>
      </c>
      <c r="AO34" s="167" t="e">
        <f t="shared" si="18"/>
        <v>#DIV/0!</v>
      </c>
      <c r="AP34" s="167" t="e">
        <f t="shared" si="18"/>
        <v>#DIV/0!</v>
      </c>
      <c r="AQ34" s="167" t="e">
        <f t="shared" si="18"/>
        <v>#DIV/0!</v>
      </c>
      <c r="AS34" s="127" t="s">
        <v>33</v>
      </c>
      <c r="AT34" s="265">
        <f>X34/COMB_CORR!$B25</f>
        <v>1.0439075275406481E-2</v>
      </c>
      <c r="AU34" s="265">
        <f>Y34/COMB_CORR!$B25</f>
        <v>0.16026861228763556</v>
      </c>
      <c r="AV34" s="265">
        <f>Z34/COMB_CORR!$B25</f>
        <v>3.367742177217112E-3</v>
      </c>
      <c r="AW34" s="265">
        <f>AA34/COMB_CORR!$B25</f>
        <v>1.9941358805447549E-3</v>
      </c>
      <c r="AX34" s="265">
        <f>AB34/COMB_CORR!$C25</f>
        <v>1.0084616107302307E-2</v>
      </c>
      <c r="AY34" s="265">
        <f>AC34/COMB_CORR!$C25</f>
        <v>0.15740743583080741</v>
      </c>
      <c r="AZ34" s="265">
        <f>AD34/COMB_CORR!$C25</f>
        <v>3.3076199580714971E-3</v>
      </c>
      <c r="BA34" s="265">
        <f>AE34/COMB_CORR!$C25</f>
        <v>1.9585358054477605E-3</v>
      </c>
      <c r="BB34" s="265">
        <f>AF34/COMB_CORR!$D25</f>
        <v>9.0528160488291352E-3</v>
      </c>
      <c r="BC34" s="265">
        <f>AG34/COMB_CORR!$D25</f>
        <v>0.14442017983621108</v>
      </c>
      <c r="BD34" s="265">
        <f>AH34/COMB_CORR!$D25</f>
        <v>3.0347173032408596E-3</v>
      </c>
      <c r="BE34" s="265">
        <f>AI34/COMB_CORR!$D25</f>
        <v>1.7969423855074631E-3</v>
      </c>
      <c r="BF34" s="265">
        <f>AJ34/COMB_CORR!$E25</f>
        <v>9.0399452637119921E-3</v>
      </c>
      <c r="BG34" s="265">
        <f>AK34/COMB_CORR!$E25</f>
        <v>0.14771663962929021</v>
      </c>
      <c r="BH34" s="265">
        <f>AL34/COMB_CORR!$E25</f>
        <v>3.1039861795491459E-3</v>
      </c>
      <c r="BI34" s="265">
        <f>AM34/COMB_CORR!$E25</f>
        <v>1.8379584563295815E-3</v>
      </c>
      <c r="BJ34" s="265" t="e">
        <f>AN34/COMB_CORR!$F25</f>
        <v>#DIV/0!</v>
      </c>
      <c r="BK34" s="265" t="e">
        <f>AO34/COMB_CORR!$F25</f>
        <v>#DIV/0!</v>
      </c>
      <c r="BL34" s="265" t="e">
        <f>AP34/COMB_CORR!$F25</f>
        <v>#DIV/0!</v>
      </c>
      <c r="BM34" s="265" t="e">
        <f>AQ34/COMB_CORR!$F25</f>
        <v>#DIV/0!</v>
      </c>
    </row>
    <row r="35" spans="1:65" ht="26.25" thickBot="1">
      <c r="A35" s="128" t="s">
        <v>34</v>
      </c>
      <c r="B35" s="167">
        <f>DEN!J26</f>
        <v>459413</v>
      </c>
      <c r="C35" s="920">
        <f>DEN!$I26*ONSV_2013!P25</f>
        <v>2792716.1727263182</v>
      </c>
      <c r="D35" s="920">
        <f>DEN!$I26*ONSV_2013!Q25</f>
        <v>89982.058848662811</v>
      </c>
      <c r="E35" s="920">
        <f>DEN!$I26*ONSV_2013!R25</f>
        <v>39961.768425019152</v>
      </c>
      <c r="F35" s="167">
        <f>DEN!J62</f>
        <v>505092</v>
      </c>
      <c r="G35" s="920">
        <f>DEN!$I62*ONSV_2013!P25</f>
        <v>3036702.5942833126</v>
      </c>
      <c r="H35" s="920">
        <f>DEN!$I62*ONSV_2013!Q25</f>
        <v>97843.366330326331</v>
      </c>
      <c r="I35" s="920">
        <f>DEN!$I62*ONSV_2013!R25</f>
        <v>43453.039386361204</v>
      </c>
      <c r="J35" s="167">
        <f>DEN!J98</f>
        <v>557727</v>
      </c>
      <c r="K35" s="920">
        <f>DEN!$I98*ONSV_2013!P25</f>
        <v>3304603.2951799571</v>
      </c>
      <c r="L35" s="920">
        <f>DEN!$I98*ONSV_2013!Q25</f>
        <v>106475.19826122632</v>
      </c>
      <c r="M35" s="920">
        <f>DEN!$I98*ONSV_2013!R25</f>
        <v>47286.506558816749</v>
      </c>
      <c r="N35" s="167">
        <f>DEN!J134</f>
        <v>617548</v>
      </c>
      <c r="O35" s="920">
        <f>DEN!$I134*ONSV_2013!P25</f>
        <v>3556468.1373688853</v>
      </c>
      <c r="P35" s="920">
        <f>DEN!$I134*ONSV_2013!Q25</f>
        <v>114590.3505538522</v>
      </c>
      <c r="Q35" s="920">
        <f>DEN!$I134*ONSV_2013!R25</f>
        <v>50890.512077262356</v>
      </c>
      <c r="R35" s="167">
        <f>DEN!J170</f>
        <v>670919</v>
      </c>
      <c r="S35" s="167" t="e">
        <f>DEN!$I170*$K$2</f>
        <v>#DIV/0!</v>
      </c>
      <c r="T35" s="167" t="e">
        <f>DEN!$I170*$K$3</f>
        <v>#DIV/0!</v>
      </c>
      <c r="U35" s="167" t="e">
        <f>DEN!$I170*$K$4</f>
        <v>#DIV/0!</v>
      </c>
      <c r="W35" s="128" t="s">
        <v>34</v>
      </c>
      <c r="X35" s="167">
        <f>B35*B$10/B$11</f>
        <v>86139937.5</v>
      </c>
      <c r="Y35" s="167">
        <f t="shared" si="18"/>
        <v>1605811799.3176332</v>
      </c>
      <c r="Z35" s="167">
        <f t="shared" si="18"/>
        <v>33743272.068248555</v>
      </c>
      <c r="AA35" s="167">
        <f t="shared" si="18"/>
        <v>19980884.212509576</v>
      </c>
      <c r="AB35" s="167">
        <f t="shared" si="18"/>
        <v>94704750</v>
      </c>
      <c r="AC35" s="167">
        <f t="shared" si="18"/>
        <v>1746103991.7129047</v>
      </c>
      <c r="AD35" s="167">
        <f t="shared" si="18"/>
        <v>36691262.373872377</v>
      </c>
      <c r="AE35" s="167">
        <f t="shared" si="18"/>
        <v>21726519.693180602</v>
      </c>
      <c r="AF35" s="167">
        <f t="shared" si="18"/>
        <v>104573812.5</v>
      </c>
      <c r="AG35" s="167">
        <f t="shared" si="18"/>
        <v>1900146894.7284751</v>
      </c>
      <c r="AH35" s="167">
        <f t="shared" si="18"/>
        <v>39928199.347959869</v>
      </c>
      <c r="AI35" s="167">
        <f t="shared" si="18"/>
        <v>23643253.279408373</v>
      </c>
      <c r="AJ35" s="167">
        <f t="shared" si="18"/>
        <v>115790250</v>
      </c>
      <c r="AK35" s="167">
        <f t="shared" si="18"/>
        <v>2044969178.9871092</v>
      </c>
      <c r="AL35" s="167">
        <f t="shared" si="18"/>
        <v>42971381.457694575</v>
      </c>
      <c r="AM35" s="167">
        <f t="shared" si="18"/>
        <v>25445256.038631178</v>
      </c>
      <c r="AN35" s="167" t="e">
        <f t="shared" si="18"/>
        <v>#DIV/0!</v>
      </c>
      <c r="AO35" s="167" t="e">
        <f t="shared" si="18"/>
        <v>#DIV/0!</v>
      </c>
      <c r="AP35" s="167" t="e">
        <f t="shared" si="18"/>
        <v>#DIV/0!</v>
      </c>
      <c r="AQ35" s="167" t="e">
        <f t="shared" si="18"/>
        <v>#DIV/0!</v>
      </c>
      <c r="AS35" s="128" t="s">
        <v>34</v>
      </c>
      <c r="AT35" s="265">
        <f>X35/COMB_CORR!$B26</f>
        <v>1.2862891602846488E-2</v>
      </c>
      <c r="AU35" s="265">
        <f>Y35/COMB_CORR!$B26</f>
        <v>0.2397886939399578</v>
      </c>
      <c r="AV35" s="265">
        <f>Z35/COMB_CORR!$B26</f>
        <v>5.0387318999301437E-3</v>
      </c>
      <c r="AW35" s="265">
        <f>AA35/COMB_CORR!$B26</f>
        <v>2.9836560742168799E-3</v>
      </c>
      <c r="AX35" s="265">
        <f>AB35/COMB_CORR!$C26</f>
        <v>1.2735575048747557E-2</v>
      </c>
      <c r="AY35" s="265">
        <f>AC35/COMB_CORR!$C26</f>
        <v>0.23481016981067351</v>
      </c>
      <c r="AZ35" s="265">
        <f>AD35/COMB_CORR!$C26</f>
        <v>4.9341170912307894E-3</v>
      </c>
      <c r="BA35" s="265">
        <f>AE35/COMB_CORR!$C26</f>
        <v>2.9217090177693656E-3</v>
      </c>
      <c r="BB35" s="265">
        <f>AF35/COMB_CORR!$D26</f>
        <v>1.1052123172893877E-2</v>
      </c>
      <c r="BC35" s="265">
        <f>AG35/COMB_CORR!$D26</f>
        <v>0.20082138180752396</v>
      </c>
      <c r="BD35" s="265">
        <f>AH35/COMB_CORR!$D26</f>
        <v>4.2199033076805292E-3</v>
      </c>
      <c r="BE35" s="265">
        <f>AI35/COMB_CORR!$D26</f>
        <v>2.4987914393189829E-3</v>
      </c>
      <c r="BF35" s="265">
        <f>AJ35/COMB_CORR!$E26</f>
        <v>1.1235396281952286E-2</v>
      </c>
      <c r="BG35" s="265">
        <f>AK35/COMB_CORR!$E26</f>
        <v>0.19842809830964858</v>
      </c>
      <c r="BH35" s="265">
        <f>AL35/COMB_CORR!$E26</f>
        <v>4.1696127217976907E-3</v>
      </c>
      <c r="BI35" s="265">
        <f>AM35/COMB_CORR!$E26</f>
        <v>2.4690121585345978E-3</v>
      </c>
      <c r="BJ35" s="265" t="e">
        <f>AN35/COMB_CORR!$F26</f>
        <v>#DIV/0!</v>
      </c>
      <c r="BK35" s="265" t="e">
        <f>AO35/COMB_CORR!$F26</f>
        <v>#DIV/0!</v>
      </c>
      <c r="BL35" s="265" t="e">
        <f>AP35/COMB_CORR!$F26</f>
        <v>#DIV/0!</v>
      </c>
      <c r="BM35" s="265" t="e">
        <f>AQ35/COMB_CORR!$F26</f>
        <v>#DIV/0!</v>
      </c>
    </row>
    <row r="36" spans="1:65" s="273" customFormat="1" ht="26.25" thickBot="1">
      <c r="A36" s="269" t="s">
        <v>69</v>
      </c>
      <c r="B36" s="281">
        <f>SUM(B37:B39)</f>
        <v>448424</v>
      </c>
      <c r="C36" s="281">
        <f t="shared" ref="C36:M36" si="19">SUM(C37:C39)</f>
        <v>2008171.5499133971</v>
      </c>
      <c r="D36" s="281">
        <f t="shared" si="19"/>
        <v>64703.463424070796</v>
      </c>
      <c r="E36" s="281">
        <f t="shared" si="19"/>
        <v>28735.986662532203</v>
      </c>
      <c r="F36" s="281">
        <f t="shared" si="19"/>
        <v>491388</v>
      </c>
      <c r="G36" s="281">
        <f t="shared" si="19"/>
        <v>2156731.1261325283</v>
      </c>
      <c r="H36" s="281">
        <f t="shared" si="19"/>
        <v>69490.068363254715</v>
      </c>
      <c r="I36" s="281">
        <f t="shared" si="19"/>
        <v>30861.805504217155</v>
      </c>
      <c r="J36" s="281">
        <f t="shared" si="19"/>
        <v>538677</v>
      </c>
      <c r="K36" s="281">
        <f t="shared" si="19"/>
        <v>2311560.9490707661</v>
      </c>
      <c r="L36" s="281">
        <f t="shared" si="19"/>
        <v>74478.70182899374</v>
      </c>
      <c r="M36" s="281">
        <f t="shared" si="19"/>
        <v>33077.349100240208</v>
      </c>
      <c r="N36" s="281">
        <f t="shared" ref="N36:U36" si="20">SUM(N37:N39)</f>
        <v>584633</v>
      </c>
      <c r="O36" s="281">
        <f t="shared" si="20"/>
        <v>2455059.9919213122</v>
      </c>
      <c r="P36" s="281">
        <f t="shared" si="20"/>
        <v>79102.255347802624</v>
      </c>
      <c r="Q36" s="281">
        <f t="shared" si="20"/>
        <v>35130.752730885135</v>
      </c>
      <c r="R36" s="281">
        <f t="shared" si="20"/>
        <v>626059</v>
      </c>
      <c r="S36" s="281" t="e">
        <f t="shared" si="20"/>
        <v>#DIV/0!</v>
      </c>
      <c r="T36" s="281" t="e">
        <f t="shared" si="20"/>
        <v>#DIV/0!</v>
      </c>
      <c r="U36" s="281" t="e">
        <f t="shared" si="20"/>
        <v>#DIV/0!</v>
      </c>
      <c r="W36" s="164" t="s">
        <v>69</v>
      </c>
      <c r="X36" s="282">
        <f>SUM(X37:X39)</f>
        <v>84079500</v>
      </c>
      <c r="Y36" s="282">
        <f t="shared" ref="Y36:AM36" si="21">SUM(Y37:Y39)</f>
        <v>1154698641.2002034</v>
      </c>
      <c r="Z36" s="282">
        <f t="shared" si="21"/>
        <v>24263798.784026552</v>
      </c>
      <c r="AA36" s="282">
        <f t="shared" si="21"/>
        <v>14367993.331266101</v>
      </c>
      <c r="AB36" s="282">
        <f t="shared" si="21"/>
        <v>92135250</v>
      </c>
      <c r="AC36" s="282">
        <f t="shared" si="21"/>
        <v>1240120397.5262036</v>
      </c>
      <c r="AD36" s="282">
        <f t="shared" si="21"/>
        <v>26058775.636220518</v>
      </c>
      <c r="AE36" s="282">
        <f t="shared" si="21"/>
        <v>15430902.752108578</v>
      </c>
      <c r="AF36" s="282">
        <f t="shared" si="21"/>
        <v>101001937.5</v>
      </c>
      <c r="AG36" s="282">
        <f t="shared" si="21"/>
        <v>1329147545.7156906</v>
      </c>
      <c r="AH36" s="282">
        <f t="shared" si="21"/>
        <v>27929513.185872652</v>
      </c>
      <c r="AI36" s="282">
        <f t="shared" si="21"/>
        <v>16538674.550120106</v>
      </c>
      <c r="AJ36" s="282">
        <f t="shared" si="21"/>
        <v>109618687.5</v>
      </c>
      <c r="AK36" s="282">
        <f t="shared" si="21"/>
        <v>1411659495.3547544</v>
      </c>
      <c r="AL36" s="282">
        <f t="shared" si="21"/>
        <v>29663345.755425982</v>
      </c>
      <c r="AM36" s="263">
        <f t="shared" si="21"/>
        <v>17565376.365442567</v>
      </c>
      <c r="AN36" s="282" t="e">
        <f>SUM(AN37:AN39)</f>
        <v>#DIV/0!</v>
      </c>
      <c r="AO36" s="282" t="e">
        <f>SUM(AO37:AO39)</f>
        <v>#DIV/0!</v>
      </c>
      <c r="AP36" s="282" t="e">
        <f>SUM(AP37:AP39)</f>
        <v>#DIV/0!</v>
      </c>
      <c r="AQ36" s="263" t="e">
        <f>SUM(AQ37:AQ39)</f>
        <v>#DIV/0!</v>
      </c>
      <c r="AS36" s="164" t="s">
        <v>69</v>
      </c>
      <c r="AT36" s="283">
        <f>X36/COMB_CORR!$B27</f>
        <v>1.5860230124364126E-2</v>
      </c>
      <c r="AU36" s="283">
        <f>Y36/COMB_CORR!$B27</f>
        <v>0.21781511752241381</v>
      </c>
      <c r="AV36" s="283">
        <f>Z36/COMB_CORR!$B27</f>
        <v>4.57697099062111E-3</v>
      </c>
      <c r="AW36" s="283">
        <f>AA36/COMB_CORR!$B27</f>
        <v>2.7102882469473475E-3</v>
      </c>
      <c r="AX36" s="283">
        <f>AB36/COMB_CORR!$C27</f>
        <v>1.4728082095839333E-2</v>
      </c>
      <c r="AY36" s="283">
        <f>AC36/COMB_CORR!$C27</f>
        <v>0.19823677716716279</v>
      </c>
      <c r="AZ36" s="283">
        <f>AD36/COMB_CORR!$C27</f>
        <v>4.1655694957935599E-3</v>
      </c>
      <c r="BA36" s="283">
        <f>AE36/COMB_CORR!$C27</f>
        <v>2.4666737491456118E-3</v>
      </c>
      <c r="BB36" s="283">
        <f>AF36/COMB_CORR!$D27</f>
        <v>1.3978701901967146E-2</v>
      </c>
      <c r="BC36" s="283">
        <f>AG36/COMB_CORR!$D27</f>
        <v>0.18395446449025682</v>
      </c>
      <c r="BD36" s="283">
        <f>AH36/COMB_CORR!$D27</f>
        <v>3.8654539581715898E-3</v>
      </c>
      <c r="BE36" s="283">
        <f>AI36/COMB_CORR!$D27</f>
        <v>2.2889580844900085E-3</v>
      </c>
      <c r="BF36" s="283">
        <f>AJ36/COMB_CORR!$E27</f>
        <v>1.356966147632281E-2</v>
      </c>
      <c r="BG36" s="283">
        <f>AK36/COMB_CORR!$E27</f>
        <v>0.17474886726590946</v>
      </c>
      <c r="BH36" s="283">
        <f>AL36/COMB_CORR!$E27</f>
        <v>3.6720158700700341E-3</v>
      </c>
      <c r="BI36" s="283">
        <f>AM36/COMB_CORR!$E27</f>
        <v>2.1744121957604826E-3</v>
      </c>
      <c r="BJ36" s="283" t="e">
        <f>AN36/COMB_CORR!$F27</f>
        <v>#DIV/0!</v>
      </c>
      <c r="BK36" s="283" t="e">
        <f>AO36/COMB_CORR!$F27</f>
        <v>#DIV/0!</v>
      </c>
      <c r="BL36" s="283" t="e">
        <f>AP36/COMB_CORR!$F27</f>
        <v>#DIV/0!</v>
      </c>
      <c r="BM36" s="283" t="e">
        <f>AQ36/COMB_CORR!$F27</f>
        <v>#DIV/0!</v>
      </c>
    </row>
    <row r="37" spans="1:65" ht="15.75" thickBot="1">
      <c r="A37" s="127" t="s">
        <v>36</v>
      </c>
      <c r="B37" s="167">
        <f>DEN!J28</f>
        <v>180107</v>
      </c>
      <c r="C37" s="920">
        <f>DEN!$I28*ONSV_2013!P27</f>
        <v>729335.95452388772</v>
      </c>
      <c r="D37" s="920">
        <f>DEN!$I28*ONSV_2013!Q27</f>
        <v>23499.483046826525</v>
      </c>
      <c r="E37" s="920">
        <f>DEN!$I28*ONSV_2013!R27</f>
        <v>10436.562429285741</v>
      </c>
      <c r="F37" s="167">
        <f>DEN!J64</f>
        <v>195721</v>
      </c>
      <c r="G37" s="920">
        <f>DEN!$I64*ONSV_2013!P27</f>
        <v>788197.14004971797</v>
      </c>
      <c r="H37" s="920">
        <f>DEN!$I64*ONSV_2013!Q27</f>
        <v>25396.012928290165</v>
      </c>
      <c r="I37" s="920">
        <f>DEN!$I64*ONSV_2013!R27</f>
        <v>11278.847021991882</v>
      </c>
      <c r="J37" s="167">
        <f>DEN!J100</f>
        <v>212673</v>
      </c>
      <c r="K37" s="920">
        <f>DEN!$I100*ONSV_2013!P27</f>
        <v>850549.86408060312</v>
      </c>
      <c r="L37" s="920">
        <f>DEN!$I100*ONSV_2013!Q27</f>
        <v>27405.041514086075</v>
      </c>
      <c r="M37" s="920">
        <f>DEN!$I100*ONSV_2013!R27</f>
        <v>12171.094405310818</v>
      </c>
      <c r="N37" s="167">
        <f>DEN!J136</f>
        <v>228683</v>
      </c>
      <c r="O37" s="920">
        <f>DEN!$I136*ONSV_2013!P27</f>
        <v>907220.95484628389</v>
      </c>
      <c r="P37" s="920">
        <f>DEN!$I136*ONSV_2013!Q27</f>
        <v>29231.005705804346</v>
      </c>
      <c r="Q37" s="920">
        <f>DEN!$I136*ONSV_2013!R27</f>
        <v>12982.039447911724</v>
      </c>
      <c r="R37" s="167">
        <f>DEN!J172</f>
        <v>242709</v>
      </c>
      <c r="S37" s="167" t="e">
        <f>DEN!$I172*$K$2</f>
        <v>#DIV/0!</v>
      </c>
      <c r="T37" s="167" t="e">
        <f>DEN!$I172*$K$3</f>
        <v>#DIV/0!</v>
      </c>
      <c r="U37" s="167" t="e">
        <f>DEN!$I172*$K$4</f>
        <v>#DIV/0!</v>
      </c>
      <c r="W37" s="260" t="s">
        <v>36</v>
      </c>
      <c r="X37" s="261">
        <f>B37*B$10/B$11</f>
        <v>33770062.5</v>
      </c>
      <c r="Y37" s="261">
        <f t="shared" ref="Y37:AQ39" si="22">C37*C$10/C$11</f>
        <v>419368173.85123545</v>
      </c>
      <c r="Z37" s="261">
        <f t="shared" si="22"/>
        <v>8812306.1425599474</v>
      </c>
      <c r="AA37" s="261">
        <f t="shared" si="22"/>
        <v>5218281.2146428702</v>
      </c>
      <c r="AB37" s="261">
        <f t="shared" si="22"/>
        <v>36697687.5</v>
      </c>
      <c r="AC37" s="261">
        <f t="shared" si="22"/>
        <v>453213355.52858788</v>
      </c>
      <c r="AD37" s="261">
        <f t="shared" si="22"/>
        <v>9523504.8481088113</v>
      </c>
      <c r="AE37" s="261">
        <f t="shared" si="22"/>
        <v>5639423.5109959412</v>
      </c>
      <c r="AF37" s="261">
        <f t="shared" si="22"/>
        <v>39876187.5</v>
      </c>
      <c r="AG37" s="261">
        <f t="shared" si="22"/>
        <v>489066171.8463468</v>
      </c>
      <c r="AH37" s="261">
        <f t="shared" si="22"/>
        <v>10276890.567782279</v>
      </c>
      <c r="AI37" s="261">
        <f t="shared" si="22"/>
        <v>6085547.2026554095</v>
      </c>
      <c r="AJ37" s="261">
        <f t="shared" si="22"/>
        <v>42878062.5</v>
      </c>
      <c r="AK37" s="261">
        <f t="shared" si="22"/>
        <v>521652049.03661323</v>
      </c>
      <c r="AL37" s="261">
        <f t="shared" si="22"/>
        <v>10961627.139676629</v>
      </c>
      <c r="AM37" s="261">
        <f t="shared" si="22"/>
        <v>6491019.7239558622</v>
      </c>
      <c r="AN37" s="261" t="e">
        <f t="shared" si="22"/>
        <v>#DIV/0!</v>
      </c>
      <c r="AO37" s="261" t="e">
        <f t="shared" si="22"/>
        <v>#DIV/0!</v>
      </c>
      <c r="AP37" s="261" t="e">
        <f t="shared" si="22"/>
        <v>#DIV/0!</v>
      </c>
      <c r="AQ37" s="261" t="e">
        <f t="shared" si="22"/>
        <v>#DIV/0!</v>
      </c>
      <c r="AS37" s="260" t="s">
        <v>36</v>
      </c>
      <c r="AT37" s="265">
        <f>X37/COMB_CORR!$B28</f>
        <v>2.1052829075777178E-2</v>
      </c>
      <c r="AU37" s="265">
        <f>Y37/COMB_CORR!$B28</f>
        <v>0.26144122427700178</v>
      </c>
      <c r="AV37" s="265">
        <f>Z37/COMB_CORR!$B28</f>
        <v>5.4937409423727272E-3</v>
      </c>
      <c r="AW37" s="265">
        <f>AA37/COMB_CORR!$B28</f>
        <v>3.2531649143739448E-3</v>
      </c>
      <c r="AX37" s="265">
        <f>AB37/COMB_CORR!$C28</f>
        <v>1.9461401802804049E-2</v>
      </c>
      <c r="AY37" s="265">
        <f>AC37/COMB_CORR!$C28</f>
        <v>0.2403466761860385</v>
      </c>
      <c r="AZ37" s="265">
        <f>AD37/COMB_CORR!$C28</f>
        <v>5.0504750311582422E-3</v>
      </c>
      <c r="BA37" s="265">
        <f>AE37/COMB_CORR!$C28</f>
        <v>2.9906812761341418E-3</v>
      </c>
      <c r="BB37" s="265">
        <f>AF37/COMB_CORR!$D28</f>
        <v>1.6594298785546489E-2</v>
      </c>
      <c r="BC37" s="265">
        <f>AG37/COMB_CORR!$D28</f>
        <v>0.20352272096026489</v>
      </c>
      <c r="BD37" s="265">
        <f>AH37/COMB_CORR!$D28</f>
        <v>4.2766824854593641E-3</v>
      </c>
      <c r="BE37" s="265">
        <f>AI37/COMB_CORR!$D28</f>
        <v>2.5324735107740801E-3</v>
      </c>
      <c r="BF37" s="265">
        <f>AJ37/COMB_CORR!$E28</f>
        <v>1.5472338724099671E-2</v>
      </c>
      <c r="BG37" s="265">
        <f>AK37/COMB_CORR!$E28</f>
        <v>0.18823558547719199</v>
      </c>
      <c r="BH37" s="265">
        <f>AL37/COMB_CORR!$E28</f>
        <v>3.9554494345998168E-3</v>
      </c>
      <c r="BI37" s="265">
        <f>AM37/COMB_CORR!$E28</f>
        <v>2.3422526573782815E-3</v>
      </c>
      <c r="BJ37" s="265" t="e">
        <f>AN37/COMB_CORR!$F28</f>
        <v>#DIV/0!</v>
      </c>
      <c r="BK37" s="265" t="e">
        <f>AO37/COMB_CORR!$F28</f>
        <v>#DIV/0!</v>
      </c>
      <c r="BL37" s="265" t="e">
        <f>AP37/COMB_CORR!$F28</f>
        <v>#DIV/0!</v>
      </c>
      <c r="BM37" s="265" t="e">
        <f>AQ37/COMB_CORR!$F28</f>
        <v>#DIV/0!</v>
      </c>
    </row>
    <row r="38" spans="1:65" ht="39" thickBot="1">
      <c r="A38" s="127" t="s">
        <v>37</v>
      </c>
      <c r="B38" s="167">
        <f>DEN!J29</f>
        <v>117998</v>
      </c>
      <c r="C38" s="920">
        <f>DEN!$I29*ONSV_2013!P28</f>
        <v>710702.66808473726</v>
      </c>
      <c r="D38" s="920">
        <f>DEN!$I29*ONSV_2013!Q28</f>
        <v>22898.73047877018</v>
      </c>
      <c r="E38" s="920">
        <f>DEN!$I29*ONSV_2013!R28</f>
        <v>10169.60143649261</v>
      </c>
      <c r="F38" s="167">
        <f>DEN!J65</f>
        <v>127682</v>
      </c>
      <c r="G38" s="920">
        <f>DEN!$I65*ONSV_2013!P28</f>
        <v>759954.04736826883</v>
      </c>
      <c r="H38" s="920">
        <f>DEN!$I65*ONSV_2013!Q28</f>
        <v>24485.60233189063</v>
      </c>
      <c r="I38" s="920">
        <f>DEN!$I65*ONSV_2013!R28</f>
        <v>10874.35029984052</v>
      </c>
      <c r="J38" s="167">
        <f>DEN!J101</f>
        <v>138157</v>
      </c>
      <c r="K38" s="920">
        <f>DEN!$I101*ONSV_2013!P28</f>
        <v>810351.11867129791</v>
      </c>
      <c r="L38" s="920">
        <f>DEN!$I101*ONSV_2013!Q28</f>
        <v>26109.388205380314</v>
      </c>
      <c r="M38" s="920">
        <f>DEN!$I101*ONSV_2013!R28</f>
        <v>11595.493123321798</v>
      </c>
      <c r="N38" s="167">
        <f>DEN!J137</f>
        <v>148888</v>
      </c>
      <c r="O38" s="920">
        <f>DEN!$I137*ONSV_2013!P28</f>
        <v>860584.79269715084</v>
      </c>
      <c r="P38" s="920">
        <f>DEN!$I137*ONSV_2013!Q28</f>
        <v>27727.90944377147</v>
      </c>
      <c r="Q38" s="920">
        <f>DEN!$I137*ONSV_2013!R28</f>
        <v>12314.297859077633</v>
      </c>
      <c r="R38" s="167">
        <f>DEN!J173</f>
        <v>159328</v>
      </c>
      <c r="S38" s="167" t="e">
        <f>DEN!$I173*$K$2</f>
        <v>#DIV/0!</v>
      </c>
      <c r="T38" s="167" t="e">
        <f>DEN!$I173*$K$3</f>
        <v>#DIV/0!</v>
      </c>
      <c r="U38" s="167" t="e">
        <f>DEN!$I173*$K$4</f>
        <v>#DIV/0!</v>
      </c>
      <c r="W38" s="127" t="s">
        <v>37</v>
      </c>
      <c r="X38" s="261">
        <f>B38*B$10/B$11</f>
        <v>22124625</v>
      </c>
      <c r="Y38" s="261">
        <f t="shared" si="22"/>
        <v>408654034.1487239</v>
      </c>
      <c r="Z38" s="261">
        <f t="shared" si="22"/>
        <v>8587023.9295388181</v>
      </c>
      <c r="AA38" s="261">
        <f t="shared" si="22"/>
        <v>5084800.7182463054</v>
      </c>
      <c r="AB38" s="261">
        <f t="shared" si="22"/>
        <v>23940375</v>
      </c>
      <c r="AC38" s="261">
        <f t="shared" si="22"/>
        <v>436973577.2367546</v>
      </c>
      <c r="AD38" s="261">
        <f t="shared" si="22"/>
        <v>9182100.8744589873</v>
      </c>
      <c r="AE38" s="261">
        <f t="shared" si="22"/>
        <v>5437175.1499202605</v>
      </c>
      <c r="AF38" s="261">
        <f t="shared" si="22"/>
        <v>25904437.5</v>
      </c>
      <c r="AG38" s="261">
        <f t="shared" si="22"/>
        <v>465951893.23599631</v>
      </c>
      <c r="AH38" s="261">
        <f t="shared" si="22"/>
        <v>9791020.5770176165</v>
      </c>
      <c r="AI38" s="261">
        <f t="shared" si="22"/>
        <v>5797746.5616608988</v>
      </c>
      <c r="AJ38" s="261">
        <f t="shared" si="22"/>
        <v>27916500</v>
      </c>
      <c r="AK38" s="261">
        <f t="shared" si="22"/>
        <v>494836255.80086172</v>
      </c>
      <c r="AL38" s="261">
        <f t="shared" si="22"/>
        <v>10397966.041414302</v>
      </c>
      <c r="AM38" s="261">
        <f t="shared" si="22"/>
        <v>6157148.9295388162</v>
      </c>
      <c r="AN38" s="261" t="e">
        <f t="shared" si="22"/>
        <v>#DIV/0!</v>
      </c>
      <c r="AO38" s="261" t="e">
        <f t="shared" si="22"/>
        <v>#DIV/0!</v>
      </c>
      <c r="AP38" s="261" t="e">
        <f t="shared" si="22"/>
        <v>#DIV/0!</v>
      </c>
      <c r="AQ38" s="261" t="e">
        <f t="shared" si="22"/>
        <v>#DIV/0!</v>
      </c>
      <c r="AS38" s="127" t="s">
        <v>37</v>
      </c>
      <c r="AT38" s="265">
        <f>X38/COMB_CORR!$B29</f>
        <v>9.8528162556253927E-3</v>
      </c>
      <c r="AU38" s="265">
        <f>Y38/COMB_CORR!$B29</f>
        <v>0.18198695392972497</v>
      </c>
      <c r="AV38" s="265">
        <f>Z38/COMB_CORR!$B29</f>
        <v>3.824081491116993E-3</v>
      </c>
      <c r="AW38" s="265">
        <f>AA38/COMB_CORR!$B29</f>
        <v>2.2644274049098173E-3</v>
      </c>
      <c r="AX38" s="265">
        <f>AB38/COMB_CORR!$C29</f>
        <v>9.2687840123813273E-3</v>
      </c>
      <c r="AY38" s="265">
        <f>AC38/COMB_CORR!$C29</f>
        <v>0.16917920903599498</v>
      </c>
      <c r="AZ38" s="265">
        <f>AD38/COMB_CORR!$C29</f>
        <v>3.5549530776045938E-3</v>
      </c>
      <c r="BA38" s="265">
        <f>AE38/COMB_CORR!$C29</f>
        <v>2.105063187276639E-3</v>
      </c>
      <c r="BB38" s="265">
        <f>AF38/COMB_CORR!$D29</f>
        <v>9.2063511118395374E-3</v>
      </c>
      <c r="BC38" s="265">
        <f>AG38/COMB_CORR!$D29</f>
        <v>0.16559775638274143</v>
      </c>
      <c r="BD38" s="265">
        <f>AH38/COMB_CORR!$D29</f>
        <v>3.4796962171160799E-3</v>
      </c>
      <c r="BE38" s="265">
        <f>AI38/COMB_CORR!$D29</f>
        <v>2.0604998855547692E-3</v>
      </c>
      <c r="BF38" s="265">
        <f>AJ38/COMB_CORR!$E29</f>
        <v>9.0594260516599825E-3</v>
      </c>
      <c r="BG38" s="265">
        <f>AK38/COMB_CORR!$E29</f>
        <v>0.16058361424634929</v>
      </c>
      <c r="BH38" s="265">
        <f>AL38/COMB_CORR!$E29</f>
        <v>3.3743343341702775E-3</v>
      </c>
      <c r="BI38" s="265">
        <f>AM38/COMB_CORR!$E29</f>
        <v>1.9981099140728362E-3</v>
      </c>
      <c r="BJ38" s="265" t="e">
        <f>AN38/COMB_CORR!$F29</f>
        <v>#DIV/0!</v>
      </c>
      <c r="BK38" s="265" t="e">
        <f>AO38/COMB_CORR!$F29</f>
        <v>#DIV/0!</v>
      </c>
      <c r="BL38" s="265" t="e">
        <f>AP38/COMB_CORR!$F29</f>
        <v>#DIV/0!</v>
      </c>
      <c r="BM38" s="265" t="e">
        <f>AQ38/COMB_CORR!$F29</f>
        <v>#DIV/0!</v>
      </c>
    </row>
    <row r="39" spans="1:65" ht="26.25" thickBot="1">
      <c r="A39" s="128" t="s">
        <v>38</v>
      </c>
      <c r="B39" s="167">
        <f>DEN!J30</f>
        <v>150319</v>
      </c>
      <c r="C39" s="920">
        <f>DEN!$I30*ONSV_2013!P29</f>
        <v>568132.92730477208</v>
      </c>
      <c r="D39" s="920">
        <f>DEN!$I30*ONSV_2013!Q29</f>
        <v>18305.249898474096</v>
      </c>
      <c r="E39" s="920">
        <f>DEN!$I30*ONSV_2013!R29</f>
        <v>8129.8227967538514</v>
      </c>
      <c r="F39" s="167">
        <f>DEN!J66</f>
        <v>167985</v>
      </c>
      <c r="G39" s="920">
        <f>DEN!$I66*ONSV_2013!P29</f>
        <v>608579.93871454126</v>
      </c>
      <c r="H39" s="920">
        <f>DEN!$I66*ONSV_2013!Q29</f>
        <v>19608.453103073924</v>
      </c>
      <c r="I39" s="920">
        <f>DEN!$I66*ONSV_2013!R29</f>
        <v>8708.6081823847526</v>
      </c>
      <c r="J39" s="167">
        <f>DEN!J102</f>
        <v>187847</v>
      </c>
      <c r="K39" s="920">
        <f>DEN!$I102*ONSV_2013!P29</f>
        <v>650659.96631886507</v>
      </c>
      <c r="L39" s="920">
        <f>DEN!$I102*ONSV_2013!Q29</f>
        <v>20964.272109527352</v>
      </c>
      <c r="M39" s="920">
        <f>DEN!$I102*ONSV_2013!R29</f>
        <v>9310.7615716075943</v>
      </c>
      <c r="N39" s="167">
        <f>DEN!J138</f>
        <v>207062</v>
      </c>
      <c r="O39" s="920">
        <f>DEN!$I138*ONSV_2013!P29</f>
        <v>687254.24437787745</v>
      </c>
      <c r="P39" s="920">
        <f>DEN!$I138*ONSV_2013!Q29</f>
        <v>22143.340198226815</v>
      </c>
      <c r="Q39" s="920">
        <f>DEN!$I138*ONSV_2013!R29</f>
        <v>9834.4154238957799</v>
      </c>
      <c r="R39" s="167">
        <f>DEN!J174</f>
        <v>224022</v>
      </c>
      <c r="S39" s="167" t="e">
        <f>DEN!$I174*$K$2</f>
        <v>#DIV/0!</v>
      </c>
      <c r="T39" s="167" t="e">
        <f>DEN!$I174*$K$3</f>
        <v>#DIV/0!</v>
      </c>
      <c r="U39" s="167" t="e">
        <f>DEN!$I174*$K$4</f>
        <v>#DIV/0!</v>
      </c>
      <c r="W39" s="128" t="s">
        <v>38</v>
      </c>
      <c r="X39" s="261">
        <f>B39*B$10/B$11</f>
        <v>28184812.5</v>
      </c>
      <c r="Y39" s="261">
        <f t="shared" si="22"/>
        <v>326676433.20024395</v>
      </c>
      <c r="Z39" s="261">
        <f t="shared" si="22"/>
        <v>6864468.7119277865</v>
      </c>
      <c r="AA39" s="261">
        <f t="shared" si="22"/>
        <v>4064911.3983769258</v>
      </c>
      <c r="AB39" s="261">
        <f t="shared" si="22"/>
        <v>31497187.5</v>
      </c>
      <c r="AC39" s="261">
        <f t="shared" si="22"/>
        <v>349933464.76086122</v>
      </c>
      <c r="AD39" s="261">
        <f t="shared" si="22"/>
        <v>7353169.9136527209</v>
      </c>
      <c r="AE39" s="261">
        <f t="shared" si="22"/>
        <v>4354304.0911923768</v>
      </c>
      <c r="AF39" s="261">
        <f t="shared" si="22"/>
        <v>35221312.5</v>
      </c>
      <c r="AG39" s="261">
        <f t="shared" si="22"/>
        <v>374129480.63334745</v>
      </c>
      <c r="AH39" s="261">
        <f t="shared" si="22"/>
        <v>7861602.0410727579</v>
      </c>
      <c r="AI39" s="261">
        <f t="shared" si="22"/>
        <v>4655380.7858037967</v>
      </c>
      <c r="AJ39" s="261">
        <f t="shared" si="22"/>
        <v>38824125</v>
      </c>
      <c r="AK39" s="261">
        <f t="shared" si="22"/>
        <v>395171190.51727957</v>
      </c>
      <c r="AL39" s="261">
        <f t="shared" si="22"/>
        <v>8303752.5743350554</v>
      </c>
      <c r="AM39" s="261">
        <f t="shared" si="22"/>
        <v>4917207.71194789</v>
      </c>
      <c r="AN39" s="261" t="e">
        <f t="shared" si="22"/>
        <v>#DIV/0!</v>
      </c>
      <c r="AO39" s="261" t="e">
        <f t="shared" si="22"/>
        <v>#DIV/0!</v>
      </c>
      <c r="AP39" s="261" t="e">
        <f t="shared" si="22"/>
        <v>#DIV/0!</v>
      </c>
      <c r="AQ39" s="261" t="e">
        <f t="shared" si="22"/>
        <v>#DIV/0!</v>
      </c>
      <c r="AS39" s="128" t="s">
        <v>38</v>
      </c>
      <c r="AT39" s="265">
        <f>X39/COMB_CORR!$B30</f>
        <v>1.9414999511243376E-2</v>
      </c>
      <c r="AU39" s="265">
        <f>Y39/COMB_CORR!$B30</f>
        <v>0.22502980251926336</v>
      </c>
      <c r="AV39" s="265">
        <f>Z39/COMB_CORR!$B30</f>
        <v>4.7285628274810563E-3</v>
      </c>
      <c r="AW39" s="265">
        <f>AA39/COMB_CORR!$B30</f>
        <v>2.8000985570769943E-3</v>
      </c>
      <c r="AX39" s="265">
        <f>AB39/COMB_CORR!$C30</f>
        <v>1.7623912708922444E-2</v>
      </c>
      <c r="AY39" s="265">
        <f>AC39/COMB_CORR!$C30</f>
        <v>0.19580150884507408</v>
      </c>
      <c r="AZ39" s="265">
        <f>AD39/COMB_CORR!$C30</f>
        <v>4.1143871874938145E-3</v>
      </c>
      <c r="BA39" s="265">
        <f>AE39/COMB_CORR!$C30</f>
        <v>2.4364040507197132E-3</v>
      </c>
      <c r="BB39" s="265">
        <f>AF39/COMB_CORR!$D30</f>
        <v>1.7534787415666601E-2</v>
      </c>
      <c r="BC39" s="265">
        <f>AG39/COMB_CORR!$D30</f>
        <v>0.18625884281965652</v>
      </c>
      <c r="BD39" s="265">
        <f>AH39/COMB_CORR!$D30</f>
        <v>3.9138666549346076E-3</v>
      </c>
      <c r="BE39" s="265">
        <f>AI39/COMB_CORR!$D30</f>
        <v>2.3176624215252772E-3</v>
      </c>
      <c r="BF39" s="265">
        <f>AJ39/COMB_CORR!$E30</f>
        <v>1.7445442440354671E-2</v>
      </c>
      <c r="BG39" s="265">
        <f>AK39/COMB_CORR!$E30</f>
        <v>0.1775683613798284</v>
      </c>
      <c r="BH39" s="265">
        <f>AL39/COMB_CORR!$E30</f>
        <v>3.7312531209527356E-3</v>
      </c>
      <c r="BI39" s="265">
        <f>AM39/COMB_CORR!$E30</f>
        <v>2.2095247247956007E-3</v>
      </c>
      <c r="BJ39" s="265" t="e">
        <f>AN39/COMB_CORR!$F30</f>
        <v>#DIV/0!</v>
      </c>
      <c r="BK39" s="265" t="e">
        <f>AO39/COMB_CORR!$F30</f>
        <v>#DIV/0!</v>
      </c>
      <c r="BL39" s="265" t="e">
        <f>AP39/COMB_CORR!$F30</f>
        <v>#DIV/0!</v>
      </c>
      <c r="BM39" s="265" t="e">
        <f>AQ39/COMB_CORR!$F30</f>
        <v>#DIV/0!</v>
      </c>
    </row>
    <row r="40" spans="1:65" s="273" customFormat="1" ht="39" thickBot="1">
      <c r="A40" s="274" t="s">
        <v>73</v>
      </c>
      <c r="B40" s="281">
        <f>SUM(B41:B44)</f>
        <v>305758</v>
      </c>
      <c r="C40" s="281">
        <f t="shared" ref="C40:M40" si="23">SUM(C41:C44)</f>
        <v>1091917.6373986527</v>
      </c>
      <c r="D40" s="281">
        <f t="shared" si="23"/>
        <v>35181.879166776271</v>
      </c>
      <c r="E40" s="281">
        <f t="shared" si="23"/>
        <v>15624.483434571202</v>
      </c>
      <c r="F40" s="281">
        <f t="shared" si="23"/>
        <v>333733</v>
      </c>
      <c r="G40" s="281">
        <f t="shared" si="23"/>
        <v>1217306.3600447001</v>
      </c>
      <c r="H40" s="281">
        <f t="shared" si="23"/>
        <v>39221.933891955559</v>
      </c>
      <c r="I40" s="281">
        <f t="shared" si="23"/>
        <v>17418.706063344482</v>
      </c>
      <c r="J40" s="281">
        <f t="shared" si="23"/>
        <v>380106</v>
      </c>
      <c r="K40" s="281">
        <f t="shared" si="23"/>
        <v>1356044.9239225241</v>
      </c>
      <c r="L40" s="281">
        <f t="shared" si="23"/>
        <v>43692.125017773884</v>
      </c>
      <c r="M40" s="281">
        <f t="shared" si="23"/>
        <v>19403.951059701973</v>
      </c>
      <c r="N40" s="281">
        <f t="shared" ref="N40:U40" si="24">SUM(N41:N44)</f>
        <v>419916</v>
      </c>
      <c r="O40" s="281">
        <f t="shared" si="24"/>
        <v>1483713.565369393</v>
      </c>
      <c r="P40" s="281">
        <f t="shared" si="24"/>
        <v>47805.641730205309</v>
      </c>
      <c r="Q40" s="281">
        <f t="shared" si="24"/>
        <v>21230.792900401706</v>
      </c>
      <c r="R40" s="281">
        <f t="shared" si="24"/>
        <v>459848</v>
      </c>
      <c r="S40" s="281" t="e">
        <f t="shared" si="24"/>
        <v>#DIV/0!</v>
      </c>
      <c r="T40" s="281" t="e">
        <f t="shared" si="24"/>
        <v>#DIV/0!</v>
      </c>
      <c r="U40" s="281" t="e">
        <f t="shared" si="24"/>
        <v>#DIV/0!</v>
      </c>
      <c r="W40" s="164" t="s">
        <v>73</v>
      </c>
      <c r="X40" s="282">
        <f>SUM(X41:X44)</f>
        <v>57329625</v>
      </c>
      <c r="Y40" s="282">
        <f t="shared" ref="Y40:AM40" si="25">SUM(Y41:Y44)</f>
        <v>627852641.50422513</v>
      </c>
      <c r="Z40" s="282">
        <f t="shared" si="25"/>
        <v>13193204.687541103</v>
      </c>
      <c r="AA40" s="282">
        <f t="shared" si="25"/>
        <v>7812241.7172856024</v>
      </c>
      <c r="AB40" s="282">
        <f t="shared" si="25"/>
        <v>62574937.5</v>
      </c>
      <c r="AC40" s="282">
        <f t="shared" si="25"/>
        <v>699951157.02570248</v>
      </c>
      <c r="AD40" s="282">
        <f t="shared" si="25"/>
        <v>14708225.209483333</v>
      </c>
      <c r="AE40" s="282">
        <f t="shared" si="25"/>
        <v>8709353.0316722412</v>
      </c>
      <c r="AF40" s="282">
        <f t="shared" si="25"/>
        <v>71269875</v>
      </c>
      <c r="AG40" s="282">
        <f t="shared" si="25"/>
        <v>779725831.25545144</v>
      </c>
      <c r="AH40" s="282">
        <f t="shared" si="25"/>
        <v>16384546.881665207</v>
      </c>
      <c r="AI40" s="282">
        <f t="shared" si="25"/>
        <v>9701975.5298509859</v>
      </c>
      <c r="AJ40" s="282">
        <f t="shared" si="25"/>
        <v>78734250</v>
      </c>
      <c r="AK40" s="282">
        <f t="shared" si="25"/>
        <v>853135300.08740091</v>
      </c>
      <c r="AL40" s="282">
        <f t="shared" si="25"/>
        <v>17927115.64882699</v>
      </c>
      <c r="AM40" s="263">
        <f t="shared" si="25"/>
        <v>10615396.450200854</v>
      </c>
      <c r="AN40" s="282" t="e">
        <f>SUM(AN41:AN44)</f>
        <v>#DIV/0!</v>
      </c>
      <c r="AO40" s="282" t="e">
        <f>SUM(AO41:AO44)</f>
        <v>#DIV/0!</v>
      </c>
      <c r="AP40" s="282" t="e">
        <f>SUM(AP41:AP44)</f>
        <v>#DIV/0!</v>
      </c>
      <c r="AQ40" s="263" t="e">
        <f>SUM(AQ41:AQ44)</f>
        <v>#DIV/0!</v>
      </c>
      <c r="AS40" s="164" t="s">
        <v>73</v>
      </c>
      <c r="AT40" s="283">
        <f>X40/COMB_CORR!$B31</f>
        <v>2.3491922355514984E-2</v>
      </c>
      <c r="AU40" s="283">
        <f>Y40/COMB_CORR!$B31</f>
        <v>0.25727475986319887</v>
      </c>
      <c r="AV40" s="283">
        <f>Z40/COMB_CORR!$B31</f>
        <v>5.4061707213352945E-3</v>
      </c>
      <c r="AW40" s="283">
        <f>AA40/COMB_CORR!$B31</f>
        <v>3.2012170992743874E-3</v>
      </c>
      <c r="AX40" s="283">
        <f>AB40/COMB_CORR!$C31</f>
        <v>2.2125732829400793E-2</v>
      </c>
      <c r="AY40" s="283">
        <f>AC40/COMB_CORR!$C31</f>
        <v>0.24749417119243075</v>
      </c>
      <c r="AZ40" s="283">
        <f>AD40/COMB_CORR!$C31</f>
        <v>5.2006486043982983E-3</v>
      </c>
      <c r="BA40" s="283">
        <f>AE40/COMB_CORR!$C31</f>
        <v>3.0795207473553101E-3</v>
      </c>
      <c r="BB40" s="283">
        <f>AF40/COMB_CORR!$D31</f>
        <v>2.1603168129107529E-2</v>
      </c>
      <c r="BC40" s="283">
        <f>AG40/COMB_CORR!$D31</f>
        <v>0.23634878308990501</v>
      </c>
      <c r="BD40" s="283">
        <f>AH40/COMB_CORR!$D31</f>
        <v>4.9664478996751145E-3</v>
      </c>
      <c r="BE40" s="283">
        <f>AI40/COMB_CORR!$D31</f>
        <v>2.9408415344612002E-3</v>
      </c>
      <c r="BF40" s="283">
        <f>AJ40/COMB_CORR!$E31</f>
        <v>2.0931309335405594E-2</v>
      </c>
      <c r="BG40" s="283">
        <f>AK40/COMB_CORR!$E31</f>
        <v>0.22680394962908099</v>
      </c>
      <c r="BH40" s="283">
        <f>AL40/COMB_CORR!$E31</f>
        <v>4.7658802000042945E-3</v>
      </c>
      <c r="BI40" s="283">
        <f>AM40/COMB_CORR!$E31</f>
        <v>2.8220773909336857E-3</v>
      </c>
      <c r="BJ40" s="283" t="e">
        <f>AN40/COMB_CORR!$F31</f>
        <v>#DIV/0!</v>
      </c>
      <c r="BK40" s="283" t="e">
        <f>AO40/COMB_CORR!$F31</f>
        <v>#DIV/0!</v>
      </c>
      <c r="BL40" s="283" t="e">
        <f>AP40/COMB_CORR!$F31</f>
        <v>#DIV/0!</v>
      </c>
      <c r="BM40" s="283" t="e">
        <f>AQ40/COMB_CORR!$F31</f>
        <v>#DIV/0!</v>
      </c>
    </row>
    <row r="41" spans="1:65" ht="26.25" thickBot="1">
      <c r="A41" s="127" t="s">
        <v>40</v>
      </c>
      <c r="B41" s="167">
        <f>DEN!J32</f>
        <v>9595</v>
      </c>
      <c r="C41" s="920">
        <f>DEN!$I32*ONSV_2013!P31</f>
        <v>101347.3433883915</v>
      </c>
      <c r="D41" s="920">
        <f>DEN!$I32*ONSV_2013!Q31</f>
        <v>3265.3327161881589</v>
      </c>
      <c r="E41" s="920">
        <f>DEN!$I32*ONSV_2013!R31</f>
        <v>1450.3238954203421</v>
      </c>
      <c r="F41" s="167">
        <f>DEN!J68</f>
        <v>10539</v>
      </c>
      <c r="G41" s="920">
        <f>DEN!$I68*ONSV_2013!P31</f>
        <v>112789.92409114352</v>
      </c>
      <c r="H41" s="920">
        <f>DEN!$I68*ONSV_2013!Q31</f>
        <v>3634.0037822182844</v>
      </c>
      <c r="I41" s="920">
        <f>DEN!$I68*ONSV_2013!R31</f>
        <v>1614.07212663819</v>
      </c>
      <c r="J41" s="167">
        <f>DEN!J104</f>
        <v>11926</v>
      </c>
      <c r="K41" s="920">
        <f>DEN!$I104*ONSV_2013!P31</f>
        <v>125329.46367880238</v>
      </c>
      <c r="L41" s="920">
        <f>DEN!$I104*ONSV_2013!Q31</f>
        <v>4038.0180118227386</v>
      </c>
      <c r="M41" s="920">
        <f>DEN!$I104*ONSV_2013!R31</f>
        <v>1793.518309374876</v>
      </c>
      <c r="N41" s="167">
        <f>DEN!J140</f>
        <v>12984</v>
      </c>
      <c r="O41" s="920">
        <f>DEN!$I140*ONSV_2013!P31</f>
        <v>135079.78463837496</v>
      </c>
      <c r="P41" s="920">
        <f>DEN!$I140*ONSV_2013!Q31</f>
        <v>4352.1657828266134</v>
      </c>
      <c r="Q41" s="920">
        <f>DEN!$I140*ONSV_2013!R31</f>
        <v>1933.0495787984185</v>
      </c>
      <c r="R41" s="167">
        <f>DEN!J176</f>
        <v>14118</v>
      </c>
      <c r="S41" s="167" t="e">
        <f>DEN!$I176*$K$2</f>
        <v>#DIV/0!</v>
      </c>
      <c r="T41" s="167" t="e">
        <f>DEN!$I176*$K$3</f>
        <v>#DIV/0!</v>
      </c>
      <c r="U41" s="167" t="e">
        <f>DEN!$I176*$K$4</f>
        <v>#DIV/0!</v>
      </c>
      <c r="W41" s="260" t="s">
        <v>40</v>
      </c>
      <c r="X41" s="261">
        <f>B41*B$10/B$11</f>
        <v>1799062.5</v>
      </c>
      <c r="Y41" s="261">
        <f t="shared" ref="Y41:AQ44" si="26">C41*C$10/C$11</f>
        <v>58274722.448325112</v>
      </c>
      <c r="Z41" s="261">
        <f t="shared" si="26"/>
        <v>1224499.7685705596</v>
      </c>
      <c r="AA41" s="261">
        <f t="shared" si="26"/>
        <v>725161.94771017111</v>
      </c>
      <c r="AB41" s="261">
        <f t="shared" si="26"/>
        <v>1976062.5</v>
      </c>
      <c r="AC41" s="261">
        <f t="shared" si="26"/>
        <v>64854206.35240753</v>
      </c>
      <c r="AD41" s="261">
        <f t="shared" si="26"/>
        <v>1362751.4183318566</v>
      </c>
      <c r="AE41" s="261">
        <f t="shared" si="26"/>
        <v>807036.06331909494</v>
      </c>
      <c r="AF41" s="261">
        <f t="shared" si="26"/>
        <v>2236125</v>
      </c>
      <c r="AG41" s="261">
        <f t="shared" si="26"/>
        <v>72064441.615311369</v>
      </c>
      <c r="AH41" s="261">
        <f t="shared" si="26"/>
        <v>1514256.7544335271</v>
      </c>
      <c r="AI41" s="261">
        <f t="shared" si="26"/>
        <v>896759.15468743793</v>
      </c>
      <c r="AJ41" s="261">
        <f t="shared" si="26"/>
        <v>2434500</v>
      </c>
      <c r="AK41" s="261">
        <f t="shared" si="26"/>
        <v>77670876.167065606</v>
      </c>
      <c r="AL41" s="261">
        <f t="shared" si="26"/>
        <v>1632062.1685599801</v>
      </c>
      <c r="AM41" s="261">
        <f t="shared" si="26"/>
        <v>966524.7893992092</v>
      </c>
      <c r="AN41" s="261" t="e">
        <f t="shared" si="26"/>
        <v>#DIV/0!</v>
      </c>
      <c r="AO41" s="261" t="e">
        <f t="shared" si="26"/>
        <v>#DIV/0!</v>
      </c>
      <c r="AP41" s="261" t="e">
        <f t="shared" si="26"/>
        <v>#DIV/0!</v>
      </c>
      <c r="AQ41" s="261" t="e">
        <f t="shared" si="26"/>
        <v>#DIV/0!</v>
      </c>
      <c r="AS41" s="260" t="s">
        <v>40</v>
      </c>
      <c r="AT41" s="265">
        <f>X41/COMB_CORR!$B32</f>
        <v>2.3619942747683778E-3</v>
      </c>
      <c r="AU41" s="265">
        <f>Y41/COMB_CORR!$B32</f>
        <v>7.6509048900002194E-2</v>
      </c>
      <c r="AV41" s="265">
        <f>Z41/COMB_CORR!$B32</f>
        <v>1.6076492299844311E-3</v>
      </c>
      <c r="AW41" s="265">
        <f>AA41/COMB_CORR!$B32</f>
        <v>9.520671843092222E-4</v>
      </c>
      <c r="AX41" s="265">
        <f>AB41/COMB_CORR!$C32</f>
        <v>2.1966820653766799E-3</v>
      </c>
      <c r="AY41" s="265">
        <f>AC41/COMB_CORR!$C32</f>
        <v>7.2094922077905924E-2</v>
      </c>
      <c r="AZ41" s="265">
        <f>AD41/COMB_CORR!$C32</f>
        <v>1.5148972262852124E-3</v>
      </c>
      <c r="BA41" s="265">
        <f>AE41/COMB_CORR!$C32</f>
        <v>8.9713844901426676E-4</v>
      </c>
      <c r="BB41" s="265">
        <f>AF41/COMB_CORR!$D32</f>
        <v>2.2316214050117312E-3</v>
      </c>
      <c r="BC41" s="265">
        <f>AG41/COMB_CORR!$D32</f>
        <v>7.1919302565351687E-2</v>
      </c>
      <c r="BD41" s="265">
        <f>AH41/COMB_CORR!$D32</f>
        <v>1.5112070147587689E-3</v>
      </c>
      <c r="BE41" s="265">
        <f>AI41/COMB_CORR!$D32</f>
        <v>8.9495306601407028E-4</v>
      </c>
      <c r="BF41" s="265">
        <f>AJ41/COMB_CORR!$E32</f>
        <v>2.2560926992709579E-3</v>
      </c>
      <c r="BG41" s="265">
        <f>AK41/COMB_CORR!$E32</f>
        <v>7.19789265419985E-2</v>
      </c>
      <c r="BH41" s="265">
        <f>AL41/COMB_CORR!$E32</f>
        <v>1.5124598657812688E-3</v>
      </c>
      <c r="BI41" s="265">
        <f>AM41/COMB_CORR!$E32</f>
        <v>8.9569501787962872E-4</v>
      </c>
      <c r="BJ41" s="265" t="e">
        <f>AN41/COMB_CORR!$F32</f>
        <v>#DIV/0!</v>
      </c>
      <c r="BK41" s="265" t="e">
        <f>AO41/COMB_CORR!$F32</f>
        <v>#DIV/0!</v>
      </c>
      <c r="BL41" s="265" t="e">
        <f>AP41/COMB_CORR!$F32</f>
        <v>#DIV/0!</v>
      </c>
      <c r="BM41" s="265" t="e">
        <f>AQ41/COMB_CORR!$F32</f>
        <v>#DIV/0!</v>
      </c>
    </row>
    <row r="42" spans="1:65" ht="15.75" thickBot="1">
      <c r="A42" s="127" t="s">
        <v>41</v>
      </c>
      <c r="B42" s="167">
        <f>DEN!J33</f>
        <v>138677</v>
      </c>
      <c r="C42" s="920">
        <f>DEN!$I33*ONSV_2013!P32</f>
        <v>484114.59179375076</v>
      </c>
      <c r="D42" s="920">
        <f>DEN!$I33*ONSV_2013!Q32</f>
        <v>15598.376150502048</v>
      </c>
      <c r="E42" s="920">
        <f>DEN!$I33*ONSV_2013!R32</f>
        <v>6927.0320557472105</v>
      </c>
      <c r="F42" s="167">
        <f>DEN!J69</f>
        <v>151168</v>
      </c>
      <c r="G42" s="920">
        <f>DEN!$I69*ONSV_2013!P32</f>
        <v>534074.98069304076</v>
      </c>
      <c r="H42" s="920">
        <f>DEN!$I69*ONSV_2013!Q32</f>
        <v>17208.120933837356</v>
      </c>
      <c r="I42" s="920">
        <f>DEN!$I69*ONSV_2013!R32</f>
        <v>7641.8983731219596</v>
      </c>
      <c r="J42" s="167">
        <f>DEN!J105</f>
        <v>172613</v>
      </c>
      <c r="K42" s="920">
        <f>DEN!$I105*ONSV_2013!P32</f>
        <v>593100.57394324511</v>
      </c>
      <c r="L42" s="920">
        <f>DEN!$I105*ONSV_2013!Q32</f>
        <v>19109.95042138041</v>
      </c>
      <c r="M42" s="920">
        <f>DEN!$I105*ONSV_2013!R32</f>
        <v>8486.4756353744797</v>
      </c>
      <c r="N42" s="167">
        <f>DEN!J141</f>
        <v>190900</v>
      </c>
      <c r="O42" s="920">
        <f>DEN!$I141*ONSV_2013!P32</f>
        <v>647538.62148998794</v>
      </c>
      <c r="P42" s="920">
        <f>DEN!$I141*ONSV_2013!Q32</f>
        <v>20863.967253194423</v>
      </c>
      <c r="Q42" s="920">
        <f>DEN!$I141*ONSV_2013!R32</f>
        <v>9265.4112568176624</v>
      </c>
      <c r="R42" s="167">
        <f>DEN!J177</f>
        <v>208985</v>
      </c>
      <c r="S42" s="167" t="e">
        <f>DEN!$I177*$K$2</f>
        <v>#DIV/0!</v>
      </c>
      <c r="T42" s="167" t="e">
        <f>DEN!$I177*$K$3</f>
        <v>#DIV/0!</v>
      </c>
      <c r="U42" s="167" t="e">
        <f>DEN!$I177*$K$4</f>
        <v>#DIV/0!</v>
      </c>
      <c r="W42" s="127" t="s">
        <v>41</v>
      </c>
      <c r="X42" s="261">
        <f>B42*B$10/B$11</f>
        <v>26001937.5</v>
      </c>
      <c r="Y42" s="261">
        <f t="shared" si="26"/>
        <v>278365890.2814067</v>
      </c>
      <c r="Z42" s="261">
        <f t="shared" si="26"/>
        <v>5849391.0564382682</v>
      </c>
      <c r="AA42" s="261">
        <f t="shared" si="26"/>
        <v>3463516.0278736055</v>
      </c>
      <c r="AB42" s="261">
        <f t="shared" si="26"/>
        <v>28344000</v>
      </c>
      <c r="AC42" s="261">
        <f t="shared" si="26"/>
        <v>307093113.89849848</v>
      </c>
      <c r="AD42" s="261">
        <f t="shared" si="26"/>
        <v>6453045.3501890088</v>
      </c>
      <c r="AE42" s="261">
        <f t="shared" si="26"/>
        <v>3820949.1865609796</v>
      </c>
      <c r="AF42" s="261">
        <f t="shared" si="26"/>
        <v>32364937.5</v>
      </c>
      <c r="AG42" s="261">
        <f t="shared" si="26"/>
        <v>341032830.01736599</v>
      </c>
      <c r="AH42" s="261">
        <f t="shared" si="26"/>
        <v>7166231.408017653</v>
      </c>
      <c r="AI42" s="261">
        <f t="shared" si="26"/>
        <v>4243237.8176872395</v>
      </c>
      <c r="AJ42" s="261">
        <f t="shared" si="26"/>
        <v>35793750</v>
      </c>
      <c r="AK42" s="261">
        <f t="shared" si="26"/>
        <v>372334707.35674304</v>
      </c>
      <c r="AL42" s="261">
        <f t="shared" si="26"/>
        <v>7823987.719947909</v>
      </c>
      <c r="AM42" s="261">
        <f t="shared" si="26"/>
        <v>4632705.6284088315</v>
      </c>
      <c r="AN42" s="261" t="e">
        <f t="shared" si="26"/>
        <v>#DIV/0!</v>
      </c>
      <c r="AO42" s="261" t="e">
        <f t="shared" si="26"/>
        <v>#DIV/0!</v>
      </c>
      <c r="AP42" s="261" t="e">
        <f t="shared" si="26"/>
        <v>#DIV/0!</v>
      </c>
      <c r="AQ42" s="261" t="e">
        <f t="shared" si="26"/>
        <v>#DIV/0!</v>
      </c>
      <c r="AS42" s="127" t="s">
        <v>41</v>
      </c>
      <c r="AT42" s="265">
        <f>X42/COMB_CORR!$B33</f>
        <v>2.7334561952096284E-2</v>
      </c>
      <c r="AU42" s="265">
        <f>Y42/COMB_CORR!$B33</f>
        <v>0.29263241145962871</v>
      </c>
      <c r="AV42" s="265">
        <f>Z42/COMB_CORR!$B33</f>
        <v>6.1491780069946626E-3</v>
      </c>
      <c r="AW42" s="265">
        <f>AA42/COMB_CORR!$B33</f>
        <v>3.6410245750336688E-3</v>
      </c>
      <c r="AX42" s="265">
        <f>AB42/COMB_CORR!$C33</f>
        <v>2.6159490916371507E-2</v>
      </c>
      <c r="AY42" s="265">
        <f>AC42/COMB_CORR!$C33</f>
        <v>0.28342504669446839</v>
      </c>
      <c r="AZ42" s="265">
        <f>AD42/COMB_CORR!$C33</f>
        <v>5.9557007204770942E-3</v>
      </c>
      <c r="BA42" s="265">
        <f>AE42/COMB_CORR!$C33</f>
        <v>3.5264636444312394E-3</v>
      </c>
      <c r="BB42" s="265">
        <f>AF42/COMB_CORR!$D33</f>
        <v>2.575684389711547E-2</v>
      </c>
      <c r="BC42" s="265">
        <f>AG42/COMB_CORR!$D33</f>
        <v>0.27140263646573737</v>
      </c>
      <c r="BD42" s="265">
        <f>AH42/COMB_CORR!$D33</f>
        <v>5.7030699876036125E-3</v>
      </c>
      <c r="BE42" s="265">
        <f>AI42/COMB_CORR!$D33</f>
        <v>3.3768770320816203E-3</v>
      </c>
      <c r="BF42" s="265">
        <f>AJ42/COMB_CORR!$E33</f>
        <v>2.4750050437724578E-2</v>
      </c>
      <c r="BG42" s="265">
        <f>AK42/COMB_CORR!$E33</f>
        <v>0.25745563923296133</v>
      </c>
      <c r="BH42" s="265">
        <f>AL42/COMB_CORR!$E33</f>
        <v>5.4099972954174532E-3</v>
      </c>
      <c r="BI42" s="265">
        <f>AM42/COMB_CORR!$E33</f>
        <v>3.203344102427075E-3</v>
      </c>
      <c r="BJ42" s="265" t="e">
        <f>AN42/COMB_CORR!$F33</f>
        <v>#DIV/0!</v>
      </c>
      <c r="BK42" s="265" t="e">
        <f>AO42/COMB_CORR!$F33</f>
        <v>#DIV/0!</v>
      </c>
      <c r="BL42" s="265" t="e">
        <f>AP42/COMB_CORR!$F33</f>
        <v>#DIV/0!</v>
      </c>
      <c r="BM42" s="265" t="e">
        <f>AQ42/COMB_CORR!$F33</f>
        <v>#DIV/0!</v>
      </c>
    </row>
    <row r="43" spans="1:65" ht="26.25" thickBot="1">
      <c r="A43" s="127" t="s">
        <v>42</v>
      </c>
      <c r="B43" s="167">
        <f>DEN!J34</f>
        <v>100641</v>
      </c>
      <c r="C43" s="920">
        <f>DEN!$I34*ONSV_2013!P33</f>
        <v>301242.21934061468</v>
      </c>
      <c r="D43" s="920">
        <f>DEN!$I34*ONSV_2013!Q33</f>
        <v>9705.985321207374</v>
      </c>
      <c r="E43" s="920">
        <f>DEN!$I34*ONSV_2013!R33</f>
        <v>4310.7953381779153</v>
      </c>
      <c r="F43" s="167">
        <f>DEN!J70</f>
        <v>108857</v>
      </c>
      <c r="G43" s="920">
        <f>DEN!$I70*ONSV_2013!P33</f>
        <v>342169.85896009329</v>
      </c>
      <c r="H43" s="920">
        <f>DEN!$I70*ONSV_2013!Q33</f>
        <v>11024.668573003371</v>
      </c>
      <c r="I43" s="920">
        <f>DEN!$I70*ONSV_2013!R33</f>
        <v>4896.4724669033012</v>
      </c>
      <c r="J43" s="167">
        <f>DEN!J106</f>
        <v>124510</v>
      </c>
      <c r="K43" s="920">
        <f>DEN!$I106*ONSV_2013!P33</f>
        <v>384559.47300565062</v>
      </c>
      <c r="L43" s="920">
        <f>DEN!$I106*ONSV_2013!Q33</f>
        <v>12390.456451602877</v>
      </c>
      <c r="M43" s="920">
        <f>DEN!$I106*ONSV_2013!R33</f>
        <v>5503.0705427464918</v>
      </c>
      <c r="N43" s="167">
        <f>DEN!J142</f>
        <v>137767</v>
      </c>
      <c r="O43" s="920">
        <f>DEN!$I142*ONSV_2013!P33</f>
        <v>425212.87297788443</v>
      </c>
      <c r="P43" s="920">
        <f>DEN!$I142*ONSV_2013!Q33</f>
        <v>13700.303737455994</v>
      </c>
      <c r="Q43" s="920">
        <f>DEN!$I142*ONSV_2013!R33</f>
        <v>6084.8232846595838</v>
      </c>
      <c r="R43" s="167">
        <f>DEN!J178</f>
        <v>151818</v>
      </c>
      <c r="S43" s="167" t="e">
        <f>DEN!$I178*$K$2</f>
        <v>#DIV/0!</v>
      </c>
      <c r="T43" s="167" t="e">
        <f>DEN!$I178*$K$3</f>
        <v>#DIV/0!</v>
      </c>
      <c r="U43" s="167" t="e">
        <f>DEN!$I178*$K$4</f>
        <v>#DIV/0!</v>
      </c>
      <c r="W43" s="127" t="s">
        <v>42</v>
      </c>
      <c r="X43" s="261">
        <f>B43*B$10/B$11</f>
        <v>18870187.5</v>
      </c>
      <c r="Y43" s="261">
        <f t="shared" si="26"/>
        <v>173214276.12085345</v>
      </c>
      <c r="Z43" s="261">
        <f t="shared" si="26"/>
        <v>3639744.4954527654</v>
      </c>
      <c r="AA43" s="261">
        <f t="shared" si="26"/>
        <v>2155397.6690889574</v>
      </c>
      <c r="AB43" s="261">
        <f t="shared" si="26"/>
        <v>20410687.5</v>
      </c>
      <c r="AC43" s="261">
        <f t="shared" si="26"/>
        <v>196747668.90205365</v>
      </c>
      <c r="AD43" s="261">
        <f t="shared" si="26"/>
        <v>4134250.7148762643</v>
      </c>
      <c r="AE43" s="261">
        <f t="shared" si="26"/>
        <v>2448236.2334516505</v>
      </c>
      <c r="AF43" s="261">
        <f t="shared" si="26"/>
        <v>23345625</v>
      </c>
      <c r="AG43" s="261">
        <f t="shared" si="26"/>
        <v>221121696.9782491</v>
      </c>
      <c r="AH43" s="261">
        <f t="shared" si="26"/>
        <v>4646421.1693510786</v>
      </c>
      <c r="AI43" s="261">
        <f t="shared" si="26"/>
        <v>2751535.2713732459</v>
      </c>
      <c r="AJ43" s="261">
        <f t="shared" si="26"/>
        <v>25831312.5</v>
      </c>
      <c r="AK43" s="261">
        <f t="shared" si="26"/>
        <v>244497401.96228355</v>
      </c>
      <c r="AL43" s="261">
        <f t="shared" si="26"/>
        <v>5137613.9015459977</v>
      </c>
      <c r="AM43" s="261">
        <f t="shared" si="26"/>
        <v>3042411.642329792</v>
      </c>
      <c r="AN43" s="261" t="e">
        <f t="shared" si="26"/>
        <v>#DIV/0!</v>
      </c>
      <c r="AO43" s="261" t="e">
        <f t="shared" si="26"/>
        <v>#DIV/0!</v>
      </c>
      <c r="AP43" s="261" t="e">
        <f t="shared" si="26"/>
        <v>#DIV/0!</v>
      </c>
      <c r="AQ43" s="261" t="e">
        <f t="shared" si="26"/>
        <v>#DIV/0!</v>
      </c>
      <c r="AS43" s="127" t="s">
        <v>42</v>
      </c>
      <c r="AT43" s="265">
        <f>X43/COMB_CORR!$B34</f>
        <v>5.316435832807672E-2</v>
      </c>
      <c r="AU43" s="265">
        <f>Y43/COMB_CORR!$B34</f>
        <v>0.48800923908294375</v>
      </c>
      <c r="AV43" s="265">
        <f>Z43/COMB_CORR!$B34</f>
        <v>1.0254518169408524E-2</v>
      </c>
      <c r="AW43" s="265">
        <f>AA43/COMB_CORR!$B34</f>
        <v>6.0725593754140843E-3</v>
      </c>
      <c r="AX43" s="265">
        <f>AB43/COMB_CORR!$C34</f>
        <v>5.1829214185093286E-2</v>
      </c>
      <c r="AY43" s="265">
        <f>AC43/COMB_CORR!$C34</f>
        <v>0.49960478165874406</v>
      </c>
      <c r="AZ43" s="265">
        <f>AD43/COMB_CORR!$C34</f>
        <v>1.0498174831014239E-2</v>
      </c>
      <c r="BA43" s="265">
        <f>AE43/COMB_CORR!$C34</f>
        <v>6.216848899346073E-3</v>
      </c>
      <c r="BB43" s="265">
        <f>AF43/COMB_CORR!$D34</f>
        <v>4.779944769109358E-2</v>
      </c>
      <c r="BC43" s="265">
        <f>AG43/COMB_CORR!$D34</f>
        <v>0.45273985974150033</v>
      </c>
      <c r="BD43" s="265">
        <f>AH43/COMB_CORR!$D34</f>
        <v>9.513404144681787E-3</v>
      </c>
      <c r="BE43" s="265">
        <f>AI43/COMB_CORR!$D34</f>
        <v>5.6336836676766826E-3</v>
      </c>
      <c r="BF43" s="265">
        <f>AJ43/COMB_CORR!$E34</f>
        <v>4.355954365475681E-2</v>
      </c>
      <c r="BG43" s="265">
        <f>AK43/COMB_CORR!$E34</f>
        <v>0.41229787507896526</v>
      </c>
      <c r="BH43" s="265">
        <f>AL43/COMB_CORR!$E34</f>
        <v>8.6635983760282535E-3</v>
      </c>
      <c r="BI43" s="265">
        <f>AM43/COMB_CORR!$E34</f>
        <v>5.1304424717019291E-3</v>
      </c>
      <c r="BJ43" s="265" t="e">
        <f>AN43/COMB_CORR!$F34</f>
        <v>#DIV/0!</v>
      </c>
      <c r="BK43" s="265" t="e">
        <f>AO43/COMB_CORR!$F34</f>
        <v>#DIV/0!</v>
      </c>
      <c r="BL43" s="265" t="e">
        <f>AP43/COMB_CORR!$F34</f>
        <v>#DIV/0!</v>
      </c>
      <c r="BM43" s="265" t="e">
        <f>AQ43/COMB_CORR!$F34</f>
        <v>#DIV/0!</v>
      </c>
    </row>
    <row r="44" spans="1:65" ht="39" thickBot="1">
      <c r="A44" s="128" t="s">
        <v>43</v>
      </c>
      <c r="B44" s="167">
        <f>DEN!J35</f>
        <v>56845</v>
      </c>
      <c r="C44" s="920">
        <f>DEN!$I35*ONSV_2013!P34</f>
        <v>205213.48287589557</v>
      </c>
      <c r="D44" s="920">
        <f>DEN!$I35*ONSV_2013!Q34</f>
        <v>6612.1849788786922</v>
      </c>
      <c r="E44" s="920">
        <f>DEN!$I35*ONSV_2013!R34</f>
        <v>2936.3321452257351</v>
      </c>
      <c r="F44" s="167">
        <f>DEN!J71</f>
        <v>63169</v>
      </c>
      <c r="G44" s="920">
        <f>DEN!$I71*ONSV_2013!P34</f>
        <v>228271.59630042242</v>
      </c>
      <c r="H44" s="920">
        <f>DEN!$I71*ONSV_2013!Q34</f>
        <v>7355.140602896543</v>
      </c>
      <c r="I44" s="920">
        <f>DEN!$I71*ONSV_2013!R34</f>
        <v>3266.2630966810307</v>
      </c>
      <c r="J44" s="167">
        <f>DEN!J107</f>
        <v>71057</v>
      </c>
      <c r="K44" s="920">
        <f>DEN!$I107*ONSV_2013!P34</f>
        <v>253055.41329482599</v>
      </c>
      <c r="L44" s="920">
        <f>DEN!$I107*ONSV_2013!Q34</f>
        <v>8153.7001329678624</v>
      </c>
      <c r="M44" s="920">
        <f>DEN!$I107*ONSV_2013!R34</f>
        <v>3620.8865722061232</v>
      </c>
      <c r="N44" s="167">
        <f>DEN!J143</f>
        <v>78265</v>
      </c>
      <c r="O44" s="920">
        <f>DEN!$I143*ONSV_2013!P34</f>
        <v>275882.28626314568</v>
      </c>
      <c r="P44" s="920">
        <f>DEN!$I143*ONSV_2013!Q34</f>
        <v>8889.204956728272</v>
      </c>
      <c r="Q44" s="920">
        <f>DEN!$I143*ONSV_2013!R34</f>
        <v>3947.508780126042</v>
      </c>
      <c r="R44" s="167">
        <f>DEN!J179</f>
        <v>84927</v>
      </c>
      <c r="S44" s="167" t="e">
        <f>DEN!$I179*$K$2</f>
        <v>#DIV/0!</v>
      </c>
      <c r="T44" s="167" t="e">
        <f>DEN!$I179*$K$3</f>
        <v>#DIV/0!</v>
      </c>
      <c r="U44" s="167" t="e">
        <f>DEN!$I179*$K$4</f>
        <v>#DIV/0!</v>
      </c>
      <c r="W44" s="128" t="s">
        <v>43</v>
      </c>
      <c r="X44" s="261">
        <f>B44*B$10/B$11</f>
        <v>10658437.5</v>
      </c>
      <c r="Y44" s="261">
        <f t="shared" si="26"/>
        <v>117997752.65363996</v>
      </c>
      <c r="Z44" s="261">
        <f t="shared" si="26"/>
        <v>2479569.3670795094</v>
      </c>
      <c r="AA44" s="261">
        <f t="shared" si="26"/>
        <v>1468166.0726128675</v>
      </c>
      <c r="AB44" s="261">
        <f t="shared" si="26"/>
        <v>11844187.5</v>
      </c>
      <c r="AC44" s="261">
        <f t="shared" si="26"/>
        <v>131256167.87274289</v>
      </c>
      <c r="AD44" s="261">
        <f t="shared" si="26"/>
        <v>2758177.7260862039</v>
      </c>
      <c r="AE44" s="261">
        <f t="shared" si="26"/>
        <v>1633131.5483405155</v>
      </c>
      <c r="AF44" s="261">
        <f t="shared" si="26"/>
        <v>13323187.5</v>
      </c>
      <c r="AG44" s="261">
        <f t="shared" si="26"/>
        <v>145506862.64452496</v>
      </c>
      <c r="AH44" s="261">
        <f t="shared" si="26"/>
        <v>3057637.5498629482</v>
      </c>
      <c r="AI44" s="261">
        <f t="shared" si="26"/>
        <v>1810443.2861030616</v>
      </c>
      <c r="AJ44" s="261">
        <f t="shared" si="26"/>
        <v>14674687.5</v>
      </c>
      <c r="AK44" s="261">
        <f t="shared" si="26"/>
        <v>158632314.60130876</v>
      </c>
      <c r="AL44" s="261">
        <f t="shared" si="26"/>
        <v>3333451.8587731021</v>
      </c>
      <c r="AM44" s="261">
        <f t="shared" si="26"/>
        <v>1973754.3900630209</v>
      </c>
      <c r="AN44" s="261" t="e">
        <f t="shared" si="26"/>
        <v>#DIV/0!</v>
      </c>
      <c r="AO44" s="261" t="e">
        <f t="shared" si="26"/>
        <v>#DIV/0!</v>
      </c>
      <c r="AP44" s="261" t="e">
        <f t="shared" si="26"/>
        <v>#DIV/0!</v>
      </c>
      <c r="AQ44" s="261" t="e">
        <f t="shared" si="26"/>
        <v>#DIV/0!</v>
      </c>
      <c r="AS44" s="128" t="s">
        <v>43</v>
      </c>
      <c r="AT44" s="265">
        <f>X44/COMB_CORR!$B35</f>
        <v>2.8610324159499972E-2</v>
      </c>
      <c r="AU44" s="265">
        <f>Y44/COMB_CORR!$B35</f>
        <v>0.3167400431360729</v>
      </c>
      <c r="AV44" s="265">
        <f>Z44/COMB_CORR!$B35</f>
        <v>6.6558802233545903E-3</v>
      </c>
      <c r="AW44" s="265">
        <f>AA44/COMB_CORR!$B35</f>
        <v>3.9409817111967964E-3</v>
      </c>
      <c r="AX44" s="265">
        <f>AB44/COMB_CORR!$C35</f>
        <v>2.6246271765479862E-2</v>
      </c>
      <c r="AY44" s="265">
        <f>AC44/COMB_CORR!$C35</f>
        <v>0.29085870625430887</v>
      </c>
      <c r="AZ44" s="265">
        <f>AD44/COMB_CORR!$C35</f>
        <v>6.1120175762458834E-3</v>
      </c>
      <c r="BA44" s="265">
        <f>AE44/COMB_CORR!$C35</f>
        <v>3.6189577754087467E-3</v>
      </c>
      <c r="BB44" s="265">
        <f>AF44/COMB_CORR!$D35</f>
        <v>2.4133383097554001E-2</v>
      </c>
      <c r="BC44" s="265">
        <f>AG44/COMB_CORR!$D35</f>
        <v>0.26356852363771732</v>
      </c>
      <c r="BD44" s="265">
        <f>AH44/COMB_CORR!$D35</f>
        <v>5.5385498676130546E-3</v>
      </c>
      <c r="BE44" s="265">
        <f>AI44/COMB_CORR!$D35</f>
        <v>3.2794045268761509E-3</v>
      </c>
      <c r="BF44" s="265">
        <f>AJ44/COMB_CORR!$E35</f>
        <v>2.2813163697450886E-2</v>
      </c>
      <c r="BG44" s="265">
        <f>AK44/COMB_CORR!$E35</f>
        <v>0.24660865593936396</v>
      </c>
      <c r="BH44" s="265">
        <f>AL44/COMB_CORR!$E35</f>
        <v>5.1821602968896412E-3</v>
      </c>
      <c r="BI44" s="265">
        <f>AM44/COMB_CORR!$E35</f>
        <v>3.0683843863162346E-3</v>
      </c>
      <c r="BJ44" s="265" t="e">
        <f>AN44/COMB_CORR!$F35</f>
        <v>#DIV/0!</v>
      </c>
      <c r="BK44" s="265" t="e">
        <f>AO44/COMB_CORR!$F35</f>
        <v>#DIV/0!</v>
      </c>
      <c r="BL44" s="265" t="e">
        <f>AP44/COMB_CORR!$F35</f>
        <v>#DIV/0!</v>
      </c>
      <c r="BM44" s="265" t="e">
        <f>AQ44/COMB_CORR!$F35</f>
        <v>#DIV/0!</v>
      </c>
    </row>
    <row r="45" spans="1:65">
      <c r="A45" s="129"/>
      <c r="B45" s="129"/>
      <c r="C45" s="129"/>
      <c r="D45" s="129"/>
      <c r="E45" s="129"/>
      <c r="F45" s="129"/>
      <c r="G45" s="129"/>
      <c r="H45" s="129"/>
      <c r="I45" s="129"/>
      <c r="J45" s="129"/>
      <c r="K45" s="129"/>
      <c r="L45" s="129"/>
      <c r="M45" s="129"/>
      <c r="N45" s="129"/>
    </row>
  </sheetData>
  <mergeCells count="24">
    <mergeCell ref="BJ7:BM8"/>
    <mergeCell ref="BF7:BI8"/>
    <mergeCell ref="AJ7:AM8"/>
    <mergeCell ref="AS7:AS9"/>
    <mergeCell ref="AT7:AW8"/>
    <mergeCell ref="AX7:BA8"/>
    <mergeCell ref="BB7:BE8"/>
    <mergeCell ref="AN7:AQ8"/>
    <mergeCell ref="A7:A9"/>
    <mergeCell ref="X7:AA8"/>
    <mergeCell ref="AB7:AE8"/>
    <mergeCell ref="J7:M8"/>
    <mergeCell ref="W7:W9"/>
    <mergeCell ref="R7:U8"/>
    <mergeCell ref="AF7:AI8"/>
    <mergeCell ref="B7:E8"/>
    <mergeCell ref="D1:E1"/>
    <mergeCell ref="F1:G1"/>
    <mergeCell ref="H1:I1"/>
    <mergeCell ref="F7:I8"/>
    <mergeCell ref="B1:C1"/>
    <mergeCell ref="N7:Q8"/>
    <mergeCell ref="J1:K1"/>
    <mergeCell ref="N2:Z3"/>
  </mergeCells>
  <pageMargins left="0.511811024" right="0.511811024" top="0.78740157499999996" bottom="0.78740157499999996" header="0.31496062000000002" footer="0.31496062000000002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FFC000"/>
  </sheetPr>
  <dimension ref="A1:BY36"/>
  <sheetViews>
    <sheetView workbookViewId="0">
      <pane xSplit="1" topLeftCell="B7" activePane="topRight" state="frozen"/>
      <selection pane="topRight" activeCell="A7" sqref="A7"/>
    </sheetView>
  </sheetViews>
  <sheetFormatPr defaultColWidth="8.85546875" defaultRowHeight="15"/>
  <cols>
    <col min="2" max="2" width="13" customWidth="1"/>
    <col min="3" max="3" width="12.7109375" customWidth="1"/>
    <col min="9" max="9" width="13" customWidth="1"/>
    <col min="10" max="10" width="12.7109375" customWidth="1"/>
    <col min="16" max="16" width="13" customWidth="1"/>
    <col min="17" max="17" width="12.7109375" customWidth="1"/>
    <col min="23" max="23" width="13" customWidth="1"/>
    <col min="24" max="24" width="12.7109375" customWidth="1"/>
    <col min="29" max="29" width="8.85546875" style="1"/>
    <col min="30" max="30" width="13" customWidth="1"/>
    <col min="31" max="31" width="12.7109375" customWidth="1"/>
    <col min="36" max="37" width="8.85546875" style="1"/>
    <col min="38" max="38" width="16.7109375" style="1" customWidth="1"/>
    <col min="39" max="77" width="8.85546875" style="1"/>
  </cols>
  <sheetData>
    <row r="1" spans="1:73" ht="15.75" thickBot="1">
      <c r="A1" s="1226" t="s">
        <v>447</v>
      </c>
      <c r="B1" s="1212">
        <v>2009</v>
      </c>
      <c r="C1" s="1225"/>
      <c r="D1" s="1225"/>
      <c r="E1" s="1225"/>
      <c r="F1" s="1225"/>
      <c r="G1" s="1225"/>
      <c r="H1" s="1213"/>
      <c r="I1" s="1212">
        <v>2010</v>
      </c>
      <c r="J1" s="1225"/>
      <c r="K1" s="1225"/>
      <c r="L1" s="1225"/>
      <c r="M1" s="1225"/>
      <c r="N1" s="1225"/>
      <c r="O1" s="1213"/>
      <c r="P1" s="1212">
        <v>2011</v>
      </c>
      <c r="Q1" s="1225"/>
      <c r="R1" s="1225"/>
      <c r="S1" s="1225"/>
      <c r="T1" s="1225"/>
      <c r="U1" s="1225"/>
      <c r="V1" s="1213"/>
      <c r="W1" s="1212">
        <v>2012</v>
      </c>
      <c r="X1" s="1225"/>
      <c r="Y1" s="1225"/>
      <c r="Z1" s="1225"/>
      <c r="AA1" s="1225"/>
      <c r="AB1" s="1225"/>
      <c r="AC1" s="1213"/>
      <c r="AD1" s="1212">
        <v>2013</v>
      </c>
      <c r="AE1" s="1225"/>
      <c r="AF1" s="1225"/>
      <c r="AG1" s="1225"/>
      <c r="AH1" s="1225"/>
      <c r="AI1" s="1225"/>
      <c r="AJ1" s="1213"/>
      <c r="AL1" s="1226" t="s">
        <v>451</v>
      </c>
      <c r="AM1" s="1212">
        <v>2009</v>
      </c>
      <c r="AN1" s="1225"/>
      <c r="AO1" s="1225"/>
      <c r="AP1" s="1225"/>
      <c r="AQ1" s="1225"/>
      <c r="AR1" s="1225"/>
      <c r="AS1" s="1213"/>
      <c r="AT1" s="1212">
        <v>2010</v>
      </c>
      <c r="AU1" s="1225"/>
      <c r="AV1" s="1225"/>
      <c r="AW1" s="1225"/>
      <c r="AX1" s="1225"/>
      <c r="AY1" s="1225"/>
      <c r="AZ1" s="1213"/>
      <c r="BA1" s="1212">
        <v>2011</v>
      </c>
      <c r="BB1" s="1225"/>
      <c r="BC1" s="1225"/>
      <c r="BD1" s="1225"/>
      <c r="BE1" s="1225"/>
      <c r="BF1" s="1225"/>
      <c r="BG1" s="1213"/>
      <c r="BH1" s="1212">
        <v>2012</v>
      </c>
      <c r="BI1" s="1225"/>
      <c r="BJ1" s="1225"/>
      <c r="BK1" s="1225"/>
      <c r="BL1" s="1225"/>
      <c r="BM1" s="1225"/>
      <c r="BN1" s="1213"/>
      <c r="BO1" s="1212">
        <v>2013</v>
      </c>
      <c r="BP1" s="1225"/>
      <c r="BQ1" s="1225"/>
      <c r="BR1" s="1225"/>
      <c r="BS1" s="1225"/>
      <c r="BT1" s="1225"/>
      <c r="BU1" s="1213"/>
    </row>
    <row r="2" spans="1:73" ht="15" customHeight="1" thickBot="1">
      <c r="A2" s="1227"/>
      <c r="B2" s="1202" t="s">
        <v>78</v>
      </c>
      <c r="C2" s="1202" t="s">
        <v>445</v>
      </c>
      <c r="D2" s="1222" t="s">
        <v>452</v>
      </c>
      <c r="E2" s="1223"/>
      <c r="F2" s="1223"/>
      <c r="G2" s="1224"/>
      <c r="H2" s="1202" t="s">
        <v>96</v>
      </c>
      <c r="I2" s="1202" t="s">
        <v>78</v>
      </c>
      <c r="J2" s="1202" t="s">
        <v>445</v>
      </c>
      <c r="K2" s="1222" t="s">
        <v>452</v>
      </c>
      <c r="L2" s="1223"/>
      <c r="M2" s="1223"/>
      <c r="N2" s="1224"/>
      <c r="O2" s="1202" t="s">
        <v>96</v>
      </c>
      <c r="P2" s="1202" t="s">
        <v>78</v>
      </c>
      <c r="Q2" s="1202" t="s">
        <v>445</v>
      </c>
      <c r="R2" s="1222" t="s">
        <v>452</v>
      </c>
      <c r="S2" s="1223"/>
      <c r="T2" s="1223"/>
      <c r="U2" s="1224"/>
      <c r="V2" s="1202" t="s">
        <v>96</v>
      </c>
      <c r="W2" s="1229" t="s">
        <v>78</v>
      </c>
      <c r="X2" s="1229" t="s">
        <v>445</v>
      </c>
      <c r="Y2" s="1230" t="s">
        <v>452</v>
      </c>
      <c r="Z2" s="1231"/>
      <c r="AA2" s="1231"/>
      <c r="AB2" s="1232"/>
      <c r="AC2" s="1202" t="s">
        <v>96</v>
      </c>
      <c r="AD2" s="1229" t="s">
        <v>78</v>
      </c>
      <c r="AE2" s="1229" t="s">
        <v>445</v>
      </c>
      <c r="AF2" s="1230" t="s">
        <v>452</v>
      </c>
      <c r="AG2" s="1231"/>
      <c r="AH2" s="1231"/>
      <c r="AI2" s="1232"/>
      <c r="AJ2" s="1202" t="s">
        <v>96</v>
      </c>
      <c r="AL2" s="1227"/>
      <c r="AM2" s="1202" t="s">
        <v>78</v>
      </c>
      <c r="AN2" s="1202" t="s">
        <v>445</v>
      </c>
      <c r="AO2" s="1222" t="s">
        <v>452</v>
      </c>
      <c r="AP2" s="1223"/>
      <c r="AQ2" s="1223"/>
      <c r="AR2" s="1224"/>
      <c r="AS2" s="1202" t="s">
        <v>96</v>
      </c>
      <c r="AT2" s="1202" t="s">
        <v>78</v>
      </c>
      <c r="AU2" s="1202" t="s">
        <v>445</v>
      </c>
      <c r="AV2" s="1222" t="s">
        <v>452</v>
      </c>
      <c r="AW2" s="1223"/>
      <c r="AX2" s="1223"/>
      <c r="AY2" s="1224"/>
      <c r="AZ2" s="1202" t="s">
        <v>96</v>
      </c>
      <c r="BA2" s="1202" t="s">
        <v>78</v>
      </c>
      <c r="BB2" s="1202" t="s">
        <v>445</v>
      </c>
      <c r="BC2" s="1222" t="s">
        <v>452</v>
      </c>
      <c r="BD2" s="1223"/>
      <c r="BE2" s="1223"/>
      <c r="BF2" s="1224"/>
      <c r="BG2" s="1202" t="s">
        <v>96</v>
      </c>
      <c r="BH2" s="1229" t="s">
        <v>78</v>
      </c>
      <c r="BI2" s="1229" t="s">
        <v>445</v>
      </c>
      <c r="BJ2" s="1230" t="s">
        <v>452</v>
      </c>
      <c r="BK2" s="1231"/>
      <c r="BL2" s="1231"/>
      <c r="BM2" s="1232"/>
      <c r="BN2" s="1202" t="s">
        <v>96</v>
      </c>
      <c r="BO2" s="1229" t="s">
        <v>78</v>
      </c>
      <c r="BP2" s="1229" t="s">
        <v>445</v>
      </c>
      <c r="BQ2" s="1230" t="s">
        <v>452</v>
      </c>
      <c r="BR2" s="1231"/>
      <c r="BS2" s="1231"/>
      <c r="BT2" s="1232"/>
      <c r="BU2" s="1202" t="s">
        <v>96</v>
      </c>
    </row>
    <row r="3" spans="1:73" ht="15.75" thickBot="1">
      <c r="A3" s="1228"/>
      <c r="B3" s="1203"/>
      <c r="C3" s="1203"/>
      <c r="D3" s="94" t="s">
        <v>106</v>
      </c>
      <c r="E3" s="94" t="s">
        <v>107</v>
      </c>
      <c r="F3" s="94" t="s">
        <v>108</v>
      </c>
      <c r="G3" s="94" t="s">
        <v>109</v>
      </c>
      <c r="H3" s="1203"/>
      <c r="I3" s="1203"/>
      <c r="J3" s="1203"/>
      <c r="K3" s="94" t="s">
        <v>106</v>
      </c>
      <c r="L3" s="94" t="s">
        <v>107</v>
      </c>
      <c r="M3" s="94" t="s">
        <v>108</v>
      </c>
      <c r="N3" s="94" t="s">
        <v>109</v>
      </c>
      <c r="O3" s="1203"/>
      <c r="P3" s="1203"/>
      <c r="Q3" s="1203"/>
      <c r="R3" s="94" t="s">
        <v>106</v>
      </c>
      <c r="S3" s="94" t="s">
        <v>107</v>
      </c>
      <c r="T3" s="94" t="s">
        <v>108</v>
      </c>
      <c r="U3" s="94" t="s">
        <v>109</v>
      </c>
      <c r="V3" s="1203"/>
      <c r="W3" s="1203"/>
      <c r="X3" s="1203"/>
      <c r="Y3" s="94" t="s">
        <v>106</v>
      </c>
      <c r="Z3" s="94" t="s">
        <v>107</v>
      </c>
      <c r="AA3" s="94" t="s">
        <v>108</v>
      </c>
      <c r="AB3" s="94" t="s">
        <v>109</v>
      </c>
      <c r="AC3" s="1203"/>
      <c r="AD3" s="1203"/>
      <c r="AE3" s="1203"/>
      <c r="AF3" s="94" t="s">
        <v>106</v>
      </c>
      <c r="AG3" s="94" t="s">
        <v>107</v>
      </c>
      <c r="AH3" s="94" t="s">
        <v>108</v>
      </c>
      <c r="AI3" s="94" t="s">
        <v>109</v>
      </c>
      <c r="AJ3" s="1203"/>
      <c r="AL3" s="1228"/>
      <c r="AM3" s="1203"/>
      <c r="AN3" s="1203"/>
      <c r="AO3" s="94" t="s">
        <v>106</v>
      </c>
      <c r="AP3" s="94" t="s">
        <v>107</v>
      </c>
      <c r="AQ3" s="94" t="s">
        <v>108</v>
      </c>
      <c r="AR3" s="94" t="s">
        <v>109</v>
      </c>
      <c r="AS3" s="1203"/>
      <c r="AT3" s="1203"/>
      <c r="AU3" s="1203"/>
      <c r="AV3" s="94" t="s">
        <v>106</v>
      </c>
      <c r="AW3" s="94" t="s">
        <v>107</v>
      </c>
      <c r="AX3" s="94" t="s">
        <v>108</v>
      </c>
      <c r="AY3" s="94" t="s">
        <v>109</v>
      </c>
      <c r="AZ3" s="1203"/>
      <c r="BA3" s="1203"/>
      <c r="BB3" s="1203"/>
      <c r="BC3" s="94" t="s">
        <v>106</v>
      </c>
      <c r="BD3" s="94" t="s">
        <v>107</v>
      </c>
      <c r="BE3" s="94" t="s">
        <v>108</v>
      </c>
      <c r="BF3" s="94" t="s">
        <v>109</v>
      </c>
      <c r="BG3" s="1203"/>
      <c r="BH3" s="1203"/>
      <c r="BI3" s="1203"/>
      <c r="BJ3" s="94" t="s">
        <v>106</v>
      </c>
      <c r="BK3" s="94" t="s">
        <v>107</v>
      </c>
      <c r="BL3" s="94" t="s">
        <v>108</v>
      </c>
      <c r="BM3" s="94" t="s">
        <v>109</v>
      </c>
      <c r="BN3" s="1203"/>
      <c r="BO3" s="1203"/>
      <c r="BP3" s="1203"/>
      <c r="BQ3" s="94" t="s">
        <v>106</v>
      </c>
      <c r="BR3" s="94" t="s">
        <v>107</v>
      </c>
      <c r="BS3" s="94" t="s">
        <v>108</v>
      </c>
      <c r="BT3" s="94" t="s">
        <v>109</v>
      </c>
      <c r="BU3" s="1203"/>
    </row>
    <row r="4" spans="1:73" ht="15.75" thickBot="1">
      <c r="A4" s="125" t="s">
        <v>11</v>
      </c>
      <c r="B4" s="171">
        <f>DIST_GAS_LEV!X58</f>
        <v>0.81314678061551648</v>
      </c>
      <c r="C4" s="171">
        <f>DIST_GAS_LEV!Y58</f>
        <v>0.1216677433246863</v>
      </c>
      <c r="D4" s="171">
        <f>DIST_GAS_MOT!AT12</f>
        <v>1.5232540947111154E-2</v>
      </c>
      <c r="E4" s="171">
        <f>DIST_GAS_MOT!AU12</f>
        <v>0.25294466022739232</v>
      </c>
      <c r="F4" s="171">
        <f>DIST_GAS_MOT!AV12</f>
        <v>5.3151723983696046E-3</v>
      </c>
      <c r="G4" s="171">
        <f>DIST_GAS_MOT!AW12</f>
        <v>3.1473536058350239E-3</v>
      </c>
      <c r="H4" s="171">
        <f>SUM(B4:G4)</f>
        <v>1.2114542511189108</v>
      </c>
      <c r="I4" s="171">
        <f>DIST_GAS_LEV!Z58</f>
        <v>0.7741104068878587</v>
      </c>
      <c r="J4" s="171">
        <f>DIST_GAS_LEV!AA58</f>
        <v>0.11933629241691721</v>
      </c>
      <c r="K4" s="171">
        <f>DIST_GAS_MOT!AX12</f>
        <v>1.4371976020997943E-2</v>
      </c>
      <c r="L4" s="171">
        <f>DIST_GAS_MOT!AY12</f>
        <v>0.24162340754524611</v>
      </c>
      <c r="M4" s="171">
        <f>DIST_GAS_MOT!AZ12</f>
        <v>5.0772778849470981E-3</v>
      </c>
      <c r="N4" s="171">
        <f>DIST_GAS_MOT!BA12</f>
        <v>3.0064849405906291E-3</v>
      </c>
      <c r="O4" s="171">
        <f>SUM(I4:N4)</f>
        <v>1.1575258456965576</v>
      </c>
      <c r="P4" s="171">
        <f>DIST_GAS_LEV!AB58</f>
        <v>0.74740831046760481</v>
      </c>
      <c r="Q4" s="171">
        <f>DIST_GAS_LEV!AC58</f>
        <v>0.11863045308377876</v>
      </c>
      <c r="R4" s="171">
        <f>DIST_GAS_MOT!BB12</f>
        <v>1.365416608993834E-2</v>
      </c>
      <c r="S4" s="171">
        <f>DIST_GAS_MOT!BC12</f>
        <v>0.22790436291229396</v>
      </c>
      <c r="T4" s="171">
        <f>DIST_GAS_MOT!BD12</f>
        <v>4.7889980607079058E-3</v>
      </c>
      <c r="U4" s="171">
        <f>DIST_GAS_MOT!BE12</f>
        <v>2.8357809221631449E-3</v>
      </c>
      <c r="V4" s="266">
        <f>SUM(P4:U4)</f>
        <v>1.1152220715364867</v>
      </c>
      <c r="W4" s="171">
        <f>DIST_GAS_LEV!AD58</f>
        <v>0.73130978682599979</v>
      </c>
      <c r="X4" s="171">
        <f>DIST_GAS_LEV!AE58</f>
        <v>0.11992809796965269</v>
      </c>
      <c r="Y4" s="171">
        <f>DIST_GAS_MOT!BF12</f>
        <v>1.3601041111315508E-2</v>
      </c>
      <c r="Z4" s="171">
        <f>DIST_GAS_MOT!BG12</f>
        <v>0.22529375493694467</v>
      </c>
      <c r="AA4" s="171">
        <f>DIST_GAS_MOT!BH12</f>
        <v>4.7341414302073132E-3</v>
      </c>
      <c r="AB4" s="171">
        <f>DIST_GAS_MOT!BI12</f>
        <v>2.8032975350421726E-3</v>
      </c>
      <c r="AC4" s="171">
        <f>SUM(W4:AB4)</f>
        <v>1.0976701198091623</v>
      </c>
      <c r="AD4" s="171" t="e">
        <f>DIST_GAS_LEV!AF58</f>
        <v>#DIV/0!</v>
      </c>
      <c r="AE4" s="171" t="e">
        <f>DIST_GAS_LEV!AG58</f>
        <v>#DIV/0!</v>
      </c>
      <c r="AF4" s="171" t="e">
        <f>DIST_GAS_MOT!BJ12</f>
        <v>#DIV/0!</v>
      </c>
      <c r="AG4" s="171" t="e">
        <f>DIST_GAS_MOT!BK12</f>
        <v>#DIV/0!</v>
      </c>
      <c r="AH4" s="171" t="e">
        <f>DIST_GAS_MOT!BL12</f>
        <v>#DIV/0!</v>
      </c>
      <c r="AI4" s="171" t="e">
        <f>DIST_GAS_MOT!BM12</f>
        <v>#DIV/0!</v>
      </c>
      <c r="AJ4" s="171" t="e">
        <f>SUM(AD4:AI4)</f>
        <v>#DIV/0!</v>
      </c>
      <c r="AL4" s="125" t="s">
        <v>11</v>
      </c>
      <c r="AM4" s="171">
        <f t="shared" ref="AM4:AR4" si="0">B4/$H4</f>
        <v>0.67121542548097568</v>
      </c>
      <c r="AN4" s="171">
        <f t="shared" si="0"/>
        <v>0.10043114976262026</v>
      </c>
      <c r="AO4" s="171">
        <f t="shared" si="0"/>
        <v>1.2573764905312959E-2</v>
      </c>
      <c r="AP4" s="171">
        <f t="shared" si="0"/>
        <v>0.20879423221617341</v>
      </c>
      <c r="AQ4" s="171">
        <f t="shared" si="0"/>
        <v>4.387431381300994E-3</v>
      </c>
      <c r="AR4" s="171">
        <f t="shared" si="0"/>
        <v>2.5979962536167569E-3</v>
      </c>
      <c r="AS4" s="171">
        <f>SUM(AM4:AR4)</f>
        <v>1</v>
      </c>
      <c r="AT4" s="171">
        <f t="shared" ref="AT4:AY4" si="1">I4/$O4</f>
        <v>0.66876295658178309</v>
      </c>
      <c r="AU4" s="171">
        <f t="shared" si="1"/>
        <v>0.10309600676355084</v>
      </c>
      <c r="AV4" s="171">
        <f t="shared" si="1"/>
        <v>1.2416116732451363E-2</v>
      </c>
      <c r="AW4" s="171">
        <f t="shared" si="1"/>
        <v>0.20874126348327524</v>
      </c>
      <c r="AX4" s="171">
        <f t="shared" si="1"/>
        <v>4.3863192375560084E-3</v>
      </c>
      <c r="AY4" s="171">
        <f t="shared" si="1"/>
        <v>2.5973372013835547E-3</v>
      </c>
      <c r="AZ4" s="171">
        <f>SUM(AT4:AY4)</f>
        <v>1.0000000000000002</v>
      </c>
      <c r="BA4" s="171">
        <f t="shared" ref="BA4:BF4" si="2">P4/$V4</f>
        <v>0.67018787517168676</v>
      </c>
      <c r="BB4" s="171">
        <f t="shared" si="2"/>
        <v>0.10637383899722928</v>
      </c>
      <c r="BC4" s="171">
        <f t="shared" si="2"/>
        <v>1.2243450374979077E-2</v>
      </c>
      <c r="BD4" s="171">
        <f t="shared" si="2"/>
        <v>0.20435783036314989</v>
      </c>
      <c r="BE4" s="171">
        <f t="shared" si="2"/>
        <v>4.2942102590472486E-3</v>
      </c>
      <c r="BF4" s="171">
        <f t="shared" si="2"/>
        <v>2.5427948339079897E-3</v>
      </c>
      <c r="BG4" s="171">
        <f>SUM(BA4:BF4)</f>
        <v>1.0000000000000004</v>
      </c>
      <c r="BH4" s="171">
        <f t="shared" ref="BH4:BM4" si="3">W4/$AC4</f>
        <v>0.66623822005207101</v>
      </c>
      <c r="BI4" s="171">
        <f t="shared" si="3"/>
        <v>0.10925695781033289</v>
      </c>
      <c r="BJ4" s="171">
        <f t="shared" si="3"/>
        <v>1.2390827504423775E-2</v>
      </c>
      <c r="BK4" s="171">
        <f t="shared" si="3"/>
        <v>0.20524723309049681</v>
      </c>
      <c r="BL4" s="171">
        <f t="shared" si="3"/>
        <v>4.3128999731088403E-3</v>
      </c>
      <c r="BM4" s="171">
        <f t="shared" si="3"/>
        <v>2.5538615695665885E-3</v>
      </c>
      <c r="BN4" s="171">
        <f>SUM(BH4:BM4)</f>
        <v>0.99999999999999978</v>
      </c>
      <c r="BO4" s="171" t="e">
        <f t="shared" ref="BO4:BT4" si="4">AD4/$AJ4</f>
        <v>#DIV/0!</v>
      </c>
      <c r="BP4" s="171" t="e">
        <f t="shared" si="4"/>
        <v>#DIV/0!</v>
      </c>
      <c r="BQ4" s="171" t="e">
        <f t="shared" si="4"/>
        <v>#DIV/0!</v>
      </c>
      <c r="BR4" s="171" t="e">
        <f t="shared" si="4"/>
        <v>#DIV/0!</v>
      </c>
      <c r="BS4" s="171" t="e">
        <f t="shared" si="4"/>
        <v>#DIV/0!</v>
      </c>
      <c r="BT4" s="171" t="e">
        <f t="shared" si="4"/>
        <v>#DIV/0!</v>
      </c>
      <c r="BU4" s="171" t="e">
        <f>SUM(BO4:BT4)</f>
        <v>#DIV/0!</v>
      </c>
    </row>
    <row r="5" spans="1:73" ht="26.25" thickBot="1">
      <c r="A5" s="4" t="s">
        <v>46</v>
      </c>
      <c r="B5" s="171">
        <f>DIST_GAS_LEV!X59</f>
        <v>0.6732563620722114</v>
      </c>
      <c r="C5" s="171">
        <f>DIST_GAS_LEV!Y59</f>
        <v>0.12538530114936133</v>
      </c>
      <c r="D5" s="171">
        <f>DIST_GAS_MOT!AT13</f>
        <v>2.5319061633230514E-2</v>
      </c>
      <c r="E5" s="171">
        <f>DIST_GAS_MOT!AU13</f>
        <v>0.26696737919990055</v>
      </c>
      <c r="F5" s="171">
        <f>DIST_GAS_MOT!AV13</f>
        <v>5.6099586565779421E-3</v>
      </c>
      <c r="G5" s="171">
        <f>DIST_GAS_MOT!AW13</f>
        <v>3.3218109178873604E-3</v>
      </c>
      <c r="H5" s="171">
        <f t="shared" ref="H5:H36" si="5">SUM(B5:G5)</f>
        <v>1.0998598736291691</v>
      </c>
      <c r="I5" s="171">
        <f>DIST_GAS_LEV!Z59</f>
        <v>0.65858354456291912</v>
      </c>
      <c r="J5" s="171">
        <f>DIST_GAS_LEV!AA59</f>
        <v>0.12511714548896735</v>
      </c>
      <c r="K5" s="171">
        <f>DIST_GAS_MOT!AX13</f>
        <v>2.3826956866683461E-2</v>
      </c>
      <c r="L5" s="171">
        <f>DIST_GAS_MOT!AY13</f>
        <v>0.26650310344428019</v>
      </c>
      <c r="M5" s="171">
        <f>DIST_GAS_MOT!AZ13</f>
        <v>5.6002062386782949E-3</v>
      </c>
      <c r="N5" s="171">
        <f>DIST_GAS_MOT!BA13</f>
        <v>3.3160344172443912E-3</v>
      </c>
      <c r="O5" s="171">
        <f t="shared" ref="O5:O36" si="6">SUM(I5:N5)</f>
        <v>1.0829469910187728</v>
      </c>
      <c r="P5" s="171">
        <f>DIST_GAS_LEV!AB59</f>
        <v>0.67184771842023627</v>
      </c>
      <c r="Q5" s="171">
        <f>DIST_GAS_LEV!AC59</f>
        <v>0.12974825531567594</v>
      </c>
      <c r="R5" s="171">
        <f>DIST_GAS_MOT!BB13</f>
        <v>2.4274745799371639E-2</v>
      </c>
      <c r="S5" s="171">
        <f>DIST_GAS_MOT!BC13</f>
        <v>0.27605480545637817</v>
      </c>
      <c r="T5" s="171">
        <f>DIST_GAS_MOT!BD13</f>
        <v>5.8009278304017612E-3</v>
      </c>
      <c r="U5" s="171">
        <f>DIST_GAS_MOT!BE13</f>
        <v>3.4348829501158629E-3</v>
      </c>
      <c r="V5" s="266">
        <f t="shared" ref="V5:V36" si="7">SUM(P5:U5)</f>
        <v>1.1111613357721797</v>
      </c>
      <c r="W5" s="171">
        <f>DIST_GAS_LEV!AD59</f>
        <v>0.64910688326764432</v>
      </c>
      <c r="X5" s="171">
        <f>DIST_GAS_LEV!AE59</f>
        <v>0.12825126823105901</v>
      </c>
      <c r="Y5" s="171">
        <f>DIST_GAS_MOT!BF13</f>
        <v>2.3966978765184731E-2</v>
      </c>
      <c r="Z5" s="171">
        <f>DIST_GAS_MOT!BG13</f>
        <v>0.27683653756904741</v>
      </c>
      <c r="AA5" s="171">
        <f>DIST_GAS_MOT!BH13</f>
        <v>5.8173553409419558E-3</v>
      </c>
      <c r="AB5" s="171">
        <f>DIST_GAS_MOT!BI13</f>
        <v>3.4446095923861535E-3</v>
      </c>
      <c r="AC5" s="171">
        <f t="shared" ref="AC5:AC36" si="8">SUM(W5:AB5)</f>
        <v>1.0874236327662636</v>
      </c>
      <c r="AD5" s="171" t="e">
        <f>DIST_GAS_LEV!AF59</f>
        <v>#DIV/0!</v>
      </c>
      <c r="AE5" s="171" t="e">
        <f>DIST_GAS_LEV!AG59</f>
        <v>#DIV/0!</v>
      </c>
      <c r="AF5" s="171" t="e">
        <f>DIST_GAS_MOT!BJ13</f>
        <v>#DIV/0!</v>
      </c>
      <c r="AG5" s="171" t="e">
        <f>DIST_GAS_MOT!BK13</f>
        <v>#DIV/0!</v>
      </c>
      <c r="AH5" s="171" t="e">
        <f>DIST_GAS_MOT!BL13</f>
        <v>#DIV/0!</v>
      </c>
      <c r="AI5" s="171" t="e">
        <f>DIST_GAS_MOT!BM13</f>
        <v>#DIV/0!</v>
      </c>
      <c r="AJ5" s="171" t="e">
        <f t="shared" ref="AJ5:AJ36" si="9">SUM(AD5:AI5)</f>
        <v>#DIV/0!</v>
      </c>
      <c r="AL5" s="4" t="s">
        <v>46</v>
      </c>
      <c r="AM5" s="171">
        <f t="shared" ref="AM5:AM36" si="10">B5/$H5</f>
        <v>0.61212921592519864</v>
      </c>
      <c r="AN5" s="171">
        <f t="shared" ref="AN5:AN36" si="11">C5/$H5</f>
        <v>0.11400115974376976</v>
      </c>
      <c r="AO5" s="171">
        <f t="shared" ref="AO5:AO36" si="12">D5/$H5</f>
        <v>2.302026125354141E-2</v>
      </c>
      <c r="AP5" s="171">
        <f t="shared" ref="AP5:AP36" si="13">E5/$H5</f>
        <v>0.24272853806276032</v>
      </c>
      <c r="AQ5" s="171">
        <f t="shared" ref="AQ5:AQ36" si="14">F5/$H5</f>
        <v>5.1006121698639276E-3</v>
      </c>
      <c r="AR5" s="171">
        <f t="shared" ref="AR5:AR36" si="15">G5/$H5</f>
        <v>3.0202128448658621E-3</v>
      </c>
      <c r="AS5" s="171">
        <f t="shared" ref="AS5:AS36" si="16">SUM(AM5:AR5)</f>
        <v>0.99999999999999989</v>
      </c>
      <c r="AT5" s="171">
        <f t="shared" ref="AT5:AT36" si="17">I5/$O5</f>
        <v>0.60814014907909986</v>
      </c>
      <c r="AU5" s="171">
        <f t="shared" ref="AU5:AU36" si="18">J5/$O5</f>
        <v>0.11553395182460824</v>
      </c>
      <c r="AV5" s="171">
        <f t="shared" ref="AV5:AV36" si="19">K5/$O5</f>
        <v>2.200196045077743E-2</v>
      </c>
      <c r="AW5" s="171">
        <f t="shared" ref="AW5:AW36" si="20">L5/$O5</f>
        <v>0.24609062646138363</v>
      </c>
      <c r="AX5" s="171">
        <f t="shared" ref="AX5:AX36" si="21">M5/$O5</f>
        <v>5.1712653390448508E-3</v>
      </c>
      <c r="AY5" s="171">
        <f t="shared" ref="AY5:AY36" si="22">N5/$O5</f>
        <v>3.0620468450859827E-3</v>
      </c>
      <c r="AZ5" s="171">
        <f t="shared" ref="AZ5:AZ36" si="23">SUM(AT5:AY5)</f>
        <v>0.99999999999999989</v>
      </c>
      <c r="BA5" s="171">
        <f t="shared" ref="BA5:BA36" si="24">P5/$V5</f>
        <v>0.60463561572123004</v>
      </c>
      <c r="BB5" s="171">
        <f t="shared" ref="BB5:BB36" si="25">Q5/$V5</f>
        <v>0.11676815160735407</v>
      </c>
      <c r="BC5" s="171">
        <f t="shared" ref="BC5:BC36" si="26">R5/$V5</f>
        <v>2.1846283719458598E-2</v>
      </c>
      <c r="BD5" s="171">
        <f t="shared" ref="BD5:BD36" si="27">S5/$V5</f>
        <v>0.24843809496353589</v>
      </c>
      <c r="BE5" s="171">
        <f t="shared" ref="BE5:BE36" si="28">T5/$V5</f>
        <v>5.2205990648248402E-3</v>
      </c>
      <c r="BF5" s="171">
        <f t="shared" ref="BF5:BF36" si="29">U5/$V5</f>
        <v>3.0912549235965437E-3</v>
      </c>
      <c r="BG5" s="171">
        <f>SUM(BA5:BF5)</f>
        <v>1</v>
      </c>
      <c r="BH5" s="171">
        <f t="shared" ref="BH5:BH36" si="30">W5/$AC5</f>
        <v>0.59692181014716517</v>
      </c>
      <c r="BI5" s="171">
        <f t="shared" ref="BI5:BI36" si="31">X5/$AC5</f>
        <v>0.11794048277652798</v>
      </c>
      <c r="BJ5" s="171">
        <f t="shared" ref="BJ5:BJ36" si="32">Y5/$AC5</f>
        <v>2.204014888311363E-2</v>
      </c>
      <c r="BK5" s="171">
        <f t="shared" ref="BK5:BK36" si="33">Z5/$AC5</f>
        <v>0.25458021071770476</v>
      </c>
      <c r="BL5" s="171">
        <f t="shared" ref="BL5:BL36" si="34">AA5/$AC5</f>
        <v>5.3496679358929914E-3</v>
      </c>
      <c r="BM5" s="171">
        <f t="shared" ref="BM5:BM36" si="35">AB5/$AC5</f>
        <v>3.1676795395953615E-3</v>
      </c>
      <c r="BN5" s="171">
        <f t="shared" ref="BN5:BN36" si="36">SUM(BH5:BM5)</f>
        <v>1</v>
      </c>
      <c r="BO5" s="171" t="e">
        <f t="shared" ref="BO5:BO36" si="37">AD5/$AJ5</f>
        <v>#DIV/0!</v>
      </c>
      <c r="BP5" s="171" t="e">
        <f t="shared" ref="BP5:BP36" si="38">AE5/$AJ5</f>
        <v>#DIV/0!</v>
      </c>
      <c r="BQ5" s="171" t="e">
        <f t="shared" ref="BQ5:BQ36" si="39">AF5/$AJ5</f>
        <v>#DIV/0!</v>
      </c>
      <c r="BR5" s="171" t="e">
        <f t="shared" ref="BR5:BR36" si="40">AG5/$AJ5</f>
        <v>#DIV/0!</v>
      </c>
      <c r="BS5" s="171" t="e">
        <f t="shared" ref="BS5:BS36" si="41">AH5/$AJ5</f>
        <v>#DIV/0!</v>
      </c>
      <c r="BT5" s="171" t="e">
        <f t="shared" ref="BT5:BT36" si="42">AI5/$AJ5</f>
        <v>#DIV/0!</v>
      </c>
      <c r="BU5" s="171" t="e">
        <f t="shared" ref="BU5:BU36" si="43">SUM(BO5:BT5)</f>
        <v>#DIV/0!</v>
      </c>
    </row>
    <row r="6" spans="1:73" ht="15.75" thickBot="1">
      <c r="A6" s="127" t="s">
        <v>13</v>
      </c>
      <c r="B6" s="171">
        <f>DIST_GAS_LEV!X60</f>
        <v>0.70798398524723682</v>
      </c>
      <c r="C6" s="171">
        <f>DIST_GAS_LEV!Y60</f>
        <v>0.12441687605453729</v>
      </c>
      <c r="D6" s="171">
        <f>DIST_GAS_MOT!AT14</f>
        <v>2.4978803757387893E-2</v>
      </c>
      <c r="E6" s="171">
        <f>DIST_GAS_MOT!AU14</f>
        <v>0.32837811738218547</v>
      </c>
      <c r="F6" s="171">
        <f>DIST_GAS_MOT!AV14</f>
        <v>6.9013136115537903E-3</v>
      </c>
      <c r="G6" s="171">
        <f>DIST_GAS_MOT!AW14</f>
        <v>4.0865031726956807E-3</v>
      </c>
      <c r="H6" s="171">
        <f t="shared" si="5"/>
        <v>1.1967455992255971</v>
      </c>
      <c r="I6" s="171">
        <f>DIST_GAS_LEV!Z60</f>
        <v>0.66415188147767801</v>
      </c>
      <c r="J6" s="171">
        <f>DIST_GAS_LEV!AA60</f>
        <v>0.11645371524671795</v>
      </c>
      <c r="K6" s="171">
        <f>DIST_GAS_MOT!AX14</f>
        <v>2.2561083863131565E-2</v>
      </c>
      <c r="L6" s="171">
        <f>DIST_GAS_MOT!AY14</f>
        <v>0.32468263172003459</v>
      </c>
      <c r="M6" s="171">
        <f>DIST_GAS_MOT!AZ14</f>
        <v>6.8236479445939529E-3</v>
      </c>
      <c r="N6" s="171">
        <f>DIST_GAS_MOT!BA14</f>
        <v>4.0405146823437044E-3</v>
      </c>
      <c r="O6" s="171">
        <f t="shared" si="6"/>
        <v>1.1387134749344998</v>
      </c>
      <c r="P6" s="171">
        <f>DIST_GAS_LEV!AB60</f>
        <v>0.66935916044300114</v>
      </c>
      <c r="Q6" s="171">
        <f>DIST_GAS_LEV!AC60</f>
        <v>0.11735697373208706</v>
      </c>
      <c r="R6" s="171">
        <f>DIST_GAS_MOT!BB14</f>
        <v>2.2896473726119911E-2</v>
      </c>
      <c r="S6" s="171">
        <f>DIST_GAS_MOT!BC14</f>
        <v>0.34188437047773662</v>
      </c>
      <c r="T6" s="171">
        <f>DIST_GAS_MOT!BD14</f>
        <v>7.185165925077272E-3</v>
      </c>
      <c r="U6" s="171">
        <f>DIST_GAS_MOT!BE14</f>
        <v>4.2545818088916615E-3</v>
      </c>
      <c r="V6" s="266">
        <f t="shared" si="7"/>
        <v>1.1629367261129138</v>
      </c>
      <c r="W6" s="171">
        <f>DIST_GAS_LEV!AD60</f>
        <v>0.67801903099159422</v>
      </c>
      <c r="X6" s="171">
        <f>DIST_GAS_LEV!AE60</f>
        <v>0.11967248502485109</v>
      </c>
      <c r="Y6" s="171">
        <f>DIST_GAS_MOT!BF14</f>
        <v>2.2965218360399272E-2</v>
      </c>
      <c r="Z6" s="171">
        <f>DIST_GAS_MOT!BG14</f>
        <v>0.3493730334469386</v>
      </c>
      <c r="AA6" s="171">
        <f>DIST_GAS_MOT!BH14</f>
        <v>7.3425503820371187E-3</v>
      </c>
      <c r="AB6" s="171">
        <f>DIST_GAS_MOT!BI14</f>
        <v>4.3477745137736239E-3</v>
      </c>
      <c r="AC6" s="171">
        <f t="shared" si="8"/>
        <v>1.1817200927195939</v>
      </c>
      <c r="AD6" s="171" t="e">
        <f>DIST_GAS_LEV!AF60</f>
        <v>#DIV/0!</v>
      </c>
      <c r="AE6" s="171" t="e">
        <f>DIST_GAS_LEV!AG60</f>
        <v>#DIV/0!</v>
      </c>
      <c r="AF6" s="171" t="e">
        <f>DIST_GAS_MOT!BJ14</f>
        <v>#DIV/0!</v>
      </c>
      <c r="AG6" s="171" t="e">
        <f>DIST_GAS_MOT!BK14</f>
        <v>#DIV/0!</v>
      </c>
      <c r="AH6" s="171" t="e">
        <f>DIST_GAS_MOT!BL14</f>
        <v>#DIV/0!</v>
      </c>
      <c r="AI6" s="171" t="e">
        <f>DIST_GAS_MOT!BM14</f>
        <v>#DIV/0!</v>
      </c>
      <c r="AJ6" s="171" t="e">
        <f t="shared" si="9"/>
        <v>#DIV/0!</v>
      </c>
      <c r="AL6" s="127" t="s">
        <v>13</v>
      </c>
      <c r="AM6" s="171">
        <f t="shared" si="10"/>
        <v>0.59159104968120768</v>
      </c>
      <c r="AN6" s="171">
        <f t="shared" si="11"/>
        <v>0.10396267689227041</v>
      </c>
      <c r="AO6" s="171">
        <f t="shared" si="12"/>
        <v>2.087227542223798E-2</v>
      </c>
      <c r="AP6" s="171">
        <f t="shared" si="13"/>
        <v>0.27439258401674999</v>
      </c>
      <c r="AQ6" s="171">
        <f t="shared" si="14"/>
        <v>5.7667340627946036E-3</v>
      </c>
      <c r="AR6" s="171">
        <f t="shared" si="15"/>
        <v>3.4146799247392417E-3</v>
      </c>
      <c r="AS6" s="171">
        <f t="shared" si="16"/>
        <v>0.99999999999999989</v>
      </c>
      <c r="AT6" s="171">
        <f t="shared" si="17"/>
        <v>0.58324758255440934</v>
      </c>
      <c r="AU6" s="171">
        <f t="shared" si="18"/>
        <v>0.10226779414673784</v>
      </c>
      <c r="AV6" s="171">
        <f t="shared" si="19"/>
        <v>1.981278377726171E-2</v>
      </c>
      <c r="AW6" s="171">
        <f t="shared" si="20"/>
        <v>0.28513110529293662</v>
      </c>
      <c r="AX6" s="171">
        <f t="shared" si="21"/>
        <v>5.9924187205973459E-3</v>
      </c>
      <c r="AY6" s="171">
        <f t="shared" si="22"/>
        <v>3.5483155080571253E-3</v>
      </c>
      <c r="AZ6" s="171">
        <f t="shared" si="23"/>
        <v>0.99999999999999989</v>
      </c>
      <c r="BA6" s="171">
        <f t="shared" si="24"/>
        <v>0.57557659450683707</v>
      </c>
      <c r="BB6" s="171">
        <f t="shared" si="25"/>
        <v>0.10091432413898367</v>
      </c>
      <c r="BC6" s="171">
        <f t="shared" si="26"/>
        <v>1.9688494835527974E-2</v>
      </c>
      <c r="BD6" s="171">
        <f t="shared" si="27"/>
        <v>0.29398363883517237</v>
      </c>
      <c r="BE6" s="171">
        <f t="shared" si="28"/>
        <v>6.1784667761706222E-3</v>
      </c>
      <c r="BF6" s="171">
        <f t="shared" si="29"/>
        <v>3.6584809073082524E-3</v>
      </c>
      <c r="BG6" s="171">
        <f t="shared" ref="BG6:BG36" si="44">SUM(BA6:BF6)</f>
        <v>0.99999999999999989</v>
      </c>
      <c r="BH6" s="171">
        <f t="shared" si="30"/>
        <v>0.57375603171069967</v>
      </c>
      <c r="BI6" s="171">
        <f t="shared" si="31"/>
        <v>0.10126973871573811</v>
      </c>
      <c r="BJ6" s="171">
        <f t="shared" si="32"/>
        <v>1.9433720812470443E-2</v>
      </c>
      <c r="BK6" s="171">
        <f t="shared" si="33"/>
        <v>0.29564787431420958</v>
      </c>
      <c r="BL6" s="171">
        <f t="shared" si="34"/>
        <v>6.2134429525853938E-3</v>
      </c>
      <c r="BM6" s="171">
        <f t="shared" si="35"/>
        <v>3.6791914942968578E-3</v>
      </c>
      <c r="BN6" s="171">
        <f t="shared" si="36"/>
        <v>1</v>
      </c>
      <c r="BO6" s="171" t="e">
        <f t="shared" si="37"/>
        <v>#DIV/0!</v>
      </c>
      <c r="BP6" s="171" t="e">
        <f t="shared" si="38"/>
        <v>#DIV/0!</v>
      </c>
      <c r="BQ6" s="171" t="e">
        <f t="shared" si="39"/>
        <v>#DIV/0!</v>
      </c>
      <c r="BR6" s="171" t="e">
        <f t="shared" si="40"/>
        <v>#DIV/0!</v>
      </c>
      <c r="BS6" s="171" t="e">
        <f t="shared" si="41"/>
        <v>#DIV/0!</v>
      </c>
      <c r="BT6" s="171" t="e">
        <f t="shared" si="42"/>
        <v>#DIV/0!</v>
      </c>
      <c r="BU6" s="171" t="e">
        <f t="shared" si="43"/>
        <v>#DIV/0!</v>
      </c>
    </row>
    <row r="7" spans="1:73" ht="15.75" thickBot="1">
      <c r="A7" s="127" t="s">
        <v>14</v>
      </c>
      <c r="B7" s="171">
        <f>DIST_GAS_LEV!X61</f>
        <v>0.69798669337006847</v>
      </c>
      <c r="C7" s="171">
        <f>DIST_GAS_LEV!Y61</f>
        <v>0.13717166920399243</v>
      </c>
      <c r="D7" s="171">
        <f>DIST_GAS_MOT!AT15</f>
        <v>1.2029971185289827E-2</v>
      </c>
      <c r="E7" s="171">
        <f>DIST_GAS_MOT!AU15</f>
        <v>0.17328134608775914</v>
      </c>
      <c r="F7" s="171">
        <f>DIST_GAS_MOT!AV15</f>
        <v>3.6421638092897532E-3</v>
      </c>
      <c r="G7" s="171">
        <f>DIST_GAS_MOT!AW15</f>
        <v>2.1547880128258748E-3</v>
      </c>
      <c r="H7" s="171">
        <f t="shared" si="5"/>
        <v>1.0262666316692255</v>
      </c>
      <c r="I7" s="171">
        <f>DIST_GAS_LEV!Z61</f>
        <v>0.69177206416916914</v>
      </c>
      <c r="J7" s="171">
        <f>DIST_GAS_LEV!AA61</f>
        <v>0.13894834335576897</v>
      </c>
      <c r="K7" s="171">
        <f>DIST_GAS_MOT!AX15</f>
        <v>1.1889880428385305E-2</v>
      </c>
      <c r="L7" s="171">
        <f>DIST_GAS_MOT!AY15</f>
        <v>0.17703048763507695</v>
      </c>
      <c r="M7" s="171">
        <f>DIST_GAS_MOT!AZ15</f>
        <v>3.720966219173099E-3</v>
      </c>
      <c r="N7" s="171">
        <f>DIST_GAS_MOT!BA15</f>
        <v>2.2014093338563363E-3</v>
      </c>
      <c r="O7" s="171">
        <f t="shared" si="6"/>
        <v>1.0255631511414298</v>
      </c>
      <c r="P7" s="171">
        <f>DIST_GAS_LEV!AB61</f>
        <v>0.71127278784318593</v>
      </c>
      <c r="Q7" s="171">
        <f>DIST_GAS_LEV!AC61</f>
        <v>0.14447896837553695</v>
      </c>
      <c r="R7" s="171">
        <f>DIST_GAS_MOT!BB15</f>
        <v>1.2753320074948227E-2</v>
      </c>
      <c r="S7" s="171">
        <f>DIST_GAS_MOT!BC15</f>
        <v>0.19653933247007732</v>
      </c>
      <c r="T7" s="171">
        <f>DIST_GAS_MOT!BD15</f>
        <v>4.1310184851746671E-3</v>
      </c>
      <c r="U7" s="171">
        <f>DIST_GAS_MOT!BE15</f>
        <v>2.4440057006530763E-3</v>
      </c>
      <c r="V7" s="266">
        <f t="shared" si="7"/>
        <v>1.0716194329495763</v>
      </c>
      <c r="W7" s="171">
        <f>DIST_GAS_LEV!AD61</f>
        <v>0.65376999660962698</v>
      </c>
      <c r="X7" s="171">
        <f>DIST_GAS_LEV!AE61</f>
        <v>0.13850552677149916</v>
      </c>
      <c r="Y7" s="171">
        <f>DIST_GAS_MOT!BF15</f>
        <v>1.225343693962941E-2</v>
      </c>
      <c r="Z7" s="171">
        <f>DIST_GAS_MOT!BG15</f>
        <v>0.1941071877185746</v>
      </c>
      <c r="AA7" s="171">
        <f>DIST_GAS_MOT!BH15</f>
        <v>4.0798977512187416E-3</v>
      </c>
      <c r="AB7" s="171">
        <f>DIST_GAS_MOT!BI15</f>
        <v>2.4137614967943343E-3</v>
      </c>
      <c r="AC7" s="171">
        <f t="shared" si="8"/>
        <v>1.0051298072873431</v>
      </c>
      <c r="AD7" s="171" t="e">
        <f>DIST_GAS_LEV!AF61</f>
        <v>#DIV/0!</v>
      </c>
      <c r="AE7" s="171" t="e">
        <f>DIST_GAS_LEV!AG61</f>
        <v>#DIV/0!</v>
      </c>
      <c r="AF7" s="171" t="e">
        <f>DIST_GAS_MOT!BJ15</f>
        <v>#DIV/0!</v>
      </c>
      <c r="AG7" s="171" t="e">
        <f>DIST_GAS_MOT!BK15</f>
        <v>#DIV/0!</v>
      </c>
      <c r="AH7" s="171" t="e">
        <f>DIST_GAS_MOT!BL15</f>
        <v>#DIV/0!</v>
      </c>
      <c r="AI7" s="171" t="e">
        <f>DIST_GAS_MOT!BM15</f>
        <v>#DIV/0!</v>
      </c>
      <c r="AJ7" s="171" t="e">
        <f t="shared" si="9"/>
        <v>#DIV/0!</v>
      </c>
      <c r="AL7" s="127" t="s">
        <v>14</v>
      </c>
      <c r="AM7" s="171">
        <f t="shared" si="10"/>
        <v>0.68012217471671199</v>
      </c>
      <c r="AN7" s="171">
        <f t="shared" si="11"/>
        <v>0.13366084891689631</v>
      </c>
      <c r="AO7" s="171">
        <f t="shared" si="12"/>
        <v>1.1722071841820527E-2</v>
      </c>
      <c r="AP7" s="171">
        <f t="shared" si="13"/>
        <v>0.16884632194064086</v>
      </c>
      <c r="AQ7" s="171">
        <f t="shared" si="14"/>
        <v>3.5489449787193838E-3</v>
      </c>
      <c r="AR7" s="171">
        <f t="shared" si="15"/>
        <v>2.0996376052109444E-3</v>
      </c>
      <c r="AS7" s="171">
        <f t="shared" si="16"/>
        <v>1</v>
      </c>
      <c r="AT7" s="171">
        <f t="shared" si="17"/>
        <v>0.67452897795639566</v>
      </c>
      <c r="AU7" s="171">
        <f t="shared" si="18"/>
        <v>0.13548492182185215</v>
      </c>
      <c r="AV7" s="171">
        <f t="shared" si="19"/>
        <v>1.1593513685775589E-2</v>
      </c>
      <c r="AW7" s="171">
        <f t="shared" si="20"/>
        <v>0.17261783190829916</v>
      </c>
      <c r="AX7" s="171">
        <f t="shared" si="21"/>
        <v>3.6282175456789213E-3</v>
      </c>
      <c r="AY7" s="171">
        <f t="shared" si="22"/>
        <v>2.1465370819985243E-3</v>
      </c>
      <c r="AZ7" s="171">
        <f t="shared" si="23"/>
        <v>0.99999999999999989</v>
      </c>
      <c r="BA7" s="171">
        <f t="shared" si="24"/>
        <v>0.66373636570348937</v>
      </c>
      <c r="BB7" s="171">
        <f t="shared" si="25"/>
        <v>0.13482302012559269</v>
      </c>
      <c r="BC7" s="171">
        <f t="shared" si="26"/>
        <v>1.1900978726977153E-2</v>
      </c>
      <c r="BD7" s="171">
        <f t="shared" si="27"/>
        <v>0.18340403918312037</v>
      </c>
      <c r="BE7" s="171">
        <f t="shared" si="28"/>
        <v>3.8549305454495682E-3</v>
      </c>
      <c r="BF7" s="171">
        <f t="shared" si="29"/>
        <v>2.2806657153706879E-3</v>
      </c>
      <c r="BG7" s="171">
        <f t="shared" si="44"/>
        <v>0.99999999999999978</v>
      </c>
      <c r="BH7" s="171">
        <f t="shared" si="30"/>
        <v>0.65043339862144733</v>
      </c>
      <c r="BI7" s="171">
        <f t="shared" si="31"/>
        <v>0.13779864627166874</v>
      </c>
      <c r="BJ7" s="171">
        <f t="shared" si="32"/>
        <v>1.2190899972113194E-2</v>
      </c>
      <c r="BK7" s="171">
        <f t="shared" si="33"/>
        <v>0.19311653709925636</v>
      </c>
      <c r="BL7" s="171">
        <f t="shared" si="34"/>
        <v>4.0590754762607432E-3</v>
      </c>
      <c r="BM7" s="171">
        <f t="shared" si="35"/>
        <v>2.4014425592537385E-3</v>
      </c>
      <c r="BN7" s="171">
        <f t="shared" si="36"/>
        <v>1</v>
      </c>
      <c r="BO7" s="171" t="e">
        <f t="shared" si="37"/>
        <v>#DIV/0!</v>
      </c>
      <c r="BP7" s="171" t="e">
        <f t="shared" si="38"/>
        <v>#DIV/0!</v>
      </c>
      <c r="BQ7" s="171" t="e">
        <f t="shared" si="39"/>
        <v>#DIV/0!</v>
      </c>
      <c r="BR7" s="171" t="e">
        <f t="shared" si="40"/>
        <v>#DIV/0!</v>
      </c>
      <c r="BS7" s="171" t="e">
        <f t="shared" si="41"/>
        <v>#DIV/0!</v>
      </c>
      <c r="BT7" s="171" t="e">
        <f t="shared" si="42"/>
        <v>#DIV/0!</v>
      </c>
      <c r="BU7" s="171" t="e">
        <f t="shared" si="43"/>
        <v>#DIV/0!</v>
      </c>
    </row>
    <row r="8" spans="1:73" ht="26.25" thickBot="1">
      <c r="A8" s="127" t="s">
        <v>15</v>
      </c>
      <c r="B8" s="171">
        <f>DIST_GAS_LEV!X62</f>
        <v>0.74527969220584822</v>
      </c>
      <c r="C8" s="171">
        <f>DIST_GAS_LEV!Y62</f>
        <v>0.15519746291036615</v>
      </c>
      <c r="D8" s="171">
        <f>DIST_GAS_MOT!AT16</f>
        <v>1.1092055460689006E-2</v>
      </c>
      <c r="E8" s="171">
        <f>DIST_GAS_MOT!AU16</f>
        <v>0.13309158840376048</v>
      </c>
      <c r="F8" s="171">
        <f>DIST_GAS_MOT!AV16</f>
        <v>2.7967818564342E-3</v>
      </c>
      <c r="G8" s="171">
        <f>DIST_GAS_MOT!AW16</f>
        <v>1.6561987088460877E-3</v>
      </c>
      <c r="H8" s="171">
        <f t="shared" si="5"/>
        <v>1.0491137795459444</v>
      </c>
      <c r="I8" s="171">
        <f>DIST_GAS_LEV!Z62</f>
        <v>0.72930172437968799</v>
      </c>
      <c r="J8" s="171">
        <f>DIST_GAS_LEV!AA62</f>
        <v>0.15789391601793196</v>
      </c>
      <c r="K8" s="171">
        <f>DIST_GAS_MOT!AX16</f>
        <v>1.0677407800558305E-2</v>
      </c>
      <c r="L8" s="171">
        <f>DIST_GAS_MOT!AY16</f>
        <v>0.13250044277311873</v>
      </c>
      <c r="M8" s="171">
        <f>DIST_GAS_MOT!AZ16</f>
        <v>2.7843595433930959E-3</v>
      </c>
      <c r="N8" s="171">
        <f>DIST_GAS_MOT!BA16</f>
        <v>1.6488424616034839E-3</v>
      </c>
      <c r="O8" s="171">
        <f t="shared" si="6"/>
        <v>1.0348066929762936</v>
      </c>
      <c r="P8" s="171">
        <f>DIST_GAS_LEV!AB62</f>
        <v>0.72852978356677045</v>
      </c>
      <c r="Q8" s="171">
        <f>DIST_GAS_LEV!AC62</f>
        <v>0.16295500721931039</v>
      </c>
      <c r="R8" s="171">
        <f>DIST_GAS_MOT!BB16</f>
        <v>1.1019720595538744E-2</v>
      </c>
      <c r="S8" s="171">
        <f>DIST_GAS_MOT!BC16</f>
        <v>0.14017351767969941</v>
      </c>
      <c r="T8" s="171">
        <f>DIST_GAS_MOT!BD16</f>
        <v>2.9456012637690096E-3</v>
      </c>
      <c r="U8" s="171">
        <f>DIST_GAS_MOT!BE16</f>
        <v>1.7443266083145858E-3</v>
      </c>
      <c r="V8" s="266">
        <f t="shared" si="7"/>
        <v>1.0473679569334025</v>
      </c>
      <c r="W8" s="171">
        <f>DIST_GAS_LEV!AD62</f>
        <v>0.71347223709629792</v>
      </c>
      <c r="X8" s="171">
        <f>DIST_GAS_LEV!AE62</f>
        <v>0.16484861774075582</v>
      </c>
      <c r="Y8" s="171">
        <f>DIST_GAS_MOT!BF16</f>
        <v>1.1404504057351954E-2</v>
      </c>
      <c r="Z8" s="171">
        <f>DIST_GAS_MOT!BG16</f>
        <v>0.14797741279035614</v>
      </c>
      <c r="AA8" s="171">
        <f>DIST_GAS_MOT!BH16</f>
        <v>3.1095920352127117E-3</v>
      </c>
      <c r="AB8" s="171">
        <f>DIST_GAS_MOT!BI16</f>
        <v>1.8414386885087901E-3</v>
      </c>
      <c r="AC8" s="171">
        <f t="shared" si="8"/>
        <v>1.0426538024084833</v>
      </c>
      <c r="AD8" s="171" t="e">
        <f>DIST_GAS_LEV!AF62</f>
        <v>#DIV/0!</v>
      </c>
      <c r="AE8" s="171" t="e">
        <f>DIST_GAS_LEV!AG62</f>
        <v>#DIV/0!</v>
      </c>
      <c r="AF8" s="171" t="e">
        <f>DIST_GAS_MOT!BJ16</f>
        <v>#DIV/0!</v>
      </c>
      <c r="AG8" s="171" t="e">
        <f>DIST_GAS_MOT!BK16</f>
        <v>#DIV/0!</v>
      </c>
      <c r="AH8" s="171" t="e">
        <f>DIST_GAS_MOT!BL16</f>
        <v>#DIV/0!</v>
      </c>
      <c r="AI8" s="171" t="e">
        <f>DIST_GAS_MOT!BM16</f>
        <v>#DIV/0!</v>
      </c>
      <c r="AJ8" s="171" t="e">
        <f t="shared" si="9"/>
        <v>#DIV/0!</v>
      </c>
      <c r="AL8" s="127" t="s">
        <v>15</v>
      </c>
      <c r="AM8" s="171">
        <f t="shared" si="10"/>
        <v>0.71038976585399982</v>
      </c>
      <c r="AN8" s="171">
        <f t="shared" si="11"/>
        <v>0.14793196499385938</v>
      </c>
      <c r="AO8" s="171">
        <f t="shared" si="12"/>
        <v>1.0572785980839598E-2</v>
      </c>
      <c r="AP8" s="171">
        <f t="shared" si="13"/>
        <v>0.12686096684514278</v>
      </c>
      <c r="AQ8" s="171">
        <f t="shared" si="14"/>
        <v>2.6658517988817619E-3</v>
      </c>
      <c r="AR8" s="171">
        <f t="shared" si="15"/>
        <v>1.5786645272764307E-3</v>
      </c>
      <c r="AS8" s="171">
        <f t="shared" si="16"/>
        <v>0.99999999999999978</v>
      </c>
      <c r="AT8" s="171">
        <f t="shared" si="17"/>
        <v>0.70477097735238126</v>
      </c>
      <c r="AU8" s="171">
        <f t="shared" si="18"/>
        <v>0.15258300616881412</v>
      </c>
      <c r="AV8" s="171">
        <f t="shared" si="19"/>
        <v>1.0318263181936063E-2</v>
      </c>
      <c r="AW8" s="171">
        <f t="shared" si="20"/>
        <v>0.12804366619626628</v>
      </c>
      <c r="AX8" s="171">
        <f t="shared" si="21"/>
        <v>2.690705000549202E-3</v>
      </c>
      <c r="AY8" s="171">
        <f t="shared" si="22"/>
        <v>1.5933821000530166E-3</v>
      </c>
      <c r="AZ8" s="171">
        <f t="shared" si="23"/>
        <v>1</v>
      </c>
      <c r="BA8" s="171">
        <f t="shared" si="24"/>
        <v>0.6955815086226611</v>
      </c>
      <c r="BB8" s="171">
        <f t="shared" si="25"/>
        <v>0.15558525171652926</v>
      </c>
      <c r="BC8" s="171">
        <f t="shared" si="26"/>
        <v>1.0521345934434998E-2</v>
      </c>
      <c r="BD8" s="171">
        <f t="shared" si="27"/>
        <v>0.13383407116073576</v>
      </c>
      <c r="BE8" s="171">
        <f t="shared" si="28"/>
        <v>2.8123843624101893E-3</v>
      </c>
      <c r="BF8" s="171">
        <f t="shared" si="29"/>
        <v>1.6654382032288007E-3</v>
      </c>
      <c r="BG8" s="171">
        <f t="shared" si="44"/>
        <v>1</v>
      </c>
      <c r="BH8" s="171">
        <f t="shared" si="30"/>
        <v>0.68428488482774363</v>
      </c>
      <c r="BI8" s="171">
        <f t="shared" si="31"/>
        <v>0.15810484492548049</v>
      </c>
      <c r="BJ8" s="171">
        <f t="shared" si="32"/>
        <v>1.0937958535237741E-2</v>
      </c>
      <c r="BK8" s="171">
        <f t="shared" si="33"/>
        <v>0.14192382212440505</v>
      </c>
      <c r="BL8" s="171">
        <f t="shared" si="34"/>
        <v>2.9823820984776483E-3</v>
      </c>
      <c r="BM8" s="171">
        <f t="shared" si="35"/>
        <v>1.7661074886555343E-3</v>
      </c>
      <c r="BN8" s="171">
        <f t="shared" si="36"/>
        <v>1</v>
      </c>
      <c r="BO8" s="171" t="e">
        <f t="shared" si="37"/>
        <v>#DIV/0!</v>
      </c>
      <c r="BP8" s="171" t="e">
        <f t="shared" si="38"/>
        <v>#DIV/0!</v>
      </c>
      <c r="BQ8" s="171" t="e">
        <f t="shared" si="39"/>
        <v>#DIV/0!</v>
      </c>
      <c r="BR8" s="171" t="e">
        <f t="shared" si="40"/>
        <v>#DIV/0!</v>
      </c>
      <c r="BS8" s="171" t="e">
        <f t="shared" si="41"/>
        <v>#DIV/0!</v>
      </c>
      <c r="BT8" s="171" t="e">
        <f t="shared" si="42"/>
        <v>#DIV/0!</v>
      </c>
      <c r="BU8" s="171" t="e">
        <f t="shared" si="43"/>
        <v>#DIV/0!</v>
      </c>
    </row>
    <row r="9" spans="1:73" ht="15.75" thickBot="1">
      <c r="A9" s="127" t="s">
        <v>16</v>
      </c>
      <c r="B9" s="171">
        <f>DIST_GAS_LEV!X63</f>
        <v>0.68001613928330307</v>
      </c>
      <c r="C9" s="171">
        <f>DIST_GAS_LEV!Y63</f>
        <v>0.10688733856768054</v>
      </c>
      <c r="D9" s="171">
        <f>DIST_GAS_MOT!AT17</f>
        <v>2.1386550481617837E-2</v>
      </c>
      <c r="E9" s="171">
        <f>DIST_GAS_MOT!AU17</f>
        <v>0.25991076975742533</v>
      </c>
      <c r="F9" s="171">
        <f>DIST_GAS_MOT!AV17</f>
        <v>5.4615834708740462E-3</v>
      </c>
      <c r="G9" s="171">
        <f>DIST_GAS_MOT!AW17</f>
        <v>3.2340112163549897E-3</v>
      </c>
      <c r="H9" s="171">
        <f t="shared" si="5"/>
        <v>1.0768963927772557</v>
      </c>
      <c r="I9" s="171">
        <f>DIST_GAS_LEV!Z63</f>
        <v>0.65539197691994899</v>
      </c>
      <c r="J9" s="171">
        <f>DIST_GAS_LEV!AA63</f>
        <v>0.10520516807704265</v>
      </c>
      <c r="K9" s="171">
        <f>DIST_GAS_MOT!AX17</f>
        <v>2.0803496110704645E-2</v>
      </c>
      <c r="L9" s="171">
        <f>DIST_GAS_MOT!AY17</f>
        <v>0.27056233872787766</v>
      </c>
      <c r="M9" s="171">
        <f>DIST_GAS_MOT!AZ17</f>
        <v>5.6854081053137476E-3</v>
      </c>
      <c r="N9" s="171">
        <f>DIST_GAS_MOT!BA17</f>
        <v>3.366546291967175E-3</v>
      </c>
      <c r="O9" s="171">
        <f t="shared" si="6"/>
        <v>1.0610149342328548</v>
      </c>
      <c r="P9" s="171">
        <f>DIST_GAS_LEV!AB63</f>
        <v>0.65220014809986204</v>
      </c>
      <c r="Q9" s="171">
        <f>DIST_GAS_LEV!AC63</f>
        <v>0.10734549390514322</v>
      </c>
      <c r="R9" s="171">
        <f>DIST_GAS_MOT!BB17</f>
        <v>2.1360960118272494E-2</v>
      </c>
      <c r="S9" s="171">
        <f>DIST_GAS_MOT!BC17</f>
        <v>0.2829531940526816</v>
      </c>
      <c r="T9" s="171">
        <f>DIST_GAS_MOT!BD17</f>
        <v>5.9457808890006295E-3</v>
      </c>
      <c r="U9" s="171">
        <f>DIST_GAS_MOT!BE17</f>
        <v>3.5207229162680736E-3</v>
      </c>
      <c r="V9" s="266">
        <f t="shared" si="7"/>
        <v>1.0733262999812281</v>
      </c>
      <c r="W9" s="171">
        <f>DIST_GAS_LEV!AD63</f>
        <v>0.60810830356967915</v>
      </c>
      <c r="X9" s="171">
        <f>DIST_GAS_LEV!AE63</f>
        <v>0.10394245841703362</v>
      </c>
      <c r="Y9" s="171">
        <f>DIST_GAS_MOT!BF17</f>
        <v>2.114006072634449E-2</v>
      </c>
      <c r="Z9" s="171">
        <f>DIST_GAS_MOT!BG17</f>
        <v>0.28479713978092575</v>
      </c>
      <c r="AA9" s="171">
        <f>DIST_GAS_MOT!BH17</f>
        <v>5.9845282772676336E-3</v>
      </c>
      <c r="AB9" s="171">
        <f>DIST_GAS_MOT!BI17</f>
        <v>3.5436667179930162E-3</v>
      </c>
      <c r="AC9" s="171">
        <f t="shared" si="8"/>
        <v>1.0275161574892437</v>
      </c>
      <c r="AD9" s="171" t="e">
        <f>DIST_GAS_LEV!AF63</f>
        <v>#DIV/0!</v>
      </c>
      <c r="AE9" s="171" t="e">
        <f>DIST_GAS_LEV!AG63</f>
        <v>#DIV/0!</v>
      </c>
      <c r="AF9" s="171" t="e">
        <f>DIST_GAS_MOT!BJ17</f>
        <v>#DIV/0!</v>
      </c>
      <c r="AG9" s="171" t="e">
        <f>DIST_GAS_MOT!BK17</f>
        <v>#DIV/0!</v>
      </c>
      <c r="AH9" s="171" t="e">
        <f>DIST_GAS_MOT!BL17</f>
        <v>#DIV/0!</v>
      </c>
      <c r="AI9" s="171" t="e">
        <f>DIST_GAS_MOT!BM17</f>
        <v>#DIV/0!</v>
      </c>
      <c r="AJ9" s="171" t="e">
        <f t="shared" si="9"/>
        <v>#DIV/0!</v>
      </c>
      <c r="AL9" s="127" t="s">
        <v>16</v>
      </c>
      <c r="AM9" s="171">
        <f t="shared" si="10"/>
        <v>0.63145920428759117</v>
      </c>
      <c r="AN9" s="171">
        <f t="shared" si="11"/>
        <v>9.9254988023521978E-2</v>
      </c>
      <c r="AO9" s="171">
        <f t="shared" si="12"/>
        <v>1.9859431812621377E-2</v>
      </c>
      <c r="AP9" s="171">
        <f t="shared" si="13"/>
        <v>0.24135169501973161</v>
      </c>
      <c r="AQ9" s="171">
        <f t="shared" si="14"/>
        <v>5.0715960305047795E-3</v>
      </c>
      <c r="AR9" s="171">
        <f t="shared" si="15"/>
        <v>3.0030848260292294E-3</v>
      </c>
      <c r="AS9" s="171">
        <f t="shared" si="16"/>
        <v>1.0000000000000002</v>
      </c>
      <c r="AT9" s="171">
        <f t="shared" si="17"/>
        <v>0.61770287653285183</v>
      </c>
      <c r="AU9" s="171">
        <f t="shared" si="18"/>
        <v>9.9155218916036375E-2</v>
      </c>
      <c r="AV9" s="171">
        <f t="shared" si="19"/>
        <v>1.9607166157134433E-2</v>
      </c>
      <c r="AW9" s="171">
        <f t="shared" si="20"/>
        <v>0.25500332747295612</v>
      </c>
      <c r="AX9" s="171">
        <f t="shared" si="21"/>
        <v>5.3584619046144399E-3</v>
      </c>
      <c r="AY9" s="171">
        <f t="shared" si="22"/>
        <v>3.1729490164069066E-3</v>
      </c>
      <c r="AZ9" s="171">
        <f t="shared" si="23"/>
        <v>1</v>
      </c>
      <c r="BA9" s="171">
        <f t="shared" si="24"/>
        <v>0.60764387131040087</v>
      </c>
      <c r="BB9" s="171">
        <f t="shared" si="25"/>
        <v>0.10001198508507678</v>
      </c>
      <c r="BC9" s="171">
        <f t="shared" si="26"/>
        <v>1.9901646049897487E-2</v>
      </c>
      <c r="BD9" s="171">
        <f t="shared" si="27"/>
        <v>0.26362271571807222</v>
      </c>
      <c r="BE9" s="171">
        <f t="shared" si="28"/>
        <v>5.5395837119658932E-3</v>
      </c>
      <c r="BF9" s="171">
        <f t="shared" si="29"/>
        <v>3.280198124586763E-3</v>
      </c>
      <c r="BG9" s="171">
        <f t="shared" si="44"/>
        <v>1.0000000000000002</v>
      </c>
      <c r="BH9" s="171">
        <f t="shared" si="30"/>
        <v>0.59182359239547522</v>
      </c>
      <c r="BI9" s="171">
        <f t="shared" si="31"/>
        <v>0.10115895274193945</v>
      </c>
      <c r="BJ9" s="171">
        <f t="shared" si="32"/>
        <v>2.0573944820488906E-2</v>
      </c>
      <c r="BK9" s="171">
        <f t="shared" si="33"/>
        <v>0.27717047338392542</v>
      </c>
      <c r="BL9" s="171">
        <f t="shared" si="34"/>
        <v>5.8242668338091613E-3</v>
      </c>
      <c r="BM9" s="171">
        <f t="shared" si="35"/>
        <v>3.4487698243617273E-3</v>
      </c>
      <c r="BN9" s="171">
        <f t="shared" si="36"/>
        <v>0.99999999999999989</v>
      </c>
      <c r="BO9" s="171" t="e">
        <f t="shared" si="37"/>
        <v>#DIV/0!</v>
      </c>
      <c r="BP9" s="171" t="e">
        <f t="shared" si="38"/>
        <v>#DIV/0!</v>
      </c>
      <c r="BQ9" s="171" t="e">
        <f t="shared" si="39"/>
        <v>#DIV/0!</v>
      </c>
      <c r="BR9" s="171" t="e">
        <f t="shared" si="40"/>
        <v>#DIV/0!</v>
      </c>
      <c r="BS9" s="171" t="e">
        <f t="shared" si="41"/>
        <v>#DIV/0!</v>
      </c>
      <c r="BT9" s="171" t="e">
        <f t="shared" si="42"/>
        <v>#DIV/0!</v>
      </c>
      <c r="BU9" s="171" t="e">
        <f t="shared" si="43"/>
        <v>#DIV/0!</v>
      </c>
    </row>
    <row r="10" spans="1:73" ht="15.75" thickBot="1">
      <c r="A10" s="127" t="s">
        <v>17</v>
      </c>
      <c r="B10" s="171">
        <f>DIST_GAS_LEV!X64</f>
        <v>0.58290666693162907</v>
      </c>
      <c r="C10" s="171">
        <f>DIST_GAS_LEV!Y64</f>
        <v>0.11597585510878389</v>
      </c>
      <c r="D10" s="171">
        <f>DIST_GAS_MOT!AT18</f>
        <v>4.5325860388406899E-2</v>
      </c>
      <c r="E10" s="171">
        <f>DIST_GAS_MOT!AU18</f>
        <v>0.45546862906262287</v>
      </c>
      <c r="F10" s="171">
        <f>DIST_GAS_MOT!AV18</f>
        <v>9.5712242718673669E-3</v>
      </c>
      <c r="G10" s="171">
        <f>DIST_GAS_MOT!AW18</f>
        <v>5.6675806735089866E-3</v>
      </c>
      <c r="H10" s="171">
        <f t="shared" si="5"/>
        <v>1.214915816436819</v>
      </c>
      <c r="I10" s="171">
        <f>DIST_GAS_LEV!Z64</f>
        <v>0.60805872588308807</v>
      </c>
      <c r="J10" s="171">
        <f>DIST_GAS_LEV!AA64</f>
        <v>0.11906709390071314</v>
      </c>
      <c r="K10" s="171">
        <f>DIST_GAS_MOT!AX18</f>
        <v>4.1249936072821146E-2</v>
      </c>
      <c r="L10" s="171">
        <f>DIST_GAS_MOT!AY18</f>
        <v>0.43049059043797777</v>
      </c>
      <c r="M10" s="171">
        <f>DIST_GAS_MOT!AZ18</f>
        <v>9.0463354117062134E-3</v>
      </c>
      <c r="N10" s="171">
        <f>DIST_GAS_MOT!BA18</f>
        <v>5.356768819655194E-3</v>
      </c>
      <c r="O10" s="171">
        <f t="shared" si="6"/>
        <v>1.2132694505259616</v>
      </c>
      <c r="P10" s="171">
        <f>DIST_GAS_LEV!AB64</f>
        <v>0.65360682350597499</v>
      </c>
      <c r="Q10" s="171">
        <f>DIST_GAS_LEV!AC64</f>
        <v>0.12777567920272825</v>
      </c>
      <c r="R10" s="171">
        <f>DIST_GAS_MOT!BB18</f>
        <v>4.1116686470632241E-2</v>
      </c>
      <c r="S10" s="171">
        <f>DIST_GAS_MOT!BC18</f>
        <v>0.43422355556121117</v>
      </c>
      <c r="T10" s="171">
        <f>DIST_GAS_MOT!BD18</f>
        <v>9.124779994085154E-3</v>
      </c>
      <c r="U10" s="171">
        <f>DIST_GAS_MOT!BE18</f>
        <v>5.4032196170039877E-3</v>
      </c>
      <c r="V10" s="266">
        <f t="shared" si="7"/>
        <v>1.2712507443516359</v>
      </c>
      <c r="W10" s="171">
        <f>DIST_GAS_LEV!AD64</f>
        <v>0.67266801148765154</v>
      </c>
      <c r="X10" s="171">
        <f>DIST_GAS_LEV!AE64</f>
        <v>0.1316826951632539</v>
      </c>
      <c r="Y10" s="171">
        <f>DIST_GAS_MOT!BF18</f>
        <v>4.0922867592764582E-2</v>
      </c>
      <c r="Z10" s="171">
        <f>DIST_GAS_MOT!BG18</f>
        <v>0.43075433821898906</v>
      </c>
      <c r="AA10" s="171">
        <f>DIST_GAS_MOT!BH18</f>
        <v>9.0518778113407635E-3</v>
      </c>
      <c r="AB10" s="171">
        <f>DIST_GAS_MOT!BI18</f>
        <v>5.3600507401453416E-3</v>
      </c>
      <c r="AC10" s="171">
        <f t="shared" si="8"/>
        <v>1.2904398410141453</v>
      </c>
      <c r="AD10" s="171" t="e">
        <f>DIST_GAS_LEV!AF64</f>
        <v>#DIV/0!</v>
      </c>
      <c r="AE10" s="171" t="e">
        <f>DIST_GAS_LEV!AG64</f>
        <v>#DIV/0!</v>
      </c>
      <c r="AF10" s="171" t="e">
        <f>DIST_GAS_MOT!BJ18</f>
        <v>#DIV/0!</v>
      </c>
      <c r="AG10" s="171" t="e">
        <f>DIST_GAS_MOT!BK18</f>
        <v>#DIV/0!</v>
      </c>
      <c r="AH10" s="171" t="e">
        <f>DIST_GAS_MOT!BL18</f>
        <v>#DIV/0!</v>
      </c>
      <c r="AI10" s="171" t="e">
        <f>DIST_GAS_MOT!BM18</f>
        <v>#DIV/0!</v>
      </c>
      <c r="AJ10" s="171" t="e">
        <f t="shared" si="9"/>
        <v>#DIV/0!</v>
      </c>
      <c r="AL10" s="127" t="s">
        <v>17</v>
      </c>
      <c r="AM10" s="171">
        <f t="shared" si="10"/>
        <v>0.47979181688589267</v>
      </c>
      <c r="AN10" s="171">
        <f t="shared" si="11"/>
        <v>9.5459992815736916E-2</v>
      </c>
      <c r="AO10" s="171">
        <f t="shared" si="12"/>
        <v>3.730781983013557E-2</v>
      </c>
      <c r="AP10" s="171">
        <f t="shared" si="13"/>
        <v>0.37489727510375964</v>
      </c>
      <c r="AQ10" s="171">
        <f t="shared" si="14"/>
        <v>7.8780966898088882E-3</v>
      </c>
      <c r="AR10" s="171">
        <f t="shared" si="15"/>
        <v>4.6649986746663827E-3</v>
      </c>
      <c r="AS10" s="171">
        <f t="shared" si="16"/>
        <v>1</v>
      </c>
      <c r="AT10" s="171">
        <f t="shared" si="17"/>
        <v>0.50117368868019385</v>
      </c>
      <c r="AU10" s="171">
        <f t="shared" si="18"/>
        <v>9.8137387246581248E-2</v>
      </c>
      <c r="AV10" s="171">
        <f t="shared" si="19"/>
        <v>3.3998990129471225E-2</v>
      </c>
      <c r="AW10" s="171">
        <f t="shared" si="20"/>
        <v>0.35481861861052943</v>
      </c>
      <c r="AX10" s="171">
        <f t="shared" si="21"/>
        <v>7.4561635156844656E-3</v>
      </c>
      <c r="AY10" s="171">
        <f t="shared" si="22"/>
        <v>4.4151518175397841E-3</v>
      </c>
      <c r="AZ10" s="171">
        <f t="shared" si="23"/>
        <v>1</v>
      </c>
      <c r="BA10" s="171">
        <f t="shared" si="24"/>
        <v>0.51414469286256193</v>
      </c>
      <c r="BB10" s="171">
        <f t="shared" si="25"/>
        <v>0.10051178319497975</v>
      </c>
      <c r="BC10" s="171">
        <f t="shared" si="26"/>
        <v>3.2343490576756832E-2</v>
      </c>
      <c r="BD10" s="171">
        <f t="shared" si="27"/>
        <v>0.34157191843586621</v>
      </c>
      <c r="BE10" s="171">
        <f t="shared" si="28"/>
        <v>7.1777971691485464E-3</v>
      </c>
      <c r="BF10" s="171">
        <f t="shared" si="29"/>
        <v>4.2503177606867332E-3</v>
      </c>
      <c r="BG10" s="171">
        <f t="shared" si="44"/>
        <v>1</v>
      </c>
      <c r="BH10" s="171">
        <f t="shared" si="30"/>
        <v>0.5212703375300376</v>
      </c>
      <c r="BI10" s="171">
        <f t="shared" si="31"/>
        <v>0.102044815246688</v>
      </c>
      <c r="BJ10" s="171">
        <f t="shared" si="32"/>
        <v>3.1712340468815395E-2</v>
      </c>
      <c r="BK10" s="171">
        <f t="shared" si="33"/>
        <v>0.33380427705987675</v>
      </c>
      <c r="BL10" s="171">
        <f t="shared" si="34"/>
        <v>7.0145678424086569E-3</v>
      </c>
      <c r="BM10" s="171">
        <f t="shared" si="35"/>
        <v>4.1536618521735387E-3</v>
      </c>
      <c r="BN10" s="171">
        <f t="shared" si="36"/>
        <v>0.99999999999999989</v>
      </c>
      <c r="BO10" s="171" t="e">
        <f t="shared" si="37"/>
        <v>#DIV/0!</v>
      </c>
      <c r="BP10" s="171" t="e">
        <f t="shared" si="38"/>
        <v>#DIV/0!</v>
      </c>
      <c r="BQ10" s="171" t="e">
        <f t="shared" si="39"/>
        <v>#DIV/0!</v>
      </c>
      <c r="BR10" s="171" t="e">
        <f t="shared" si="40"/>
        <v>#DIV/0!</v>
      </c>
      <c r="BS10" s="171" t="e">
        <f t="shared" si="41"/>
        <v>#DIV/0!</v>
      </c>
      <c r="BT10" s="171" t="e">
        <f t="shared" si="42"/>
        <v>#DIV/0!</v>
      </c>
      <c r="BU10" s="171" t="e">
        <f t="shared" si="43"/>
        <v>#DIV/0!</v>
      </c>
    </row>
    <row r="11" spans="1:73" ht="15.75" thickBot="1">
      <c r="A11" s="127" t="s">
        <v>18</v>
      </c>
      <c r="B11" s="171">
        <f>DIST_GAS_LEV!X65</f>
        <v>0.64006547238080191</v>
      </c>
      <c r="C11" s="171">
        <f>DIST_GAS_LEV!Y65</f>
        <v>0.15451271462587557</v>
      </c>
      <c r="D11" s="171">
        <f>DIST_GAS_MOT!AT19</f>
        <v>2.5670164101608519E-2</v>
      </c>
      <c r="E11" s="171">
        <f>DIST_GAS_MOT!AU19</f>
        <v>0.29658925445335971</v>
      </c>
      <c r="F11" s="171">
        <f>DIST_GAS_MOT!AV19</f>
        <v>6.2324952655567235E-3</v>
      </c>
      <c r="G11" s="171">
        <f>DIST_GAS_MOT!AW19</f>
        <v>3.6885979155797874E-3</v>
      </c>
      <c r="H11" s="171">
        <f t="shared" si="5"/>
        <v>1.1267586987427822</v>
      </c>
      <c r="I11" s="171">
        <f>DIST_GAS_LEV!Z65</f>
        <v>0.64001265069679281</v>
      </c>
      <c r="J11" s="171">
        <f>DIST_GAS_LEV!AA65</f>
        <v>0.15261795933081018</v>
      </c>
      <c r="K11" s="171">
        <f>DIST_GAS_MOT!AX19</f>
        <v>2.3959873333302243E-2</v>
      </c>
      <c r="L11" s="171">
        <f>DIST_GAS_MOT!AY19</f>
        <v>0.29771559920912344</v>
      </c>
      <c r="M11" s="171">
        <f>DIST_GAS_MOT!AZ19</f>
        <v>6.2561641552830935E-3</v>
      </c>
      <c r="N11" s="171">
        <f>DIST_GAS_MOT!BA19</f>
        <v>3.7026059514608982E-3</v>
      </c>
      <c r="O11" s="171">
        <f t="shared" si="6"/>
        <v>1.1242648526767729</v>
      </c>
      <c r="P11" s="171">
        <f>DIST_GAS_LEV!AB65</f>
        <v>0.70801436629055248</v>
      </c>
      <c r="Q11" s="171">
        <f>DIST_GAS_LEV!AC65</f>
        <v>0.16902107769566063</v>
      </c>
      <c r="R11" s="171">
        <f>DIST_GAS_MOT!BB19</f>
        <v>2.6742246377016814E-2</v>
      </c>
      <c r="S11" s="171">
        <f>DIST_GAS_MOT!BC19</f>
        <v>0.32227499654435987</v>
      </c>
      <c r="T11" s="171">
        <f>DIST_GAS_MOT!BD19</f>
        <v>6.7722527367757111E-3</v>
      </c>
      <c r="U11" s="171">
        <f>DIST_GAS_MOT!BE19</f>
        <v>4.008044332853419E-3</v>
      </c>
      <c r="V11" s="266">
        <f t="shared" si="7"/>
        <v>1.236832983977219</v>
      </c>
      <c r="W11" s="171">
        <f>DIST_GAS_LEV!AD65</f>
        <v>0.68970405121912937</v>
      </c>
      <c r="X11" s="171">
        <f>DIST_GAS_LEV!AE65</f>
        <v>0.16904041166526351</v>
      </c>
      <c r="Y11" s="171">
        <f>DIST_GAS_MOT!BF19</f>
        <v>2.6366539273861008E-2</v>
      </c>
      <c r="Z11" s="171">
        <f>DIST_GAS_MOT!BG19</f>
        <v>0.31792594808414176</v>
      </c>
      <c r="AA11" s="171">
        <f>DIST_GAS_MOT!BH19</f>
        <v>6.680862291805127E-3</v>
      </c>
      <c r="AB11" s="171">
        <f>DIST_GAS_MOT!BI19</f>
        <v>3.9539564289788071E-3</v>
      </c>
      <c r="AC11" s="171">
        <f t="shared" si="8"/>
        <v>1.2136717689631795</v>
      </c>
      <c r="AD11" s="171" t="e">
        <f>DIST_GAS_LEV!AF65</f>
        <v>#DIV/0!</v>
      </c>
      <c r="AE11" s="171" t="e">
        <f>DIST_GAS_LEV!AG65</f>
        <v>#DIV/0!</v>
      </c>
      <c r="AF11" s="171" t="e">
        <f>DIST_GAS_MOT!BJ19</f>
        <v>#DIV/0!</v>
      </c>
      <c r="AG11" s="171" t="e">
        <f>DIST_GAS_MOT!BK19</f>
        <v>#DIV/0!</v>
      </c>
      <c r="AH11" s="171" t="e">
        <f>DIST_GAS_MOT!BL19</f>
        <v>#DIV/0!</v>
      </c>
      <c r="AI11" s="171" t="e">
        <f>DIST_GAS_MOT!BM19</f>
        <v>#DIV/0!</v>
      </c>
      <c r="AJ11" s="171" t="e">
        <f t="shared" si="9"/>
        <v>#DIV/0!</v>
      </c>
      <c r="AL11" s="127" t="s">
        <v>18</v>
      </c>
      <c r="AM11" s="171">
        <f t="shared" si="10"/>
        <v>0.56805904679943975</v>
      </c>
      <c r="AN11" s="171">
        <f t="shared" si="11"/>
        <v>0.13713026116264126</v>
      </c>
      <c r="AO11" s="171">
        <f t="shared" si="12"/>
        <v>2.2782308341840043E-2</v>
      </c>
      <c r="AP11" s="171">
        <f t="shared" si="13"/>
        <v>0.26322339892675234</v>
      </c>
      <c r="AQ11" s="171">
        <f t="shared" si="14"/>
        <v>5.5313487018212801E-3</v>
      </c>
      <c r="AR11" s="171">
        <f t="shared" si="15"/>
        <v>3.273636067505368E-3</v>
      </c>
      <c r="AS11" s="171">
        <f t="shared" si="16"/>
        <v>1</v>
      </c>
      <c r="AT11" s="171">
        <f t="shared" si="17"/>
        <v>0.56927213296135748</v>
      </c>
      <c r="AU11" s="171">
        <f t="shared" si="18"/>
        <v>0.13574911549306254</v>
      </c>
      <c r="AV11" s="171">
        <f t="shared" si="19"/>
        <v>2.1311591549140713E-2</v>
      </c>
      <c r="AW11" s="171">
        <f t="shared" si="20"/>
        <v>0.26480913149627466</v>
      </c>
      <c r="AX11" s="171">
        <f t="shared" si="21"/>
        <v>5.5646711185426924E-3</v>
      </c>
      <c r="AY11" s="171">
        <f t="shared" si="22"/>
        <v>3.2933573816217136E-3</v>
      </c>
      <c r="AZ11" s="171">
        <f t="shared" si="23"/>
        <v>0.99999999999999989</v>
      </c>
      <c r="BA11" s="171">
        <f t="shared" si="24"/>
        <v>0.57244136877222329</v>
      </c>
      <c r="BB11" s="171">
        <f t="shared" si="25"/>
        <v>0.13665634720716163</v>
      </c>
      <c r="BC11" s="171">
        <f t="shared" si="26"/>
        <v>2.1621550139310785E-2</v>
      </c>
      <c r="BD11" s="171">
        <f t="shared" si="27"/>
        <v>0.26056468473862743</v>
      </c>
      <c r="BE11" s="171">
        <f t="shared" si="28"/>
        <v>5.4754787627012769E-3</v>
      </c>
      <c r="BF11" s="171">
        <f t="shared" si="29"/>
        <v>3.240570379975606E-3</v>
      </c>
      <c r="BG11" s="171">
        <f t="shared" si="44"/>
        <v>1.0000000000000002</v>
      </c>
      <c r="BH11" s="171">
        <f t="shared" si="30"/>
        <v>0.56827889455510083</v>
      </c>
      <c r="BI11" s="171">
        <f t="shared" si="31"/>
        <v>0.1392801711204604</v>
      </c>
      <c r="BJ11" s="171">
        <f t="shared" si="32"/>
        <v>2.1724604582658721E-2</v>
      </c>
      <c r="BK11" s="171">
        <f t="shared" si="33"/>
        <v>0.26195381339037066</v>
      </c>
      <c r="BL11" s="171">
        <f t="shared" si="34"/>
        <v>5.5046697654609544E-3</v>
      </c>
      <c r="BM11" s="171">
        <f t="shared" si="35"/>
        <v>3.2578465859485297E-3</v>
      </c>
      <c r="BN11" s="171">
        <f t="shared" si="36"/>
        <v>1.0000000000000002</v>
      </c>
      <c r="BO11" s="171" t="e">
        <f t="shared" si="37"/>
        <v>#DIV/0!</v>
      </c>
      <c r="BP11" s="171" t="e">
        <f t="shared" si="38"/>
        <v>#DIV/0!</v>
      </c>
      <c r="BQ11" s="171" t="e">
        <f t="shared" si="39"/>
        <v>#DIV/0!</v>
      </c>
      <c r="BR11" s="171" t="e">
        <f t="shared" si="40"/>
        <v>#DIV/0!</v>
      </c>
      <c r="BS11" s="171" t="e">
        <f t="shared" si="41"/>
        <v>#DIV/0!</v>
      </c>
      <c r="BT11" s="171" t="e">
        <f t="shared" si="42"/>
        <v>#DIV/0!</v>
      </c>
      <c r="BU11" s="171" t="e">
        <f t="shared" si="43"/>
        <v>#DIV/0!</v>
      </c>
    </row>
    <row r="12" spans="1:73" ht="26.25" thickBot="1">
      <c r="A12" s="128" t="s">
        <v>19</v>
      </c>
      <c r="B12" s="171">
        <f>DIST_GAS_LEV!X66</f>
        <v>0.59344036745710749</v>
      </c>
      <c r="C12" s="171">
        <f>DIST_GAS_LEV!Y66</f>
        <v>0.11349985899859109</v>
      </c>
      <c r="D12" s="171">
        <f>DIST_GAS_MOT!AT20</f>
        <v>5.0700928777510743E-2</v>
      </c>
      <c r="E12" s="171">
        <f>DIST_GAS_MOT!AU20</f>
        <v>0.35301324370470416</v>
      </c>
      <c r="F12" s="171">
        <f>DIST_GAS_MOT!AV20</f>
        <v>7.417236755392958E-3</v>
      </c>
      <c r="G12" s="171">
        <f>DIST_GAS_MOT!AW20</f>
        <v>4.3928107496600559E-3</v>
      </c>
      <c r="H12" s="171">
        <f t="shared" si="5"/>
        <v>1.1224644464429663</v>
      </c>
      <c r="I12" s="171">
        <f>DIST_GAS_LEV!Z66</f>
        <v>0.5721983807925265</v>
      </c>
      <c r="J12" s="171">
        <f>DIST_GAS_LEV!AA66</f>
        <v>0.11083904269989447</v>
      </c>
      <c r="K12" s="171">
        <f>DIST_GAS_MOT!AX20</f>
        <v>4.4601621947793206E-2</v>
      </c>
      <c r="L12" s="171">
        <f>DIST_GAS_MOT!AY20</f>
        <v>0.33016611626464565</v>
      </c>
      <c r="M12" s="171">
        <f>DIST_GAS_MOT!AZ20</f>
        <v>6.9371908748896626E-3</v>
      </c>
      <c r="N12" s="171">
        <f>DIST_GAS_MOT!BA20</f>
        <v>4.1085066653025401E-3</v>
      </c>
      <c r="O12" s="171">
        <f t="shared" si="6"/>
        <v>1.0688508592450521</v>
      </c>
      <c r="P12" s="171">
        <f>DIST_GAS_LEV!AB66</f>
        <v>0.60871566494768992</v>
      </c>
      <c r="Q12" s="171">
        <f>DIST_GAS_LEV!AC66</f>
        <v>0.11690286570923164</v>
      </c>
      <c r="R12" s="171">
        <f>DIST_GAS_MOT!BB20</f>
        <v>4.3757279737827913E-2</v>
      </c>
      <c r="S12" s="171">
        <f>DIST_GAS_MOT!BC20</f>
        <v>0.32287606921537926</v>
      </c>
      <c r="T12" s="171">
        <f>DIST_GAS_MOT!BD20</f>
        <v>6.7840181373603195E-3</v>
      </c>
      <c r="U12" s="171">
        <f>DIST_GAS_MOT!BE20</f>
        <v>4.017791096936122E-3</v>
      </c>
      <c r="V12" s="266">
        <f t="shared" si="7"/>
        <v>1.1030536888444253</v>
      </c>
      <c r="W12" s="171">
        <f>DIST_GAS_LEV!AD66</f>
        <v>0.59495357919494718</v>
      </c>
      <c r="X12" s="171">
        <f>DIST_GAS_LEV!AE66</f>
        <v>0.11362861165548642</v>
      </c>
      <c r="Y12" s="171">
        <f>DIST_GAS_MOT!BF20</f>
        <v>4.0538821617871666E-2</v>
      </c>
      <c r="Z12" s="171">
        <f>DIST_GAS_MOT!BG20</f>
        <v>0.30307985320436515</v>
      </c>
      <c r="AA12" s="171">
        <f>DIST_GAS_MOT!BH20</f>
        <v>6.3680756093303544E-3</v>
      </c>
      <c r="AB12" s="171">
        <f>DIST_GAS_MOT!BI20</f>
        <v>3.7714518106726352E-3</v>
      </c>
      <c r="AC12" s="171">
        <f t="shared" si="8"/>
        <v>1.0623403930926734</v>
      </c>
      <c r="AD12" s="171" t="e">
        <f>DIST_GAS_LEV!AF66</f>
        <v>#DIV/0!</v>
      </c>
      <c r="AE12" s="171" t="e">
        <f>DIST_GAS_LEV!AG66</f>
        <v>#DIV/0!</v>
      </c>
      <c r="AF12" s="171" t="e">
        <f>DIST_GAS_MOT!BJ20</f>
        <v>#DIV/0!</v>
      </c>
      <c r="AG12" s="171" t="e">
        <f>DIST_GAS_MOT!BK20</f>
        <v>#DIV/0!</v>
      </c>
      <c r="AH12" s="171" t="e">
        <f>DIST_GAS_MOT!BL20</f>
        <v>#DIV/0!</v>
      </c>
      <c r="AI12" s="171" t="e">
        <f>DIST_GAS_MOT!BM20</f>
        <v>#DIV/0!</v>
      </c>
      <c r="AJ12" s="171" t="e">
        <f t="shared" si="9"/>
        <v>#DIV/0!</v>
      </c>
      <c r="AL12" s="128" t="s">
        <v>19</v>
      </c>
      <c r="AM12" s="171">
        <f t="shared" si="10"/>
        <v>0.52869413310834956</v>
      </c>
      <c r="AN12" s="171">
        <f t="shared" si="11"/>
        <v>0.10111666285579599</v>
      </c>
      <c r="AO12" s="171">
        <f t="shared" si="12"/>
        <v>4.5169295952472661E-2</v>
      </c>
      <c r="AP12" s="171">
        <f t="shared" si="13"/>
        <v>0.3144983743791489</v>
      </c>
      <c r="AQ12" s="171">
        <f t="shared" si="14"/>
        <v>6.6079925995855019E-3</v>
      </c>
      <c r="AR12" s="171">
        <f t="shared" si="15"/>
        <v>3.913541104647594E-3</v>
      </c>
      <c r="AS12" s="171">
        <f t="shared" si="16"/>
        <v>1.0000000000000004</v>
      </c>
      <c r="AT12" s="171">
        <f t="shared" si="17"/>
        <v>0.53533977714784287</v>
      </c>
      <c r="AU12" s="171">
        <f t="shared" si="18"/>
        <v>0.10369925957507488</v>
      </c>
      <c r="AV12" s="171">
        <f t="shared" si="19"/>
        <v>4.1728573787456286E-2</v>
      </c>
      <c r="AW12" s="171">
        <f t="shared" si="20"/>
        <v>0.30889820914570598</v>
      </c>
      <c r="AX12" s="171">
        <f t="shared" si="21"/>
        <v>6.4903263302698013E-3</v>
      </c>
      <c r="AY12" s="171">
        <f t="shared" si="22"/>
        <v>3.8438540136501828E-3</v>
      </c>
      <c r="AZ12" s="171">
        <f t="shared" si="23"/>
        <v>1</v>
      </c>
      <c r="BA12" s="171">
        <f t="shared" si="24"/>
        <v>0.55184590841211822</v>
      </c>
      <c r="BB12" s="171">
        <f t="shared" si="25"/>
        <v>0.10598112031310165</v>
      </c>
      <c r="BC12" s="171">
        <f t="shared" si="26"/>
        <v>3.9669220256784293E-2</v>
      </c>
      <c r="BD12" s="171">
        <f t="shared" si="27"/>
        <v>0.29271110960485414</v>
      </c>
      <c r="BE12" s="171">
        <f t="shared" si="28"/>
        <v>6.1502157202042926E-3</v>
      </c>
      <c r="BF12" s="171">
        <f t="shared" si="29"/>
        <v>3.6424256929372283E-3</v>
      </c>
      <c r="BG12" s="171">
        <f t="shared" si="44"/>
        <v>0.99999999999999989</v>
      </c>
      <c r="BH12" s="171">
        <f t="shared" si="30"/>
        <v>0.5600404381338876</v>
      </c>
      <c r="BI12" s="171">
        <f t="shared" si="31"/>
        <v>0.10696064311806133</v>
      </c>
      <c r="BJ12" s="171">
        <f t="shared" si="32"/>
        <v>3.8159917368721624E-2</v>
      </c>
      <c r="BK12" s="171">
        <f t="shared" si="33"/>
        <v>0.28529448298773852</v>
      </c>
      <c r="BL12" s="171">
        <f t="shared" si="34"/>
        <v>5.994383392305817E-3</v>
      </c>
      <c r="BM12" s="171">
        <f t="shared" si="35"/>
        <v>3.550134999285142E-3</v>
      </c>
      <c r="BN12" s="171">
        <f t="shared" si="36"/>
        <v>1</v>
      </c>
      <c r="BO12" s="171" t="e">
        <f t="shared" si="37"/>
        <v>#DIV/0!</v>
      </c>
      <c r="BP12" s="171" t="e">
        <f t="shared" si="38"/>
        <v>#DIV/0!</v>
      </c>
      <c r="BQ12" s="171" t="e">
        <f t="shared" si="39"/>
        <v>#DIV/0!</v>
      </c>
      <c r="BR12" s="171" t="e">
        <f t="shared" si="40"/>
        <v>#DIV/0!</v>
      </c>
      <c r="BS12" s="171" t="e">
        <f t="shared" si="41"/>
        <v>#DIV/0!</v>
      </c>
      <c r="BT12" s="171" t="e">
        <f t="shared" si="42"/>
        <v>#DIV/0!</v>
      </c>
      <c r="BU12" s="171" t="e">
        <f t="shared" si="43"/>
        <v>#DIV/0!</v>
      </c>
    </row>
    <row r="13" spans="1:73" ht="39" thickBot="1">
      <c r="A13" s="4" t="s">
        <v>54</v>
      </c>
      <c r="B13" s="171">
        <f>DIST_GAS_LEV!X67</f>
        <v>0.64754641881088337</v>
      </c>
      <c r="C13" s="171">
        <f>DIST_GAS_LEV!Y67</f>
        <v>0.11110974949343369</v>
      </c>
      <c r="D13" s="171">
        <f>DIST_GAS_MOT!AT21</f>
        <v>1.5585441019035034E-2</v>
      </c>
      <c r="E13" s="171">
        <f>DIST_GAS_MOT!AU21</f>
        <v>0.33875002258249387</v>
      </c>
      <c r="F13" s="171">
        <f>DIST_GAS_MOT!AV21</f>
        <v>7.1182418514364959E-3</v>
      </c>
      <c r="G13" s="171">
        <f>DIST_GAS_MOT!AW21</f>
        <v>4.215021512852044E-3</v>
      </c>
      <c r="H13" s="171">
        <f t="shared" si="5"/>
        <v>1.1243248952701344</v>
      </c>
      <c r="I13" s="171">
        <f>DIST_GAS_LEV!Z67</f>
        <v>0.61401104271764595</v>
      </c>
      <c r="J13" s="171">
        <f>DIST_GAS_LEV!AA67</f>
        <v>0.10693279916219019</v>
      </c>
      <c r="K13" s="171">
        <f>DIST_GAS_MOT!AX21</f>
        <v>1.4393689090217758E-2</v>
      </c>
      <c r="L13" s="171">
        <f>DIST_GAS_MOT!AY21</f>
        <v>0.32439739120225769</v>
      </c>
      <c r="M13" s="171">
        <f>DIST_GAS_MOT!AZ21</f>
        <v>6.8166464249367195E-3</v>
      </c>
      <c r="N13" s="171">
        <f>DIST_GAS_MOT!BA21</f>
        <v>4.0364349556030899E-3</v>
      </c>
      <c r="O13" s="171">
        <f t="shared" si="6"/>
        <v>1.0705880035528512</v>
      </c>
      <c r="P13" s="171">
        <f>DIST_GAS_LEV!AB67</f>
        <v>0.62067225577483953</v>
      </c>
      <c r="Q13" s="171">
        <f>DIST_GAS_LEV!AC67</f>
        <v>0.10920277026714455</v>
      </c>
      <c r="R13" s="171">
        <f>DIST_GAS_MOT!BB21</f>
        <v>1.4317748173802448E-2</v>
      </c>
      <c r="S13" s="171">
        <f>DIST_GAS_MOT!BC21</f>
        <v>0.32250237188409503</v>
      </c>
      <c r="T13" s="171">
        <f>DIST_GAS_MOT!BD21</f>
        <v>6.7768257138661539E-3</v>
      </c>
      <c r="U13" s="171">
        <f>DIST_GAS_MOT!BE21</f>
        <v>4.012857618003172E-3</v>
      </c>
      <c r="V13" s="266">
        <f t="shared" si="7"/>
        <v>1.0774848294317509</v>
      </c>
      <c r="W13" s="171">
        <f>DIST_GAS_LEV!AD67</f>
        <v>0.60088720176683874</v>
      </c>
      <c r="X13" s="171">
        <f>DIST_GAS_LEV!AE67</f>
        <v>0.10714621365823232</v>
      </c>
      <c r="Y13" s="171">
        <f>DIST_GAS_MOT!BF21</f>
        <v>1.4132871988803399E-2</v>
      </c>
      <c r="Z13" s="171">
        <f>DIST_GAS_MOT!BG21</f>
        <v>0.31899644147103373</v>
      </c>
      <c r="AA13" s="171">
        <f>DIST_GAS_MOT!BH21</f>
        <v>6.7031540726789282E-3</v>
      </c>
      <c r="AB13" s="171">
        <f>DIST_GAS_MOT!BI21</f>
        <v>3.9692354192958088E-3</v>
      </c>
      <c r="AC13" s="171">
        <f t="shared" si="8"/>
        <v>1.0518351183768828</v>
      </c>
      <c r="AD13" s="171" t="e">
        <f>DIST_GAS_LEV!AF67</f>
        <v>#DIV/0!</v>
      </c>
      <c r="AE13" s="171" t="e">
        <f>DIST_GAS_LEV!AG67</f>
        <v>#DIV/0!</v>
      </c>
      <c r="AF13" s="171" t="e">
        <f>DIST_GAS_MOT!BJ21</f>
        <v>#DIV/0!</v>
      </c>
      <c r="AG13" s="171" t="e">
        <f>DIST_GAS_MOT!BK21</f>
        <v>#DIV/0!</v>
      </c>
      <c r="AH13" s="171" t="e">
        <f>DIST_GAS_MOT!BL21</f>
        <v>#DIV/0!</v>
      </c>
      <c r="AI13" s="171" t="e">
        <f>DIST_GAS_MOT!BM21</f>
        <v>#DIV/0!</v>
      </c>
      <c r="AJ13" s="171" t="e">
        <f t="shared" si="9"/>
        <v>#DIV/0!</v>
      </c>
      <c r="AL13" s="4" t="s">
        <v>54</v>
      </c>
      <c r="AM13" s="171">
        <f t="shared" si="10"/>
        <v>0.57594243579859672</v>
      </c>
      <c r="AN13" s="171">
        <f t="shared" si="11"/>
        <v>9.8823525086792693E-2</v>
      </c>
      <c r="AO13" s="171">
        <f t="shared" si="12"/>
        <v>1.38620438670358E-2</v>
      </c>
      <c r="AP13" s="171">
        <f t="shared" si="13"/>
        <v>0.30129193439330948</v>
      </c>
      <c r="AQ13" s="171">
        <f t="shared" si="14"/>
        <v>6.3311253547634391E-3</v>
      </c>
      <c r="AR13" s="171">
        <f t="shared" si="15"/>
        <v>3.7489354995019725E-3</v>
      </c>
      <c r="AS13" s="171">
        <f t="shared" si="16"/>
        <v>1.0000000000000002</v>
      </c>
      <c r="AT13" s="171">
        <f t="shared" si="17"/>
        <v>0.57352692228942426</v>
      </c>
      <c r="AU13" s="171">
        <f t="shared" si="18"/>
        <v>9.9882306552402239E-2</v>
      </c>
      <c r="AV13" s="171">
        <f t="shared" si="19"/>
        <v>1.3444657554961282E-2</v>
      </c>
      <c r="AW13" s="171">
        <f t="shared" si="20"/>
        <v>0.30300861781162608</v>
      </c>
      <c r="AX13" s="171">
        <f t="shared" si="21"/>
        <v>6.3671985883598644E-3</v>
      </c>
      <c r="AY13" s="171">
        <f t="shared" si="22"/>
        <v>3.7702972032264371E-3</v>
      </c>
      <c r="AZ13" s="171">
        <f t="shared" si="23"/>
        <v>1.0000000000000002</v>
      </c>
      <c r="BA13" s="171">
        <f t="shared" si="24"/>
        <v>0.57603804603186159</v>
      </c>
      <c r="BB13" s="171">
        <f t="shared" si="25"/>
        <v>0.10134970561463628</v>
      </c>
      <c r="BC13" s="171">
        <f t="shared" si="26"/>
        <v>1.3288120428900525E-2</v>
      </c>
      <c r="BD13" s="171">
        <f t="shared" si="27"/>
        <v>0.29931035971446379</v>
      </c>
      <c r="BE13" s="171">
        <f t="shared" si="28"/>
        <v>6.2894859665357404E-3</v>
      </c>
      <c r="BF13" s="171">
        <f t="shared" si="29"/>
        <v>3.7242822436019743E-3</v>
      </c>
      <c r="BG13" s="171">
        <f t="shared" si="44"/>
        <v>1</v>
      </c>
      <c r="BH13" s="171">
        <f t="shared" si="30"/>
        <v>0.57127508985827091</v>
      </c>
      <c r="BI13" s="171">
        <f t="shared" si="31"/>
        <v>0.10186597859897732</v>
      </c>
      <c r="BJ13" s="171">
        <f t="shared" si="32"/>
        <v>1.3436394870150602E-2</v>
      </c>
      <c r="BK13" s="171">
        <f t="shared" si="33"/>
        <v>0.30327608947235607</v>
      </c>
      <c r="BL13" s="171">
        <f t="shared" si="34"/>
        <v>6.372818282605699E-3</v>
      </c>
      <c r="BM13" s="171">
        <f t="shared" si="35"/>
        <v>3.7736289176395353E-3</v>
      </c>
      <c r="BN13" s="171">
        <f t="shared" si="36"/>
        <v>1</v>
      </c>
      <c r="BO13" s="171" t="e">
        <f t="shared" si="37"/>
        <v>#DIV/0!</v>
      </c>
      <c r="BP13" s="171" t="e">
        <f t="shared" si="38"/>
        <v>#DIV/0!</v>
      </c>
      <c r="BQ13" s="171" t="e">
        <f t="shared" si="39"/>
        <v>#DIV/0!</v>
      </c>
      <c r="BR13" s="171" t="e">
        <f t="shared" si="40"/>
        <v>#DIV/0!</v>
      </c>
      <c r="BS13" s="171" t="e">
        <f t="shared" si="41"/>
        <v>#DIV/0!</v>
      </c>
      <c r="BT13" s="171" t="e">
        <f t="shared" si="42"/>
        <v>#DIV/0!</v>
      </c>
      <c r="BU13" s="171" t="e">
        <f t="shared" si="43"/>
        <v>#DIV/0!</v>
      </c>
    </row>
    <row r="14" spans="1:73" ht="15.75" thickBot="1">
      <c r="A14" s="127" t="s">
        <v>21</v>
      </c>
      <c r="B14" s="171">
        <f>DIST_GAS_LEV!X68</f>
        <v>0.64000152444027336</v>
      </c>
      <c r="C14" s="171">
        <f>DIST_GAS_LEV!Y68</f>
        <v>0.116884217544581</v>
      </c>
      <c r="D14" s="171">
        <f>DIST_GAS_MOT!AT22</f>
        <v>1.6337750219823657E-2</v>
      </c>
      <c r="E14" s="171">
        <f>DIST_GAS_MOT!AU22</f>
        <v>0.30077692748617268</v>
      </c>
      <c r="F14" s="171">
        <f>DIST_GAS_MOT!AV22</f>
        <v>6.3200081320382399E-3</v>
      </c>
      <c r="G14" s="171">
        <f>DIST_GAS_MOT!AW22</f>
        <v>3.7426190825959531E-3</v>
      </c>
      <c r="H14" s="171">
        <f t="shared" si="5"/>
        <v>1.0840630469054851</v>
      </c>
      <c r="I14" s="171">
        <f>DIST_GAS_LEV!Z68</f>
        <v>0.60973745139980662</v>
      </c>
      <c r="J14" s="171">
        <f>DIST_GAS_LEV!AA68</f>
        <v>0.10813717640801807</v>
      </c>
      <c r="K14" s="171">
        <f>DIST_GAS_MOT!AX22</f>
        <v>1.3715066376977562E-2</v>
      </c>
      <c r="L14" s="171">
        <f>DIST_GAS_MOT!AY22</f>
        <v>0.26124680943817352</v>
      </c>
      <c r="M14" s="171">
        <f>DIST_GAS_MOT!AZ22</f>
        <v>5.489390339603775E-3</v>
      </c>
      <c r="N14" s="171">
        <f>DIST_GAS_MOT!BA22</f>
        <v>3.2507390192539481E-3</v>
      </c>
      <c r="O14" s="171">
        <f t="shared" si="6"/>
        <v>1.0015766329818336</v>
      </c>
      <c r="P14" s="171">
        <f>DIST_GAS_LEV!AB68</f>
        <v>0.60340185735929341</v>
      </c>
      <c r="Q14" s="171">
        <f>DIST_GAS_LEV!AC68</f>
        <v>0.10645033281284413</v>
      </c>
      <c r="R14" s="171">
        <f>DIST_GAS_MOT!BB22</f>
        <v>1.2789879858691936E-2</v>
      </c>
      <c r="S14" s="171">
        <f>DIST_GAS_MOT!BC22</f>
        <v>0.25010609920233107</v>
      </c>
      <c r="T14" s="171">
        <f>DIST_GAS_MOT!BD22</f>
        <v>5.2552986495407366E-3</v>
      </c>
      <c r="U14" s="171">
        <f>DIST_GAS_MOT!BE22</f>
        <v>3.1121132440962017E-3</v>
      </c>
      <c r="V14" s="266">
        <f t="shared" si="7"/>
        <v>0.98111558112679753</v>
      </c>
      <c r="W14" s="171">
        <f>DIST_GAS_LEV!AD68</f>
        <v>0.58501758588900132</v>
      </c>
      <c r="X14" s="171">
        <f>DIST_GAS_LEV!AE68</f>
        <v>0.10347644574534694</v>
      </c>
      <c r="Y14" s="171">
        <f>DIST_GAS_MOT!BF22</f>
        <v>1.235853217779804E-2</v>
      </c>
      <c r="Z14" s="171">
        <f>DIST_GAS_MOT!BG22</f>
        <v>0.24711510377338686</v>
      </c>
      <c r="AA14" s="171">
        <f>DIST_GAS_MOT!BH22</f>
        <v>5.1924510249180475E-3</v>
      </c>
      <c r="AB14" s="171">
        <f>DIST_GAS_MOT!BI22</f>
        <v>3.0748957731223403E-3</v>
      </c>
      <c r="AC14" s="171">
        <f t="shared" si="8"/>
        <v>0.95623501438357361</v>
      </c>
      <c r="AD14" s="171" t="e">
        <f>DIST_GAS_LEV!AF68</f>
        <v>#DIV/0!</v>
      </c>
      <c r="AE14" s="171" t="e">
        <f>DIST_GAS_LEV!AG68</f>
        <v>#DIV/0!</v>
      </c>
      <c r="AF14" s="171" t="e">
        <f>DIST_GAS_MOT!BJ22</f>
        <v>#DIV/0!</v>
      </c>
      <c r="AG14" s="171" t="e">
        <f>DIST_GAS_MOT!BK22</f>
        <v>#DIV/0!</v>
      </c>
      <c r="AH14" s="171" t="e">
        <f>DIST_GAS_MOT!BL22</f>
        <v>#DIV/0!</v>
      </c>
      <c r="AI14" s="171" t="e">
        <f>DIST_GAS_MOT!BM22</f>
        <v>#DIV/0!</v>
      </c>
      <c r="AJ14" s="171" t="e">
        <f t="shared" si="9"/>
        <v>#DIV/0!</v>
      </c>
      <c r="AL14" s="127" t="s">
        <v>21</v>
      </c>
      <c r="AM14" s="171">
        <f t="shared" si="10"/>
        <v>0.59037297347897921</v>
      </c>
      <c r="AN14" s="171">
        <f t="shared" si="11"/>
        <v>0.1078204979666387</v>
      </c>
      <c r="AO14" s="171">
        <f t="shared" si="12"/>
        <v>1.5070848754102101E-2</v>
      </c>
      <c r="AP14" s="171">
        <f t="shared" si="13"/>
        <v>0.27745335323877723</v>
      </c>
      <c r="AQ14" s="171">
        <f t="shared" si="14"/>
        <v>5.829926728043203E-3</v>
      </c>
      <c r="AR14" s="171">
        <f t="shared" si="15"/>
        <v>3.4523998334593693E-3</v>
      </c>
      <c r="AS14" s="171">
        <f t="shared" si="16"/>
        <v>0.99999999999999978</v>
      </c>
      <c r="AT14" s="171">
        <f t="shared" si="17"/>
        <v>0.60877763250579542</v>
      </c>
      <c r="AU14" s="171">
        <f t="shared" si="18"/>
        <v>0.10796695215030984</v>
      </c>
      <c r="AV14" s="171">
        <f t="shared" si="19"/>
        <v>1.3693476789834735E-2</v>
      </c>
      <c r="AW14" s="171">
        <f t="shared" si="20"/>
        <v>0.26083556747964981</v>
      </c>
      <c r="AX14" s="171">
        <f t="shared" si="21"/>
        <v>5.4807492096347063E-3</v>
      </c>
      <c r="AY14" s="171">
        <f t="shared" si="22"/>
        <v>3.245621864775383E-3</v>
      </c>
      <c r="AZ14" s="171">
        <f t="shared" si="23"/>
        <v>1</v>
      </c>
      <c r="BA14" s="171">
        <f t="shared" si="24"/>
        <v>0.61501607860135588</v>
      </c>
      <c r="BB14" s="171">
        <f t="shared" si="25"/>
        <v>0.10849927863808606</v>
      </c>
      <c r="BC14" s="171">
        <f t="shared" si="26"/>
        <v>1.303605824300837E-2</v>
      </c>
      <c r="BD14" s="171">
        <f t="shared" si="27"/>
        <v>0.25492011748002996</v>
      </c>
      <c r="BE14" s="171">
        <f t="shared" si="28"/>
        <v>5.3564521353387327E-3</v>
      </c>
      <c r="BF14" s="171">
        <f t="shared" si="29"/>
        <v>3.1720149021810286E-3</v>
      </c>
      <c r="BG14" s="171">
        <f t="shared" si="44"/>
        <v>1</v>
      </c>
      <c r="BH14" s="171">
        <f t="shared" si="30"/>
        <v>0.6117926839001252</v>
      </c>
      <c r="BI14" s="171">
        <f t="shared" si="31"/>
        <v>0.10821235803841787</v>
      </c>
      <c r="BJ14" s="171">
        <f t="shared" si="32"/>
        <v>1.2924157756098099E-2</v>
      </c>
      <c r="BK14" s="171">
        <f t="shared" si="33"/>
        <v>0.25842507339337173</v>
      </c>
      <c r="BL14" s="171">
        <f t="shared" si="34"/>
        <v>5.4300992400548144E-3</v>
      </c>
      <c r="BM14" s="171">
        <f t="shared" si="35"/>
        <v>3.2156276719322373E-3</v>
      </c>
      <c r="BN14" s="171">
        <f t="shared" si="36"/>
        <v>1</v>
      </c>
      <c r="BO14" s="171" t="e">
        <f t="shared" si="37"/>
        <v>#DIV/0!</v>
      </c>
      <c r="BP14" s="171" t="e">
        <f t="shared" si="38"/>
        <v>#DIV/0!</v>
      </c>
      <c r="BQ14" s="171" t="e">
        <f t="shared" si="39"/>
        <v>#DIV/0!</v>
      </c>
      <c r="BR14" s="171" t="e">
        <f t="shared" si="40"/>
        <v>#DIV/0!</v>
      </c>
      <c r="BS14" s="171" t="e">
        <f t="shared" si="41"/>
        <v>#DIV/0!</v>
      </c>
      <c r="BT14" s="171" t="e">
        <f t="shared" si="42"/>
        <v>#DIV/0!</v>
      </c>
      <c r="BU14" s="171" t="e">
        <f t="shared" si="43"/>
        <v>#DIV/0!</v>
      </c>
    </row>
    <row r="15" spans="1:73" ht="15.75" thickBot="1">
      <c r="A15" s="127" t="s">
        <v>22</v>
      </c>
      <c r="B15" s="171">
        <f>DIST_GAS_LEV!X69</f>
        <v>0.66215619275716187</v>
      </c>
      <c r="C15" s="171">
        <f>DIST_GAS_LEV!Y69</f>
        <v>0.12675392689414203</v>
      </c>
      <c r="D15" s="171">
        <f>DIST_GAS_MOT!AT23</f>
        <v>1.2521855777186576E-2</v>
      </c>
      <c r="E15" s="171">
        <f>DIST_GAS_MOT!AU23</f>
        <v>0.27927050381568547</v>
      </c>
      <c r="F15" s="171">
        <f>DIST_GAS_MOT!AV23</f>
        <v>5.8684258430881852E-3</v>
      </c>
      <c r="G15" s="171">
        <f>DIST_GAS_MOT!AW23</f>
        <v>3.4748669024811715E-3</v>
      </c>
      <c r="H15" s="171">
        <f t="shared" si="5"/>
        <v>1.0900457719897452</v>
      </c>
      <c r="I15" s="171">
        <f>DIST_GAS_LEV!Z69</f>
        <v>0.63574204503006193</v>
      </c>
      <c r="J15" s="171">
        <f>DIST_GAS_LEV!AA69</f>
        <v>0.12361017189574303</v>
      </c>
      <c r="K15" s="171">
        <f>DIST_GAS_MOT!AX23</f>
        <v>1.226592257219598E-2</v>
      </c>
      <c r="L15" s="171">
        <f>DIST_GAS_MOT!AY23</f>
        <v>0.27701894373757197</v>
      </c>
      <c r="M15" s="171">
        <f>DIST_GAS_MOT!AZ23</f>
        <v>5.8211128860478417E-3</v>
      </c>
      <c r="N15" s="171">
        <f>DIST_GAS_MOT!BA23</f>
        <v>3.4468515142196594E-3</v>
      </c>
      <c r="O15" s="171">
        <f t="shared" si="6"/>
        <v>1.0579050476358405</v>
      </c>
      <c r="P15" s="171">
        <f>DIST_GAS_LEV!AB69</f>
        <v>0.64273494657400398</v>
      </c>
      <c r="Q15" s="171">
        <f>DIST_GAS_LEV!AC69</f>
        <v>0.12583499085152342</v>
      </c>
      <c r="R15" s="171">
        <f>DIST_GAS_MOT!BB23</f>
        <v>1.1537058484813104E-2</v>
      </c>
      <c r="S15" s="171">
        <f>DIST_GAS_MOT!BC23</f>
        <v>0.26060427234131717</v>
      </c>
      <c r="T15" s="171">
        <f>DIST_GAS_MOT!BD23</f>
        <v>5.4761846515531684E-3</v>
      </c>
      <c r="U15" s="171">
        <f>DIST_GAS_MOT!BE23</f>
        <v>3.2426093992428662E-3</v>
      </c>
      <c r="V15" s="266">
        <f t="shared" si="7"/>
        <v>1.0494300623024537</v>
      </c>
      <c r="W15" s="171">
        <f>DIST_GAS_LEV!AD69</f>
        <v>0.6360232680755058</v>
      </c>
      <c r="X15" s="171">
        <f>DIST_GAS_LEV!AE69</f>
        <v>0.12514954860375863</v>
      </c>
      <c r="Y15" s="171">
        <f>DIST_GAS_MOT!BF23</f>
        <v>1.1349838769997374E-2</v>
      </c>
      <c r="Z15" s="171">
        <f>DIST_GAS_MOT!BG23</f>
        <v>0.25649494444248322</v>
      </c>
      <c r="AA15" s="171">
        <f>DIST_GAS_MOT!BH23</f>
        <v>5.3898336559780827E-3</v>
      </c>
      <c r="AB15" s="171">
        <f>DIST_GAS_MOT!BI23</f>
        <v>3.1914784444445586E-3</v>
      </c>
      <c r="AC15" s="171">
        <f t="shared" si="8"/>
        <v>1.0375989119921676</v>
      </c>
      <c r="AD15" s="171" t="e">
        <f>DIST_GAS_LEV!AF69</f>
        <v>#DIV/0!</v>
      </c>
      <c r="AE15" s="171" t="e">
        <f>DIST_GAS_LEV!AG69</f>
        <v>#DIV/0!</v>
      </c>
      <c r="AF15" s="171" t="e">
        <f>DIST_GAS_MOT!BJ23</f>
        <v>#DIV/0!</v>
      </c>
      <c r="AG15" s="171" t="e">
        <f>DIST_GAS_MOT!BK23</f>
        <v>#DIV/0!</v>
      </c>
      <c r="AH15" s="171" t="e">
        <f>DIST_GAS_MOT!BL23</f>
        <v>#DIV/0!</v>
      </c>
      <c r="AI15" s="171" t="e">
        <f>DIST_GAS_MOT!BM23</f>
        <v>#DIV/0!</v>
      </c>
      <c r="AJ15" s="171" t="e">
        <f t="shared" si="9"/>
        <v>#DIV/0!</v>
      </c>
      <c r="AL15" s="127" t="s">
        <v>22</v>
      </c>
      <c r="AM15" s="171">
        <f t="shared" si="10"/>
        <v>0.60745723690893894</v>
      </c>
      <c r="AN15" s="171">
        <f t="shared" si="11"/>
        <v>0.11628312328827095</v>
      </c>
      <c r="AO15" s="171">
        <f t="shared" si="12"/>
        <v>1.1487458691142354E-2</v>
      </c>
      <c r="AP15" s="171">
        <f t="shared" si="13"/>
        <v>0.25620071284338025</v>
      </c>
      <c r="AQ15" s="171">
        <f t="shared" si="14"/>
        <v>5.3836508464925213E-3</v>
      </c>
      <c r="AR15" s="171">
        <f t="shared" si="15"/>
        <v>3.1878174217750757E-3</v>
      </c>
      <c r="AS15" s="171">
        <f t="shared" si="16"/>
        <v>1</v>
      </c>
      <c r="AT15" s="171">
        <f t="shared" si="17"/>
        <v>0.60094433470261832</v>
      </c>
      <c r="AU15" s="171">
        <f t="shared" si="18"/>
        <v>0.11684429729490524</v>
      </c>
      <c r="AV15" s="171">
        <f t="shared" si="19"/>
        <v>1.1594540171263311E-2</v>
      </c>
      <c r="AW15" s="171">
        <f t="shared" si="20"/>
        <v>0.26185615084892699</v>
      </c>
      <c r="AX15" s="171">
        <f t="shared" si="21"/>
        <v>5.5024908890042709E-3</v>
      </c>
      <c r="AY15" s="171">
        <f t="shared" si="22"/>
        <v>3.2581860932817466E-3</v>
      </c>
      <c r="AZ15" s="171">
        <f t="shared" si="23"/>
        <v>0.99999999999999978</v>
      </c>
      <c r="BA15" s="171">
        <f t="shared" si="24"/>
        <v>0.61246096301438224</v>
      </c>
      <c r="BB15" s="171">
        <f t="shared" si="25"/>
        <v>0.119907934193767</v>
      </c>
      <c r="BC15" s="171">
        <f t="shared" si="26"/>
        <v>1.0993642072250866E-2</v>
      </c>
      <c r="BD15" s="171">
        <f t="shared" si="27"/>
        <v>0.24832933770693624</v>
      </c>
      <c r="BE15" s="171">
        <f t="shared" si="28"/>
        <v>5.2182464065670059E-3</v>
      </c>
      <c r="BF15" s="171">
        <f t="shared" si="29"/>
        <v>3.0898766060966161E-3</v>
      </c>
      <c r="BG15" s="171">
        <f t="shared" si="44"/>
        <v>0.99999999999999989</v>
      </c>
      <c r="BH15" s="171">
        <f t="shared" si="30"/>
        <v>0.61297603604301665</v>
      </c>
      <c r="BI15" s="171">
        <f t="shared" si="31"/>
        <v>0.12061457192883344</v>
      </c>
      <c r="BJ15" s="171">
        <f t="shared" si="32"/>
        <v>1.0938560785695051E-2</v>
      </c>
      <c r="BK15" s="171">
        <f t="shared" si="33"/>
        <v>0.24720047551902155</v>
      </c>
      <c r="BL15" s="171">
        <f t="shared" si="34"/>
        <v>5.1945251615864918E-3</v>
      </c>
      <c r="BM15" s="171">
        <f t="shared" si="35"/>
        <v>3.0758305618468593E-3</v>
      </c>
      <c r="BN15" s="171">
        <f t="shared" si="36"/>
        <v>1</v>
      </c>
      <c r="BO15" s="171" t="e">
        <f t="shared" si="37"/>
        <v>#DIV/0!</v>
      </c>
      <c r="BP15" s="171" t="e">
        <f t="shared" si="38"/>
        <v>#DIV/0!</v>
      </c>
      <c r="BQ15" s="171" t="e">
        <f t="shared" si="39"/>
        <v>#DIV/0!</v>
      </c>
      <c r="BR15" s="171" t="e">
        <f t="shared" si="40"/>
        <v>#DIV/0!</v>
      </c>
      <c r="BS15" s="171" t="e">
        <f t="shared" si="41"/>
        <v>#DIV/0!</v>
      </c>
      <c r="BT15" s="171" t="e">
        <f t="shared" si="42"/>
        <v>#DIV/0!</v>
      </c>
      <c r="BU15" s="171" t="e">
        <f t="shared" si="43"/>
        <v>#DIV/0!</v>
      </c>
    </row>
    <row r="16" spans="1:73" ht="15.75" thickBot="1">
      <c r="A16" s="127" t="s">
        <v>23</v>
      </c>
      <c r="B16" s="171">
        <f>DIST_GAS_LEV!X70</f>
        <v>0.67867803355459544</v>
      </c>
      <c r="C16" s="171">
        <f>DIST_GAS_LEV!Y70</f>
        <v>0.10938587325112589</v>
      </c>
      <c r="D16" s="171">
        <f>DIST_GAS_MOT!AT24</f>
        <v>1.6822432545486411E-2</v>
      </c>
      <c r="E16" s="171">
        <f>DIST_GAS_MOT!AU24</f>
        <v>0.44169153579923104</v>
      </c>
      <c r="F16" s="171">
        <f>DIST_GAS_MOT!AV24</f>
        <v>9.2813291108810557E-3</v>
      </c>
      <c r="G16" s="171">
        <f>DIST_GAS_MOT!AW24</f>
        <v>5.4958939807438489E-3</v>
      </c>
      <c r="H16" s="171">
        <f t="shared" si="5"/>
        <v>1.2613550982420638</v>
      </c>
      <c r="I16" s="171">
        <f>DIST_GAS_LEV!Z70</f>
        <v>0.63927935172358996</v>
      </c>
      <c r="J16" s="171">
        <f>DIST_GAS_LEV!AA70</f>
        <v>0.10466706979524376</v>
      </c>
      <c r="K16" s="171">
        <f>DIST_GAS_MOT!AX24</f>
        <v>1.5896572040023978E-2</v>
      </c>
      <c r="L16" s="171">
        <f>DIST_GAS_MOT!AY24</f>
        <v>0.42707907018971591</v>
      </c>
      <c r="M16" s="171">
        <f>DIST_GAS_MOT!AZ24</f>
        <v>8.9742752249650989E-3</v>
      </c>
      <c r="N16" s="171">
        <f>DIST_GAS_MOT!BA24</f>
        <v>5.314073512661199E-3</v>
      </c>
      <c r="O16" s="171">
        <f t="shared" si="6"/>
        <v>1.2012104124861998</v>
      </c>
      <c r="P16" s="171">
        <f>DIST_GAS_LEV!AB70</f>
        <v>0.64901011653085339</v>
      </c>
      <c r="Q16" s="171">
        <f>DIST_GAS_LEV!AC70</f>
        <v>0.10685472912520282</v>
      </c>
      <c r="R16" s="171">
        <f>DIST_GAS_MOT!BB24</f>
        <v>1.6440595664808003E-2</v>
      </c>
      <c r="S16" s="171">
        <f>DIST_GAS_MOT!BC24</f>
        <v>0.44440540645697646</v>
      </c>
      <c r="T16" s="171">
        <f>DIST_GAS_MOT!BD24</f>
        <v>9.3383560735855169E-3</v>
      </c>
      <c r="U16" s="171">
        <f>DIST_GAS_MOT!BE24</f>
        <v>5.5296622198961615E-3</v>
      </c>
      <c r="V16" s="266">
        <f t="shared" si="7"/>
        <v>1.2315788660713225</v>
      </c>
      <c r="W16" s="171">
        <f>DIST_GAS_LEV!AD70</f>
        <v>0.62980246415529817</v>
      </c>
      <c r="X16" s="171">
        <f>DIST_GAS_LEV!AE70</f>
        <v>0.10301230537238722</v>
      </c>
      <c r="Y16" s="171">
        <f>DIST_GAS_MOT!BF24</f>
        <v>1.6107597440191759E-2</v>
      </c>
      <c r="Z16" s="171">
        <f>DIST_GAS_MOT!BG24</f>
        <v>0.43393485888007244</v>
      </c>
      <c r="AA16" s="171">
        <f>DIST_GAS_MOT!BH24</f>
        <v>9.118336919592589E-3</v>
      </c>
      <c r="AB16" s="171">
        <f>DIST_GAS_MOT!BI24</f>
        <v>5.3993789458486457E-3</v>
      </c>
      <c r="AC16" s="171">
        <f t="shared" si="8"/>
        <v>1.1973749417133908</v>
      </c>
      <c r="AD16" s="171" t="e">
        <f>DIST_GAS_LEV!AF70</f>
        <v>#DIV/0!</v>
      </c>
      <c r="AE16" s="171" t="e">
        <f>DIST_GAS_LEV!AG70</f>
        <v>#DIV/0!</v>
      </c>
      <c r="AF16" s="171" t="e">
        <f>DIST_GAS_MOT!BJ24</f>
        <v>#DIV/0!</v>
      </c>
      <c r="AG16" s="171" t="e">
        <f>DIST_GAS_MOT!BK24</f>
        <v>#DIV/0!</v>
      </c>
      <c r="AH16" s="171" t="e">
        <f>DIST_GAS_MOT!BL24</f>
        <v>#DIV/0!</v>
      </c>
      <c r="AI16" s="171" t="e">
        <f>DIST_GAS_MOT!BM24</f>
        <v>#DIV/0!</v>
      </c>
      <c r="AJ16" s="171" t="e">
        <f t="shared" si="9"/>
        <v>#DIV/0!</v>
      </c>
      <c r="AL16" s="127" t="s">
        <v>23</v>
      </c>
      <c r="AM16" s="171">
        <f t="shared" si="10"/>
        <v>0.53805469570025222</v>
      </c>
      <c r="AN16" s="171">
        <f t="shared" si="11"/>
        <v>8.672091895737824E-2</v>
      </c>
      <c r="AO16" s="171">
        <f t="shared" si="12"/>
        <v>1.3336793555543274E-2</v>
      </c>
      <c r="AP16" s="171">
        <f t="shared" si="13"/>
        <v>0.35017223652150886</v>
      </c>
      <c r="AQ16" s="171">
        <f t="shared" si="14"/>
        <v>7.3582206341547577E-3</v>
      </c>
      <c r="AR16" s="171">
        <f t="shared" si="15"/>
        <v>4.3571346311624803E-3</v>
      </c>
      <c r="AS16" s="171">
        <f t="shared" si="16"/>
        <v>0.99999999999999989</v>
      </c>
      <c r="AT16" s="171">
        <f t="shared" si="17"/>
        <v>0.53219597922102957</v>
      </c>
      <c r="AU16" s="171">
        <f t="shared" si="18"/>
        <v>8.7134667421513254E-2</v>
      </c>
      <c r="AV16" s="171">
        <f t="shared" si="19"/>
        <v>1.3233794741357696E-2</v>
      </c>
      <c r="AW16" s="171">
        <f t="shared" si="20"/>
        <v>0.3555405995072678</v>
      </c>
      <c r="AX16" s="171">
        <f t="shared" si="21"/>
        <v>7.4710268340004099E-3</v>
      </c>
      <c r="AY16" s="171">
        <f t="shared" si="22"/>
        <v>4.4239322748313671E-3</v>
      </c>
      <c r="AZ16" s="171">
        <f t="shared" si="23"/>
        <v>1</v>
      </c>
      <c r="BA16" s="171">
        <f t="shared" si="24"/>
        <v>0.52697406102880329</v>
      </c>
      <c r="BB16" s="171">
        <f t="shared" si="25"/>
        <v>8.6762392623758053E-2</v>
      </c>
      <c r="BC16" s="171">
        <f t="shared" si="26"/>
        <v>1.3349202489364496E-2</v>
      </c>
      <c r="BD16" s="171">
        <f t="shared" si="27"/>
        <v>0.36084202051518505</v>
      </c>
      <c r="BE16" s="171">
        <f t="shared" si="28"/>
        <v>7.5824263722342241E-3</v>
      </c>
      <c r="BF16" s="171">
        <f t="shared" si="29"/>
        <v>4.4898969706548466E-3</v>
      </c>
      <c r="BG16" s="171">
        <f t="shared" si="44"/>
        <v>0.99999999999999989</v>
      </c>
      <c r="BH16" s="171">
        <f t="shared" si="30"/>
        <v>0.52598600673409668</v>
      </c>
      <c r="BI16" s="171">
        <f t="shared" si="31"/>
        <v>8.6031786522090689E-2</v>
      </c>
      <c r="BJ16" s="171">
        <f t="shared" si="32"/>
        <v>1.3452425701461981E-2</v>
      </c>
      <c r="BK16" s="171">
        <f t="shared" si="33"/>
        <v>0.36240516129319594</v>
      </c>
      <c r="BL16" s="171">
        <f t="shared" si="34"/>
        <v>7.6152728789736076E-3</v>
      </c>
      <c r="BM16" s="171">
        <f t="shared" si="35"/>
        <v>4.5093468701811754E-3</v>
      </c>
      <c r="BN16" s="171">
        <f t="shared" si="36"/>
        <v>1</v>
      </c>
      <c r="BO16" s="171" t="e">
        <f t="shared" si="37"/>
        <v>#DIV/0!</v>
      </c>
      <c r="BP16" s="171" t="e">
        <f t="shared" si="38"/>
        <v>#DIV/0!</v>
      </c>
      <c r="BQ16" s="171" t="e">
        <f t="shared" si="39"/>
        <v>#DIV/0!</v>
      </c>
      <c r="BR16" s="171" t="e">
        <f t="shared" si="40"/>
        <v>#DIV/0!</v>
      </c>
      <c r="BS16" s="171" t="e">
        <f t="shared" si="41"/>
        <v>#DIV/0!</v>
      </c>
      <c r="BT16" s="171" t="e">
        <f t="shared" si="42"/>
        <v>#DIV/0!</v>
      </c>
      <c r="BU16" s="171" t="e">
        <f t="shared" si="43"/>
        <v>#DIV/0!</v>
      </c>
    </row>
    <row r="17" spans="1:73" ht="26.25" thickBot="1">
      <c r="A17" s="127" t="s">
        <v>24</v>
      </c>
      <c r="B17" s="171">
        <f>DIST_GAS_LEV!X71</f>
        <v>0.47080494672914247</v>
      </c>
      <c r="C17" s="171">
        <f>DIST_GAS_LEV!Y71</f>
        <v>9.2932585800523604E-2</v>
      </c>
      <c r="D17" s="171">
        <f>DIST_GAS_MOT!AT25</f>
        <v>2.3800531545770415E-2</v>
      </c>
      <c r="E17" s="171">
        <f>DIST_GAS_MOT!AU25</f>
        <v>0.36977526761416701</v>
      </c>
      <c r="F17" s="171">
        <f>DIST_GAS_MOT!AV25</f>
        <v>7.7701135475825699E-3</v>
      </c>
      <c r="G17" s="171">
        <f>DIST_GAS_MOT!AW25</f>
        <v>4.6014956761811967E-3</v>
      </c>
      <c r="H17" s="171">
        <f t="shared" si="5"/>
        <v>0.96968494091336732</v>
      </c>
      <c r="I17" s="171">
        <f>DIST_GAS_LEV!Z71</f>
        <v>0.44539205156433281</v>
      </c>
      <c r="J17" s="171">
        <f>DIST_GAS_LEV!AA71</f>
        <v>9.1811534316317125E-2</v>
      </c>
      <c r="K17" s="171">
        <f>DIST_GAS_MOT!AX25</f>
        <v>1.9693182759104148E-2</v>
      </c>
      <c r="L17" s="171">
        <f>DIST_GAS_MOT!AY25</f>
        <v>0.34338959800114682</v>
      </c>
      <c r="M17" s="171">
        <f>DIST_GAS_MOT!AZ25</f>
        <v>7.2156696275092365E-3</v>
      </c>
      <c r="N17" s="171">
        <f>DIST_GAS_MOT!BA25</f>
        <v>4.2731515296923527E-3</v>
      </c>
      <c r="O17" s="171">
        <f t="shared" si="6"/>
        <v>0.9117751877981024</v>
      </c>
      <c r="P17" s="171">
        <f>DIST_GAS_LEV!AB71</f>
        <v>0.45357407537319544</v>
      </c>
      <c r="Q17" s="171">
        <f>DIST_GAS_LEV!AC71</f>
        <v>9.7002922297637087E-2</v>
      </c>
      <c r="R17" s="171">
        <f>DIST_GAS_MOT!BB25</f>
        <v>2.0914255407245154E-2</v>
      </c>
      <c r="S17" s="171">
        <f>DIST_GAS_MOT!BC25</f>
        <v>0.35639938801069793</v>
      </c>
      <c r="T17" s="171">
        <f>DIST_GAS_MOT!BD25</f>
        <v>7.4890452544316265E-3</v>
      </c>
      <c r="U17" s="171">
        <f>DIST_GAS_MOT!BE25</f>
        <v>4.435045787421453E-3</v>
      </c>
      <c r="V17" s="266">
        <f t="shared" si="7"/>
        <v>0.93981473213062872</v>
      </c>
      <c r="W17" s="171">
        <f>DIST_GAS_LEV!AD71</f>
        <v>0.42579950788370996</v>
      </c>
      <c r="X17" s="171">
        <f>DIST_GAS_LEV!AE71</f>
        <v>9.4922723405338083E-2</v>
      </c>
      <c r="Y17" s="171">
        <f>DIST_GAS_MOT!BF25</f>
        <v>2.0552593901483413E-2</v>
      </c>
      <c r="Z17" s="171">
        <f>DIST_GAS_MOT!BG25</f>
        <v>0.35927894338043403</v>
      </c>
      <c r="AA17" s="171">
        <f>DIST_GAS_MOT!BH25</f>
        <v>7.5495535527117207E-3</v>
      </c>
      <c r="AB17" s="171">
        <f>DIST_GAS_MOT!BI25</f>
        <v>4.4708790698057971E-3</v>
      </c>
      <c r="AC17" s="171">
        <f t="shared" si="8"/>
        <v>0.91257420119348298</v>
      </c>
      <c r="AD17" s="171" t="e">
        <f>DIST_GAS_LEV!AF71</f>
        <v>#DIV/0!</v>
      </c>
      <c r="AE17" s="171" t="e">
        <f>DIST_GAS_LEV!AG71</f>
        <v>#DIV/0!</v>
      </c>
      <c r="AF17" s="171" t="e">
        <f>DIST_GAS_MOT!BJ25</f>
        <v>#DIV/0!</v>
      </c>
      <c r="AG17" s="171" t="e">
        <f>DIST_GAS_MOT!BK25</f>
        <v>#DIV/0!</v>
      </c>
      <c r="AH17" s="171" t="e">
        <f>DIST_GAS_MOT!BL25</f>
        <v>#DIV/0!</v>
      </c>
      <c r="AI17" s="171" t="e">
        <f>DIST_GAS_MOT!BM25</f>
        <v>#DIV/0!</v>
      </c>
      <c r="AJ17" s="171" t="e">
        <f t="shared" si="9"/>
        <v>#DIV/0!</v>
      </c>
      <c r="AL17" s="127" t="s">
        <v>24</v>
      </c>
      <c r="AM17" s="171">
        <f t="shared" si="10"/>
        <v>0.4855236240811176</v>
      </c>
      <c r="AN17" s="171">
        <f t="shared" si="11"/>
        <v>9.583791794579008E-2</v>
      </c>
      <c r="AO17" s="171">
        <f t="shared" si="12"/>
        <v>2.4544602624592866E-2</v>
      </c>
      <c r="AP17" s="171">
        <f t="shared" si="13"/>
        <v>0.38133547507282894</v>
      </c>
      <c r="AQ17" s="171">
        <f t="shared" si="14"/>
        <v>8.0130289950297983E-3</v>
      </c>
      <c r="AR17" s="171">
        <f t="shared" si="15"/>
        <v>4.7453512806406462E-3</v>
      </c>
      <c r="AS17" s="171">
        <f t="shared" si="16"/>
        <v>1</v>
      </c>
      <c r="AT17" s="171">
        <f t="shared" si="17"/>
        <v>0.48848889235507204</v>
      </c>
      <c r="AU17" s="171">
        <f t="shared" si="18"/>
        <v>0.10069536388464136</v>
      </c>
      <c r="AV17" s="171">
        <f t="shared" si="19"/>
        <v>2.1598726333694529E-2</v>
      </c>
      <c r="AW17" s="171">
        <f t="shared" si="20"/>
        <v>0.37661651972611565</v>
      </c>
      <c r="AX17" s="171">
        <f t="shared" si="21"/>
        <v>7.9138692564499E-3</v>
      </c>
      <c r="AY17" s="171">
        <f t="shared" si="22"/>
        <v>4.6866284440266782E-3</v>
      </c>
      <c r="AZ17" s="171">
        <f t="shared" si="23"/>
        <v>1.0000000000000002</v>
      </c>
      <c r="BA17" s="171">
        <f t="shared" si="24"/>
        <v>0.48262073349809048</v>
      </c>
      <c r="BB17" s="171">
        <f t="shared" si="25"/>
        <v>0.10321494118072012</v>
      </c>
      <c r="BC17" s="171">
        <f t="shared" si="26"/>
        <v>2.2253593918272602E-2</v>
      </c>
      <c r="BD17" s="171">
        <f t="shared" si="27"/>
        <v>0.37922302750321274</v>
      </c>
      <c r="BE17" s="171">
        <f t="shared" si="28"/>
        <v>7.9686399865784331E-3</v>
      </c>
      <c r="BF17" s="171">
        <f t="shared" si="29"/>
        <v>4.7190639131256011E-3</v>
      </c>
      <c r="BG17" s="171">
        <f t="shared" si="44"/>
        <v>1.0000000000000002</v>
      </c>
      <c r="BH17" s="171">
        <f t="shared" si="30"/>
        <v>0.46659165613803322</v>
      </c>
      <c r="BI17" s="171">
        <f t="shared" si="31"/>
        <v>0.1040164441216903</v>
      </c>
      <c r="BJ17" s="171">
        <f t="shared" si="32"/>
        <v>2.2521559205382222E-2</v>
      </c>
      <c r="BK17" s="171">
        <f t="shared" si="33"/>
        <v>0.39369833478807725</v>
      </c>
      <c r="BL17" s="171">
        <f t="shared" si="34"/>
        <v>8.2728106304542273E-3</v>
      </c>
      <c r="BM17" s="171">
        <f t="shared" si="35"/>
        <v>4.8991951163628025E-3</v>
      </c>
      <c r="BN17" s="171">
        <f t="shared" si="36"/>
        <v>1</v>
      </c>
      <c r="BO17" s="171" t="e">
        <f t="shared" si="37"/>
        <v>#DIV/0!</v>
      </c>
      <c r="BP17" s="171" t="e">
        <f t="shared" si="38"/>
        <v>#DIV/0!</v>
      </c>
      <c r="BQ17" s="171" t="e">
        <f t="shared" si="39"/>
        <v>#DIV/0!</v>
      </c>
      <c r="BR17" s="171" t="e">
        <f t="shared" si="40"/>
        <v>#DIV/0!</v>
      </c>
      <c r="BS17" s="171" t="e">
        <f t="shared" si="41"/>
        <v>#DIV/0!</v>
      </c>
      <c r="BT17" s="171" t="e">
        <f t="shared" si="42"/>
        <v>#DIV/0!</v>
      </c>
      <c r="BU17" s="171" t="e">
        <f t="shared" si="43"/>
        <v>#DIV/0!</v>
      </c>
    </row>
    <row r="18" spans="1:73" ht="15.75" thickBot="1">
      <c r="A18" s="127" t="s">
        <v>25</v>
      </c>
      <c r="B18" s="171">
        <f>DIST_GAS_LEV!X72</f>
        <v>0.60885599302971938</v>
      </c>
      <c r="C18" s="171">
        <f>DIST_GAS_LEV!Y72</f>
        <v>9.4704799326254252E-2</v>
      </c>
      <c r="D18" s="171">
        <f>DIST_GAS_MOT!AT26</f>
        <v>1.4261782345616706E-2</v>
      </c>
      <c r="E18" s="171">
        <f>DIST_GAS_MOT!AU26</f>
        <v>0.29330924094480293</v>
      </c>
      <c r="F18" s="171">
        <f>DIST_GAS_MOT!AV26</f>
        <v>6.1634919030388374E-3</v>
      </c>
      <c r="G18" s="171">
        <f>DIST_GAS_MOT!AW26</f>
        <v>3.6494335230796036E-3</v>
      </c>
      <c r="H18" s="171">
        <f t="shared" si="5"/>
        <v>1.0209447410725119</v>
      </c>
      <c r="I18" s="171">
        <f>DIST_GAS_LEV!Z72</f>
        <v>0.58099906863913231</v>
      </c>
      <c r="J18" s="171">
        <f>DIST_GAS_LEV!AA72</f>
        <v>9.0911445997282694E-2</v>
      </c>
      <c r="K18" s="171">
        <f>DIST_GAS_MOT!AX26</f>
        <v>1.3363241726472797E-2</v>
      </c>
      <c r="L18" s="171">
        <f>DIST_GAS_MOT!AY26</f>
        <v>0.28228316518225693</v>
      </c>
      <c r="M18" s="171">
        <f>DIST_GAS_MOT!AZ26</f>
        <v>5.9317940251750649E-3</v>
      </c>
      <c r="N18" s="171">
        <f>DIST_GAS_MOT!BA26</f>
        <v>3.5122440830666194E-3</v>
      </c>
      <c r="O18" s="171">
        <f t="shared" si="6"/>
        <v>0.97700095965338651</v>
      </c>
      <c r="P18" s="171">
        <f>DIST_GAS_LEV!AB72</f>
        <v>0.59358395870708225</v>
      </c>
      <c r="Q18" s="171">
        <f>DIST_GAS_LEV!AC72</f>
        <v>9.2881238059569327E-2</v>
      </c>
      <c r="R18" s="171">
        <f>DIST_GAS_MOT!BB26</f>
        <v>1.3654403453395473E-2</v>
      </c>
      <c r="S18" s="171">
        <f>DIST_GAS_MOT!BC26</f>
        <v>0.29317808942195001</v>
      </c>
      <c r="T18" s="171">
        <f>DIST_GAS_MOT!BD26</f>
        <v>6.1607359334465714E-3</v>
      </c>
      <c r="U18" s="171">
        <f>DIST_GAS_MOT!BE26</f>
        <v>3.647801700084323E-3</v>
      </c>
      <c r="V18" s="266">
        <f t="shared" si="7"/>
        <v>1.003106227275528</v>
      </c>
      <c r="W18" s="171">
        <f>DIST_GAS_LEV!AD72</f>
        <v>0.57784762328486361</v>
      </c>
      <c r="X18" s="171">
        <f>DIST_GAS_LEV!AE72</f>
        <v>9.2511941539134321E-2</v>
      </c>
      <c r="Y18" s="171">
        <f>DIST_GAS_MOT!BF26</f>
        <v>1.3845412394823054E-2</v>
      </c>
      <c r="Z18" s="171">
        <f>DIST_GAS_MOT!BG26</f>
        <v>0.29765439871850458</v>
      </c>
      <c r="AA18" s="171">
        <f>DIST_GAS_MOT!BH26</f>
        <v>6.2547994413535849E-3</v>
      </c>
      <c r="AB18" s="171">
        <f>DIST_GAS_MOT!BI26</f>
        <v>3.7034971604588325E-3</v>
      </c>
      <c r="AC18" s="171">
        <f t="shared" si="8"/>
        <v>0.99181767253913788</v>
      </c>
      <c r="AD18" s="171" t="e">
        <f>DIST_GAS_LEV!AF72</f>
        <v>#DIV/0!</v>
      </c>
      <c r="AE18" s="171" t="e">
        <f>DIST_GAS_LEV!AG72</f>
        <v>#DIV/0!</v>
      </c>
      <c r="AF18" s="171" t="e">
        <f>DIST_GAS_MOT!BJ26</f>
        <v>#DIV/0!</v>
      </c>
      <c r="AG18" s="171" t="e">
        <f>DIST_GAS_MOT!BK26</f>
        <v>#DIV/0!</v>
      </c>
      <c r="AH18" s="171" t="e">
        <f>DIST_GAS_MOT!BL26</f>
        <v>#DIV/0!</v>
      </c>
      <c r="AI18" s="171" t="e">
        <f>DIST_GAS_MOT!BM26</f>
        <v>#DIV/0!</v>
      </c>
      <c r="AJ18" s="171" t="e">
        <f t="shared" si="9"/>
        <v>#DIV/0!</v>
      </c>
      <c r="AL18" s="127" t="s">
        <v>25</v>
      </c>
      <c r="AM18" s="171">
        <f t="shared" si="10"/>
        <v>0.59636527672409634</v>
      </c>
      <c r="AN18" s="171">
        <f t="shared" si="11"/>
        <v>9.2761924829316403E-2</v>
      </c>
      <c r="AO18" s="171">
        <f t="shared" si="12"/>
        <v>1.3969201046703636E-2</v>
      </c>
      <c r="AP18" s="171">
        <f t="shared" si="13"/>
        <v>0.28729198471278561</v>
      </c>
      <c r="AQ18" s="171">
        <f t="shared" si="14"/>
        <v>6.0370475061794554E-3</v>
      </c>
      <c r="AR18" s="171">
        <f t="shared" si="15"/>
        <v>3.57456518091845E-3</v>
      </c>
      <c r="AS18" s="171">
        <f t="shared" si="16"/>
        <v>1</v>
      </c>
      <c r="AT18" s="171">
        <f t="shared" si="17"/>
        <v>0.59467604703812682</v>
      </c>
      <c r="AU18" s="171">
        <f t="shared" si="18"/>
        <v>9.3051542169964307E-2</v>
      </c>
      <c r="AV18" s="171">
        <f t="shared" si="19"/>
        <v>1.3677818424266146E-2</v>
      </c>
      <c r="AW18" s="171">
        <f t="shared" si="20"/>
        <v>0.28892823737082446</v>
      </c>
      <c r="AX18" s="171">
        <f t="shared" si="21"/>
        <v>6.071431114335348E-3</v>
      </c>
      <c r="AY18" s="171">
        <f t="shared" si="22"/>
        <v>3.5949238824828466E-3</v>
      </c>
      <c r="AZ18" s="171">
        <f t="shared" si="23"/>
        <v>1.0000000000000002</v>
      </c>
      <c r="BA18" s="171">
        <f t="shared" si="24"/>
        <v>0.5917458615716874</v>
      </c>
      <c r="BB18" s="171">
        <f t="shared" si="25"/>
        <v>9.2593621227771719E-2</v>
      </c>
      <c r="BC18" s="171">
        <f t="shared" si="26"/>
        <v>1.3612121111521075E-2</v>
      </c>
      <c r="BD18" s="171">
        <f t="shared" si="27"/>
        <v>0.29227023165655353</v>
      </c>
      <c r="BE18" s="171">
        <f t="shared" si="28"/>
        <v>6.1416585461535299E-3</v>
      </c>
      <c r="BF18" s="171">
        <f t="shared" si="29"/>
        <v>3.6365058863126404E-3</v>
      </c>
      <c r="BG18" s="171">
        <f t="shared" si="44"/>
        <v>0.99999999999999989</v>
      </c>
      <c r="BH18" s="171">
        <f t="shared" si="30"/>
        <v>0.58261476810100021</v>
      </c>
      <c r="BI18" s="171">
        <f t="shared" si="31"/>
        <v>9.3275149355118728E-2</v>
      </c>
      <c r="BJ18" s="171">
        <f t="shared" si="32"/>
        <v>1.3959634697149141E-2</v>
      </c>
      <c r="BK18" s="171">
        <f t="shared" si="33"/>
        <v>0.30010999698813989</v>
      </c>
      <c r="BL18" s="171">
        <f t="shared" si="34"/>
        <v>6.3064004751405209E-3</v>
      </c>
      <c r="BM18" s="171">
        <f t="shared" si="35"/>
        <v>3.7340503834515913E-3</v>
      </c>
      <c r="BN18" s="171">
        <f t="shared" si="36"/>
        <v>1</v>
      </c>
      <c r="BO18" s="171" t="e">
        <f t="shared" si="37"/>
        <v>#DIV/0!</v>
      </c>
      <c r="BP18" s="171" t="e">
        <f t="shared" si="38"/>
        <v>#DIV/0!</v>
      </c>
      <c r="BQ18" s="171" t="e">
        <f t="shared" si="39"/>
        <v>#DIV/0!</v>
      </c>
      <c r="BR18" s="171" t="e">
        <f t="shared" si="40"/>
        <v>#DIV/0!</v>
      </c>
      <c r="BS18" s="171" t="e">
        <f t="shared" si="41"/>
        <v>#DIV/0!</v>
      </c>
      <c r="BT18" s="171" t="e">
        <f t="shared" si="42"/>
        <v>#DIV/0!</v>
      </c>
      <c r="BU18" s="171" t="e">
        <f t="shared" si="43"/>
        <v>#DIV/0!</v>
      </c>
    </row>
    <row r="19" spans="1:73" ht="26.25" thickBot="1">
      <c r="A19" s="127" t="s">
        <v>26</v>
      </c>
      <c r="B19" s="171">
        <f>DIST_GAS_LEV!X73</f>
        <v>0.75584694403940111</v>
      </c>
      <c r="C19" s="171">
        <f>DIST_GAS_LEV!Y73</f>
        <v>0.11918191659991485</v>
      </c>
      <c r="D19" s="171">
        <f>DIST_GAS_MOT!AT27</f>
        <v>1.1107369932098323E-2</v>
      </c>
      <c r="E19" s="171">
        <f>DIST_GAS_MOT!AU27</f>
        <v>0.34668266825827848</v>
      </c>
      <c r="F19" s="171">
        <f>DIST_GAS_MOT!AV27</f>
        <v>7.284924079491599E-3</v>
      </c>
      <c r="G19" s="171">
        <f>DIST_GAS_MOT!AW27</f>
        <v>4.3135928407698285E-3</v>
      </c>
      <c r="H19" s="171">
        <f t="shared" si="5"/>
        <v>1.2444174157499543</v>
      </c>
      <c r="I19" s="171">
        <f>DIST_GAS_LEV!Z73</f>
        <v>0.69996014687326802</v>
      </c>
      <c r="J19" s="171">
        <f>DIST_GAS_LEV!AA73</f>
        <v>0.11251762371929748</v>
      </c>
      <c r="K19" s="171">
        <f>DIST_GAS_MOT!AX27</f>
        <v>1.017644173840563E-2</v>
      </c>
      <c r="L19" s="171">
        <f>DIST_GAS_MOT!AY27</f>
        <v>0.32247780353981126</v>
      </c>
      <c r="M19" s="171">
        <f>DIST_GAS_MOT!AZ27</f>
        <v>6.776301589898226E-3</v>
      </c>
      <c r="N19" s="171">
        <f>DIST_GAS_MOT!BA27</f>
        <v>4.0124242485066654E-3</v>
      </c>
      <c r="O19" s="171">
        <f t="shared" si="6"/>
        <v>1.1559207417091872</v>
      </c>
      <c r="P19" s="171">
        <f>DIST_GAS_LEV!AB73</f>
        <v>0.7014436083003599</v>
      </c>
      <c r="Q19" s="171">
        <f>DIST_GAS_LEV!AC73</f>
        <v>0.11393140206649359</v>
      </c>
      <c r="R19" s="171">
        <f>DIST_GAS_MOT!BB27</f>
        <v>9.9732604028528425E-3</v>
      </c>
      <c r="S19" s="171">
        <f>DIST_GAS_MOT!BC27</f>
        <v>0.30943105442748908</v>
      </c>
      <c r="T19" s="171">
        <f>DIST_GAS_MOT!BD27</f>
        <v>6.5021471960690167E-3</v>
      </c>
      <c r="U19" s="171">
        <f>DIST_GAS_MOT!BE27</f>
        <v>3.8500903082235435E-3</v>
      </c>
      <c r="V19" s="266">
        <f t="shared" si="7"/>
        <v>1.145131562701488</v>
      </c>
      <c r="W19" s="171">
        <f>DIST_GAS_LEV!AD73</f>
        <v>0.67700713277295654</v>
      </c>
      <c r="X19" s="171">
        <f>DIST_GAS_LEV!AE73</f>
        <v>0.11249787869298229</v>
      </c>
      <c r="Y19" s="171">
        <f>DIST_GAS_MOT!BF27</f>
        <v>1.0039664255328184E-2</v>
      </c>
      <c r="Z19" s="171">
        <f>DIST_GAS_MOT!BG27</f>
        <v>0.30615127345664378</v>
      </c>
      <c r="AA19" s="171">
        <f>DIST_GAS_MOT!BH27</f>
        <v>6.4332283906092394E-3</v>
      </c>
      <c r="AB19" s="171">
        <f>DIST_GAS_MOT!BI27</f>
        <v>3.8092816927072022E-3</v>
      </c>
      <c r="AC19" s="171">
        <f t="shared" si="8"/>
        <v>1.1159384592612271</v>
      </c>
      <c r="AD19" s="171" t="e">
        <f>DIST_GAS_LEV!AF73</f>
        <v>#DIV/0!</v>
      </c>
      <c r="AE19" s="171" t="e">
        <f>DIST_GAS_LEV!AG73</f>
        <v>#DIV/0!</v>
      </c>
      <c r="AF19" s="171" t="e">
        <f>DIST_GAS_MOT!BJ27</f>
        <v>#DIV/0!</v>
      </c>
      <c r="AG19" s="171" t="e">
        <f>DIST_GAS_MOT!BK27</f>
        <v>#DIV/0!</v>
      </c>
      <c r="AH19" s="171" t="e">
        <f>DIST_GAS_MOT!BL27</f>
        <v>#DIV/0!</v>
      </c>
      <c r="AI19" s="171" t="e">
        <f>DIST_GAS_MOT!BM27</f>
        <v>#DIV/0!</v>
      </c>
      <c r="AJ19" s="171" t="e">
        <f t="shared" si="9"/>
        <v>#DIV/0!</v>
      </c>
      <c r="AL19" s="127" t="s">
        <v>26</v>
      </c>
      <c r="AM19" s="171">
        <f t="shared" si="10"/>
        <v>0.60739020080644424</v>
      </c>
      <c r="AN19" s="171">
        <f t="shared" si="11"/>
        <v>9.577326312818378E-2</v>
      </c>
      <c r="AO19" s="171">
        <f t="shared" si="12"/>
        <v>8.9257589869106823E-3</v>
      </c>
      <c r="AP19" s="171">
        <f t="shared" si="13"/>
        <v>0.27859033783238113</v>
      </c>
      <c r="AQ19" s="171">
        <f t="shared" si="14"/>
        <v>5.8540839972906541E-3</v>
      </c>
      <c r="AR19" s="171">
        <f t="shared" si="15"/>
        <v>3.466355248789427E-3</v>
      </c>
      <c r="AS19" s="171">
        <f t="shared" si="16"/>
        <v>1</v>
      </c>
      <c r="AT19" s="171">
        <f t="shared" si="17"/>
        <v>0.6055433747458161</v>
      </c>
      <c r="AU19" s="171">
        <f t="shared" si="18"/>
        <v>9.7340258427169285E-2</v>
      </c>
      <c r="AV19" s="171">
        <f t="shared" si="19"/>
        <v>8.8037539004260507E-3</v>
      </c>
      <c r="AW19" s="171">
        <f t="shared" si="20"/>
        <v>0.27897916518305887</v>
      </c>
      <c r="AX19" s="171">
        <f t="shared" si="21"/>
        <v>5.8622545174494712E-3</v>
      </c>
      <c r="AY19" s="171">
        <f t="shared" si="22"/>
        <v>3.4711932260803159E-3</v>
      </c>
      <c r="AZ19" s="171">
        <f t="shared" si="23"/>
        <v>1.0000000000000002</v>
      </c>
      <c r="BA19" s="171">
        <f t="shared" si="24"/>
        <v>0.61254412256839674</v>
      </c>
      <c r="BB19" s="171">
        <f t="shared" si="25"/>
        <v>9.9491976098988327E-2</v>
      </c>
      <c r="BC19" s="171">
        <f t="shared" si="26"/>
        <v>8.7092703822824104E-3</v>
      </c>
      <c r="BD19" s="171">
        <f t="shared" si="27"/>
        <v>0.27021441422635151</v>
      </c>
      <c r="BE19" s="171">
        <f t="shared" si="28"/>
        <v>5.6780787534401337E-3</v>
      </c>
      <c r="BF19" s="171">
        <f t="shared" si="29"/>
        <v>3.3621379705409292E-3</v>
      </c>
      <c r="BG19" s="171">
        <f t="shared" si="44"/>
        <v>1</v>
      </c>
      <c r="BH19" s="171">
        <f t="shared" si="30"/>
        <v>0.60667067001270691</v>
      </c>
      <c r="BI19" s="171">
        <f t="shared" si="31"/>
        <v>0.10081010987600343</v>
      </c>
      <c r="BJ19" s="171">
        <f t="shared" si="32"/>
        <v>8.9966110335283501E-3</v>
      </c>
      <c r="BK19" s="171">
        <f t="shared" si="33"/>
        <v>0.2743442265260056</v>
      </c>
      <c r="BL19" s="171">
        <f t="shared" si="34"/>
        <v>5.764859466236302E-3</v>
      </c>
      <c r="BM19" s="171">
        <f t="shared" si="35"/>
        <v>3.4135230855194473E-3</v>
      </c>
      <c r="BN19" s="171">
        <f t="shared" si="36"/>
        <v>1</v>
      </c>
      <c r="BO19" s="171" t="e">
        <f t="shared" si="37"/>
        <v>#DIV/0!</v>
      </c>
      <c r="BP19" s="171" t="e">
        <f t="shared" si="38"/>
        <v>#DIV/0!</v>
      </c>
      <c r="BQ19" s="171" t="e">
        <f t="shared" si="39"/>
        <v>#DIV/0!</v>
      </c>
      <c r="BR19" s="171" t="e">
        <f t="shared" si="40"/>
        <v>#DIV/0!</v>
      </c>
      <c r="BS19" s="171" t="e">
        <f t="shared" si="41"/>
        <v>#DIV/0!</v>
      </c>
      <c r="BT19" s="171" t="e">
        <f t="shared" si="42"/>
        <v>#DIV/0!</v>
      </c>
      <c r="BU19" s="171" t="e">
        <f t="shared" si="43"/>
        <v>#DIV/0!</v>
      </c>
    </row>
    <row r="20" spans="1:73" ht="15.75" thickBot="1">
      <c r="A20" s="127" t="s">
        <v>27</v>
      </c>
      <c r="B20" s="171">
        <f>DIST_GAS_LEV!X74</f>
        <v>0.53106139941188857</v>
      </c>
      <c r="C20" s="171">
        <f>DIST_GAS_LEV!Y74</f>
        <v>8.4900438990477764E-2</v>
      </c>
      <c r="D20" s="171">
        <f>DIST_GAS_MOT!AT28</f>
        <v>2.4959268449466047E-2</v>
      </c>
      <c r="E20" s="171">
        <f>DIST_GAS_MOT!AU28</f>
        <v>0.40293531490073192</v>
      </c>
      <c r="F20" s="171">
        <f>DIST_GAS_MOT!AV28</f>
        <v>8.4670161629066872E-3</v>
      </c>
      <c r="G20" s="171">
        <f>DIST_GAS_MOT!AW28</f>
        <v>5.0136477510951266E-3</v>
      </c>
      <c r="H20" s="171">
        <f t="shared" si="5"/>
        <v>1.0573370856665663</v>
      </c>
      <c r="I20" s="171">
        <f>DIST_GAS_LEV!Z74</f>
        <v>0.51022301541314752</v>
      </c>
      <c r="J20" s="171">
        <f>DIST_GAS_LEV!AA74</f>
        <v>8.2551869967778579E-2</v>
      </c>
      <c r="K20" s="171">
        <f>DIST_GAS_MOT!AX28</f>
        <v>2.2884936620371783E-2</v>
      </c>
      <c r="L20" s="171">
        <f>DIST_GAS_MOT!AY28</f>
        <v>0.39066422235283149</v>
      </c>
      <c r="M20" s="171">
        <f>DIST_GAS_MOT!AZ28</f>
        <v>8.2091595415152534E-3</v>
      </c>
      <c r="N20" s="171">
        <f>DIST_GAS_MOT!BA28</f>
        <v>4.8609608723800711E-3</v>
      </c>
      <c r="O20" s="171">
        <f t="shared" si="6"/>
        <v>1.0193941647680247</v>
      </c>
      <c r="P20" s="171">
        <f>DIST_GAS_LEV!AB74</f>
        <v>0.53598310676833516</v>
      </c>
      <c r="Q20" s="171">
        <f>DIST_GAS_LEV!AC74</f>
        <v>8.5593216100106936E-2</v>
      </c>
      <c r="R20" s="171">
        <f>DIST_GAS_MOT!BB28</f>
        <v>2.4852708350769373E-2</v>
      </c>
      <c r="S20" s="171">
        <f>DIST_GAS_MOT!BC28</f>
        <v>0.43084524006723163</v>
      </c>
      <c r="T20" s="171">
        <f>DIST_GAS_MOT!BD28</f>
        <v>9.0534968677525463E-3</v>
      </c>
      <c r="U20" s="171">
        <f>DIST_GAS_MOT!BE28</f>
        <v>5.3609256599047037E-3</v>
      </c>
      <c r="V20" s="266">
        <f t="shared" si="7"/>
        <v>1.0916886938141004</v>
      </c>
      <c r="W20" s="171">
        <f>DIST_GAS_LEV!AD74</f>
        <v>0.4901273942512554</v>
      </c>
      <c r="X20" s="171">
        <f>DIST_GAS_LEV!AE74</f>
        <v>7.9666518372588285E-2</v>
      </c>
      <c r="Y20" s="171">
        <f>DIST_GAS_MOT!BF28</f>
        <v>2.3581850630897887E-2</v>
      </c>
      <c r="Z20" s="171">
        <f>DIST_GAS_MOT!BG28</f>
        <v>0.41559732363157997</v>
      </c>
      <c r="AA20" s="171">
        <f>DIST_GAS_MOT!BH28</f>
        <v>8.7330872383729018E-3</v>
      </c>
      <c r="AB20" s="171">
        <f>DIST_GAS_MOT!BI28</f>
        <v>5.171198725780487E-3</v>
      </c>
      <c r="AC20" s="171">
        <f t="shared" si="8"/>
        <v>1.022877372850475</v>
      </c>
      <c r="AD20" s="171" t="e">
        <f>DIST_GAS_LEV!AF74</f>
        <v>#DIV/0!</v>
      </c>
      <c r="AE20" s="171" t="e">
        <f>DIST_GAS_LEV!AG74</f>
        <v>#DIV/0!</v>
      </c>
      <c r="AF20" s="171" t="e">
        <f>DIST_GAS_MOT!BJ28</f>
        <v>#DIV/0!</v>
      </c>
      <c r="AG20" s="171" t="e">
        <f>DIST_GAS_MOT!BK28</f>
        <v>#DIV/0!</v>
      </c>
      <c r="AH20" s="171" t="e">
        <f>DIST_GAS_MOT!BL28</f>
        <v>#DIV/0!</v>
      </c>
      <c r="AI20" s="171" t="e">
        <f>DIST_GAS_MOT!BM28</f>
        <v>#DIV/0!</v>
      </c>
      <c r="AJ20" s="171" t="e">
        <f t="shared" si="9"/>
        <v>#DIV/0!</v>
      </c>
      <c r="AL20" s="127" t="s">
        <v>27</v>
      </c>
      <c r="AM20" s="171">
        <f t="shared" si="10"/>
        <v>0.50226309718163054</v>
      </c>
      <c r="AN20" s="171">
        <f t="shared" si="11"/>
        <v>8.029647322637401E-2</v>
      </c>
      <c r="AO20" s="171">
        <f t="shared" si="12"/>
        <v>2.3605781720718921E-2</v>
      </c>
      <c r="AP20" s="171">
        <f t="shared" si="13"/>
        <v>0.38108501097993125</v>
      </c>
      <c r="AQ20" s="171">
        <f t="shared" si="14"/>
        <v>8.007868330437793E-3</v>
      </c>
      <c r="AR20" s="171">
        <f t="shared" si="15"/>
        <v>4.7417685609073513E-3</v>
      </c>
      <c r="AS20" s="171">
        <f t="shared" si="16"/>
        <v>0.99999999999999978</v>
      </c>
      <c r="AT20" s="171">
        <f t="shared" si="17"/>
        <v>0.50051592705482562</v>
      </c>
      <c r="AU20" s="171">
        <f t="shared" si="18"/>
        <v>8.0981305191759889E-2</v>
      </c>
      <c r="AV20" s="171">
        <f t="shared" si="19"/>
        <v>2.2449546418170367E-2</v>
      </c>
      <c r="AW20" s="171">
        <f t="shared" si="20"/>
        <v>0.38323176240834361</v>
      </c>
      <c r="AX20" s="171">
        <f t="shared" si="21"/>
        <v>8.052978744863961E-3</v>
      </c>
      <c r="AY20" s="171">
        <f t="shared" si="22"/>
        <v>4.7684801820365927E-3</v>
      </c>
      <c r="AZ20" s="171">
        <f t="shared" si="23"/>
        <v>0.99999999999999989</v>
      </c>
      <c r="BA20" s="171">
        <f t="shared" si="24"/>
        <v>0.49096698519038223</v>
      </c>
      <c r="BB20" s="171">
        <f t="shared" si="25"/>
        <v>7.840441747277295E-2</v>
      </c>
      <c r="BC20" s="171">
        <f t="shared" si="26"/>
        <v>2.2765380361263913E-2</v>
      </c>
      <c r="BD20" s="171">
        <f t="shared" si="27"/>
        <v>0.39465943222509792</v>
      </c>
      <c r="BE20" s="171">
        <f t="shared" si="28"/>
        <v>8.293112238912893E-3</v>
      </c>
      <c r="BF20" s="171">
        <f t="shared" si="29"/>
        <v>4.9106725115700394E-3</v>
      </c>
      <c r="BG20" s="171">
        <f t="shared" si="44"/>
        <v>1</v>
      </c>
      <c r="BH20" s="171">
        <f t="shared" si="30"/>
        <v>0.47916534988491</v>
      </c>
      <c r="BI20" s="171">
        <f t="shared" si="31"/>
        <v>7.7884720580512837E-2</v>
      </c>
      <c r="BJ20" s="171">
        <f t="shared" si="32"/>
        <v>2.3054425932975547E-2</v>
      </c>
      <c r="BK20" s="171">
        <f t="shared" si="33"/>
        <v>0.40630219678574542</v>
      </c>
      <c r="BL20" s="171">
        <f t="shared" si="34"/>
        <v>8.537765591623378E-3</v>
      </c>
      <c r="BM20" s="171">
        <f t="shared" si="35"/>
        <v>5.0555412242327671E-3</v>
      </c>
      <c r="BN20" s="171">
        <f t="shared" si="36"/>
        <v>1</v>
      </c>
      <c r="BO20" s="171" t="e">
        <f t="shared" si="37"/>
        <v>#DIV/0!</v>
      </c>
      <c r="BP20" s="171" t="e">
        <f t="shared" si="38"/>
        <v>#DIV/0!</v>
      </c>
      <c r="BQ20" s="171" t="e">
        <f t="shared" si="39"/>
        <v>#DIV/0!</v>
      </c>
      <c r="BR20" s="171" t="e">
        <f t="shared" si="40"/>
        <v>#DIV/0!</v>
      </c>
      <c r="BS20" s="171" t="e">
        <f t="shared" si="41"/>
        <v>#DIV/0!</v>
      </c>
      <c r="BT20" s="171" t="e">
        <f t="shared" si="42"/>
        <v>#DIV/0!</v>
      </c>
      <c r="BU20" s="171" t="e">
        <f t="shared" si="43"/>
        <v>#DIV/0!</v>
      </c>
    </row>
    <row r="21" spans="1:73" ht="39" thickBot="1">
      <c r="A21" s="127" t="s">
        <v>28</v>
      </c>
      <c r="B21" s="171">
        <f>DIST_GAS_LEV!X75</f>
        <v>0.65490704598961746</v>
      </c>
      <c r="C21" s="171">
        <f>DIST_GAS_LEV!Y75</f>
        <v>0.1176298286358464</v>
      </c>
      <c r="D21" s="171">
        <f>DIST_GAS_MOT!AT29</f>
        <v>1.5963899003212028E-2</v>
      </c>
      <c r="E21" s="171">
        <f>DIST_GAS_MOT!AU29</f>
        <v>0.33020342607002945</v>
      </c>
      <c r="F21" s="171">
        <f>DIST_GAS_MOT!AV29</f>
        <v>6.9385841915301488E-3</v>
      </c>
      <c r="G21" s="171">
        <f>DIST_GAS_MOT!AW29</f>
        <v>4.1087195383139302E-3</v>
      </c>
      <c r="H21" s="171">
        <f t="shared" si="5"/>
        <v>1.1297515034285492</v>
      </c>
      <c r="I21" s="171">
        <f>DIST_GAS_LEV!Z75</f>
        <v>0.63629490894431162</v>
      </c>
      <c r="J21" s="171">
        <f>DIST_GAS_LEV!AA75</f>
        <v>0.1151501329624996</v>
      </c>
      <c r="K21" s="171">
        <f>DIST_GAS_MOT!AX29</f>
        <v>1.4714264656870243E-2</v>
      </c>
      <c r="L21" s="171">
        <f>DIST_GAS_MOT!AY29</f>
        <v>0.31505095596488225</v>
      </c>
      <c r="M21" s="171">
        <f>DIST_GAS_MOT!AZ29</f>
        <v>6.6201844378222302E-3</v>
      </c>
      <c r="N21" s="171">
        <f>DIST_GAS_MOT!BA29</f>
        <v>3.9201774304512072E-3</v>
      </c>
      <c r="O21" s="171">
        <f t="shared" si="6"/>
        <v>1.0917506243968371</v>
      </c>
      <c r="P21" s="171">
        <f>DIST_GAS_LEV!AB75</f>
        <v>0.61779484246567395</v>
      </c>
      <c r="Q21" s="171">
        <f>DIST_GAS_LEV!AC75</f>
        <v>0.11191589686153042</v>
      </c>
      <c r="R21" s="171">
        <f>DIST_GAS_MOT!BB29</f>
        <v>1.3828072350445572E-2</v>
      </c>
      <c r="S21" s="171">
        <f>DIST_GAS_MOT!BC29</f>
        <v>0.30026899774336469</v>
      </c>
      <c r="T21" s="171">
        <f>DIST_GAS_MOT!BD29</f>
        <v>6.3095702723170903E-3</v>
      </c>
      <c r="U21" s="171">
        <f>DIST_GAS_MOT!BE29</f>
        <v>3.7362456000576338E-3</v>
      </c>
      <c r="V21" s="266">
        <f t="shared" si="7"/>
        <v>1.0538536252933894</v>
      </c>
      <c r="W21" s="171">
        <f>DIST_GAS_LEV!AD75</f>
        <v>0.59361060266016796</v>
      </c>
      <c r="X21" s="171">
        <f>DIST_GAS_LEV!AE75</f>
        <v>0.10889344400787475</v>
      </c>
      <c r="Y21" s="171">
        <f>DIST_GAS_MOT!BF29</f>
        <v>1.3325127738677188E-2</v>
      </c>
      <c r="Z21" s="171">
        <f>DIST_GAS_MOT!BG29</f>
        <v>0.29158886202782791</v>
      </c>
      <c r="AA21" s="171">
        <f>DIST_GAS_MOT!BH29</f>
        <v>6.1271740653092727E-3</v>
      </c>
      <c r="AB21" s="171">
        <f>DIST_GAS_MOT!BI29</f>
        <v>3.6282387158344557E-3</v>
      </c>
      <c r="AC21" s="171">
        <f t="shared" si="8"/>
        <v>1.0171734492156914</v>
      </c>
      <c r="AD21" s="171" t="e">
        <f>DIST_GAS_LEV!AF75</f>
        <v>#DIV/0!</v>
      </c>
      <c r="AE21" s="171" t="e">
        <f>DIST_GAS_LEV!AG75</f>
        <v>#DIV/0!</v>
      </c>
      <c r="AF21" s="171" t="e">
        <f>DIST_GAS_MOT!BJ29</f>
        <v>#DIV/0!</v>
      </c>
      <c r="AG21" s="171" t="e">
        <f>DIST_GAS_MOT!BK29</f>
        <v>#DIV/0!</v>
      </c>
      <c r="AH21" s="171" t="e">
        <f>DIST_GAS_MOT!BL29</f>
        <v>#DIV/0!</v>
      </c>
      <c r="AI21" s="171" t="e">
        <f>DIST_GAS_MOT!BM29</f>
        <v>#DIV/0!</v>
      </c>
      <c r="AJ21" s="171" t="e">
        <f t="shared" si="9"/>
        <v>#DIV/0!</v>
      </c>
      <c r="AL21" s="127" t="s">
        <v>28</v>
      </c>
      <c r="AM21" s="171">
        <f t="shared" si="10"/>
        <v>0.57969123652601262</v>
      </c>
      <c r="AN21" s="171">
        <f t="shared" si="11"/>
        <v>0.10412009037285239</v>
      </c>
      <c r="AO21" s="171">
        <f t="shared" si="12"/>
        <v>1.413045165663872E-2</v>
      </c>
      <c r="AP21" s="171">
        <f t="shared" si="13"/>
        <v>0.29227969608177917</v>
      </c>
      <c r="AQ21" s="171">
        <f t="shared" si="14"/>
        <v>6.141690602290026E-3</v>
      </c>
      <c r="AR21" s="171">
        <f t="shared" si="15"/>
        <v>3.6368347604272826E-3</v>
      </c>
      <c r="AS21" s="171">
        <f t="shared" si="16"/>
        <v>1.0000000000000002</v>
      </c>
      <c r="AT21" s="171">
        <f t="shared" si="17"/>
        <v>0.58282074195821731</v>
      </c>
      <c r="AU21" s="171">
        <f t="shared" si="18"/>
        <v>0.1054729261328492</v>
      </c>
      <c r="AV21" s="171">
        <f t="shared" si="19"/>
        <v>1.3477679176963586E-2</v>
      </c>
      <c r="AW21" s="171">
        <f t="shared" si="20"/>
        <v>0.28857410192821226</v>
      </c>
      <c r="AX21" s="171">
        <f t="shared" si="21"/>
        <v>6.0638247323922569E-3</v>
      </c>
      <c r="AY21" s="171">
        <f t="shared" si="22"/>
        <v>3.5907260713654273E-3</v>
      </c>
      <c r="AZ21" s="171">
        <f t="shared" si="23"/>
        <v>1.0000000000000002</v>
      </c>
      <c r="BA21" s="171">
        <f t="shared" si="24"/>
        <v>0.58622452647888545</v>
      </c>
      <c r="BB21" s="171">
        <f t="shared" si="25"/>
        <v>0.10619681346199611</v>
      </c>
      <c r="BC21" s="171">
        <f t="shared" si="26"/>
        <v>1.3121435480753679E-2</v>
      </c>
      <c r="BD21" s="171">
        <f t="shared" si="27"/>
        <v>0.28492476615029982</v>
      </c>
      <c r="BE21" s="171">
        <f t="shared" si="28"/>
        <v>5.9871410230813854E-3</v>
      </c>
      <c r="BF21" s="171">
        <f t="shared" si="29"/>
        <v>3.5453174049835195E-3</v>
      </c>
      <c r="BG21" s="171">
        <f t="shared" si="44"/>
        <v>1</v>
      </c>
      <c r="BH21" s="171">
        <f t="shared" si="30"/>
        <v>0.58358837729974311</v>
      </c>
      <c r="BI21" s="171">
        <f t="shared" si="31"/>
        <v>0.10705494140831032</v>
      </c>
      <c r="BJ21" s="171">
        <f t="shared" si="32"/>
        <v>1.3100152927656291E-2</v>
      </c>
      <c r="BK21" s="171">
        <f t="shared" si="33"/>
        <v>0.28666582110716948</v>
      </c>
      <c r="BL21" s="171">
        <f t="shared" si="34"/>
        <v>6.0237259142319659E-3</v>
      </c>
      <c r="BM21" s="171">
        <f t="shared" si="35"/>
        <v>3.5669813428890322E-3</v>
      </c>
      <c r="BN21" s="171">
        <f t="shared" si="36"/>
        <v>1.0000000000000002</v>
      </c>
      <c r="BO21" s="171" t="e">
        <f t="shared" si="37"/>
        <v>#DIV/0!</v>
      </c>
      <c r="BP21" s="171" t="e">
        <f t="shared" si="38"/>
        <v>#DIV/0!</v>
      </c>
      <c r="BQ21" s="171" t="e">
        <f t="shared" si="39"/>
        <v>#DIV/0!</v>
      </c>
      <c r="BR21" s="171" t="e">
        <f t="shared" si="40"/>
        <v>#DIV/0!</v>
      </c>
      <c r="BS21" s="171" t="e">
        <f t="shared" si="41"/>
        <v>#DIV/0!</v>
      </c>
      <c r="BT21" s="171" t="e">
        <f t="shared" si="42"/>
        <v>#DIV/0!</v>
      </c>
      <c r="BU21" s="171" t="e">
        <f t="shared" si="43"/>
        <v>#DIV/0!</v>
      </c>
    </row>
    <row r="22" spans="1:73" ht="15.75" thickBot="1">
      <c r="A22" s="128" t="s">
        <v>29</v>
      </c>
      <c r="B22" s="171">
        <f>DIST_GAS_LEV!X76</f>
        <v>0.65964251423852116</v>
      </c>
      <c r="C22" s="171">
        <f>DIST_GAS_LEV!Y76</f>
        <v>9.2477538522784578E-2</v>
      </c>
      <c r="D22" s="171">
        <f>DIST_GAS_MOT!AT30</f>
        <v>1.5234120454314829E-2</v>
      </c>
      <c r="E22" s="171">
        <f>DIST_GAS_MOT!AU30</f>
        <v>0.26550371842472942</v>
      </c>
      <c r="F22" s="171">
        <f>DIST_GAS_MOT!AV30</f>
        <v>5.5793277565856858E-3</v>
      </c>
      <c r="G22" s="171">
        <f>DIST_GAS_MOT!AW30</f>
        <v>3.303794855334316E-3</v>
      </c>
      <c r="H22" s="171">
        <f t="shared" si="5"/>
        <v>1.0417410142522698</v>
      </c>
      <c r="I22" s="171">
        <f>DIST_GAS_LEV!Z76</f>
        <v>0.63329714230686651</v>
      </c>
      <c r="J22" s="171">
        <f>DIST_GAS_LEV!AA76</f>
        <v>8.9309918527427659E-2</v>
      </c>
      <c r="K22" s="171">
        <f>DIST_GAS_MOT!AX30</f>
        <v>1.4635902292447532E-2</v>
      </c>
      <c r="L22" s="171">
        <f>DIST_GAS_MOT!AY30</f>
        <v>0.25890042599920732</v>
      </c>
      <c r="M22" s="171">
        <f>DIST_GAS_MOT!AZ30</f>
        <v>5.4405653583294378E-3</v>
      </c>
      <c r="N22" s="171">
        <f>DIST_GAS_MOT!BA30</f>
        <v>3.2216268025735311E-3</v>
      </c>
      <c r="O22" s="171">
        <f t="shared" si="6"/>
        <v>1.0048055812868519</v>
      </c>
      <c r="P22" s="171">
        <f>DIST_GAS_LEV!AB76</f>
        <v>0.64097915594627441</v>
      </c>
      <c r="Q22" s="171">
        <f>DIST_GAS_LEV!AC76</f>
        <v>9.2207379750228108E-2</v>
      </c>
      <c r="R22" s="171">
        <f>DIST_GAS_MOT!BB30</f>
        <v>1.4906318322877227E-2</v>
      </c>
      <c r="S22" s="171">
        <f>DIST_GAS_MOT!BC30</f>
        <v>0.26788851241400885</v>
      </c>
      <c r="T22" s="171">
        <f>DIST_GAS_MOT!BD30</f>
        <v>5.6294421104526272E-3</v>
      </c>
      <c r="U22" s="171">
        <f>DIST_GAS_MOT!BE30</f>
        <v>3.3334700333678292E-3</v>
      </c>
      <c r="V22" s="266">
        <f t="shared" si="7"/>
        <v>1.0249442785772089</v>
      </c>
      <c r="W22" s="171">
        <f>DIST_GAS_LEV!AD76</f>
        <v>0.62996039483779809</v>
      </c>
      <c r="X22" s="171">
        <f>DIST_GAS_LEV!AE76</f>
        <v>9.3015380354049076E-2</v>
      </c>
      <c r="Y22" s="171">
        <f>DIST_GAS_MOT!BF30</f>
        <v>1.5152511984804117E-2</v>
      </c>
      <c r="Z22" s="171">
        <f>DIST_GAS_MOT!BG30</f>
        <v>0.26856809629774653</v>
      </c>
      <c r="AA22" s="171">
        <f>DIST_GAS_MOT!BH30</f>
        <v>5.6437229696735917E-3</v>
      </c>
      <c r="AB22" s="171">
        <f>DIST_GAS_MOT!BI30</f>
        <v>3.341926433723282E-3</v>
      </c>
      <c r="AC22" s="171">
        <f t="shared" si="8"/>
        <v>1.0156820328777947</v>
      </c>
      <c r="AD22" s="171" t="e">
        <f>DIST_GAS_LEV!AF76</f>
        <v>#DIV/0!</v>
      </c>
      <c r="AE22" s="171" t="e">
        <f>DIST_GAS_LEV!AG76</f>
        <v>#DIV/0!</v>
      </c>
      <c r="AF22" s="171" t="e">
        <f>DIST_GAS_MOT!BJ30</f>
        <v>#DIV/0!</v>
      </c>
      <c r="AG22" s="171" t="e">
        <f>DIST_GAS_MOT!BK30</f>
        <v>#DIV/0!</v>
      </c>
      <c r="AH22" s="171" t="e">
        <f>DIST_GAS_MOT!BL30</f>
        <v>#DIV/0!</v>
      </c>
      <c r="AI22" s="171" t="e">
        <f>DIST_GAS_MOT!BM30</f>
        <v>#DIV/0!</v>
      </c>
      <c r="AJ22" s="171" t="e">
        <f t="shared" si="9"/>
        <v>#DIV/0!</v>
      </c>
      <c r="AL22" s="128" t="s">
        <v>29</v>
      </c>
      <c r="AM22" s="171">
        <f t="shared" si="10"/>
        <v>0.63321161902413203</v>
      </c>
      <c r="AN22" s="171">
        <f t="shared" si="11"/>
        <v>8.877210099015076E-2</v>
      </c>
      <c r="AO22" s="171">
        <f t="shared" si="12"/>
        <v>1.4623711887977666E-2</v>
      </c>
      <c r="AP22" s="171">
        <f t="shared" si="13"/>
        <v>0.25486537900718054</v>
      </c>
      <c r="AQ22" s="171">
        <f t="shared" si="14"/>
        <v>5.3557723851262191E-3</v>
      </c>
      <c r="AR22" s="171">
        <f t="shared" si="15"/>
        <v>3.1714167054329523E-3</v>
      </c>
      <c r="AS22" s="171">
        <f t="shared" si="16"/>
        <v>1</v>
      </c>
      <c r="AT22" s="171">
        <f t="shared" si="17"/>
        <v>0.6302683365828885</v>
      </c>
      <c r="AU22" s="171">
        <f t="shared" si="18"/>
        <v>8.8882785078730028E-2</v>
      </c>
      <c r="AV22" s="171">
        <f t="shared" si="19"/>
        <v>1.4565904653618036E-2</v>
      </c>
      <c r="AW22" s="171">
        <f t="shared" si="20"/>
        <v>0.25766220930782868</v>
      </c>
      <c r="AX22" s="171">
        <f t="shared" si="21"/>
        <v>5.4145453206596644E-3</v>
      </c>
      <c r="AY22" s="171">
        <f t="shared" si="22"/>
        <v>3.206219056275147E-3</v>
      </c>
      <c r="AZ22" s="171">
        <f t="shared" si="23"/>
        <v>1</v>
      </c>
      <c r="BA22" s="171">
        <f t="shared" si="24"/>
        <v>0.6253795151050151</v>
      </c>
      <c r="BB22" s="171">
        <f t="shared" si="25"/>
        <v>8.9963309886686812E-2</v>
      </c>
      <c r="BC22" s="171">
        <f t="shared" si="26"/>
        <v>1.4543540204516918E-2</v>
      </c>
      <c r="BD22" s="171">
        <f t="shared" si="27"/>
        <v>0.26136885488631845</v>
      </c>
      <c r="BE22" s="171">
        <f t="shared" si="28"/>
        <v>5.4924372262141101E-3</v>
      </c>
      <c r="BF22" s="171">
        <f t="shared" si="29"/>
        <v>3.2523426912487705E-3</v>
      </c>
      <c r="BG22" s="171">
        <f t="shared" si="44"/>
        <v>1</v>
      </c>
      <c r="BH22" s="171">
        <f t="shared" si="30"/>
        <v>0.62023386694445348</v>
      </c>
      <c r="BI22" s="171">
        <f t="shared" si="31"/>
        <v>9.1579231829574503E-2</v>
      </c>
      <c r="BJ22" s="171">
        <f t="shared" si="32"/>
        <v>1.4918558657448698E-2</v>
      </c>
      <c r="BK22" s="171">
        <f t="shared" si="33"/>
        <v>0.26442143072748459</v>
      </c>
      <c r="BL22" s="171">
        <f t="shared" si="34"/>
        <v>5.5565844299547982E-3</v>
      </c>
      <c r="BM22" s="171">
        <f t="shared" si="35"/>
        <v>3.2903274110839542E-3</v>
      </c>
      <c r="BN22" s="171">
        <f t="shared" si="36"/>
        <v>1</v>
      </c>
      <c r="BO22" s="171" t="e">
        <f t="shared" si="37"/>
        <v>#DIV/0!</v>
      </c>
      <c r="BP22" s="171" t="e">
        <f t="shared" si="38"/>
        <v>#DIV/0!</v>
      </c>
      <c r="BQ22" s="171" t="e">
        <f t="shared" si="39"/>
        <v>#DIV/0!</v>
      </c>
      <c r="BR22" s="171" t="e">
        <f t="shared" si="40"/>
        <v>#DIV/0!</v>
      </c>
      <c r="BS22" s="171" t="e">
        <f t="shared" si="41"/>
        <v>#DIV/0!</v>
      </c>
      <c r="BT22" s="171" t="e">
        <f t="shared" si="42"/>
        <v>#DIV/0!</v>
      </c>
      <c r="BU22" s="171" t="e">
        <f t="shared" si="43"/>
        <v>#DIV/0!</v>
      </c>
    </row>
    <row r="23" spans="1:73" ht="26.25" thickBot="1">
      <c r="A23" s="4" t="s">
        <v>64</v>
      </c>
      <c r="B23" s="171">
        <f>DIST_GAS_LEV!X77</f>
        <v>0.84576293904452104</v>
      </c>
      <c r="C23" s="171">
        <f>DIST_GAS_LEV!Y77</f>
        <v>0.12633577496621495</v>
      </c>
      <c r="D23" s="171">
        <f>DIST_GAS_MOT!AT31</f>
        <v>1.1734457519630913E-2</v>
      </c>
      <c r="E23" s="171">
        <f>DIST_GAS_MOT!AU31</f>
        <v>0.23558275974437792</v>
      </c>
      <c r="F23" s="171">
        <f>DIST_GAS_MOT!AV31</f>
        <v>4.9503235196342969E-3</v>
      </c>
      <c r="G23" s="171">
        <f>DIST_GAS_MOT!AW31</f>
        <v>2.9313063835548999E-3</v>
      </c>
      <c r="H23" s="171">
        <f t="shared" si="5"/>
        <v>1.227297561177934</v>
      </c>
      <c r="I23" s="171">
        <f>DIST_GAS_LEV!Z77</f>
        <v>0.81448775026469611</v>
      </c>
      <c r="J23" s="171">
        <f>DIST_GAS_LEV!AA77</f>
        <v>0.12548013078174799</v>
      </c>
      <c r="K23" s="171">
        <f>DIST_GAS_MOT!AX31</f>
        <v>1.1252125763143543E-2</v>
      </c>
      <c r="L23" s="171">
        <f>DIST_GAS_MOT!AY31</f>
        <v>0.22513017702259158</v>
      </c>
      <c r="M23" s="171">
        <f>DIST_GAS_MOT!AZ31</f>
        <v>4.7306819972333554E-3</v>
      </c>
      <c r="N23" s="171">
        <f>DIST_GAS_MOT!BA31</f>
        <v>2.8012468506951982E-3</v>
      </c>
      <c r="O23" s="171">
        <f t="shared" si="6"/>
        <v>1.1838821126801078</v>
      </c>
      <c r="P23" s="171">
        <f>DIST_GAS_LEV!AB77</f>
        <v>0.76345519824214847</v>
      </c>
      <c r="Q23" s="171">
        <f>DIST_GAS_LEV!AC77</f>
        <v>0.12145722114467558</v>
      </c>
      <c r="R23" s="171">
        <f>DIST_GAS_MOT!BB31</f>
        <v>1.0287039720281744E-2</v>
      </c>
      <c r="S23" s="171">
        <f>DIST_GAS_MOT!BC31</f>
        <v>0.20344302925256563</v>
      </c>
      <c r="T23" s="171">
        <f>DIST_GAS_MOT!BD31</f>
        <v>4.2749675807939478E-3</v>
      </c>
      <c r="U23" s="171">
        <f>DIST_GAS_MOT!BE31</f>
        <v>2.5313980663635664E-3</v>
      </c>
      <c r="V23" s="266">
        <f t="shared" si="7"/>
        <v>1.105448854006829</v>
      </c>
      <c r="W23" s="171">
        <f>DIST_GAS_LEV!AD77</f>
        <v>0.76121561948113725</v>
      </c>
      <c r="X23" s="171">
        <f>DIST_GAS_LEV!AE77</f>
        <v>0.12558888340073371</v>
      </c>
      <c r="Y23" s="171">
        <f>DIST_GAS_MOT!BF31</f>
        <v>1.0445187092567176E-2</v>
      </c>
      <c r="Z23" s="171">
        <f>DIST_GAS_MOT!BG31</f>
        <v>0.20254180970921729</v>
      </c>
      <c r="AA23" s="171">
        <f>DIST_GAS_MOT!BH31</f>
        <v>4.2560298578063725E-3</v>
      </c>
      <c r="AB23" s="171">
        <f>DIST_GAS_MOT!BI31</f>
        <v>2.520184151035821E-3</v>
      </c>
      <c r="AC23" s="171">
        <f t="shared" si="8"/>
        <v>1.1065677136924974</v>
      </c>
      <c r="AD23" s="171" t="e">
        <f>DIST_GAS_LEV!AF77</f>
        <v>#DIV/0!</v>
      </c>
      <c r="AE23" s="171" t="e">
        <f>DIST_GAS_LEV!AG77</f>
        <v>#DIV/0!</v>
      </c>
      <c r="AF23" s="171" t="e">
        <f>DIST_GAS_MOT!BJ31</f>
        <v>#DIV/0!</v>
      </c>
      <c r="AG23" s="171" t="e">
        <f>DIST_GAS_MOT!BK31</f>
        <v>#DIV/0!</v>
      </c>
      <c r="AH23" s="171" t="e">
        <f>DIST_GAS_MOT!BL31</f>
        <v>#DIV/0!</v>
      </c>
      <c r="AI23" s="171" t="e">
        <f>DIST_GAS_MOT!BM31</f>
        <v>#DIV/0!</v>
      </c>
      <c r="AJ23" s="171" t="e">
        <f t="shared" si="9"/>
        <v>#DIV/0!</v>
      </c>
      <c r="AL23" s="4" t="s">
        <v>64</v>
      </c>
      <c r="AM23" s="171">
        <f t="shared" si="10"/>
        <v>0.6891262280622279</v>
      </c>
      <c r="AN23" s="171">
        <f t="shared" si="11"/>
        <v>0.10293817812606144</v>
      </c>
      <c r="AO23" s="171">
        <f t="shared" si="12"/>
        <v>9.5612163592734851E-3</v>
      </c>
      <c r="AP23" s="171">
        <f t="shared" si="13"/>
        <v>0.19195243859058159</v>
      </c>
      <c r="AQ23" s="171">
        <f t="shared" si="14"/>
        <v>4.0335153236050452E-3</v>
      </c>
      <c r="AR23" s="171">
        <f t="shared" si="15"/>
        <v>2.3884235382505728E-3</v>
      </c>
      <c r="AS23" s="171">
        <f t="shared" si="16"/>
        <v>1</v>
      </c>
      <c r="AT23" s="171">
        <f t="shared" si="17"/>
        <v>0.68798045138196606</v>
      </c>
      <c r="AU23" s="171">
        <f t="shared" si="18"/>
        <v>0.10599039333205425</v>
      </c>
      <c r="AV23" s="171">
        <f t="shared" si="19"/>
        <v>9.5044309248584254E-3</v>
      </c>
      <c r="AW23" s="171">
        <f t="shared" si="20"/>
        <v>0.19016266451812094</v>
      </c>
      <c r="AX23" s="171">
        <f t="shared" si="21"/>
        <v>3.9959063039848586E-3</v>
      </c>
      <c r="AY23" s="171">
        <f t="shared" si="22"/>
        <v>2.3661535390155121E-3</v>
      </c>
      <c r="AZ23" s="171">
        <f t="shared" si="23"/>
        <v>1</v>
      </c>
      <c r="BA23" s="171">
        <f t="shared" si="24"/>
        <v>0.69062914622862515</v>
      </c>
      <c r="BB23" s="171">
        <f t="shared" si="25"/>
        <v>0.10987140717043546</v>
      </c>
      <c r="BC23" s="171">
        <f t="shared" si="26"/>
        <v>9.3057581841033722E-3</v>
      </c>
      <c r="BD23" s="171">
        <f t="shared" si="27"/>
        <v>0.18403658252949698</v>
      </c>
      <c r="BE23" s="171">
        <f t="shared" si="28"/>
        <v>3.8671780836343774E-3</v>
      </c>
      <c r="BF23" s="171">
        <f t="shared" si="29"/>
        <v>2.2899278037045471E-3</v>
      </c>
      <c r="BG23" s="171">
        <f t="shared" si="44"/>
        <v>0.99999999999999978</v>
      </c>
      <c r="BH23" s="171">
        <f t="shared" si="30"/>
        <v>0.68790694872258895</v>
      </c>
      <c r="BI23" s="171">
        <f t="shared" si="31"/>
        <v>0.11349407889523283</v>
      </c>
      <c r="BJ23" s="171">
        <f t="shared" si="32"/>
        <v>9.4392660867654542E-3</v>
      </c>
      <c r="BK23" s="171">
        <f t="shared" si="33"/>
        <v>0.18303607380099413</v>
      </c>
      <c r="BL23" s="171">
        <f t="shared" si="34"/>
        <v>3.8461540176375278E-3</v>
      </c>
      <c r="BM23" s="171">
        <f t="shared" si="35"/>
        <v>2.2774784767813599E-3</v>
      </c>
      <c r="BN23" s="171">
        <f t="shared" si="36"/>
        <v>1.0000000000000004</v>
      </c>
      <c r="BO23" s="171" t="e">
        <f t="shared" si="37"/>
        <v>#DIV/0!</v>
      </c>
      <c r="BP23" s="171" t="e">
        <f t="shared" si="38"/>
        <v>#DIV/0!</v>
      </c>
      <c r="BQ23" s="171" t="e">
        <f t="shared" si="39"/>
        <v>#DIV/0!</v>
      </c>
      <c r="BR23" s="171" t="e">
        <f t="shared" si="40"/>
        <v>#DIV/0!</v>
      </c>
      <c r="BS23" s="171" t="e">
        <f t="shared" si="41"/>
        <v>#DIV/0!</v>
      </c>
      <c r="BT23" s="171" t="e">
        <f t="shared" si="42"/>
        <v>#DIV/0!</v>
      </c>
      <c r="BU23" s="171" t="e">
        <f t="shared" si="43"/>
        <v>#DIV/0!</v>
      </c>
    </row>
    <row r="24" spans="1:73" ht="26.25" thickBot="1">
      <c r="A24" s="127" t="s">
        <v>31</v>
      </c>
      <c r="B24" s="171">
        <f>DIST_GAS_LEV!X78</f>
        <v>0.79421032059859831</v>
      </c>
      <c r="C24" s="171">
        <f>DIST_GAS_LEV!Y78</f>
        <v>0.13267792469125364</v>
      </c>
      <c r="D24" s="171">
        <f>DIST_GAS_MOT!AT32</f>
        <v>1.8353592815871088E-2</v>
      </c>
      <c r="E24" s="171">
        <f>DIST_GAS_MOT!AU32</f>
        <v>0.26323818523169257</v>
      </c>
      <c r="F24" s="171">
        <f>DIST_GAS_MOT!AV32</f>
        <v>5.5312595642101094E-3</v>
      </c>
      <c r="G24" s="171">
        <f>DIST_GAS_MOT!AW32</f>
        <v>3.2753790964381016E-3</v>
      </c>
      <c r="H24" s="171">
        <f t="shared" si="5"/>
        <v>1.2172866619980638</v>
      </c>
      <c r="I24" s="171">
        <f>DIST_GAS_LEV!Z78</f>
        <v>0.76189656222738211</v>
      </c>
      <c r="J24" s="171">
        <f>DIST_GAS_LEV!AA78</f>
        <v>0.12955623200483396</v>
      </c>
      <c r="K24" s="171">
        <f>DIST_GAS_MOT!AX32</f>
        <v>1.6517427777982086E-2</v>
      </c>
      <c r="L24" s="171">
        <f>DIST_GAS_MOT!AY32</f>
        <v>0.23627019081080924</v>
      </c>
      <c r="M24" s="171">
        <f>DIST_GAS_MOT!AZ32</f>
        <v>4.9645979420112471E-3</v>
      </c>
      <c r="N24" s="171">
        <f>DIST_GAS_MOT!BA32</f>
        <v>2.9398259352533922E-3</v>
      </c>
      <c r="O24" s="171">
        <f t="shared" si="6"/>
        <v>1.1521448366982721</v>
      </c>
      <c r="P24" s="171">
        <f>DIST_GAS_LEV!AB78</f>
        <v>0.74982001304810297</v>
      </c>
      <c r="Q24" s="171">
        <f>DIST_GAS_LEV!AC78</f>
        <v>0.13039857355466453</v>
      </c>
      <c r="R24" s="171">
        <f>DIST_GAS_MOT!BB32</f>
        <v>1.6872974197867766E-2</v>
      </c>
      <c r="S24" s="171">
        <f>DIST_GAS_MOT!BC32</f>
        <v>0.23480687970348688</v>
      </c>
      <c r="T24" s="171">
        <f>DIST_GAS_MOT!BD32</f>
        <v>4.933850299716617E-3</v>
      </c>
      <c r="U24" s="171">
        <f>DIST_GAS_MOT!BE32</f>
        <v>2.921618475692422E-3</v>
      </c>
      <c r="V24" s="266">
        <f t="shared" si="7"/>
        <v>1.1397539092795312</v>
      </c>
      <c r="W24" s="171">
        <f>DIST_GAS_LEV!AD78</f>
        <v>0.71314034109760505</v>
      </c>
      <c r="X24" s="171">
        <f>DIST_GAS_LEV!AE78</f>
        <v>0.12627315207445577</v>
      </c>
      <c r="Y24" s="171">
        <f>DIST_GAS_MOT!BF32</f>
        <v>1.6587520096621004E-2</v>
      </c>
      <c r="Z24" s="171">
        <f>DIST_GAS_MOT!BG32</f>
        <v>0.22658465192799518</v>
      </c>
      <c r="AA24" s="171">
        <f>DIST_GAS_MOT!BH32</f>
        <v>4.7610817631827795E-3</v>
      </c>
      <c r="AB24" s="171">
        <f>DIST_GAS_MOT!BI32</f>
        <v>2.8193122203963102E-3</v>
      </c>
      <c r="AC24" s="171">
        <f t="shared" si="8"/>
        <v>1.090166059180256</v>
      </c>
      <c r="AD24" s="171" t="e">
        <f>DIST_GAS_LEV!AF78</f>
        <v>#DIV/0!</v>
      </c>
      <c r="AE24" s="171" t="e">
        <f>DIST_GAS_LEV!AG78</f>
        <v>#DIV/0!</v>
      </c>
      <c r="AF24" s="171" t="e">
        <f>DIST_GAS_MOT!BJ32</f>
        <v>#DIV/0!</v>
      </c>
      <c r="AG24" s="171" t="e">
        <f>DIST_GAS_MOT!BK32</f>
        <v>#DIV/0!</v>
      </c>
      <c r="AH24" s="171" t="e">
        <f>DIST_GAS_MOT!BL32</f>
        <v>#DIV/0!</v>
      </c>
      <c r="AI24" s="171" t="e">
        <f>DIST_GAS_MOT!BM32</f>
        <v>#DIV/0!</v>
      </c>
      <c r="AJ24" s="171" t="e">
        <f t="shared" si="9"/>
        <v>#DIV/0!</v>
      </c>
      <c r="AL24" s="127" t="s">
        <v>31</v>
      </c>
      <c r="AM24" s="171">
        <f t="shared" si="10"/>
        <v>0.65244313060571557</v>
      </c>
      <c r="AN24" s="171">
        <f t="shared" si="11"/>
        <v>0.10899480692039709</v>
      </c>
      <c r="AO24" s="171">
        <f t="shared" si="12"/>
        <v>1.5077461528860719E-2</v>
      </c>
      <c r="AP24" s="171">
        <f t="shared" si="13"/>
        <v>0.21624995446808837</v>
      </c>
      <c r="AQ24" s="171">
        <f t="shared" si="14"/>
        <v>4.5439252206469242E-3</v>
      </c>
      <c r="AR24" s="171">
        <f t="shared" si="15"/>
        <v>2.6907212562913233E-3</v>
      </c>
      <c r="AS24" s="171">
        <f t="shared" si="16"/>
        <v>1</v>
      </c>
      <c r="AT24" s="171">
        <f t="shared" si="17"/>
        <v>0.66128540263285529</v>
      </c>
      <c r="AU24" s="171">
        <f t="shared" si="18"/>
        <v>0.11244786929402577</v>
      </c>
      <c r="AV24" s="171">
        <f t="shared" si="19"/>
        <v>1.4336242503430782E-2</v>
      </c>
      <c r="AW24" s="171">
        <f t="shared" si="20"/>
        <v>0.2050698690694949</v>
      </c>
      <c r="AX24" s="171">
        <f t="shared" si="21"/>
        <v>4.309005069395971E-3</v>
      </c>
      <c r="AY24" s="171">
        <f t="shared" si="22"/>
        <v>2.5516114307972937E-3</v>
      </c>
      <c r="AZ24" s="171">
        <f t="shared" si="23"/>
        <v>1</v>
      </c>
      <c r="BA24" s="171">
        <f t="shared" si="24"/>
        <v>0.65787886923948713</v>
      </c>
      <c r="BB24" s="171">
        <f t="shared" si="25"/>
        <v>0.11440941109567497</v>
      </c>
      <c r="BC24" s="171">
        <f t="shared" si="26"/>
        <v>1.4804050295851691E-2</v>
      </c>
      <c r="BD24" s="171">
        <f t="shared" si="27"/>
        <v>0.20601541946183324</v>
      </c>
      <c r="BE24" s="171">
        <f t="shared" si="28"/>
        <v>4.3288733291868553E-3</v>
      </c>
      <c r="BF24" s="171">
        <f t="shared" si="29"/>
        <v>2.5633765779660756E-3</v>
      </c>
      <c r="BG24" s="171">
        <f t="shared" si="44"/>
        <v>1</v>
      </c>
      <c r="BH24" s="171">
        <f t="shared" si="30"/>
        <v>0.65415753415938005</v>
      </c>
      <c r="BI24" s="171">
        <f t="shared" si="31"/>
        <v>0.11582928216404585</v>
      </c>
      <c r="BJ24" s="171">
        <f t="shared" si="32"/>
        <v>1.5215590282726187E-2</v>
      </c>
      <c r="BK24" s="171">
        <f t="shared" si="33"/>
        <v>0.20784416284100257</v>
      </c>
      <c r="BL24" s="171">
        <f t="shared" si="34"/>
        <v>4.3672995715559586E-3</v>
      </c>
      <c r="BM24" s="171">
        <f t="shared" si="35"/>
        <v>2.5861309812894701E-3</v>
      </c>
      <c r="BN24" s="171">
        <f t="shared" si="36"/>
        <v>1.0000000000000002</v>
      </c>
      <c r="BO24" s="171" t="e">
        <f t="shared" si="37"/>
        <v>#DIV/0!</v>
      </c>
      <c r="BP24" s="171" t="e">
        <f t="shared" si="38"/>
        <v>#DIV/0!</v>
      </c>
      <c r="BQ24" s="171" t="e">
        <f t="shared" si="39"/>
        <v>#DIV/0!</v>
      </c>
      <c r="BR24" s="171" t="e">
        <f t="shared" si="40"/>
        <v>#DIV/0!</v>
      </c>
      <c r="BS24" s="171" t="e">
        <f t="shared" si="41"/>
        <v>#DIV/0!</v>
      </c>
      <c r="BT24" s="171" t="e">
        <f t="shared" si="42"/>
        <v>#DIV/0!</v>
      </c>
      <c r="BU24" s="171" t="e">
        <f t="shared" si="43"/>
        <v>#DIV/0!</v>
      </c>
    </row>
    <row r="25" spans="1:73" ht="26.25" thickBot="1">
      <c r="A25" s="127" t="s">
        <v>32</v>
      </c>
      <c r="B25" s="171">
        <f>DIST_GAS_LEV!X79</f>
        <v>0.80067959524045329</v>
      </c>
      <c r="C25" s="171">
        <f>DIST_GAS_LEV!Y79</f>
        <v>0.12133747187865077</v>
      </c>
      <c r="D25" s="171">
        <f>DIST_GAS_MOT!AT33</f>
        <v>8.8023147527003642E-3</v>
      </c>
      <c r="E25" s="171">
        <f>DIST_GAS_MOT!AU33</f>
        <v>0.26250260895819955</v>
      </c>
      <c r="F25" s="171">
        <f>DIST_GAS_MOT!AV33</f>
        <v>5.5159602181946016E-3</v>
      </c>
      <c r="G25" s="171">
        <f>DIST_GAS_MOT!AW33</f>
        <v>3.2662634459430695E-3</v>
      </c>
      <c r="H25" s="171">
        <f t="shared" si="5"/>
        <v>1.2021042144941416</v>
      </c>
      <c r="I25" s="171">
        <f>DIST_GAS_LEV!Z79</f>
        <v>0.75401357523714496</v>
      </c>
      <c r="J25" s="171">
        <f>DIST_GAS_LEV!AA79</f>
        <v>0.11660024166616997</v>
      </c>
      <c r="K25" s="171">
        <f>DIST_GAS_MOT!AX33</f>
        <v>7.9318449952391849E-3</v>
      </c>
      <c r="L25" s="171">
        <f>DIST_GAS_MOT!AY33</f>
        <v>0.23800805470290026</v>
      </c>
      <c r="M25" s="171">
        <f>DIST_GAS_MOT!AZ33</f>
        <v>5.0012568124994791E-3</v>
      </c>
      <c r="N25" s="171">
        <f>DIST_GAS_MOT!BA33</f>
        <v>2.9614829810696965E-3</v>
      </c>
      <c r="O25" s="171">
        <f t="shared" si="6"/>
        <v>1.1245164563950236</v>
      </c>
      <c r="P25" s="171">
        <f>DIST_GAS_LEV!AB79</f>
        <v>0.76553137103073354</v>
      </c>
      <c r="Q25" s="171">
        <f>DIST_GAS_LEV!AC79</f>
        <v>0.12157416030405133</v>
      </c>
      <c r="R25" s="171">
        <f>DIST_GAS_MOT!BB33</f>
        <v>8.0579958280657046E-3</v>
      </c>
      <c r="S25" s="171">
        <f>DIST_GAS_MOT!BC33</f>
        <v>0.23684214155547734</v>
      </c>
      <c r="T25" s="171">
        <f>DIST_GAS_MOT!BD33</f>
        <v>4.9767575110846165E-3</v>
      </c>
      <c r="U25" s="171">
        <f>DIST_GAS_MOT!BE33</f>
        <v>2.9469757747996876E-3</v>
      </c>
      <c r="V25" s="266">
        <f t="shared" si="7"/>
        <v>1.1399294020042121</v>
      </c>
      <c r="W25" s="171">
        <f>DIST_GAS_LEV!AD79</f>
        <v>0.77036617558305576</v>
      </c>
      <c r="X25" s="171">
        <f>DIST_GAS_LEV!AE79</f>
        <v>0.12558666377936956</v>
      </c>
      <c r="Y25" s="171">
        <f>DIST_GAS_MOT!BF33</f>
        <v>8.2655808285827213E-3</v>
      </c>
      <c r="Z25" s="171">
        <f>DIST_GAS_MOT!BG33</f>
        <v>0.23799390488920774</v>
      </c>
      <c r="AA25" s="171">
        <f>DIST_GAS_MOT!BH33</f>
        <v>5.0009594828472814E-3</v>
      </c>
      <c r="AB25" s="171">
        <f>DIST_GAS_MOT!BI33</f>
        <v>2.9613069179844028E-3</v>
      </c>
      <c r="AC25" s="171">
        <f t="shared" si="8"/>
        <v>1.1501745914810475</v>
      </c>
      <c r="AD25" s="171" t="e">
        <f>DIST_GAS_LEV!AF79</f>
        <v>#DIV/0!</v>
      </c>
      <c r="AE25" s="171" t="e">
        <f>DIST_GAS_LEV!AG79</f>
        <v>#DIV/0!</v>
      </c>
      <c r="AF25" s="171" t="e">
        <f>DIST_GAS_MOT!BJ33</f>
        <v>#DIV/0!</v>
      </c>
      <c r="AG25" s="171" t="e">
        <f>DIST_GAS_MOT!BK33</f>
        <v>#DIV/0!</v>
      </c>
      <c r="AH25" s="171" t="e">
        <f>DIST_GAS_MOT!BL33</f>
        <v>#DIV/0!</v>
      </c>
      <c r="AI25" s="171" t="e">
        <f>DIST_GAS_MOT!BM33</f>
        <v>#DIV/0!</v>
      </c>
      <c r="AJ25" s="171" t="e">
        <f t="shared" si="9"/>
        <v>#DIV/0!</v>
      </c>
      <c r="AL25" s="127" t="s">
        <v>32</v>
      </c>
      <c r="AM25" s="171">
        <f t="shared" si="10"/>
        <v>0.66606504293588875</v>
      </c>
      <c r="AN25" s="171">
        <f t="shared" si="11"/>
        <v>0.10093756466007474</v>
      </c>
      <c r="AO25" s="171">
        <f t="shared" si="12"/>
        <v>7.3224223379039334E-3</v>
      </c>
      <c r="AP25" s="171">
        <f t="shared" si="13"/>
        <v>0.21836926099511553</v>
      </c>
      <c r="AQ25" s="171">
        <f t="shared" si="14"/>
        <v>4.5885873717827173E-3</v>
      </c>
      <c r="AR25" s="171">
        <f t="shared" si="15"/>
        <v>2.7171216992343283E-3</v>
      </c>
      <c r="AS25" s="171">
        <f t="shared" si="16"/>
        <v>1</v>
      </c>
      <c r="AT25" s="171">
        <f t="shared" si="17"/>
        <v>0.6705224907551488</v>
      </c>
      <c r="AU25" s="171">
        <f t="shared" si="18"/>
        <v>0.10368922660319901</v>
      </c>
      <c r="AV25" s="171">
        <f t="shared" si="19"/>
        <v>7.053560621662314E-3</v>
      </c>
      <c r="AW25" s="171">
        <f t="shared" si="20"/>
        <v>0.21165368754665165</v>
      </c>
      <c r="AX25" s="171">
        <f t="shared" si="21"/>
        <v>4.4474732086469551E-3</v>
      </c>
      <c r="AY25" s="171">
        <f t="shared" si="22"/>
        <v>2.633561264691157E-3</v>
      </c>
      <c r="AZ25" s="171">
        <f t="shared" si="23"/>
        <v>0.99999999999999978</v>
      </c>
      <c r="BA25" s="171">
        <f t="shared" si="24"/>
        <v>0.67156033495125589</v>
      </c>
      <c r="BB25" s="171">
        <f t="shared" si="25"/>
        <v>0.10665060493246414</v>
      </c>
      <c r="BC25" s="171">
        <f t="shared" si="26"/>
        <v>7.0688551535719839E-3</v>
      </c>
      <c r="BD25" s="171">
        <f t="shared" si="27"/>
        <v>0.20776913126292201</v>
      </c>
      <c r="BE25" s="171">
        <f t="shared" si="28"/>
        <v>4.3658471325807831E-3</v>
      </c>
      <c r="BF25" s="171">
        <f t="shared" si="29"/>
        <v>2.5852265672052545E-3</v>
      </c>
      <c r="BG25" s="171">
        <f t="shared" si="44"/>
        <v>1</v>
      </c>
      <c r="BH25" s="171">
        <f t="shared" si="30"/>
        <v>0.66978194553148396</v>
      </c>
      <c r="BI25" s="171">
        <f t="shared" si="31"/>
        <v>0.10918921762795607</v>
      </c>
      <c r="BJ25" s="171">
        <f t="shared" si="32"/>
        <v>7.1863705647847477E-3</v>
      </c>
      <c r="BK25" s="171">
        <f t="shared" si="33"/>
        <v>0.20691980735094284</v>
      </c>
      <c r="BL25" s="171">
        <f t="shared" si="34"/>
        <v>4.3480003122027639E-3</v>
      </c>
      <c r="BM25" s="171">
        <f t="shared" si="35"/>
        <v>2.574658612629593E-3</v>
      </c>
      <c r="BN25" s="171">
        <f t="shared" si="36"/>
        <v>1</v>
      </c>
      <c r="BO25" s="171" t="e">
        <f t="shared" si="37"/>
        <v>#DIV/0!</v>
      </c>
      <c r="BP25" s="171" t="e">
        <f t="shared" si="38"/>
        <v>#DIV/0!</v>
      </c>
      <c r="BQ25" s="171" t="e">
        <f t="shared" si="39"/>
        <v>#DIV/0!</v>
      </c>
      <c r="BR25" s="171" t="e">
        <f t="shared" si="40"/>
        <v>#DIV/0!</v>
      </c>
      <c r="BS25" s="171" t="e">
        <f t="shared" si="41"/>
        <v>#DIV/0!</v>
      </c>
      <c r="BT25" s="171" t="e">
        <f t="shared" si="42"/>
        <v>#DIV/0!</v>
      </c>
      <c r="BU25" s="171" t="e">
        <f t="shared" si="43"/>
        <v>#DIV/0!</v>
      </c>
    </row>
    <row r="26" spans="1:73" ht="26.25" thickBot="1">
      <c r="A26" s="127" t="s">
        <v>33</v>
      </c>
      <c r="B26" s="171">
        <f>DIST_GAS_LEV!X80</f>
        <v>0.75681060045328707</v>
      </c>
      <c r="C26" s="171">
        <f>DIST_GAS_LEV!Y80</f>
        <v>0.13151277542947781</v>
      </c>
      <c r="D26" s="171">
        <f>DIST_GAS_MOT!AT34</f>
        <v>1.0439075275406481E-2</v>
      </c>
      <c r="E26" s="171">
        <f>DIST_GAS_MOT!AU34</f>
        <v>0.16026861228763556</v>
      </c>
      <c r="F26" s="171">
        <f>DIST_GAS_MOT!AV34</f>
        <v>3.367742177217112E-3</v>
      </c>
      <c r="G26" s="171">
        <f>DIST_GAS_MOT!AW34</f>
        <v>1.9941358805447549E-3</v>
      </c>
      <c r="H26" s="171">
        <f t="shared" si="5"/>
        <v>1.0643929415035687</v>
      </c>
      <c r="I26" s="171">
        <f>DIST_GAS_LEV!Z80</f>
        <v>0.74766473717010773</v>
      </c>
      <c r="J26" s="171">
        <f>DIST_GAS_LEV!AA80</f>
        <v>0.13126524728877428</v>
      </c>
      <c r="K26" s="171">
        <f>DIST_GAS_MOT!AX34</f>
        <v>1.0084616107302307E-2</v>
      </c>
      <c r="L26" s="171">
        <f>DIST_GAS_MOT!AY34</f>
        <v>0.15740743583080741</v>
      </c>
      <c r="M26" s="171">
        <f>DIST_GAS_MOT!AZ34</f>
        <v>3.3076199580714971E-3</v>
      </c>
      <c r="N26" s="171">
        <f>DIST_GAS_MOT!BA34</f>
        <v>1.9585358054477605E-3</v>
      </c>
      <c r="O26" s="171">
        <f t="shared" si="6"/>
        <v>1.051688192160511</v>
      </c>
      <c r="P26" s="171">
        <f>DIST_GAS_LEV!AB80</f>
        <v>0.69939345808096942</v>
      </c>
      <c r="Q26" s="171">
        <f>DIST_GAS_LEV!AC80</f>
        <v>0.12562356790390827</v>
      </c>
      <c r="R26" s="171">
        <f>DIST_GAS_MOT!BB34</f>
        <v>9.0528160488291352E-3</v>
      </c>
      <c r="S26" s="171">
        <f>DIST_GAS_MOT!BC34</f>
        <v>0.14442017983621108</v>
      </c>
      <c r="T26" s="171">
        <f>DIST_GAS_MOT!BD34</f>
        <v>3.0347173032408596E-3</v>
      </c>
      <c r="U26" s="171">
        <f>DIST_GAS_MOT!BE34</f>
        <v>1.7969423855074631E-3</v>
      </c>
      <c r="V26" s="266">
        <f t="shared" si="7"/>
        <v>0.98332168155866628</v>
      </c>
      <c r="W26" s="171">
        <f>DIST_GAS_LEV!AD80</f>
        <v>0.69202392803440993</v>
      </c>
      <c r="X26" s="171">
        <f>DIST_GAS_LEV!AE80</f>
        <v>0.13168081635473355</v>
      </c>
      <c r="Y26" s="171">
        <f>DIST_GAS_MOT!BF34</f>
        <v>9.0399452637119921E-3</v>
      </c>
      <c r="Z26" s="171">
        <f>DIST_GAS_MOT!BG34</f>
        <v>0.14771663962929021</v>
      </c>
      <c r="AA26" s="171">
        <f>DIST_GAS_MOT!BH34</f>
        <v>3.1039861795491459E-3</v>
      </c>
      <c r="AB26" s="171">
        <f>DIST_GAS_MOT!BI34</f>
        <v>1.8379584563295815E-3</v>
      </c>
      <c r="AC26" s="171">
        <f t="shared" si="8"/>
        <v>0.98540327391802429</v>
      </c>
      <c r="AD26" s="171" t="e">
        <f>DIST_GAS_LEV!AF80</f>
        <v>#DIV/0!</v>
      </c>
      <c r="AE26" s="171" t="e">
        <f>DIST_GAS_LEV!AG80</f>
        <v>#DIV/0!</v>
      </c>
      <c r="AF26" s="171" t="e">
        <f>DIST_GAS_MOT!BJ34</f>
        <v>#DIV/0!</v>
      </c>
      <c r="AG26" s="171" t="e">
        <f>DIST_GAS_MOT!BK34</f>
        <v>#DIV/0!</v>
      </c>
      <c r="AH26" s="171" t="e">
        <f>DIST_GAS_MOT!BL34</f>
        <v>#DIV/0!</v>
      </c>
      <c r="AI26" s="171" t="e">
        <f>DIST_GAS_MOT!BM34</f>
        <v>#DIV/0!</v>
      </c>
      <c r="AJ26" s="171" t="e">
        <f t="shared" si="9"/>
        <v>#DIV/0!</v>
      </c>
      <c r="AL26" s="127" t="s">
        <v>33</v>
      </c>
      <c r="AM26" s="171">
        <f t="shared" si="10"/>
        <v>0.71102557236447972</v>
      </c>
      <c r="AN26" s="171">
        <f t="shared" si="11"/>
        <v>0.12355660236125014</v>
      </c>
      <c r="AO26" s="171">
        <f t="shared" si="12"/>
        <v>9.8075389908732144E-3</v>
      </c>
      <c r="AP26" s="171">
        <f t="shared" si="13"/>
        <v>0.15057278758466683</v>
      </c>
      <c r="AQ26" s="171">
        <f t="shared" si="14"/>
        <v>3.1640027342344237E-3</v>
      </c>
      <c r="AR26" s="171">
        <f t="shared" si="15"/>
        <v>1.8734959644958046E-3</v>
      </c>
      <c r="AS26" s="171">
        <f t="shared" si="16"/>
        <v>1</v>
      </c>
      <c r="AT26" s="171">
        <f t="shared" si="17"/>
        <v>0.71091863799874011</v>
      </c>
      <c r="AU26" s="171">
        <f t="shared" si="18"/>
        <v>0.12481384527015807</v>
      </c>
      <c r="AV26" s="171">
        <f t="shared" si="19"/>
        <v>9.5889791123215072E-3</v>
      </c>
      <c r="AW26" s="171">
        <f t="shared" si="20"/>
        <v>0.14967120198187367</v>
      </c>
      <c r="AX26" s="171">
        <f t="shared" si="21"/>
        <v>3.1450576156765299E-3</v>
      </c>
      <c r="AY26" s="171">
        <f t="shared" si="22"/>
        <v>1.8622780212301218E-3</v>
      </c>
      <c r="AZ26" s="171">
        <f t="shared" si="23"/>
        <v>0.99999999999999989</v>
      </c>
      <c r="BA26" s="171">
        <f t="shared" si="24"/>
        <v>0.71125601234822633</v>
      </c>
      <c r="BB26" s="171">
        <f t="shared" si="25"/>
        <v>0.12775429471338612</v>
      </c>
      <c r="BC26" s="171">
        <f t="shared" si="26"/>
        <v>9.2063626975858893E-3</v>
      </c>
      <c r="BD26" s="171">
        <f t="shared" si="27"/>
        <v>0.14686971979229646</v>
      </c>
      <c r="BE26" s="171">
        <f t="shared" si="28"/>
        <v>3.0861897588086531E-3</v>
      </c>
      <c r="BF26" s="171">
        <f t="shared" si="29"/>
        <v>1.8274206896965032E-3</v>
      </c>
      <c r="BG26" s="171">
        <f t="shared" si="44"/>
        <v>1</v>
      </c>
      <c r="BH26" s="171">
        <f t="shared" si="30"/>
        <v>0.70227484153049347</v>
      </c>
      <c r="BI26" s="171">
        <f t="shared" si="31"/>
        <v>0.13363139725643744</v>
      </c>
      <c r="BJ26" s="171">
        <f t="shared" si="32"/>
        <v>9.173853490224983E-3</v>
      </c>
      <c r="BK26" s="171">
        <f t="shared" si="33"/>
        <v>0.14990475832494418</v>
      </c>
      <c r="BL26" s="171">
        <f t="shared" si="34"/>
        <v>3.149965361092728E-3</v>
      </c>
      <c r="BM26" s="171">
        <f t="shared" si="35"/>
        <v>1.8651840368073319E-3</v>
      </c>
      <c r="BN26" s="171">
        <f t="shared" si="36"/>
        <v>1.0000000000000002</v>
      </c>
      <c r="BO26" s="171" t="e">
        <f t="shared" si="37"/>
        <v>#DIV/0!</v>
      </c>
      <c r="BP26" s="171" t="e">
        <f t="shared" si="38"/>
        <v>#DIV/0!</v>
      </c>
      <c r="BQ26" s="171" t="e">
        <f t="shared" si="39"/>
        <v>#DIV/0!</v>
      </c>
      <c r="BR26" s="171" t="e">
        <f t="shared" si="40"/>
        <v>#DIV/0!</v>
      </c>
      <c r="BS26" s="171" t="e">
        <f t="shared" si="41"/>
        <v>#DIV/0!</v>
      </c>
      <c r="BT26" s="171" t="e">
        <f t="shared" si="42"/>
        <v>#DIV/0!</v>
      </c>
      <c r="BU26" s="171" t="e">
        <f t="shared" si="43"/>
        <v>#DIV/0!</v>
      </c>
    </row>
    <row r="27" spans="1:73" ht="26.25" thickBot="1">
      <c r="A27" s="128" t="s">
        <v>34</v>
      </c>
      <c r="B27" s="171">
        <f>DIST_GAS_LEV!X81</f>
        <v>0.8916915515759265</v>
      </c>
      <c r="C27" s="171">
        <f>DIST_GAS_LEV!Y81</f>
        <v>0.12683139960993067</v>
      </c>
      <c r="D27" s="171">
        <f>DIST_GAS_MOT!AT35</f>
        <v>1.2862891602846488E-2</v>
      </c>
      <c r="E27" s="171">
        <f>DIST_GAS_MOT!AU35</f>
        <v>0.2397886939399578</v>
      </c>
      <c r="F27" s="171">
        <f>DIST_GAS_MOT!AV35</f>
        <v>5.0387318999301437E-3</v>
      </c>
      <c r="G27" s="171">
        <f>DIST_GAS_MOT!AW35</f>
        <v>2.9836560742168799E-3</v>
      </c>
      <c r="H27" s="171">
        <f t="shared" si="5"/>
        <v>1.2791969247028085</v>
      </c>
      <c r="I27" s="171">
        <f>DIST_GAS_LEV!Z81</f>
        <v>0.86569096698203196</v>
      </c>
      <c r="J27" s="171">
        <f>DIST_GAS_LEV!AA81</f>
        <v>0.12806955652551172</v>
      </c>
      <c r="K27" s="171">
        <f>DIST_GAS_MOT!AX35</f>
        <v>1.2735575048747557E-2</v>
      </c>
      <c r="L27" s="171">
        <f>DIST_GAS_MOT!AY35</f>
        <v>0.23481016981067351</v>
      </c>
      <c r="M27" s="171">
        <f>DIST_GAS_MOT!AZ35</f>
        <v>4.9341170912307894E-3</v>
      </c>
      <c r="N27" s="171">
        <f>DIST_GAS_MOT!BA35</f>
        <v>2.9217090177693656E-3</v>
      </c>
      <c r="O27" s="171">
        <f t="shared" si="6"/>
        <v>1.2491620944759647</v>
      </c>
      <c r="P27" s="171">
        <f>DIST_GAS_LEV!AB81</f>
        <v>0.77902431388449311</v>
      </c>
      <c r="Q27" s="171">
        <f>DIST_GAS_LEV!AC81</f>
        <v>0.11972618673068168</v>
      </c>
      <c r="R27" s="171">
        <f>DIST_GAS_MOT!BB35</f>
        <v>1.1052123172893877E-2</v>
      </c>
      <c r="S27" s="171">
        <f>DIST_GAS_MOT!BC35</f>
        <v>0.20082138180752396</v>
      </c>
      <c r="T27" s="171">
        <f>DIST_GAS_MOT!BD35</f>
        <v>4.2199033076805292E-3</v>
      </c>
      <c r="U27" s="171">
        <f>DIST_GAS_MOT!BE35</f>
        <v>2.4987914393189829E-3</v>
      </c>
      <c r="V27" s="266">
        <f t="shared" si="7"/>
        <v>1.1173427003425922</v>
      </c>
      <c r="W27" s="171">
        <f>DIST_GAS_LEV!AD81</f>
        <v>0.77767726388578817</v>
      </c>
      <c r="X27" s="171">
        <f>DIST_GAS_LEV!AE81</f>
        <v>0.12407483871399463</v>
      </c>
      <c r="Y27" s="171">
        <f>DIST_GAS_MOT!BF35</f>
        <v>1.1235396281952286E-2</v>
      </c>
      <c r="Z27" s="171">
        <f>DIST_GAS_MOT!BG35</f>
        <v>0.19842809830964858</v>
      </c>
      <c r="AA27" s="171">
        <f>DIST_GAS_MOT!BH35</f>
        <v>4.1696127217976907E-3</v>
      </c>
      <c r="AB27" s="171">
        <f>DIST_GAS_MOT!BI35</f>
        <v>2.4690121585345978E-3</v>
      </c>
      <c r="AC27" s="171">
        <f t="shared" si="8"/>
        <v>1.1180542220717158</v>
      </c>
      <c r="AD27" s="171" t="e">
        <f>DIST_GAS_LEV!AF81</f>
        <v>#DIV/0!</v>
      </c>
      <c r="AE27" s="171" t="e">
        <f>DIST_GAS_LEV!AG81</f>
        <v>#DIV/0!</v>
      </c>
      <c r="AF27" s="171" t="e">
        <f>DIST_GAS_MOT!BJ35</f>
        <v>#DIV/0!</v>
      </c>
      <c r="AG27" s="171" t="e">
        <f>DIST_GAS_MOT!BK35</f>
        <v>#DIV/0!</v>
      </c>
      <c r="AH27" s="171" t="e">
        <f>DIST_GAS_MOT!BL35</f>
        <v>#DIV/0!</v>
      </c>
      <c r="AI27" s="171" t="e">
        <f>DIST_GAS_MOT!BM35</f>
        <v>#DIV/0!</v>
      </c>
      <c r="AJ27" s="171" t="e">
        <f t="shared" si="9"/>
        <v>#DIV/0!</v>
      </c>
      <c r="AL27" s="128" t="s">
        <v>34</v>
      </c>
      <c r="AM27" s="171">
        <f t="shared" si="10"/>
        <v>0.69707136904123668</v>
      </c>
      <c r="AN27" s="171">
        <f t="shared" si="11"/>
        <v>9.9149237432224896E-2</v>
      </c>
      <c r="AO27" s="171">
        <f t="shared" si="12"/>
        <v>1.0055442875486023E-2</v>
      </c>
      <c r="AP27" s="171">
        <f t="shared" si="13"/>
        <v>0.18745252533785375</v>
      </c>
      <c r="AQ27" s="171">
        <f t="shared" si="14"/>
        <v>3.9389806234100943E-3</v>
      </c>
      <c r="AR27" s="171">
        <f t="shared" si="15"/>
        <v>2.332444689788527E-3</v>
      </c>
      <c r="AS27" s="171">
        <f t="shared" si="16"/>
        <v>1</v>
      </c>
      <c r="AT27" s="171">
        <f t="shared" si="17"/>
        <v>0.69301732001818184</v>
      </c>
      <c r="AU27" s="171">
        <f t="shared" si="18"/>
        <v>0.10252436980905837</v>
      </c>
      <c r="AV27" s="171">
        <f t="shared" si="19"/>
        <v>1.019529419365727E-2</v>
      </c>
      <c r="AW27" s="171">
        <f t="shared" si="20"/>
        <v>0.18797413950443204</v>
      </c>
      <c r="AX27" s="171">
        <f t="shared" si="21"/>
        <v>3.9499414151697408E-3</v>
      </c>
      <c r="AY27" s="171">
        <f t="shared" si="22"/>
        <v>2.3389350595008651E-3</v>
      </c>
      <c r="AZ27" s="171">
        <f t="shared" si="23"/>
        <v>1</v>
      </c>
      <c r="BA27" s="171">
        <f t="shared" si="24"/>
        <v>0.69721161971670276</v>
      </c>
      <c r="BB27" s="171">
        <f t="shared" si="25"/>
        <v>0.10715261011144749</v>
      </c>
      <c r="BC27" s="171">
        <f t="shared" si="26"/>
        <v>9.8914354293496067E-3</v>
      </c>
      <c r="BD27" s="171">
        <f t="shared" si="27"/>
        <v>0.17973123352929182</v>
      </c>
      <c r="BE27" s="171">
        <f t="shared" si="28"/>
        <v>3.7767314418276957E-3</v>
      </c>
      <c r="BF27" s="171">
        <f t="shared" si="29"/>
        <v>2.2363697713806336E-3</v>
      </c>
      <c r="BG27" s="171">
        <f t="shared" si="44"/>
        <v>1</v>
      </c>
      <c r="BH27" s="171">
        <f t="shared" si="30"/>
        <v>0.69556310287418721</v>
      </c>
      <c r="BI27" s="171">
        <f t="shared" si="31"/>
        <v>0.11097390114415762</v>
      </c>
      <c r="BJ27" s="171">
        <f t="shared" si="32"/>
        <v>1.0049062076017643E-2</v>
      </c>
      <c r="BK27" s="171">
        <f t="shared" si="33"/>
        <v>0.17747627475702224</v>
      </c>
      <c r="BL27" s="171">
        <f t="shared" si="34"/>
        <v>3.7293475034435651E-3</v>
      </c>
      <c r="BM27" s="171">
        <f t="shared" si="35"/>
        <v>2.2083116451719165E-3</v>
      </c>
      <c r="BN27" s="171">
        <f t="shared" si="36"/>
        <v>1.0000000000000002</v>
      </c>
      <c r="BO27" s="171" t="e">
        <f t="shared" si="37"/>
        <v>#DIV/0!</v>
      </c>
      <c r="BP27" s="171" t="e">
        <f t="shared" si="38"/>
        <v>#DIV/0!</v>
      </c>
      <c r="BQ27" s="171" t="e">
        <f t="shared" si="39"/>
        <v>#DIV/0!</v>
      </c>
      <c r="BR27" s="171" t="e">
        <f t="shared" si="40"/>
        <v>#DIV/0!</v>
      </c>
      <c r="BS27" s="171" t="e">
        <f t="shared" si="41"/>
        <v>#DIV/0!</v>
      </c>
      <c r="BT27" s="171" t="e">
        <f t="shared" si="42"/>
        <v>#DIV/0!</v>
      </c>
      <c r="BU27" s="171" t="e">
        <f t="shared" si="43"/>
        <v>#DIV/0!</v>
      </c>
    </row>
    <row r="28" spans="1:73" ht="26.25" thickBot="1">
      <c r="A28" s="4" t="s">
        <v>69</v>
      </c>
      <c r="B28" s="171">
        <f>DIST_GAS_LEV!X82</f>
        <v>0.91661661712787601</v>
      </c>
      <c r="C28" s="171">
        <f>DIST_GAS_LEV!Y82</f>
        <v>0.11897414020325213</v>
      </c>
      <c r="D28" s="171">
        <f>DIST_GAS_MOT!AT36</f>
        <v>1.5860230124364126E-2</v>
      </c>
      <c r="E28" s="171">
        <f>DIST_GAS_MOT!AU36</f>
        <v>0.21781511752241381</v>
      </c>
      <c r="F28" s="171">
        <f>DIST_GAS_MOT!AV36</f>
        <v>4.57697099062111E-3</v>
      </c>
      <c r="G28" s="171">
        <f>DIST_GAS_MOT!AW36</f>
        <v>2.7102882469473475E-3</v>
      </c>
      <c r="H28" s="171">
        <f t="shared" si="5"/>
        <v>1.2765533642154747</v>
      </c>
      <c r="I28" s="171">
        <f>DIST_GAS_LEV!Z82</f>
        <v>0.8532610563032581</v>
      </c>
      <c r="J28" s="171">
        <f>DIST_GAS_LEV!AA82</f>
        <v>0.11442947855766887</v>
      </c>
      <c r="K28" s="171">
        <f>DIST_GAS_MOT!AX36</f>
        <v>1.4728082095839333E-2</v>
      </c>
      <c r="L28" s="171">
        <f>DIST_GAS_MOT!AY36</f>
        <v>0.19823677716716279</v>
      </c>
      <c r="M28" s="171">
        <f>DIST_GAS_MOT!AZ36</f>
        <v>4.1655694957935599E-3</v>
      </c>
      <c r="N28" s="171">
        <f>DIST_GAS_MOT!BA36</f>
        <v>2.4666737491456118E-3</v>
      </c>
      <c r="O28" s="171">
        <f t="shared" si="6"/>
        <v>1.1872876373688683</v>
      </c>
      <c r="P28" s="171">
        <f>DIST_GAS_LEV!AB82</f>
        <v>0.83214995645827361</v>
      </c>
      <c r="Q28" s="171">
        <f>DIST_GAS_LEV!AC82</f>
        <v>0.11559166253294395</v>
      </c>
      <c r="R28" s="171">
        <f>DIST_GAS_MOT!BB36</f>
        <v>1.3978701901967146E-2</v>
      </c>
      <c r="S28" s="171">
        <f>DIST_GAS_MOT!BC36</f>
        <v>0.18395446449025682</v>
      </c>
      <c r="T28" s="171">
        <f>DIST_GAS_MOT!BD36</f>
        <v>3.8654539581715898E-3</v>
      </c>
      <c r="U28" s="171">
        <f>DIST_GAS_MOT!BE36</f>
        <v>2.2889580844900085E-3</v>
      </c>
      <c r="V28" s="266">
        <f t="shared" si="7"/>
        <v>1.151829197426103</v>
      </c>
      <c r="W28" s="171">
        <f>DIST_GAS_LEV!AD82</f>
        <v>0.80158613627838116</v>
      </c>
      <c r="X28" s="171">
        <f>DIST_GAS_LEV!AE82</f>
        <v>0.11586108268481518</v>
      </c>
      <c r="Y28" s="171">
        <f>DIST_GAS_MOT!BF36</f>
        <v>1.356966147632281E-2</v>
      </c>
      <c r="Z28" s="171">
        <f>DIST_GAS_MOT!BG36</f>
        <v>0.17474886726590946</v>
      </c>
      <c r="AA28" s="171">
        <f>DIST_GAS_MOT!BH36</f>
        <v>3.6720158700700341E-3</v>
      </c>
      <c r="AB28" s="171">
        <f>DIST_GAS_MOT!BI36</f>
        <v>2.1744121957604826E-3</v>
      </c>
      <c r="AC28" s="171">
        <f t="shared" si="8"/>
        <v>1.1116121757712591</v>
      </c>
      <c r="AD28" s="171" t="e">
        <f>DIST_GAS_LEV!AF82</f>
        <v>#DIV/0!</v>
      </c>
      <c r="AE28" s="171" t="e">
        <f>DIST_GAS_LEV!AG82</f>
        <v>#DIV/0!</v>
      </c>
      <c r="AF28" s="171" t="e">
        <f>DIST_GAS_MOT!BJ36</f>
        <v>#DIV/0!</v>
      </c>
      <c r="AG28" s="171" t="e">
        <f>DIST_GAS_MOT!BK36</f>
        <v>#DIV/0!</v>
      </c>
      <c r="AH28" s="171" t="e">
        <f>DIST_GAS_MOT!BL36</f>
        <v>#DIV/0!</v>
      </c>
      <c r="AI28" s="171" t="e">
        <f>DIST_GAS_MOT!BM36</f>
        <v>#DIV/0!</v>
      </c>
      <c r="AJ28" s="171" t="e">
        <f t="shared" si="9"/>
        <v>#DIV/0!</v>
      </c>
      <c r="AL28" s="4" t="s">
        <v>69</v>
      </c>
      <c r="AM28" s="171">
        <f t="shared" si="10"/>
        <v>0.71804018760406207</v>
      </c>
      <c r="AN28" s="171">
        <f t="shared" si="11"/>
        <v>9.3199503865919076E-2</v>
      </c>
      <c r="AO28" s="171">
        <f t="shared" si="12"/>
        <v>1.2424259391702963E-2</v>
      </c>
      <c r="AP28" s="171">
        <f t="shared" si="13"/>
        <v>0.17062750655651235</v>
      </c>
      <c r="AQ28" s="171">
        <f t="shared" si="14"/>
        <v>3.5854129713049302E-3</v>
      </c>
      <c r="AR28" s="171">
        <f t="shared" si="15"/>
        <v>2.1231296104984973E-3</v>
      </c>
      <c r="AS28" s="171">
        <f t="shared" si="16"/>
        <v>0.99999999999999989</v>
      </c>
      <c r="AT28" s="171">
        <f t="shared" si="17"/>
        <v>0.71866414628401087</v>
      </c>
      <c r="AU28" s="171">
        <f t="shared" si="18"/>
        <v>9.6378901755647395E-2</v>
      </c>
      <c r="AV28" s="171">
        <f t="shared" si="19"/>
        <v>1.2404813822940185E-2</v>
      </c>
      <c r="AW28" s="171">
        <f t="shared" si="20"/>
        <v>0.16696609223226863</v>
      </c>
      <c r="AX28" s="171">
        <f t="shared" si="21"/>
        <v>3.5084754230447651E-3</v>
      </c>
      <c r="AY28" s="171">
        <f t="shared" si="22"/>
        <v>2.0775704820880417E-3</v>
      </c>
      <c r="AZ28" s="171">
        <f t="shared" si="23"/>
        <v>0.99999999999999989</v>
      </c>
      <c r="BA28" s="171">
        <f t="shared" si="24"/>
        <v>0.72245950902947242</v>
      </c>
      <c r="BB28" s="171">
        <f t="shared" si="25"/>
        <v>0.10035486406426146</v>
      </c>
      <c r="BC28" s="171">
        <f t="shared" si="26"/>
        <v>1.2136089216356201E-2</v>
      </c>
      <c r="BD28" s="171">
        <f t="shared" si="27"/>
        <v>0.15970637391492121</v>
      </c>
      <c r="BE28" s="171">
        <f t="shared" si="28"/>
        <v>3.3559263533251274E-3</v>
      </c>
      <c r="BF28" s="171">
        <f t="shared" si="29"/>
        <v>1.987237421663692E-3</v>
      </c>
      <c r="BG28" s="171">
        <f t="shared" si="44"/>
        <v>1</v>
      </c>
      <c r="BH28" s="171">
        <f t="shared" si="30"/>
        <v>0.72110233564347603</v>
      </c>
      <c r="BI28" s="171">
        <f t="shared" si="31"/>
        <v>0.10422797195832118</v>
      </c>
      <c r="BJ28" s="171">
        <f t="shared" si="32"/>
        <v>1.2207190396154038E-2</v>
      </c>
      <c r="BK28" s="171">
        <f t="shared" si="33"/>
        <v>0.15720308851840809</v>
      </c>
      <c r="BL28" s="171">
        <f t="shared" si="34"/>
        <v>3.3033246217569674E-3</v>
      </c>
      <c r="BM28" s="171">
        <f t="shared" si="35"/>
        <v>1.9560888618837149E-3</v>
      </c>
      <c r="BN28" s="171">
        <f t="shared" si="36"/>
        <v>1.0000000000000002</v>
      </c>
      <c r="BO28" s="171" t="e">
        <f t="shared" si="37"/>
        <v>#DIV/0!</v>
      </c>
      <c r="BP28" s="171" t="e">
        <f t="shared" si="38"/>
        <v>#DIV/0!</v>
      </c>
      <c r="BQ28" s="171" t="e">
        <f t="shared" si="39"/>
        <v>#DIV/0!</v>
      </c>
      <c r="BR28" s="171" t="e">
        <f t="shared" si="40"/>
        <v>#DIV/0!</v>
      </c>
      <c r="BS28" s="171" t="e">
        <f t="shared" si="41"/>
        <v>#DIV/0!</v>
      </c>
      <c r="BT28" s="171" t="e">
        <f t="shared" si="42"/>
        <v>#DIV/0!</v>
      </c>
      <c r="BU28" s="171" t="e">
        <f t="shared" si="43"/>
        <v>#DIV/0!</v>
      </c>
    </row>
    <row r="29" spans="1:73" ht="15.75" thickBot="1">
      <c r="A29" s="127" t="s">
        <v>36</v>
      </c>
      <c r="B29" s="171">
        <f>DIST_GAS_LEV!X83</f>
        <v>1.0344343422917173</v>
      </c>
      <c r="C29" s="171">
        <f>DIST_GAS_LEV!Y83</f>
        <v>0.14462281986666081</v>
      </c>
      <c r="D29" s="171">
        <f>DIST_GAS_MOT!AT37</f>
        <v>2.1052829075777178E-2</v>
      </c>
      <c r="E29" s="171">
        <f>DIST_GAS_MOT!AU37</f>
        <v>0.26144122427700178</v>
      </c>
      <c r="F29" s="171">
        <f>DIST_GAS_MOT!AV37</f>
        <v>5.4937409423727272E-3</v>
      </c>
      <c r="G29" s="171">
        <f>DIST_GAS_MOT!AW37</f>
        <v>3.2531649143739448E-3</v>
      </c>
      <c r="H29" s="171">
        <f t="shared" si="5"/>
        <v>1.4702981213679036</v>
      </c>
      <c r="I29" s="171">
        <f>DIST_GAS_LEV!Z83</f>
        <v>0.94494245969416446</v>
      </c>
      <c r="J29" s="171">
        <f>DIST_GAS_LEV!AA83</f>
        <v>0.13546011934108676</v>
      </c>
      <c r="K29" s="171">
        <f>DIST_GAS_MOT!AX37</f>
        <v>1.9461401802804049E-2</v>
      </c>
      <c r="L29" s="171">
        <f>DIST_GAS_MOT!AY37</f>
        <v>0.2403466761860385</v>
      </c>
      <c r="M29" s="171">
        <f>DIST_GAS_MOT!AZ37</f>
        <v>5.0504750311582422E-3</v>
      </c>
      <c r="N29" s="171">
        <f>DIST_GAS_MOT!BA37</f>
        <v>2.9906812761341418E-3</v>
      </c>
      <c r="O29" s="171">
        <f t="shared" si="6"/>
        <v>1.3482518133313861</v>
      </c>
      <c r="P29" s="171">
        <f>DIST_GAS_LEV!AB83</f>
        <v>0.87479156255123713</v>
      </c>
      <c r="Q29" s="171">
        <f>DIST_GAS_LEV!AC83</f>
        <v>0.12860493581879123</v>
      </c>
      <c r="R29" s="171">
        <f>DIST_GAS_MOT!BB37</f>
        <v>1.6594298785546489E-2</v>
      </c>
      <c r="S29" s="171">
        <f>DIST_GAS_MOT!BC37</f>
        <v>0.20352272096026489</v>
      </c>
      <c r="T29" s="171">
        <f>DIST_GAS_MOT!BD37</f>
        <v>4.2766824854593641E-3</v>
      </c>
      <c r="U29" s="171">
        <f>DIST_GAS_MOT!BE37</f>
        <v>2.5324735107740801E-3</v>
      </c>
      <c r="V29" s="266">
        <f t="shared" si="7"/>
        <v>1.2303226741120732</v>
      </c>
      <c r="W29" s="171">
        <f>DIST_GAS_LEV!AD83</f>
        <v>0.8212291870179641</v>
      </c>
      <c r="X29" s="171">
        <f>DIST_GAS_LEV!AE83</f>
        <v>0.12535477571293385</v>
      </c>
      <c r="Y29" s="171">
        <f>DIST_GAS_MOT!BF37</f>
        <v>1.5472338724099671E-2</v>
      </c>
      <c r="Z29" s="171">
        <f>DIST_GAS_MOT!BG37</f>
        <v>0.18823558547719199</v>
      </c>
      <c r="AA29" s="171">
        <f>DIST_GAS_MOT!BH37</f>
        <v>3.9554494345998168E-3</v>
      </c>
      <c r="AB29" s="171">
        <f>DIST_GAS_MOT!BI37</f>
        <v>2.3422526573782815E-3</v>
      </c>
      <c r="AC29" s="171">
        <f t="shared" si="8"/>
        <v>1.1565895890241678</v>
      </c>
      <c r="AD29" s="171" t="e">
        <f>DIST_GAS_LEV!AF83</f>
        <v>#DIV/0!</v>
      </c>
      <c r="AE29" s="171" t="e">
        <f>DIST_GAS_LEV!AG83</f>
        <v>#DIV/0!</v>
      </c>
      <c r="AF29" s="171" t="e">
        <f>DIST_GAS_MOT!BJ37</f>
        <v>#DIV/0!</v>
      </c>
      <c r="AG29" s="171" t="e">
        <f>DIST_GAS_MOT!BK37</f>
        <v>#DIV/0!</v>
      </c>
      <c r="AH29" s="171" t="e">
        <f>DIST_GAS_MOT!BL37</f>
        <v>#DIV/0!</v>
      </c>
      <c r="AI29" s="171" t="e">
        <f>DIST_GAS_MOT!BM37</f>
        <v>#DIV/0!</v>
      </c>
      <c r="AJ29" s="171" t="e">
        <f t="shared" si="9"/>
        <v>#DIV/0!</v>
      </c>
      <c r="AL29" s="127" t="s">
        <v>36</v>
      </c>
      <c r="AM29" s="171">
        <f t="shared" si="10"/>
        <v>0.70355414814059813</v>
      </c>
      <c r="AN29" s="171">
        <f t="shared" si="11"/>
        <v>9.8362922297764901E-2</v>
      </c>
      <c r="AO29" s="171">
        <f t="shared" si="12"/>
        <v>1.4318748538011128E-2</v>
      </c>
      <c r="AP29" s="171">
        <f t="shared" si="13"/>
        <v>0.17781511142363962</v>
      </c>
      <c r="AQ29" s="171">
        <f t="shared" si="14"/>
        <v>3.7364809643241478E-3</v>
      </c>
      <c r="AR29" s="171">
        <f t="shared" si="15"/>
        <v>2.2125886356620908E-3</v>
      </c>
      <c r="AS29" s="171">
        <f t="shared" si="16"/>
        <v>0.99999999999999989</v>
      </c>
      <c r="AT29" s="171">
        <f t="shared" si="17"/>
        <v>0.70086496480157712</v>
      </c>
      <c r="AU29" s="171">
        <f t="shared" si="18"/>
        <v>0.10047093428814258</v>
      </c>
      <c r="AV29" s="171">
        <f t="shared" si="19"/>
        <v>1.4434545246200711E-2</v>
      </c>
      <c r="AW29" s="171">
        <f t="shared" si="20"/>
        <v>0.17826542030910944</v>
      </c>
      <c r="AX29" s="171">
        <f t="shared" si="21"/>
        <v>3.7459434366930748E-3</v>
      </c>
      <c r="AY29" s="171">
        <f t="shared" si="22"/>
        <v>2.2181919182771119E-3</v>
      </c>
      <c r="AZ29" s="171">
        <f t="shared" si="23"/>
        <v>1</v>
      </c>
      <c r="BA29" s="171">
        <f t="shared" si="24"/>
        <v>0.71102612425035272</v>
      </c>
      <c r="BB29" s="171">
        <f t="shared" si="25"/>
        <v>0.10452943648429931</v>
      </c>
      <c r="BC29" s="171">
        <f t="shared" si="26"/>
        <v>1.3487761491124786E-2</v>
      </c>
      <c r="BD29" s="171">
        <f t="shared" si="27"/>
        <v>0.16542223047880322</v>
      </c>
      <c r="BE29" s="171">
        <f t="shared" si="28"/>
        <v>3.4760657309236831E-3</v>
      </c>
      <c r="BF29" s="171">
        <f t="shared" si="29"/>
        <v>2.0583815644962997E-3</v>
      </c>
      <c r="BG29" s="171">
        <f t="shared" si="44"/>
        <v>1</v>
      </c>
      <c r="BH29" s="171">
        <f t="shared" si="30"/>
        <v>0.71004373099263984</v>
      </c>
      <c r="BI29" s="171">
        <f t="shared" si="31"/>
        <v>0.10838310918802026</v>
      </c>
      <c r="BJ29" s="171">
        <f t="shared" si="32"/>
        <v>1.337755317091685E-2</v>
      </c>
      <c r="BK29" s="171">
        <f t="shared" si="33"/>
        <v>0.16275054458687391</v>
      </c>
      <c r="BL29" s="171">
        <f t="shared" si="34"/>
        <v>3.4199248135521345E-3</v>
      </c>
      <c r="BM29" s="171">
        <f t="shared" si="35"/>
        <v>2.025137247996911E-3</v>
      </c>
      <c r="BN29" s="171">
        <f t="shared" si="36"/>
        <v>0.99999999999999989</v>
      </c>
      <c r="BO29" s="171" t="e">
        <f t="shared" si="37"/>
        <v>#DIV/0!</v>
      </c>
      <c r="BP29" s="171" t="e">
        <f t="shared" si="38"/>
        <v>#DIV/0!</v>
      </c>
      <c r="BQ29" s="171" t="e">
        <f t="shared" si="39"/>
        <v>#DIV/0!</v>
      </c>
      <c r="BR29" s="171" t="e">
        <f t="shared" si="40"/>
        <v>#DIV/0!</v>
      </c>
      <c r="BS29" s="171" t="e">
        <f t="shared" si="41"/>
        <v>#DIV/0!</v>
      </c>
      <c r="BT29" s="171" t="e">
        <f t="shared" si="42"/>
        <v>#DIV/0!</v>
      </c>
      <c r="BU29" s="171" t="e">
        <f t="shared" si="43"/>
        <v>#DIV/0!</v>
      </c>
    </row>
    <row r="30" spans="1:73" ht="39" thickBot="1">
      <c r="A30" s="127" t="s">
        <v>37</v>
      </c>
      <c r="B30" s="171">
        <f>DIST_GAS_LEV!X84</f>
        <v>0.89923491705900915</v>
      </c>
      <c r="C30" s="171">
        <f>DIST_GAS_LEV!Y84</f>
        <v>0.10854863565926352</v>
      </c>
      <c r="D30" s="171">
        <f>DIST_GAS_MOT!AT38</f>
        <v>9.8528162556253927E-3</v>
      </c>
      <c r="E30" s="171">
        <f>DIST_GAS_MOT!AU38</f>
        <v>0.18198695392972497</v>
      </c>
      <c r="F30" s="171">
        <f>DIST_GAS_MOT!AV38</f>
        <v>3.824081491116993E-3</v>
      </c>
      <c r="G30" s="171">
        <f>DIST_GAS_MOT!AW38</f>
        <v>2.2644274049098173E-3</v>
      </c>
      <c r="H30" s="171">
        <f t="shared" si="5"/>
        <v>1.2057118317996496</v>
      </c>
      <c r="I30" s="171">
        <f>DIST_GAS_LEV!Z84</f>
        <v>0.85040170348382993</v>
      </c>
      <c r="J30" s="171">
        <f>DIST_GAS_LEV!AA84</f>
        <v>0.1067003044129847</v>
      </c>
      <c r="K30" s="171">
        <f>DIST_GAS_MOT!AX38</f>
        <v>9.2687840123813273E-3</v>
      </c>
      <c r="L30" s="171">
        <f>DIST_GAS_MOT!AY38</f>
        <v>0.16917920903599498</v>
      </c>
      <c r="M30" s="171">
        <f>DIST_GAS_MOT!AZ38</f>
        <v>3.5549530776045938E-3</v>
      </c>
      <c r="N30" s="171">
        <f>DIST_GAS_MOT!BA38</f>
        <v>2.105063187276639E-3</v>
      </c>
      <c r="O30" s="171">
        <f t="shared" si="6"/>
        <v>1.1412100172100721</v>
      </c>
      <c r="P30" s="171">
        <f>DIST_GAS_LEV!AB84</f>
        <v>0.84421599041369189</v>
      </c>
      <c r="Q30" s="171">
        <f>DIST_GAS_LEV!AC84</f>
        <v>0.10997224075603715</v>
      </c>
      <c r="R30" s="171">
        <f>DIST_GAS_MOT!BB38</f>
        <v>9.2063511118395374E-3</v>
      </c>
      <c r="S30" s="171">
        <f>DIST_GAS_MOT!BC38</f>
        <v>0.16559775638274143</v>
      </c>
      <c r="T30" s="171">
        <f>DIST_GAS_MOT!BD38</f>
        <v>3.4796962171160799E-3</v>
      </c>
      <c r="U30" s="171">
        <f>DIST_GAS_MOT!BE38</f>
        <v>2.0604998855547692E-3</v>
      </c>
      <c r="V30" s="266">
        <f t="shared" si="7"/>
        <v>1.134532534766981</v>
      </c>
      <c r="W30" s="171">
        <f>DIST_GAS_LEV!AD84</f>
        <v>0.82512323379830554</v>
      </c>
      <c r="X30" s="171">
        <f>DIST_GAS_LEV!AE84</f>
        <v>0.11186703742397559</v>
      </c>
      <c r="Y30" s="171">
        <f>DIST_GAS_MOT!BF38</f>
        <v>9.0594260516599825E-3</v>
      </c>
      <c r="Z30" s="171">
        <f>DIST_GAS_MOT!BG38</f>
        <v>0.16058361424634929</v>
      </c>
      <c r="AA30" s="171">
        <f>DIST_GAS_MOT!BH38</f>
        <v>3.3743343341702775E-3</v>
      </c>
      <c r="AB30" s="171">
        <f>DIST_GAS_MOT!BI38</f>
        <v>1.9981099140728362E-3</v>
      </c>
      <c r="AC30" s="171">
        <f t="shared" si="8"/>
        <v>1.1120057557685337</v>
      </c>
      <c r="AD30" s="171" t="e">
        <f>DIST_GAS_LEV!AF84</f>
        <v>#DIV/0!</v>
      </c>
      <c r="AE30" s="171" t="e">
        <f>DIST_GAS_LEV!AG84</f>
        <v>#DIV/0!</v>
      </c>
      <c r="AF30" s="171" t="e">
        <f>DIST_GAS_MOT!BJ38</f>
        <v>#DIV/0!</v>
      </c>
      <c r="AG30" s="171" t="e">
        <f>DIST_GAS_MOT!BK38</f>
        <v>#DIV/0!</v>
      </c>
      <c r="AH30" s="171" t="e">
        <f>DIST_GAS_MOT!BL38</f>
        <v>#DIV/0!</v>
      </c>
      <c r="AI30" s="171" t="e">
        <f>DIST_GAS_MOT!BM38</f>
        <v>#DIV/0!</v>
      </c>
      <c r="AJ30" s="171" t="e">
        <f t="shared" si="9"/>
        <v>#DIV/0!</v>
      </c>
      <c r="AL30" s="127" t="s">
        <v>37</v>
      </c>
      <c r="AM30" s="171">
        <f t="shared" si="10"/>
        <v>0.7458124680727467</v>
      </c>
      <c r="AN30" s="171">
        <f t="shared" si="11"/>
        <v>9.0028672520566927E-2</v>
      </c>
      <c r="AO30" s="171">
        <f t="shared" si="12"/>
        <v>8.1717836681747119E-3</v>
      </c>
      <c r="AP30" s="171">
        <f t="shared" si="13"/>
        <v>0.15093735429144012</v>
      </c>
      <c r="AQ30" s="171">
        <f t="shared" si="14"/>
        <v>3.1716380234978335E-3</v>
      </c>
      <c r="AR30" s="171">
        <f t="shared" si="15"/>
        <v>1.8780834235738778E-3</v>
      </c>
      <c r="AS30" s="171">
        <f t="shared" si="16"/>
        <v>1.0000000000000002</v>
      </c>
      <c r="AT30" s="171">
        <f t="shared" si="17"/>
        <v>0.74517546346361008</v>
      </c>
      <c r="AU30" s="171">
        <f t="shared" si="18"/>
        <v>9.349751825158005E-2</v>
      </c>
      <c r="AV30" s="171">
        <f t="shared" si="19"/>
        <v>8.1218915647453035E-3</v>
      </c>
      <c r="AW30" s="171">
        <f t="shared" si="20"/>
        <v>0.14824546444973305</v>
      </c>
      <c r="AX30" s="171">
        <f t="shared" si="21"/>
        <v>3.1150734956703449E-3</v>
      </c>
      <c r="AY30" s="171">
        <f t="shared" si="22"/>
        <v>1.844588774661222E-3</v>
      </c>
      <c r="AZ30" s="171">
        <f t="shared" si="23"/>
        <v>1</v>
      </c>
      <c r="BA30" s="171">
        <f t="shared" si="24"/>
        <v>0.74410910621182269</v>
      </c>
      <c r="BB30" s="171">
        <f t="shared" si="25"/>
        <v>9.6931764745401591E-2</v>
      </c>
      <c r="BC30" s="171">
        <f t="shared" si="26"/>
        <v>8.1146647008500366E-3</v>
      </c>
      <c r="BD30" s="171">
        <f t="shared" si="27"/>
        <v>0.14596122306598566</v>
      </c>
      <c r="BE30" s="171">
        <f t="shared" si="28"/>
        <v>3.0670748616572433E-3</v>
      </c>
      <c r="BF30" s="171">
        <f t="shared" si="29"/>
        <v>1.8161664142826634E-3</v>
      </c>
      <c r="BG30" s="171">
        <f t="shared" si="44"/>
        <v>0.99999999999999978</v>
      </c>
      <c r="BH30" s="171">
        <f t="shared" si="30"/>
        <v>0.74201345588183865</v>
      </c>
      <c r="BI30" s="171">
        <f t="shared" si="31"/>
        <v>0.10059933309127669</v>
      </c>
      <c r="BJ30" s="171">
        <f t="shared" si="32"/>
        <v>8.1469237049036653E-3</v>
      </c>
      <c r="BK30" s="171">
        <f t="shared" si="33"/>
        <v>0.1444089775734714</v>
      </c>
      <c r="BL30" s="171">
        <f t="shared" si="34"/>
        <v>3.0344576155886841E-3</v>
      </c>
      <c r="BM30" s="171">
        <f t="shared" si="35"/>
        <v>1.7968521329207463E-3</v>
      </c>
      <c r="BN30" s="171">
        <f t="shared" si="36"/>
        <v>0.99999999999999989</v>
      </c>
      <c r="BO30" s="171" t="e">
        <f t="shared" si="37"/>
        <v>#DIV/0!</v>
      </c>
      <c r="BP30" s="171" t="e">
        <f t="shared" si="38"/>
        <v>#DIV/0!</v>
      </c>
      <c r="BQ30" s="171" t="e">
        <f t="shared" si="39"/>
        <v>#DIV/0!</v>
      </c>
      <c r="BR30" s="171" t="e">
        <f t="shared" si="40"/>
        <v>#DIV/0!</v>
      </c>
      <c r="BS30" s="171" t="e">
        <f t="shared" si="41"/>
        <v>#DIV/0!</v>
      </c>
      <c r="BT30" s="171" t="e">
        <f t="shared" si="42"/>
        <v>#DIV/0!</v>
      </c>
      <c r="BU30" s="171" t="e">
        <f t="shared" si="43"/>
        <v>#DIV/0!</v>
      </c>
    </row>
    <row r="31" spans="1:73" ht="26.25" thickBot="1">
      <c r="A31" s="128" t="s">
        <v>38</v>
      </c>
      <c r="B31" s="171">
        <f>DIST_GAS_LEV!X85</f>
        <v>0.81331985653172922</v>
      </c>
      <c r="C31" s="171">
        <f>DIST_GAS_LEV!Y85</f>
        <v>0.10675987015386913</v>
      </c>
      <c r="D31" s="171">
        <f>DIST_GAS_MOT!AT39</f>
        <v>1.9414999511243376E-2</v>
      </c>
      <c r="E31" s="171">
        <f>DIST_GAS_MOT!AU39</f>
        <v>0.22502980251926336</v>
      </c>
      <c r="F31" s="171">
        <f>DIST_GAS_MOT!AV39</f>
        <v>4.7285628274810563E-3</v>
      </c>
      <c r="G31" s="171">
        <f>DIST_GAS_MOT!AW39</f>
        <v>2.8000985570769943E-3</v>
      </c>
      <c r="H31" s="171">
        <f t="shared" si="5"/>
        <v>1.1720531901006632</v>
      </c>
      <c r="I31" s="171">
        <f>DIST_GAS_LEV!Z85</f>
        <v>0.76066010992787925</v>
      </c>
      <c r="J31" s="171">
        <f>DIST_GAS_LEV!AA85</f>
        <v>0.10341045218788948</v>
      </c>
      <c r="K31" s="171">
        <f>DIST_GAS_MOT!AX39</f>
        <v>1.7623912708922444E-2</v>
      </c>
      <c r="L31" s="171">
        <f>DIST_GAS_MOT!AY39</f>
        <v>0.19580150884507408</v>
      </c>
      <c r="M31" s="171">
        <f>DIST_GAS_MOT!AZ39</f>
        <v>4.1143871874938145E-3</v>
      </c>
      <c r="N31" s="171">
        <f>DIST_GAS_MOT!BA39</f>
        <v>2.4364040507197132E-3</v>
      </c>
      <c r="O31" s="171">
        <f t="shared" si="6"/>
        <v>1.0840467749079787</v>
      </c>
      <c r="P31" s="171">
        <f>DIST_GAS_LEV!AB85</f>
        <v>0.76423436336562278</v>
      </c>
      <c r="Q31" s="171">
        <f>DIST_GAS_LEV!AC85</f>
        <v>0.10789532505515842</v>
      </c>
      <c r="R31" s="171">
        <f>DIST_GAS_MOT!BB39</f>
        <v>1.7534787415666601E-2</v>
      </c>
      <c r="S31" s="171">
        <f>DIST_GAS_MOT!BC39</f>
        <v>0.18625884281965652</v>
      </c>
      <c r="T31" s="171">
        <f>DIST_GAS_MOT!BD39</f>
        <v>3.9138666549346076E-3</v>
      </c>
      <c r="U31" s="171">
        <f>DIST_GAS_MOT!BE39</f>
        <v>2.3176624215252772E-3</v>
      </c>
      <c r="V31" s="266">
        <f t="shared" si="7"/>
        <v>1.0821548477325642</v>
      </c>
      <c r="W31" s="171">
        <f>DIST_GAS_LEV!AD85</f>
        <v>0.74453477519779887</v>
      </c>
      <c r="X31" s="171">
        <f>DIST_GAS_LEV!AE85</f>
        <v>0.10956934337224682</v>
      </c>
      <c r="Y31" s="171">
        <f>DIST_GAS_MOT!BF39</f>
        <v>1.7445442440354671E-2</v>
      </c>
      <c r="Z31" s="171">
        <f>DIST_GAS_MOT!BG39</f>
        <v>0.1775683613798284</v>
      </c>
      <c r="AA31" s="171">
        <f>DIST_GAS_MOT!BH39</f>
        <v>3.7312531209527356E-3</v>
      </c>
      <c r="AB31" s="171">
        <f>DIST_GAS_MOT!BI39</f>
        <v>2.2095247247956007E-3</v>
      </c>
      <c r="AC31" s="171">
        <f t="shared" si="8"/>
        <v>1.055058700235977</v>
      </c>
      <c r="AD31" s="171" t="e">
        <f>DIST_GAS_LEV!AF85</f>
        <v>#DIV/0!</v>
      </c>
      <c r="AE31" s="171" t="e">
        <f>DIST_GAS_LEV!AG85</f>
        <v>#DIV/0!</v>
      </c>
      <c r="AF31" s="171" t="e">
        <f>DIST_GAS_MOT!BJ39</f>
        <v>#DIV/0!</v>
      </c>
      <c r="AG31" s="171" t="e">
        <f>DIST_GAS_MOT!BK39</f>
        <v>#DIV/0!</v>
      </c>
      <c r="AH31" s="171" t="e">
        <f>DIST_GAS_MOT!BL39</f>
        <v>#DIV/0!</v>
      </c>
      <c r="AI31" s="171" t="e">
        <f>DIST_GAS_MOT!BM39</f>
        <v>#DIV/0!</v>
      </c>
      <c r="AJ31" s="171" t="e">
        <f t="shared" si="9"/>
        <v>#DIV/0!</v>
      </c>
      <c r="AL31" s="128" t="s">
        <v>38</v>
      </c>
      <c r="AM31" s="171">
        <f t="shared" si="10"/>
        <v>0.69392742872179403</v>
      </c>
      <c r="AN31" s="171">
        <f t="shared" si="11"/>
        <v>9.1087905442840802E-2</v>
      </c>
      <c r="AO31" s="171">
        <f t="shared" si="12"/>
        <v>1.6564947457355494E-2</v>
      </c>
      <c r="AP31" s="171">
        <f t="shared" si="13"/>
        <v>0.19199623738913793</v>
      </c>
      <c r="AQ31" s="171">
        <f t="shared" si="14"/>
        <v>4.0344268224507271E-3</v>
      </c>
      <c r="AR31" s="171">
        <f t="shared" si="15"/>
        <v>2.3890541664209832E-3</v>
      </c>
      <c r="AS31" s="171">
        <f t="shared" si="16"/>
        <v>1</v>
      </c>
      <c r="AT31" s="171">
        <f t="shared" si="17"/>
        <v>0.70168569063124531</v>
      </c>
      <c r="AU31" s="171">
        <f t="shared" si="18"/>
        <v>9.539297988010495E-2</v>
      </c>
      <c r="AV31" s="171">
        <f t="shared" si="19"/>
        <v>1.6257520539571257E-2</v>
      </c>
      <c r="AW31" s="171">
        <f t="shared" si="20"/>
        <v>0.18062090435322317</v>
      </c>
      <c r="AX31" s="171">
        <f t="shared" si="21"/>
        <v>3.7953963636329913E-3</v>
      </c>
      <c r="AY31" s="171">
        <f t="shared" si="22"/>
        <v>2.2475082322222966E-3</v>
      </c>
      <c r="AZ31" s="171">
        <f t="shared" si="23"/>
        <v>1</v>
      </c>
      <c r="BA31" s="171">
        <f t="shared" si="24"/>
        <v>0.70621534890955828</v>
      </c>
      <c r="BB31" s="171">
        <f t="shared" si="25"/>
        <v>9.9704146112944161E-2</v>
      </c>
      <c r="BC31" s="171">
        <f t="shared" si="26"/>
        <v>1.6203584406064613E-2</v>
      </c>
      <c r="BD31" s="171">
        <f t="shared" si="27"/>
        <v>0.17211847565985969</v>
      </c>
      <c r="BE31" s="171">
        <f t="shared" si="28"/>
        <v>3.6167343916957179E-3</v>
      </c>
      <c r="BF31" s="171">
        <f t="shared" si="29"/>
        <v>2.1417105198775093E-3</v>
      </c>
      <c r="BG31" s="171">
        <f t="shared" si="44"/>
        <v>1</v>
      </c>
      <c r="BH31" s="171">
        <f t="shared" si="30"/>
        <v>0.70568090195481481</v>
      </c>
      <c r="BI31" s="171">
        <f t="shared" si="31"/>
        <v>0.10385141921273221</v>
      </c>
      <c r="BJ31" s="171">
        <f t="shared" si="32"/>
        <v>1.653504438800683E-2</v>
      </c>
      <c r="BK31" s="171">
        <f t="shared" si="33"/>
        <v>0.16830187869178562</v>
      </c>
      <c r="BL31" s="171">
        <f t="shared" si="34"/>
        <v>3.5365360430829056E-3</v>
      </c>
      <c r="BM31" s="171">
        <f t="shared" si="35"/>
        <v>2.0942197095776879E-3</v>
      </c>
      <c r="BN31" s="171">
        <f t="shared" si="36"/>
        <v>1</v>
      </c>
      <c r="BO31" s="171" t="e">
        <f t="shared" si="37"/>
        <v>#DIV/0!</v>
      </c>
      <c r="BP31" s="171" t="e">
        <f t="shared" si="38"/>
        <v>#DIV/0!</v>
      </c>
      <c r="BQ31" s="171" t="e">
        <f t="shared" si="39"/>
        <v>#DIV/0!</v>
      </c>
      <c r="BR31" s="171" t="e">
        <f t="shared" si="40"/>
        <v>#DIV/0!</v>
      </c>
      <c r="BS31" s="171" t="e">
        <f t="shared" si="41"/>
        <v>#DIV/0!</v>
      </c>
      <c r="BT31" s="171" t="e">
        <f t="shared" si="42"/>
        <v>#DIV/0!</v>
      </c>
      <c r="BU31" s="171" t="e">
        <f t="shared" si="43"/>
        <v>#DIV/0!</v>
      </c>
    </row>
    <row r="32" spans="1:73" ht="39" thickBot="1">
      <c r="A32" s="126" t="s">
        <v>73</v>
      </c>
      <c r="B32" s="171">
        <f>DIST_GAS_LEV!X86</f>
        <v>0.80728143086358495</v>
      </c>
      <c r="C32" s="171">
        <f>DIST_GAS_LEV!Y86</f>
        <v>0.12043007894720822</v>
      </c>
      <c r="D32" s="171">
        <f>DIST_GAS_MOT!AT40</f>
        <v>2.3491922355514984E-2</v>
      </c>
      <c r="E32" s="171">
        <f>DIST_GAS_MOT!AU40</f>
        <v>0.25727475986319887</v>
      </c>
      <c r="F32" s="171">
        <f>DIST_GAS_MOT!AV40</f>
        <v>5.4061707213352945E-3</v>
      </c>
      <c r="G32" s="171">
        <f>DIST_GAS_MOT!AW40</f>
        <v>3.2012170992743874E-3</v>
      </c>
      <c r="H32" s="171">
        <f t="shared" si="5"/>
        <v>1.2170855798501168</v>
      </c>
      <c r="I32" s="171">
        <f>DIST_GAS_LEV!Z86</f>
        <v>0.77841004987896412</v>
      </c>
      <c r="J32" s="171">
        <f>DIST_GAS_LEV!AA86</f>
        <v>0.11952618259888698</v>
      </c>
      <c r="K32" s="171">
        <f>DIST_GAS_MOT!AX40</f>
        <v>2.2125732829400793E-2</v>
      </c>
      <c r="L32" s="171">
        <f>DIST_GAS_MOT!AY40</f>
        <v>0.24749417119243075</v>
      </c>
      <c r="M32" s="171">
        <f>DIST_GAS_MOT!AZ40</f>
        <v>5.2006486043982983E-3</v>
      </c>
      <c r="N32" s="171">
        <f>DIST_GAS_MOT!BA40</f>
        <v>3.0795207473553101E-3</v>
      </c>
      <c r="O32" s="171">
        <f t="shared" si="6"/>
        <v>1.1758363058514361</v>
      </c>
      <c r="P32" s="171">
        <f>DIST_GAS_LEV!AB86</f>
        <v>0.7706647421766778</v>
      </c>
      <c r="Q32" s="171">
        <f>DIST_GAS_LEV!AC86</f>
        <v>0.12161800430231076</v>
      </c>
      <c r="R32" s="171">
        <f>DIST_GAS_MOT!BB40</f>
        <v>2.1603168129107529E-2</v>
      </c>
      <c r="S32" s="171">
        <f>DIST_GAS_MOT!BC40</f>
        <v>0.23634878308990501</v>
      </c>
      <c r="T32" s="171">
        <f>DIST_GAS_MOT!BD40</f>
        <v>4.9664478996751145E-3</v>
      </c>
      <c r="U32" s="171">
        <f>DIST_GAS_MOT!BE40</f>
        <v>2.9408415344612002E-3</v>
      </c>
      <c r="V32" s="266">
        <f t="shared" si="7"/>
        <v>1.1581419871321375</v>
      </c>
      <c r="W32" s="171">
        <f>DIST_GAS_LEV!AD86</f>
        <v>0.74474599922575491</v>
      </c>
      <c r="X32" s="171">
        <f>DIST_GAS_LEV!AE86</f>
        <v>0.12083662521346644</v>
      </c>
      <c r="Y32" s="171">
        <f>DIST_GAS_MOT!BF40</f>
        <v>2.0931309335405594E-2</v>
      </c>
      <c r="Z32" s="171">
        <f>DIST_GAS_MOT!BG40</f>
        <v>0.22680394962908099</v>
      </c>
      <c r="AA32" s="171">
        <f>DIST_GAS_MOT!BH40</f>
        <v>4.7658802000042945E-3</v>
      </c>
      <c r="AB32" s="171">
        <f>DIST_GAS_MOT!BI40</f>
        <v>2.8220773909336857E-3</v>
      </c>
      <c r="AC32" s="171">
        <f t="shared" si="8"/>
        <v>1.120905840994646</v>
      </c>
      <c r="AD32" s="171" t="e">
        <f>DIST_GAS_LEV!AF86</f>
        <v>#DIV/0!</v>
      </c>
      <c r="AE32" s="171" t="e">
        <f>DIST_GAS_LEV!AG86</f>
        <v>#DIV/0!</v>
      </c>
      <c r="AF32" s="171" t="e">
        <f>DIST_GAS_MOT!BJ40</f>
        <v>#DIV/0!</v>
      </c>
      <c r="AG32" s="171" t="e">
        <f>DIST_GAS_MOT!BK40</f>
        <v>#DIV/0!</v>
      </c>
      <c r="AH32" s="171" t="e">
        <f>DIST_GAS_MOT!BL40</f>
        <v>#DIV/0!</v>
      </c>
      <c r="AI32" s="171" t="e">
        <f>DIST_GAS_MOT!BM40</f>
        <v>#DIV/0!</v>
      </c>
      <c r="AJ32" s="171" t="e">
        <f t="shared" si="9"/>
        <v>#DIV/0!</v>
      </c>
      <c r="AL32" s="126" t="s">
        <v>73</v>
      </c>
      <c r="AM32" s="171">
        <f t="shared" si="10"/>
        <v>0.66329060522021888</v>
      </c>
      <c r="AN32" s="171">
        <f t="shared" si="11"/>
        <v>9.8949556991743431E-2</v>
      </c>
      <c r="AO32" s="171">
        <f t="shared" si="12"/>
        <v>1.9301783493653746E-2</v>
      </c>
      <c r="AP32" s="171">
        <f t="shared" si="13"/>
        <v>0.21138592398316153</v>
      </c>
      <c r="AQ32" s="171">
        <f t="shared" si="14"/>
        <v>4.4418985902380508E-3</v>
      </c>
      <c r="AR32" s="171">
        <f t="shared" si="15"/>
        <v>2.6302317209843328E-3</v>
      </c>
      <c r="AS32" s="171">
        <f t="shared" si="16"/>
        <v>0.99999999999999989</v>
      </c>
      <c r="AT32" s="171">
        <f t="shared" si="17"/>
        <v>0.66200545603608385</v>
      </c>
      <c r="AU32" s="171">
        <f t="shared" si="18"/>
        <v>0.10165205990330155</v>
      </c>
      <c r="AV32" s="171">
        <f t="shared" si="19"/>
        <v>1.8817017912522532E-2</v>
      </c>
      <c r="AW32" s="171">
        <f t="shared" si="20"/>
        <v>0.21048352560709332</v>
      </c>
      <c r="AX32" s="171">
        <f t="shared" si="21"/>
        <v>4.4229358955134926E-3</v>
      </c>
      <c r="AY32" s="171">
        <f t="shared" si="22"/>
        <v>2.6190046454854063E-3</v>
      </c>
      <c r="AZ32" s="171">
        <f t="shared" si="23"/>
        <v>1.0000000000000002</v>
      </c>
      <c r="BA32" s="171">
        <f t="shared" si="24"/>
        <v>0.66543200293173488</v>
      </c>
      <c r="BB32" s="171">
        <f t="shared" si="25"/>
        <v>0.10501130746798047</v>
      </c>
      <c r="BC32" s="171">
        <f t="shared" si="26"/>
        <v>1.8653298446248915E-2</v>
      </c>
      <c r="BD32" s="171">
        <f t="shared" si="27"/>
        <v>0.20407582638046518</v>
      </c>
      <c r="BE32" s="171">
        <f t="shared" si="28"/>
        <v>4.2882893072319558E-3</v>
      </c>
      <c r="BF32" s="171">
        <f t="shared" si="29"/>
        <v>2.5392754663385387E-3</v>
      </c>
      <c r="BG32" s="171">
        <f t="shared" si="44"/>
        <v>1</v>
      </c>
      <c r="BH32" s="171">
        <f t="shared" si="30"/>
        <v>0.66441441554528591</v>
      </c>
      <c r="BI32" s="171">
        <f t="shared" si="31"/>
        <v>0.10780265459785718</v>
      </c>
      <c r="BJ32" s="171">
        <f t="shared" si="32"/>
        <v>1.86735661193736E-2</v>
      </c>
      <c r="BK32" s="171">
        <f t="shared" si="33"/>
        <v>0.20233987667315967</v>
      </c>
      <c r="BL32" s="171">
        <f t="shared" si="34"/>
        <v>4.2518113705030279E-3</v>
      </c>
      <c r="BM32" s="171">
        <f t="shared" si="35"/>
        <v>2.5176756938205349E-3</v>
      </c>
      <c r="BN32" s="171">
        <f t="shared" si="36"/>
        <v>1</v>
      </c>
      <c r="BO32" s="171" t="e">
        <f t="shared" si="37"/>
        <v>#DIV/0!</v>
      </c>
      <c r="BP32" s="171" t="e">
        <f t="shared" si="38"/>
        <v>#DIV/0!</v>
      </c>
      <c r="BQ32" s="171" t="e">
        <f t="shared" si="39"/>
        <v>#DIV/0!</v>
      </c>
      <c r="BR32" s="171" t="e">
        <f t="shared" si="40"/>
        <v>#DIV/0!</v>
      </c>
      <c r="BS32" s="171" t="e">
        <f t="shared" si="41"/>
        <v>#DIV/0!</v>
      </c>
      <c r="BT32" s="171" t="e">
        <f t="shared" si="42"/>
        <v>#DIV/0!</v>
      </c>
      <c r="BU32" s="171" t="e">
        <f t="shared" si="43"/>
        <v>#DIV/0!</v>
      </c>
    </row>
    <row r="33" spans="1:73" ht="26.25" thickBot="1">
      <c r="A33" s="127" t="s">
        <v>40</v>
      </c>
      <c r="B33" s="171">
        <f>DIST_GAS_LEV!X87</f>
        <v>0.99198773229941439</v>
      </c>
      <c r="C33" s="171">
        <f>DIST_GAS_LEV!Y87</f>
        <v>0.11048582608259726</v>
      </c>
      <c r="D33" s="171">
        <f>DIST_GAS_MOT!AT41</f>
        <v>2.3619942747683778E-3</v>
      </c>
      <c r="E33" s="171">
        <f>DIST_GAS_MOT!AU41</f>
        <v>7.6509048900002194E-2</v>
      </c>
      <c r="F33" s="171">
        <f>DIST_GAS_MOT!AV41</f>
        <v>1.6076492299844311E-3</v>
      </c>
      <c r="G33" s="171">
        <f>DIST_GAS_MOT!AW41</f>
        <v>9.520671843092222E-4</v>
      </c>
      <c r="H33" s="171">
        <f t="shared" si="5"/>
        <v>1.1839043179710758</v>
      </c>
      <c r="I33" s="171">
        <f>DIST_GAS_LEV!Z87</f>
        <v>0.94904374408009973</v>
      </c>
      <c r="J33" s="171">
        <f>DIST_GAS_LEV!AA87</f>
        <v>0.1132902265890794</v>
      </c>
      <c r="K33" s="171">
        <f>DIST_GAS_MOT!AX41</f>
        <v>2.1966820653766799E-3</v>
      </c>
      <c r="L33" s="171">
        <f>DIST_GAS_MOT!AY41</f>
        <v>7.2094922077905924E-2</v>
      </c>
      <c r="M33" s="171">
        <f>DIST_GAS_MOT!AZ41</f>
        <v>1.5148972262852124E-3</v>
      </c>
      <c r="N33" s="171">
        <f>DIST_GAS_MOT!BA41</f>
        <v>8.9713844901426676E-4</v>
      </c>
      <c r="O33" s="171">
        <f t="shared" si="6"/>
        <v>1.1390376104877613</v>
      </c>
      <c r="P33" s="171">
        <f>DIST_GAS_LEV!AB87</f>
        <v>0.93920193060155344</v>
      </c>
      <c r="Q33" s="171">
        <f>DIST_GAS_LEV!AC87</f>
        <v>0.11891744502298716</v>
      </c>
      <c r="R33" s="171">
        <f>DIST_GAS_MOT!BB41</f>
        <v>2.2316214050117312E-3</v>
      </c>
      <c r="S33" s="171">
        <f>DIST_GAS_MOT!BC41</f>
        <v>7.1919302565351687E-2</v>
      </c>
      <c r="T33" s="171">
        <f>DIST_GAS_MOT!BD41</f>
        <v>1.5112070147587689E-3</v>
      </c>
      <c r="U33" s="171">
        <f>DIST_GAS_MOT!BE41</f>
        <v>8.9495306601407028E-4</v>
      </c>
      <c r="V33" s="266">
        <f t="shared" si="7"/>
        <v>1.1346764596756769</v>
      </c>
      <c r="W33" s="171">
        <f>DIST_GAS_LEV!AD87</f>
        <v>0.93204972594112623</v>
      </c>
      <c r="X33" s="171">
        <f>DIST_GAS_LEV!AE87</f>
        <v>0.12462059010323762</v>
      </c>
      <c r="Y33" s="171">
        <f>DIST_GAS_MOT!BF41</f>
        <v>2.2560926992709579E-3</v>
      </c>
      <c r="Z33" s="171">
        <f>DIST_GAS_MOT!BG41</f>
        <v>7.19789265419985E-2</v>
      </c>
      <c r="AA33" s="171">
        <f>DIST_GAS_MOT!BH41</f>
        <v>1.5124598657812688E-3</v>
      </c>
      <c r="AB33" s="171">
        <f>DIST_GAS_MOT!BI41</f>
        <v>8.9569501787962872E-4</v>
      </c>
      <c r="AC33" s="171">
        <f t="shared" si="8"/>
        <v>1.1333134901692941</v>
      </c>
      <c r="AD33" s="171" t="e">
        <f>DIST_GAS_LEV!AF87</f>
        <v>#DIV/0!</v>
      </c>
      <c r="AE33" s="171" t="e">
        <f>DIST_GAS_LEV!AG87</f>
        <v>#DIV/0!</v>
      </c>
      <c r="AF33" s="171" t="e">
        <f>DIST_GAS_MOT!BJ41</f>
        <v>#DIV/0!</v>
      </c>
      <c r="AG33" s="171" t="e">
        <f>DIST_GAS_MOT!BK41</f>
        <v>#DIV/0!</v>
      </c>
      <c r="AH33" s="171" t="e">
        <f>DIST_GAS_MOT!BL41</f>
        <v>#DIV/0!</v>
      </c>
      <c r="AI33" s="171" t="e">
        <f>DIST_GAS_MOT!BM41</f>
        <v>#DIV/0!</v>
      </c>
      <c r="AJ33" s="171" t="e">
        <f t="shared" si="9"/>
        <v>#DIV/0!</v>
      </c>
      <c r="AL33" s="127" t="s">
        <v>40</v>
      </c>
      <c r="AM33" s="171">
        <f t="shared" si="10"/>
        <v>0.83789518902966775</v>
      </c>
      <c r="AN33" s="171">
        <f t="shared" si="11"/>
        <v>9.3323273177973634E-2</v>
      </c>
      <c r="AO33" s="171">
        <f t="shared" si="12"/>
        <v>1.9950888250971684E-3</v>
      </c>
      <c r="AP33" s="171">
        <f t="shared" si="13"/>
        <v>6.4624351595507404E-2</v>
      </c>
      <c r="AQ33" s="171">
        <f t="shared" si="14"/>
        <v>1.3579215867204127E-3</v>
      </c>
      <c r="AR33" s="171">
        <f t="shared" si="15"/>
        <v>8.0417578503373817E-4</v>
      </c>
      <c r="AS33" s="171">
        <f t="shared" si="16"/>
        <v>1</v>
      </c>
      <c r="AT33" s="171">
        <f t="shared" si="17"/>
        <v>0.83319789912266196</v>
      </c>
      <c r="AU33" s="171">
        <f t="shared" si="18"/>
        <v>9.9461357154454283E-2</v>
      </c>
      <c r="AV33" s="171">
        <f t="shared" si="19"/>
        <v>1.9285421702941062E-3</v>
      </c>
      <c r="AW33" s="171">
        <f t="shared" si="20"/>
        <v>6.3294593096915625E-2</v>
      </c>
      <c r="AX33" s="171">
        <f t="shared" si="21"/>
        <v>1.3299799869088604E-3</v>
      </c>
      <c r="AY33" s="171">
        <f t="shared" si="22"/>
        <v>7.8762846876504107E-4</v>
      </c>
      <c r="AZ33" s="171">
        <f t="shared" si="23"/>
        <v>0.99999999999999989</v>
      </c>
      <c r="BA33" s="171">
        <f t="shared" si="24"/>
        <v>0.82772663748572373</v>
      </c>
      <c r="BB33" s="171">
        <f t="shared" si="25"/>
        <v>0.10480295418922958</v>
      </c>
      <c r="BC33" s="171">
        <f t="shared" si="26"/>
        <v>1.9667468959826597E-3</v>
      </c>
      <c r="BD33" s="171">
        <f t="shared" si="27"/>
        <v>6.3383092115886747E-2</v>
      </c>
      <c r="BE33" s="171">
        <f t="shared" si="28"/>
        <v>1.3318395758300258E-3</v>
      </c>
      <c r="BF33" s="171">
        <f t="shared" si="29"/>
        <v>7.8872973734722012E-4</v>
      </c>
      <c r="BG33" s="171">
        <f t="shared" si="44"/>
        <v>1</v>
      </c>
      <c r="BH33" s="171">
        <f t="shared" si="30"/>
        <v>0.82241121633688208</v>
      </c>
      <c r="BI33" s="171">
        <f t="shared" si="31"/>
        <v>0.10996126948477586</v>
      </c>
      <c r="BJ33" s="171">
        <f t="shared" si="32"/>
        <v>1.9907048833716287E-3</v>
      </c>
      <c r="BK33" s="171">
        <f t="shared" si="33"/>
        <v>6.351192954673672E-2</v>
      </c>
      <c r="BL33" s="171">
        <f t="shared" si="34"/>
        <v>1.3345467771281342E-3</v>
      </c>
      <c r="BM33" s="171">
        <f t="shared" si="35"/>
        <v>7.9033297110566478E-4</v>
      </c>
      <c r="BN33" s="171">
        <f t="shared" si="36"/>
        <v>1.0000000000000002</v>
      </c>
      <c r="BO33" s="171" t="e">
        <f t="shared" si="37"/>
        <v>#DIV/0!</v>
      </c>
      <c r="BP33" s="171" t="e">
        <f t="shared" si="38"/>
        <v>#DIV/0!</v>
      </c>
      <c r="BQ33" s="171" t="e">
        <f t="shared" si="39"/>
        <v>#DIV/0!</v>
      </c>
      <c r="BR33" s="171" t="e">
        <f t="shared" si="40"/>
        <v>#DIV/0!</v>
      </c>
      <c r="BS33" s="171" t="e">
        <f t="shared" si="41"/>
        <v>#DIV/0!</v>
      </c>
      <c r="BT33" s="171" t="e">
        <f t="shared" si="42"/>
        <v>#DIV/0!</v>
      </c>
      <c r="BU33" s="171" t="e">
        <f t="shared" si="43"/>
        <v>#DIV/0!</v>
      </c>
    </row>
    <row r="34" spans="1:73" ht="15.75" thickBot="1">
      <c r="A34" s="127" t="s">
        <v>41</v>
      </c>
      <c r="B34" s="171">
        <f>DIST_GAS_LEV!X88</f>
        <v>0.76989588725600755</v>
      </c>
      <c r="C34" s="171">
        <f>DIST_GAS_LEV!Y88</f>
        <v>0.12946423704854074</v>
      </c>
      <c r="D34" s="171">
        <f>DIST_GAS_MOT!AT42</f>
        <v>2.7334561952096284E-2</v>
      </c>
      <c r="E34" s="171">
        <f>DIST_GAS_MOT!AU42</f>
        <v>0.29263241145962871</v>
      </c>
      <c r="F34" s="171">
        <f>DIST_GAS_MOT!AV42</f>
        <v>6.1491780069946626E-3</v>
      </c>
      <c r="G34" s="171">
        <f>DIST_GAS_MOT!AW42</f>
        <v>3.6410245750336688E-3</v>
      </c>
      <c r="H34" s="171">
        <f t="shared" si="5"/>
        <v>1.2291173002983014</v>
      </c>
      <c r="I34" s="171">
        <f>DIST_GAS_LEV!Z88</f>
        <v>0.73836732339433597</v>
      </c>
      <c r="J34" s="171">
        <f>DIST_GAS_LEV!AA88</f>
        <v>0.12705113691513259</v>
      </c>
      <c r="K34" s="171">
        <f>DIST_GAS_MOT!AX42</f>
        <v>2.6159490916371507E-2</v>
      </c>
      <c r="L34" s="171">
        <f>DIST_GAS_MOT!AY42</f>
        <v>0.28342504669446839</v>
      </c>
      <c r="M34" s="171">
        <f>DIST_GAS_MOT!AZ42</f>
        <v>5.9557007204770942E-3</v>
      </c>
      <c r="N34" s="171">
        <f>DIST_GAS_MOT!BA42</f>
        <v>3.5264636444312394E-3</v>
      </c>
      <c r="O34" s="171">
        <f t="shared" si="6"/>
        <v>1.1844851622852168</v>
      </c>
      <c r="P34" s="171">
        <f>DIST_GAS_LEV!AB88</f>
        <v>0.74089699474762583</v>
      </c>
      <c r="Q34" s="171">
        <f>DIST_GAS_LEV!AC88</f>
        <v>0.1288452553141417</v>
      </c>
      <c r="R34" s="171">
        <f>DIST_GAS_MOT!BB42</f>
        <v>2.575684389711547E-2</v>
      </c>
      <c r="S34" s="171">
        <f>DIST_GAS_MOT!BC42</f>
        <v>0.27140263646573737</v>
      </c>
      <c r="T34" s="171">
        <f>DIST_GAS_MOT!BD42</f>
        <v>5.7030699876036125E-3</v>
      </c>
      <c r="U34" s="171">
        <f>DIST_GAS_MOT!BE42</f>
        <v>3.3768770320816203E-3</v>
      </c>
      <c r="V34" s="266">
        <f t="shared" si="7"/>
        <v>1.1759816774443057</v>
      </c>
      <c r="W34" s="171">
        <f>DIST_GAS_LEV!AD88</f>
        <v>0.71764327937174877</v>
      </c>
      <c r="X34" s="171">
        <f>DIST_GAS_LEV!AE88</f>
        <v>0.12677368888504248</v>
      </c>
      <c r="Y34" s="171">
        <f>DIST_GAS_MOT!BF42</f>
        <v>2.4750050437724578E-2</v>
      </c>
      <c r="Z34" s="171">
        <f>DIST_GAS_MOT!BG42</f>
        <v>0.25745563923296133</v>
      </c>
      <c r="AA34" s="171">
        <f>DIST_GAS_MOT!BH42</f>
        <v>5.4099972954174532E-3</v>
      </c>
      <c r="AB34" s="171">
        <f>DIST_GAS_MOT!BI42</f>
        <v>3.203344102427075E-3</v>
      </c>
      <c r="AC34" s="171">
        <f t="shared" si="8"/>
        <v>1.1352359993253216</v>
      </c>
      <c r="AD34" s="171" t="e">
        <f>DIST_GAS_LEV!AF88</f>
        <v>#DIV/0!</v>
      </c>
      <c r="AE34" s="171" t="e">
        <f>DIST_GAS_LEV!AG88</f>
        <v>#DIV/0!</v>
      </c>
      <c r="AF34" s="171" t="e">
        <f>DIST_GAS_MOT!BJ42</f>
        <v>#DIV/0!</v>
      </c>
      <c r="AG34" s="171" t="e">
        <f>DIST_GAS_MOT!BK42</f>
        <v>#DIV/0!</v>
      </c>
      <c r="AH34" s="171" t="e">
        <f>DIST_GAS_MOT!BL42</f>
        <v>#DIV/0!</v>
      </c>
      <c r="AI34" s="171" t="e">
        <f>DIST_GAS_MOT!BM42</f>
        <v>#DIV/0!</v>
      </c>
      <c r="AJ34" s="171" t="e">
        <f t="shared" si="9"/>
        <v>#DIV/0!</v>
      </c>
      <c r="AL34" s="127" t="s">
        <v>41</v>
      </c>
      <c r="AM34" s="171">
        <f t="shared" si="10"/>
        <v>0.6263811330856357</v>
      </c>
      <c r="AN34" s="171">
        <f t="shared" si="11"/>
        <v>0.10533106727658974</v>
      </c>
      <c r="AO34" s="171">
        <f t="shared" si="12"/>
        <v>2.2239180870257304E-2</v>
      </c>
      <c r="AP34" s="171">
        <f t="shared" si="13"/>
        <v>0.2380833882889844</v>
      </c>
      <c r="AQ34" s="171">
        <f t="shared" si="14"/>
        <v>5.0029220201377725E-3</v>
      </c>
      <c r="AR34" s="171">
        <f t="shared" si="15"/>
        <v>2.962308458395312E-3</v>
      </c>
      <c r="AS34" s="171">
        <f t="shared" si="16"/>
        <v>1.0000000000000002</v>
      </c>
      <c r="AT34" s="171">
        <f t="shared" si="17"/>
        <v>0.62336561647577782</v>
      </c>
      <c r="AU34" s="171">
        <f t="shared" si="18"/>
        <v>0.10726275090691212</v>
      </c>
      <c r="AV34" s="171">
        <f t="shared" si="19"/>
        <v>2.2085114908406478E-2</v>
      </c>
      <c r="AW34" s="171">
        <f t="shared" si="20"/>
        <v>0.23928121323838192</v>
      </c>
      <c r="AX34" s="171">
        <f t="shared" si="21"/>
        <v>5.0280922970675403E-3</v>
      </c>
      <c r="AY34" s="171">
        <f t="shared" si="22"/>
        <v>2.9772121734540466E-3</v>
      </c>
      <c r="AZ34" s="171">
        <f t="shared" si="23"/>
        <v>0.99999999999999989</v>
      </c>
      <c r="BA34" s="171">
        <f t="shared" si="24"/>
        <v>0.63002426734893968</v>
      </c>
      <c r="BB34" s="171">
        <f t="shared" si="25"/>
        <v>0.109563998985217</v>
      </c>
      <c r="BC34" s="171">
        <f t="shared" si="26"/>
        <v>2.1902419392359377E-2</v>
      </c>
      <c r="BD34" s="171">
        <f t="shared" si="27"/>
        <v>0.23078815059054433</v>
      </c>
      <c r="BE34" s="171">
        <f t="shared" si="28"/>
        <v>4.8496248683038761E-3</v>
      </c>
      <c r="BF34" s="171">
        <f t="shared" si="29"/>
        <v>2.8715388146356119E-3</v>
      </c>
      <c r="BG34" s="171">
        <f t="shared" si="44"/>
        <v>0.99999999999999989</v>
      </c>
      <c r="BH34" s="171">
        <f t="shared" si="30"/>
        <v>0.63215338466913396</v>
      </c>
      <c r="BI34" s="171">
        <f t="shared" si="31"/>
        <v>0.11167166030709468</v>
      </c>
      <c r="BJ34" s="171">
        <f t="shared" si="32"/>
        <v>2.1801678639889591E-2</v>
      </c>
      <c r="BK34" s="171">
        <f t="shared" si="33"/>
        <v>0.22678600695006937</v>
      </c>
      <c r="BL34" s="171">
        <f t="shared" si="34"/>
        <v>4.7655265501029311E-3</v>
      </c>
      <c r="BM34" s="171">
        <f t="shared" si="35"/>
        <v>2.8217428837095052E-3</v>
      </c>
      <c r="BN34" s="171">
        <f t="shared" si="36"/>
        <v>1</v>
      </c>
      <c r="BO34" s="171" t="e">
        <f t="shared" si="37"/>
        <v>#DIV/0!</v>
      </c>
      <c r="BP34" s="171" t="e">
        <f t="shared" si="38"/>
        <v>#DIV/0!</v>
      </c>
      <c r="BQ34" s="171" t="e">
        <f t="shared" si="39"/>
        <v>#DIV/0!</v>
      </c>
      <c r="BR34" s="171" t="e">
        <f t="shared" si="40"/>
        <v>#DIV/0!</v>
      </c>
      <c r="BS34" s="171" t="e">
        <f t="shared" si="41"/>
        <v>#DIV/0!</v>
      </c>
      <c r="BT34" s="171" t="e">
        <f t="shared" si="42"/>
        <v>#DIV/0!</v>
      </c>
      <c r="BU34" s="171" t="e">
        <f t="shared" si="43"/>
        <v>#DIV/0!</v>
      </c>
    </row>
    <row r="35" spans="1:73" ht="26.25" thickBot="1">
      <c r="A35" s="127" t="s">
        <v>42</v>
      </c>
      <c r="B35" s="171">
        <f>DIST_GAS_LEV!X89</f>
        <v>0.5189330813254609</v>
      </c>
      <c r="C35" s="171">
        <f>DIST_GAS_LEV!Y89</f>
        <v>0.10219979645698905</v>
      </c>
      <c r="D35" s="171">
        <f>DIST_GAS_MOT!AT43</f>
        <v>5.316435832807672E-2</v>
      </c>
      <c r="E35" s="171">
        <f>DIST_GAS_MOT!AU43</f>
        <v>0.48800923908294375</v>
      </c>
      <c r="F35" s="171">
        <f>DIST_GAS_MOT!AV43</f>
        <v>1.0254518169408524E-2</v>
      </c>
      <c r="G35" s="171">
        <f>DIST_GAS_MOT!AW43</f>
        <v>6.0725593754140843E-3</v>
      </c>
      <c r="H35" s="171">
        <f t="shared" si="5"/>
        <v>1.178633552738293</v>
      </c>
      <c r="I35" s="171">
        <f>DIST_GAS_LEV!Z89</f>
        <v>0.51743520454068426</v>
      </c>
      <c r="J35" s="171">
        <f>DIST_GAS_LEV!AA89</f>
        <v>0.10124298384339923</v>
      </c>
      <c r="K35" s="171">
        <f>DIST_GAS_MOT!AX43</f>
        <v>5.1829214185093286E-2</v>
      </c>
      <c r="L35" s="171">
        <f>DIST_GAS_MOT!AY43</f>
        <v>0.49960478165874406</v>
      </c>
      <c r="M35" s="171">
        <f>DIST_GAS_MOT!AZ43</f>
        <v>1.0498174831014239E-2</v>
      </c>
      <c r="N35" s="171">
        <f>DIST_GAS_MOT!BA43</f>
        <v>6.216848899346073E-3</v>
      </c>
      <c r="O35" s="171">
        <f t="shared" si="6"/>
        <v>1.1868272079582813</v>
      </c>
      <c r="P35" s="171">
        <f>DIST_GAS_LEV!AB89</f>
        <v>0.53686559335760908</v>
      </c>
      <c r="Q35" s="171">
        <f>DIST_GAS_LEV!AC89</f>
        <v>0.10389432960102885</v>
      </c>
      <c r="R35" s="171">
        <f>DIST_GAS_MOT!BB43</f>
        <v>4.779944769109358E-2</v>
      </c>
      <c r="S35" s="171">
        <f>DIST_GAS_MOT!BC43</f>
        <v>0.45273985974150033</v>
      </c>
      <c r="T35" s="171">
        <f>DIST_GAS_MOT!BD43</f>
        <v>9.513404144681787E-3</v>
      </c>
      <c r="U35" s="171">
        <f>DIST_GAS_MOT!BE43</f>
        <v>5.6336836676766826E-3</v>
      </c>
      <c r="V35" s="266">
        <f t="shared" si="7"/>
        <v>1.1564463182035905</v>
      </c>
      <c r="W35" s="171">
        <f>DIST_GAS_LEV!AD89</f>
        <v>0.50856342852271053</v>
      </c>
      <c r="X35" s="171">
        <f>DIST_GAS_LEV!AE89</f>
        <v>9.8978172560006822E-2</v>
      </c>
      <c r="Y35" s="171">
        <f>DIST_GAS_MOT!BF43</f>
        <v>4.355954365475681E-2</v>
      </c>
      <c r="Z35" s="171">
        <f>DIST_GAS_MOT!BG43</f>
        <v>0.41229787507896526</v>
      </c>
      <c r="AA35" s="171">
        <f>DIST_GAS_MOT!BH43</f>
        <v>8.6635983760282535E-3</v>
      </c>
      <c r="AB35" s="171">
        <f>DIST_GAS_MOT!BI43</f>
        <v>5.1304424717019291E-3</v>
      </c>
      <c r="AC35" s="171">
        <f t="shared" si="8"/>
        <v>1.0771930606641695</v>
      </c>
      <c r="AD35" s="171" t="e">
        <f>DIST_GAS_LEV!AF89</f>
        <v>#DIV/0!</v>
      </c>
      <c r="AE35" s="171" t="e">
        <f>DIST_GAS_LEV!AG89</f>
        <v>#DIV/0!</v>
      </c>
      <c r="AF35" s="171" t="e">
        <f>DIST_GAS_MOT!BJ43</f>
        <v>#DIV/0!</v>
      </c>
      <c r="AG35" s="171" t="e">
        <f>DIST_GAS_MOT!BK43</f>
        <v>#DIV/0!</v>
      </c>
      <c r="AH35" s="171" t="e">
        <f>DIST_GAS_MOT!BL43</f>
        <v>#DIV/0!</v>
      </c>
      <c r="AI35" s="171" t="e">
        <f>DIST_GAS_MOT!BM43</f>
        <v>#DIV/0!</v>
      </c>
      <c r="AJ35" s="171" t="e">
        <f t="shared" si="9"/>
        <v>#DIV/0!</v>
      </c>
      <c r="AL35" s="127" t="s">
        <v>42</v>
      </c>
      <c r="AM35" s="171">
        <f t="shared" si="10"/>
        <v>0.44028364890837807</v>
      </c>
      <c r="AN35" s="171">
        <f t="shared" si="11"/>
        <v>8.6710408183740026E-2</v>
      </c>
      <c r="AO35" s="171">
        <f t="shared" si="12"/>
        <v>4.5106774878893578E-2</v>
      </c>
      <c r="AP35" s="171">
        <f t="shared" si="13"/>
        <v>0.4140466202995518</v>
      </c>
      <c r="AQ35" s="171">
        <f t="shared" si="14"/>
        <v>8.7003446877822466E-3</v>
      </c>
      <c r="AR35" s="171">
        <f t="shared" si="15"/>
        <v>5.1522030416543321E-3</v>
      </c>
      <c r="AS35" s="171">
        <f t="shared" si="16"/>
        <v>1.0000000000000002</v>
      </c>
      <c r="AT35" s="171">
        <f t="shared" si="17"/>
        <v>0.43598191975294925</v>
      </c>
      <c r="AU35" s="171">
        <f t="shared" si="18"/>
        <v>8.5305580428653327E-2</v>
      </c>
      <c r="AV35" s="171">
        <f t="shared" si="19"/>
        <v>4.3670396025261293E-2</v>
      </c>
      <c r="AW35" s="171">
        <f t="shared" si="20"/>
        <v>0.42095831500039715</v>
      </c>
      <c r="AX35" s="171">
        <f t="shared" si="21"/>
        <v>8.845579845674776E-3</v>
      </c>
      <c r="AY35" s="171">
        <f t="shared" si="22"/>
        <v>5.2382089470640143E-3</v>
      </c>
      <c r="AZ35" s="171">
        <f t="shared" si="23"/>
        <v>1</v>
      </c>
      <c r="BA35" s="171">
        <f t="shared" si="24"/>
        <v>0.46423736658314546</v>
      </c>
      <c r="BB35" s="171">
        <f t="shared" si="25"/>
        <v>8.9839301630893709E-2</v>
      </c>
      <c r="BC35" s="171">
        <f t="shared" si="26"/>
        <v>4.1333044983311161E-2</v>
      </c>
      <c r="BD35" s="171">
        <f t="shared" si="27"/>
        <v>0.39149232663456518</v>
      </c>
      <c r="BE35" s="171">
        <f t="shared" si="28"/>
        <v>8.2264122380187894E-3</v>
      </c>
      <c r="BF35" s="171">
        <f t="shared" si="29"/>
        <v>4.8715479300655978E-3</v>
      </c>
      <c r="BG35" s="171">
        <f t="shared" si="44"/>
        <v>0.99999999999999989</v>
      </c>
      <c r="BH35" s="171">
        <f t="shared" si="30"/>
        <v>0.47211910946506042</v>
      </c>
      <c r="BI35" s="171">
        <f t="shared" si="31"/>
        <v>9.1885267529461648E-2</v>
      </c>
      <c r="BJ35" s="171">
        <f t="shared" si="32"/>
        <v>4.043800990316361E-2</v>
      </c>
      <c r="BK35" s="171">
        <f t="shared" si="33"/>
        <v>0.38275207122551735</v>
      </c>
      <c r="BL35" s="171">
        <f t="shared" si="34"/>
        <v>8.0427536087973889E-3</v>
      </c>
      <c r="BM35" s="171">
        <f t="shared" si="35"/>
        <v>4.7627882679996377E-3</v>
      </c>
      <c r="BN35" s="171">
        <f t="shared" si="36"/>
        <v>1</v>
      </c>
      <c r="BO35" s="171" t="e">
        <f t="shared" si="37"/>
        <v>#DIV/0!</v>
      </c>
      <c r="BP35" s="171" t="e">
        <f t="shared" si="38"/>
        <v>#DIV/0!</v>
      </c>
      <c r="BQ35" s="171" t="e">
        <f t="shared" si="39"/>
        <v>#DIV/0!</v>
      </c>
      <c r="BR35" s="171" t="e">
        <f t="shared" si="40"/>
        <v>#DIV/0!</v>
      </c>
      <c r="BS35" s="171" t="e">
        <f t="shared" si="41"/>
        <v>#DIV/0!</v>
      </c>
      <c r="BT35" s="171" t="e">
        <f t="shared" si="42"/>
        <v>#DIV/0!</v>
      </c>
      <c r="BU35" s="171" t="e">
        <f t="shared" si="43"/>
        <v>#DIV/0!</v>
      </c>
    </row>
    <row r="36" spans="1:73" ht="39" thickBot="1">
      <c r="A36" s="128" t="s">
        <v>43</v>
      </c>
      <c r="B36" s="171">
        <f>DIST_GAS_LEV!X90</f>
        <v>0.79982986321671201</v>
      </c>
      <c r="C36" s="171">
        <f>DIST_GAS_LEV!Y90</f>
        <v>0.13506265808916498</v>
      </c>
      <c r="D36" s="171">
        <f>DIST_GAS_MOT!AT44</f>
        <v>2.8610324159499972E-2</v>
      </c>
      <c r="E36" s="171">
        <f>DIST_GAS_MOT!AU44</f>
        <v>0.3167400431360729</v>
      </c>
      <c r="F36" s="171">
        <f>DIST_GAS_MOT!AV44</f>
        <v>6.6558802233545903E-3</v>
      </c>
      <c r="G36" s="171">
        <f>DIST_GAS_MOT!AW44</f>
        <v>3.9409817111967964E-3</v>
      </c>
      <c r="H36" s="171">
        <f t="shared" si="5"/>
        <v>1.2908397505360012</v>
      </c>
      <c r="I36" s="171">
        <f>DIST_GAS_LEV!Z90</f>
        <v>0.76215327072709171</v>
      </c>
      <c r="J36" s="171">
        <f>DIST_GAS_LEV!AA90</f>
        <v>0.12984450304307804</v>
      </c>
      <c r="K36" s="171">
        <f>DIST_GAS_MOT!AX44</f>
        <v>2.6246271765479862E-2</v>
      </c>
      <c r="L36" s="171">
        <f>DIST_GAS_MOT!AY44</f>
        <v>0.29085870625430887</v>
      </c>
      <c r="M36" s="171">
        <f>DIST_GAS_MOT!AZ44</f>
        <v>6.1120175762458834E-3</v>
      </c>
      <c r="N36" s="171">
        <f>DIST_GAS_MOT!BA44</f>
        <v>3.6189577754087467E-3</v>
      </c>
      <c r="O36" s="171">
        <f t="shared" si="6"/>
        <v>1.218833727141613</v>
      </c>
      <c r="P36" s="171">
        <f>DIST_GAS_LEV!AB90</f>
        <v>0.73935843114627087</v>
      </c>
      <c r="Q36" s="171">
        <f>DIST_GAS_LEV!AC90</f>
        <v>0.12574965716683945</v>
      </c>
      <c r="R36" s="171">
        <f>DIST_GAS_MOT!BB44</f>
        <v>2.4133383097554001E-2</v>
      </c>
      <c r="S36" s="171">
        <f>DIST_GAS_MOT!BC44</f>
        <v>0.26356852363771732</v>
      </c>
      <c r="T36" s="171">
        <f>DIST_GAS_MOT!BD44</f>
        <v>5.5385498676130546E-3</v>
      </c>
      <c r="U36" s="171">
        <f>DIST_GAS_MOT!BE44</f>
        <v>3.2794045268761509E-3</v>
      </c>
      <c r="V36" s="266">
        <f t="shared" si="7"/>
        <v>1.161627949442871</v>
      </c>
      <c r="W36" s="171">
        <f>DIST_GAS_LEV!AD90</f>
        <v>0.70920779523790523</v>
      </c>
      <c r="X36" s="171">
        <f>DIST_GAS_LEV!AE90</f>
        <v>0.12129194317227562</v>
      </c>
      <c r="Y36" s="171">
        <f>DIST_GAS_MOT!BF44</f>
        <v>2.2813163697450886E-2</v>
      </c>
      <c r="Z36" s="171">
        <f>DIST_GAS_MOT!BG44</f>
        <v>0.24660865593936396</v>
      </c>
      <c r="AA36" s="171">
        <f>DIST_GAS_MOT!BH44</f>
        <v>5.1821602968896412E-3</v>
      </c>
      <c r="AB36" s="171">
        <f>DIST_GAS_MOT!BI44</f>
        <v>3.0683843863162346E-3</v>
      </c>
      <c r="AC36" s="171">
        <f t="shared" si="8"/>
        <v>1.1081721027302014</v>
      </c>
      <c r="AD36" s="171" t="e">
        <f>DIST_GAS_LEV!AF90</f>
        <v>#DIV/0!</v>
      </c>
      <c r="AE36" s="171" t="e">
        <f>DIST_GAS_LEV!AG90</f>
        <v>#DIV/0!</v>
      </c>
      <c r="AF36" s="171" t="e">
        <f>DIST_GAS_MOT!BJ44</f>
        <v>#DIV/0!</v>
      </c>
      <c r="AG36" s="171" t="e">
        <f>DIST_GAS_MOT!BK44</f>
        <v>#DIV/0!</v>
      </c>
      <c r="AH36" s="171" t="e">
        <f>DIST_GAS_MOT!BL44</f>
        <v>#DIV/0!</v>
      </c>
      <c r="AI36" s="171" t="e">
        <f>DIST_GAS_MOT!BM44</f>
        <v>#DIV/0!</v>
      </c>
      <c r="AJ36" s="171" t="e">
        <f t="shared" si="9"/>
        <v>#DIV/0!</v>
      </c>
      <c r="AL36" s="128" t="s">
        <v>43</v>
      </c>
      <c r="AM36" s="171">
        <f t="shared" si="10"/>
        <v>0.61961979624860097</v>
      </c>
      <c r="AN36" s="171">
        <f t="shared" si="11"/>
        <v>0.10463162296720589</v>
      </c>
      <c r="AO36" s="171">
        <f t="shared" si="12"/>
        <v>2.2164117697506588E-2</v>
      </c>
      <c r="AP36" s="171">
        <f t="shared" si="13"/>
        <v>0.24537518542061593</v>
      </c>
      <c r="AQ36" s="171">
        <f t="shared" si="14"/>
        <v>5.1562405175319707E-3</v>
      </c>
      <c r="AR36" s="171">
        <f t="shared" si="15"/>
        <v>3.0530371485386664E-3</v>
      </c>
      <c r="AS36" s="171">
        <f t="shared" si="16"/>
        <v>0.99999999999999989</v>
      </c>
      <c r="AT36" s="171">
        <f t="shared" si="17"/>
        <v>0.62531357128956377</v>
      </c>
      <c r="AU36" s="171">
        <f t="shared" si="18"/>
        <v>0.10653176077395482</v>
      </c>
      <c r="AV36" s="171">
        <f t="shared" si="19"/>
        <v>2.1533923111097482E-2</v>
      </c>
      <c r="AW36" s="171">
        <f t="shared" si="20"/>
        <v>0.23863690327672954</v>
      </c>
      <c r="AX36" s="171">
        <f t="shared" si="21"/>
        <v>5.0146442784937345E-3</v>
      </c>
      <c r="AY36" s="171">
        <f t="shared" si="22"/>
        <v>2.9691972701607638E-3</v>
      </c>
      <c r="AZ36" s="171">
        <f t="shared" si="23"/>
        <v>1.0000000000000002</v>
      </c>
      <c r="BA36" s="171">
        <f t="shared" si="24"/>
        <v>0.63648471225307124</v>
      </c>
      <c r="BB36" s="171">
        <f t="shared" si="25"/>
        <v>0.10825295416415412</v>
      </c>
      <c r="BC36" s="171">
        <f t="shared" si="26"/>
        <v>2.0775484189347052E-2</v>
      </c>
      <c r="BD36" s="171">
        <f t="shared" si="27"/>
        <v>0.22689581785986432</v>
      </c>
      <c r="BE36" s="171">
        <f t="shared" si="28"/>
        <v>4.7679206326512735E-3</v>
      </c>
      <c r="BF36" s="171">
        <f t="shared" si="29"/>
        <v>2.8231109009119381E-3</v>
      </c>
      <c r="BG36" s="171">
        <f t="shared" si="44"/>
        <v>1</v>
      </c>
      <c r="BH36" s="171">
        <f t="shared" si="30"/>
        <v>0.63997983119285484</v>
      </c>
      <c r="BI36" s="171">
        <f t="shared" si="31"/>
        <v>0.10945226185846847</v>
      </c>
      <c r="BJ36" s="171">
        <f t="shared" si="32"/>
        <v>2.0586300305923729E-2</v>
      </c>
      <c r="BK36" s="171">
        <f t="shared" si="33"/>
        <v>0.22253642311676564</v>
      </c>
      <c r="BL36" s="171">
        <f t="shared" si="34"/>
        <v>4.6763136196285426E-3</v>
      </c>
      <c r="BM36" s="171">
        <f t="shared" si="35"/>
        <v>2.768869906359005E-3</v>
      </c>
      <c r="BN36" s="171">
        <f t="shared" si="36"/>
        <v>1</v>
      </c>
      <c r="BO36" s="171" t="e">
        <f t="shared" si="37"/>
        <v>#DIV/0!</v>
      </c>
      <c r="BP36" s="171" t="e">
        <f t="shared" si="38"/>
        <v>#DIV/0!</v>
      </c>
      <c r="BQ36" s="171" t="e">
        <f t="shared" si="39"/>
        <v>#DIV/0!</v>
      </c>
      <c r="BR36" s="171" t="e">
        <f t="shared" si="40"/>
        <v>#DIV/0!</v>
      </c>
      <c r="BS36" s="171" t="e">
        <f t="shared" si="41"/>
        <v>#DIV/0!</v>
      </c>
      <c r="BT36" s="171" t="e">
        <f t="shared" si="42"/>
        <v>#DIV/0!</v>
      </c>
      <c r="BU36" s="171" t="e">
        <f t="shared" si="43"/>
        <v>#DIV/0!</v>
      </c>
    </row>
  </sheetData>
  <mergeCells count="52">
    <mergeCell ref="BO1:BU1"/>
    <mergeCell ref="BO2:BO3"/>
    <mergeCell ref="BP2:BP3"/>
    <mergeCell ref="BQ2:BT2"/>
    <mergeCell ref="BU2:BU3"/>
    <mergeCell ref="AD1:AJ1"/>
    <mergeCell ref="AD2:AD3"/>
    <mergeCell ref="AE2:AE3"/>
    <mergeCell ref="AF2:AI2"/>
    <mergeCell ref="AJ2:AJ3"/>
    <mergeCell ref="AT2:AT3"/>
    <mergeCell ref="BC2:BF2"/>
    <mergeCell ref="BH2:BH3"/>
    <mergeCell ref="BI2:BI3"/>
    <mergeCell ref="AT1:AZ1"/>
    <mergeCell ref="BA1:BG1"/>
    <mergeCell ref="BH1:BN1"/>
    <mergeCell ref="AU2:AU3"/>
    <mergeCell ref="AV2:AY2"/>
    <mergeCell ref="BJ2:BM2"/>
    <mergeCell ref="BN2:BN3"/>
    <mergeCell ref="BG2:BG3"/>
    <mergeCell ref="AZ2:AZ3"/>
    <mergeCell ref="BA2:BA3"/>
    <mergeCell ref="BB2:BB3"/>
    <mergeCell ref="AC2:AC3"/>
    <mergeCell ref="AL1:AL3"/>
    <mergeCell ref="AM1:AS1"/>
    <mergeCell ref="P2:P3"/>
    <mergeCell ref="Q2:Q3"/>
    <mergeCell ref="R2:U2"/>
    <mergeCell ref="W2:W3"/>
    <mergeCell ref="X2:X3"/>
    <mergeCell ref="Y2:AB2"/>
    <mergeCell ref="P1:V1"/>
    <mergeCell ref="W1:AC1"/>
    <mergeCell ref="V2:V3"/>
    <mergeCell ref="AM2:AM3"/>
    <mergeCell ref="AN2:AN3"/>
    <mergeCell ref="AO2:AR2"/>
    <mergeCell ref="AS2:AS3"/>
    <mergeCell ref="D2:G2"/>
    <mergeCell ref="K2:N2"/>
    <mergeCell ref="B1:H1"/>
    <mergeCell ref="I1:O1"/>
    <mergeCell ref="A1:A3"/>
    <mergeCell ref="B2:B3"/>
    <mergeCell ref="C2:C3"/>
    <mergeCell ref="I2:I3"/>
    <mergeCell ref="J2:J3"/>
    <mergeCell ref="H2:H3"/>
    <mergeCell ref="O2:O3"/>
  </mergeCells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FFFF00"/>
  </sheetPr>
  <dimension ref="A1:BU51"/>
  <sheetViews>
    <sheetView workbookViewId="0">
      <pane xSplit="1" topLeftCell="E17" activePane="topRight" state="frozen"/>
      <selection pane="topRight" activeCell="E17" sqref="E17"/>
      <selection activeCell="A22" sqref="A22"/>
    </sheetView>
  </sheetViews>
  <sheetFormatPr defaultColWidth="8.85546875" defaultRowHeight="15"/>
  <cols>
    <col min="1" max="1" width="20.28515625" style="45" customWidth="1"/>
    <col min="2" max="10" width="12.85546875" style="45" customWidth="1"/>
    <col min="11" max="11" width="10.42578125" style="45" bestFit="1" customWidth="1"/>
    <col min="12" max="12" width="13.85546875" style="45" customWidth="1"/>
    <col min="13" max="13" width="10.42578125" style="46" bestFit="1" customWidth="1"/>
    <col min="14" max="16" width="10.42578125" style="46" customWidth="1"/>
    <col min="17" max="17" width="8.85546875" style="1"/>
    <col min="18" max="18" width="18.42578125" style="1" customWidth="1"/>
    <col min="19" max="30" width="12.7109375" style="1" bestFit="1" customWidth="1"/>
    <col min="31" max="33" width="12.7109375" style="1" customWidth="1"/>
    <col min="34" max="34" width="8.85546875" style="1"/>
    <col min="35" max="35" width="20.85546875" style="1" customWidth="1"/>
    <col min="36" max="36" width="17.42578125" style="1" bestFit="1" customWidth="1"/>
    <col min="37" max="38" width="18.42578125" style="1" bestFit="1" customWidth="1"/>
    <col min="39" max="47" width="12.7109375" style="1" bestFit="1" customWidth="1"/>
    <col min="48" max="48" width="11.42578125" style="1" customWidth="1"/>
    <col min="49" max="49" width="11" style="1" customWidth="1"/>
    <col min="50" max="50" width="8.85546875" style="1"/>
    <col min="51" max="51" width="10.28515625" style="1" customWidth="1"/>
    <col min="52" max="73" width="8.85546875" style="1"/>
  </cols>
  <sheetData>
    <row r="1" spans="1:50" ht="15.75" thickBot="1">
      <c r="A1" s="175" t="s">
        <v>440</v>
      </c>
      <c r="B1" s="1204">
        <v>2004</v>
      </c>
      <c r="C1" s="1205"/>
      <c r="D1" s="1204">
        <v>2005</v>
      </c>
      <c r="E1" s="1205"/>
      <c r="F1" s="1204">
        <v>2006</v>
      </c>
      <c r="G1" s="1205"/>
      <c r="H1" s="1204">
        <v>2007</v>
      </c>
      <c r="I1" s="1039"/>
      <c r="J1" s="1204">
        <v>2008</v>
      </c>
      <c r="K1" s="1039"/>
    </row>
    <row r="2" spans="1:50">
      <c r="A2" s="15" t="s">
        <v>453</v>
      </c>
      <c r="B2" s="161">
        <f>CAM!C16</f>
        <v>435705</v>
      </c>
      <c r="C2" s="162">
        <f>B2/B4</f>
        <v>0.58837947001891922</v>
      </c>
      <c r="D2" s="161">
        <f>CAM!E16</f>
        <v>455379</v>
      </c>
      <c r="E2" s="162">
        <f>D2/D4</f>
        <v>0.62210755825867425</v>
      </c>
      <c r="F2" s="161">
        <f>CAM!G16</f>
        <v>455379</v>
      </c>
      <c r="G2" s="162">
        <f>F2/F4</f>
        <v>0.62210755825867425</v>
      </c>
      <c r="H2" s="161">
        <f>CAM!I16</f>
        <v>455379</v>
      </c>
      <c r="I2" s="163">
        <f>H2/H4</f>
        <v>0.62210755825867425</v>
      </c>
      <c r="J2" s="161">
        <f>CAM!K16</f>
        <v>0</v>
      </c>
      <c r="K2" s="163" t="e">
        <f>J2/J4</f>
        <v>#DIV/0!</v>
      </c>
      <c r="L2" s="214"/>
      <c r="M2" s="214"/>
      <c r="N2" s="214"/>
      <c r="O2" s="214"/>
      <c r="P2" s="214"/>
      <c r="Q2" s="214"/>
      <c r="R2" s="214"/>
      <c r="S2" s="214"/>
      <c r="T2" s="214"/>
      <c r="U2" s="214"/>
    </row>
    <row r="3" spans="1:50">
      <c r="A3" s="24" t="s">
        <v>454</v>
      </c>
      <c r="B3" s="161">
        <f>CAM!C17</f>
        <v>304812</v>
      </c>
      <c r="C3" s="157">
        <f>B3/B4</f>
        <v>0.41162052998108078</v>
      </c>
      <c r="D3" s="161">
        <f>CAM!E17</f>
        <v>276615</v>
      </c>
      <c r="E3" s="157">
        <f>D3/D4</f>
        <v>0.37789244174132575</v>
      </c>
      <c r="F3" s="161">
        <f>CAM!G17</f>
        <v>276615</v>
      </c>
      <c r="G3" s="157">
        <f>F3/F4</f>
        <v>0.37789244174132575</v>
      </c>
      <c r="H3" s="161">
        <f>CAM!I17</f>
        <v>276615</v>
      </c>
      <c r="I3" s="158">
        <f>H3/H4</f>
        <v>0.37789244174132575</v>
      </c>
      <c r="J3" s="161">
        <f>CAM!K17</f>
        <v>0</v>
      </c>
      <c r="K3" s="158" t="e">
        <f>J3/J4</f>
        <v>#DIV/0!</v>
      </c>
      <c r="L3" s="214"/>
      <c r="M3" s="214"/>
      <c r="N3" s="214"/>
      <c r="O3" s="214"/>
      <c r="P3" s="214"/>
      <c r="Q3" s="214"/>
      <c r="R3" s="214"/>
      <c r="S3" s="214"/>
      <c r="T3" s="214"/>
      <c r="U3" s="214"/>
    </row>
    <row r="4" spans="1:50" ht="15.75" thickBot="1">
      <c r="A4" s="39" t="s">
        <v>449</v>
      </c>
      <c r="B4" s="150">
        <f>SUM(B2:B3)</f>
        <v>740517</v>
      </c>
      <c r="C4" s="159">
        <f t="shared" ref="C4:I4" si="0">SUM(C2:C3)</f>
        <v>1</v>
      </c>
      <c r="D4" s="150">
        <f t="shared" si="0"/>
        <v>731994</v>
      </c>
      <c r="E4" s="159">
        <f t="shared" si="0"/>
        <v>1</v>
      </c>
      <c r="F4" s="150">
        <f t="shared" si="0"/>
        <v>731994</v>
      </c>
      <c r="G4" s="159">
        <f t="shared" si="0"/>
        <v>1</v>
      </c>
      <c r="H4" s="150">
        <f t="shared" si="0"/>
        <v>731994</v>
      </c>
      <c r="I4" s="160">
        <f t="shared" si="0"/>
        <v>1</v>
      </c>
      <c r="J4" s="150">
        <f>SUM(J2:J3)</f>
        <v>0</v>
      </c>
      <c r="K4" s="160" t="e">
        <f>SUM(K2:K3)</f>
        <v>#DIV/0!</v>
      </c>
    </row>
    <row r="5" spans="1:50" ht="15.75" thickBot="1"/>
    <row r="6" spans="1:50">
      <c r="A6" s="1233" t="s">
        <v>455</v>
      </c>
      <c r="B6" s="1200">
        <v>2004</v>
      </c>
      <c r="C6" s="1214"/>
      <c r="D6" s="1201"/>
      <c r="E6" s="1200">
        <v>2005</v>
      </c>
      <c r="F6" s="1214"/>
      <c r="G6" s="1201"/>
      <c r="H6" s="1200">
        <v>2006</v>
      </c>
      <c r="I6" s="1214"/>
      <c r="J6" s="1201"/>
      <c r="K6" s="1214">
        <v>2007</v>
      </c>
      <c r="L6" s="1214"/>
      <c r="M6" s="1201"/>
      <c r="N6" s="1214">
        <v>2008</v>
      </c>
      <c r="O6" s="1214"/>
      <c r="P6" s="1201"/>
      <c r="R6" s="1233" t="s">
        <v>456</v>
      </c>
      <c r="S6" s="1200">
        <v>2004</v>
      </c>
      <c r="T6" s="1214"/>
      <c r="U6" s="1201"/>
      <c r="V6" s="1200">
        <v>2005</v>
      </c>
      <c r="W6" s="1214"/>
      <c r="X6" s="1201"/>
      <c r="Y6" s="1200">
        <v>2006</v>
      </c>
      <c r="Z6" s="1214"/>
      <c r="AA6" s="1201"/>
      <c r="AB6" s="1214">
        <v>2007</v>
      </c>
      <c r="AC6" s="1214"/>
      <c r="AD6" s="1201"/>
      <c r="AE6" s="1214">
        <v>2008</v>
      </c>
      <c r="AF6" s="1214"/>
      <c r="AG6" s="1201"/>
      <c r="AI6" s="1194" t="s">
        <v>457</v>
      </c>
      <c r="AJ6" s="1200">
        <v>2004</v>
      </c>
      <c r="AK6" s="1214"/>
      <c r="AL6" s="1201"/>
      <c r="AM6" s="1200">
        <v>2005</v>
      </c>
      <c r="AN6" s="1214"/>
      <c r="AO6" s="1201"/>
      <c r="AP6" s="1200">
        <v>2006</v>
      </c>
      <c r="AQ6" s="1214"/>
      <c r="AR6" s="1201"/>
      <c r="AS6" s="1214">
        <v>2007</v>
      </c>
      <c r="AT6" s="1214"/>
      <c r="AU6" s="1201"/>
      <c r="AV6" s="1214">
        <v>2008</v>
      </c>
      <c r="AW6" s="1214"/>
      <c r="AX6" s="1201"/>
    </row>
    <row r="7" spans="1:50" ht="15.75" thickBot="1">
      <c r="A7" s="1234"/>
      <c r="B7" s="1215"/>
      <c r="C7" s="1216"/>
      <c r="D7" s="1217"/>
      <c r="E7" s="1215"/>
      <c r="F7" s="1216"/>
      <c r="G7" s="1217"/>
      <c r="H7" s="1215"/>
      <c r="I7" s="1216"/>
      <c r="J7" s="1217"/>
      <c r="K7" s="1216"/>
      <c r="L7" s="1216"/>
      <c r="M7" s="1217"/>
      <c r="N7" s="1216"/>
      <c r="O7" s="1216"/>
      <c r="P7" s="1217"/>
      <c r="R7" s="1234"/>
      <c r="S7" s="1215"/>
      <c r="T7" s="1216"/>
      <c r="U7" s="1217"/>
      <c r="V7" s="1215"/>
      <c r="W7" s="1216"/>
      <c r="X7" s="1217"/>
      <c r="Y7" s="1215"/>
      <c r="Z7" s="1216"/>
      <c r="AA7" s="1217"/>
      <c r="AB7" s="1216"/>
      <c r="AC7" s="1216"/>
      <c r="AD7" s="1217"/>
      <c r="AE7" s="1216"/>
      <c r="AF7" s="1216"/>
      <c r="AG7" s="1217"/>
      <c r="AI7" s="1195"/>
      <c r="AJ7" s="1215"/>
      <c r="AK7" s="1216"/>
      <c r="AL7" s="1217"/>
      <c r="AM7" s="1215"/>
      <c r="AN7" s="1216"/>
      <c r="AO7" s="1217"/>
      <c r="AP7" s="1215"/>
      <c r="AQ7" s="1216"/>
      <c r="AR7" s="1217"/>
      <c r="AS7" s="1216"/>
      <c r="AT7" s="1216"/>
      <c r="AU7" s="1217"/>
      <c r="AV7" s="1216"/>
      <c r="AW7" s="1216"/>
      <c r="AX7" s="1217"/>
    </row>
    <row r="8" spans="1:50" ht="15.75" thickBot="1">
      <c r="A8" s="1235"/>
      <c r="B8" s="134" t="s">
        <v>458</v>
      </c>
      <c r="C8" s="135" t="s">
        <v>459</v>
      </c>
      <c r="D8" s="136" t="s">
        <v>460</v>
      </c>
      <c r="E8" s="134" t="s">
        <v>458</v>
      </c>
      <c r="F8" s="135" t="s">
        <v>459</v>
      </c>
      <c r="G8" s="136" t="s">
        <v>460</v>
      </c>
      <c r="H8" s="134" t="s">
        <v>458</v>
      </c>
      <c r="I8" s="135" t="s">
        <v>459</v>
      </c>
      <c r="J8" s="136" t="s">
        <v>460</v>
      </c>
      <c r="K8" s="134" t="s">
        <v>458</v>
      </c>
      <c r="L8" s="135" t="s">
        <v>459</v>
      </c>
      <c r="M8" s="136" t="s">
        <v>460</v>
      </c>
      <c r="N8" s="134" t="s">
        <v>458</v>
      </c>
      <c r="O8" s="135" t="s">
        <v>459</v>
      </c>
      <c r="P8" s="136" t="s">
        <v>460</v>
      </c>
      <c r="R8" s="1235"/>
      <c r="S8" s="134" t="s">
        <v>458</v>
      </c>
      <c r="T8" s="135" t="s">
        <v>459</v>
      </c>
      <c r="U8" s="136" t="s">
        <v>460</v>
      </c>
      <c r="V8" s="134" t="s">
        <v>458</v>
      </c>
      <c r="W8" s="135" t="s">
        <v>459</v>
      </c>
      <c r="X8" s="136" t="s">
        <v>460</v>
      </c>
      <c r="Y8" s="134" t="s">
        <v>458</v>
      </c>
      <c r="Z8" s="135" t="s">
        <v>459</v>
      </c>
      <c r="AA8" s="136" t="s">
        <v>460</v>
      </c>
      <c r="AB8" s="134" t="s">
        <v>458</v>
      </c>
      <c r="AC8" s="135" t="s">
        <v>459</v>
      </c>
      <c r="AD8" s="136" t="s">
        <v>460</v>
      </c>
      <c r="AE8" s="134" t="s">
        <v>458</v>
      </c>
      <c r="AF8" s="135" t="s">
        <v>459</v>
      </c>
      <c r="AG8" s="136" t="s">
        <v>460</v>
      </c>
      <c r="AI8" s="1196"/>
      <c r="AJ8" s="134" t="s">
        <v>458</v>
      </c>
      <c r="AK8" s="135" t="s">
        <v>459</v>
      </c>
      <c r="AL8" s="136" t="s">
        <v>460</v>
      </c>
      <c r="AM8" s="134" t="s">
        <v>458</v>
      </c>
      <c r="AN8" s="135" t="s">
        <v>459</v>
      </c>
      <c r="AO8" s="136" t="s">
        <v>460</v>
      </c>
      <c r="AP8" s="134" t="s">
        <v>458</v>
      </c>
      <c r="AQ8" s="135" t="s">
        <v>459</v>
      </c>
      <c r="AR8" s="136" t="s">
        <v>460</v>
      </c>
      <c r="AS8" s="134" t="s">
        <v>458</v>
      </c>
      <c r="AT8" s="135" t="s">
        <v>459</v>
      </c>
      <c r="AU8" s="136" t="s">
        <v>460</v>
      </c>
      <c r="AV8" s="134" t="s">
        <v>458</v>
      </c>
      <c r="AW8" s="135" t="s">
        <v>459</v>
      </c>
      <c r="AX8" s="136" t="s">
        <v>460</v>
      </c>
    </row>
    <row r="9" spans="1:50" ht="15.75" thickBot="1">
      <c r="A9" s="164" t="s">
        <v>87</v>
      </c>
      <c r="B9" s="176">
        <v>61566</v>
      </c>
      <c r="C9" s="176">
        <f>(B9+D9)/2</f>
        <v>92349</v>
      </c>
      <c r="D9" s="176">
        <v>123132</v>
      </c>
      <c r="E9" s="176">
        <f>B9</f>
        <v>61566</v>
      </c>
      <c r="F9" s="176">
        <f t="shared" ref="F9:M16" si="1">C9</f>
        <v>92349</v>
      </c>
      <c r="G9" s="176">
        <f t="shared" si="1"/>
        <v>123132</v>
      </c>
      <c r="H9" s="176">
        <f t="shared" si="1"/>
        <v>61566</v>
      </c>
      <c r="I9" s="176">
        <f t="shared" si="1"/>
        <v>92349</v>
      </c>
      <c r="J9" s="176">
        <f t="shared" si="1"/>
        <v>123132</v>
      </c>
      <c r="K9" s="176">
        <f t="shared" si="1"/>
        <v>61566</v>
      </c>
      <c r="L9" s="176">
        <f t="shared" si="1"/>
        <v>92349</v>
      </c>
      <c r="M9" s="176">
        <f t="shared" si="1"/>
        <v>123132</v>
      </c>
      <c r="N9" s="176">
        <f t="shared" ref="N9:N16" si="2">K9</f>
        <v>61566</v>
      </c>
      <c r="O9" s="176">
        <f t="shared" ref="O9:O16" si="3">L9</f>
        <v>92349</v>
      </c>
      <c r="P9" s="176">
        <f t="shared" ref="P9:P16" si="4">M9</f>
        <v>123132</v>
      </c>
      <c r="R9" s="164" t="s">
        <v>87</v>
      </c>
      <c r="S9" s="176">
        <f>B9</f>
        <v>61566</v>
      </c>
      <c r="T9" s="176">
        <f t="shared" ref="T9:AD17" si="5">C9</f>
        <v>92349</v>
      </c>
      <c r="U9" s="176">
        <f t="shared" si="5"/>
        <v>123132</v>
      </c>
      <c r="V9" s="176">
        <f t="shared" si="5"/>
        <v>61566</v>
      </c>
      <c r="W9" s="176">
        <f t="shared" si="5"/>
        <v>92349</v>
      </c>
      <c r="X9" s="176">
        <f t="shared" si="5"/>
        <v>123132</v>
      </c>
      <c r="Y9" s="176">
        <f t="shared" si="5"/>
        <v>61566</v>
      </c>
      <c r="Z9" s="176">
        <f t="shared" si="5"/>
        <v>92349</v>
      </c>
      <c r="AA9" s="176">
        <f t="shared" si="5"/>
        <v>123132</v>
      </c>
      <c r="AB9" s="176">
        <f t="shared" si="5"/>
        <v>61566</v>
      </c>
      <c r="AC9" s="176">
        <f t="shared" si="5"/>
        <v>92349</v>
      </c>
      <c r="AD9" s="176">
        <f t="shared" si="5"/>
        <v>123132</v>
      </c>
      <c r="AE9" s="176">
        <f t="shared" ref="AE9:AE16" si="6">N9</f>
        <v>61566</v>
      </c>
      <c r="AF9" s="176">
        <f t="shared" ref="AF9:AF17" si="7">O9</f>
        <v>92349</v>
      </c>
      <c r="AG9" s="176">
        <f t="shared" ref="AG9:AG17" si="8">P9</f>
        <v>123132</v>
      </c>
      <c r="AI9" s="164" t="s">
        <v>87</v>
      </c>
      <c r="AJ9" s="176">
        <f>S9</f>
        <v>61566</v>
      </c>
      <c r="AK9" s="176">
        <f t="shared" ref="AK9:AU16" si="9">T9</f>
        <v>92349</v>
      </c>
      <c r="AL9" s="176">
        <f t="shared" si="9"/>
        <v>123132</v>
      </c>
      <c r="AM9" s="176">
        <f t="shared" si="9"/>
        <v>61566</v>
      </c>
      <c r="AN9" s="176">
        <f t="shared" si="9"/>
        <v>92349</v>
      </c>
      <c r="AO9" s="176">
        <f t="shared" si="9"/>
        <v>123132</v>
      </c>
      <c r="AP9" s="176">
        <f t="shared" si="9"/>
        <v>61566</v>
      </c>
      <c r="AQ9" s="176">
        <f t="shared" si="9"/>
        <v>92349</v>
      </c>
      <c r="AR9" s="176">
        <f t="shared" si="9"/>
        <v>123132</v>
      </c>
      <c r="AS9" s="176">
        <f t="shared" si="9"/>
        <v>61566</v>
      </c>
      <c r="AT9" s="176">
        <f t="shared" si="9"/>
        <v>92349</v>
      </c>
      <c r="AU9" s="176">
        <f t="shared" si="9"/>
        <v>123132</v>
      </c>
      <c r="AV9" s="176">
        <f t="shared" ref="AV9:AV16" si="10">AE9</f>
        <v>61566</v>
      </c>
      <c r="AW9" s="176">
        <f t="shared" ref="AW9:AW16" si="11">AF9</f>
        <v>92349</v>
      </c>
      <c r="AX9" s="176">
        <f t="shared" ref="AX9:AX16" si="12">AG9</f>
        <v>123132</v>
      </c>
    </row>
    <row r="10" spans="1:50" ht="15.75" thickBot="1">
      <c r="A10" s="164" t="s">
        <v>88</v>
      </c>
      <c r="B10" s="176">
        <v>25637</v>
      </c>
      <c r="C10" s="176">
        <f t="shared" ref="C10:C16" si="13">(B10+D10)/2</f>
        <v>38455.5</v>
      </c>
      <c r="D10" s="176">
        <v>51274</v>
      </c>
      <c r="E10" s="176">
        <f t="shared" ref="E10:E16" si="14">B10</f>
        <v>25637</v>
      </c>
      <c r="F10" s="176">
        <f t="shared" si="1"/>
        <v>38455.5</v>
      </c>
      <c r="G10" s="176">
        <f t="shared" si="1"/>
        <v>51274</v>
      </c>
      <c r="H10" s="176">
        <f t="shared" si="1"/>
        <v>25637</v>
      </c>
      <c r="I10" s="176">
        <f t="shared" si="1"/>
        <v>38455.5</v>
      </c>
      <c r="J10" s="176">
        <f t="shared" si="1"/>
        <v>51274</v>
      </c>
      <c r="K10" s="176">
        <f t="shared" si="1"/>
        <v>25637</v>
      </c>
      <c r="L10" s="176">
        <f t="shared" si="1"/>
        <v>38455.5</v>
      </c>
      <c r="M10" s="176">
        <f t="shared" si="1"/>
        <v>51274</v>
      </c>
      <c r="N10" s="176">
        <f t="shared" si="2"/>
        <v>25637</v>
      </c>
      <c r="O10" s="176">
        <f t="shared" si="3"/>
        <v>38455.5</v>
      </c>
      <c r="P10" s="176">
        <f t="shared" si="4"/>
        <v>51274</v>
      </c>
      <c r="R10" s="164" t="s">
        <v>88</v>
      </c>
      <c r="S10" s="176">
        <f t="shared" ref="S10:S16" si="15">B10</f>
        <v>25637</v>
      </c>
      <c r="T10" s="176">
        <f t="shared" si="5"/>
        <v>38455.5</v>
      </c>
      <c r="U10" s="176">
        <f t="shared" si="5"/>
        <v>51274</v>
      </c>
      <c r="V10" s="176">
        <f t="shared" si="5"/>
        <v>25637</v>
      </c>
      <c r="W10" s="176">
        <f t="shared" si="5"/>
        <v>38455.5</v>
      </c>
      <c r="X10" s="176">
        <f t="shared" si="5"/>
        <v>51274</v>
      </c>
      <c r="Y10" s="176">
        <f t="shared" si="5"/>
        <v>25637</v>
      </c>
      <c r="Z10" s="176">
        <f t="shared" si="5"/>
        <v>38455.5</v>
      </c>
      <c r="AA10" s="176">
        <f t="shared" si="5"/>
        <v>51274</v>
      </c>
      <c r="AB10" s="176">
        <f t="shared" si="5"/>
        <v>25637</v>
      </c>
      <c r="AC10" s="176">
        <f t="shared" si="5"/>
        <v>38455.5</v>
      </c>
      <c r="AD10" s="176">
        <f t="shared" si="5"/>
        <v>51274</v>
      </c>
      <c r="AE10" s="176">
        <f t="shared" si="6"/>
        <v>25637</v>
      </c>
      <c r="AF10" s="176">
        <f t="shared" si="7"/>
        <v>38455.5</v>
      </c>
      <c r="AG10" s="176">
        <f t="shared" si="8"/>
        <v>51274</v>
      </c>
      <c r="AI10" s="164" t="s">
        <v>88</v>
      </c>
      <c r="AJ10" s="176">
        <f t="shared" ref="AJ10:AJ16" si="16">S10</f>
        <v>25637</v>
      </c>
      <c r="AK10" s="176">
        <f t="shared" si="9"/>
        <v>38455.5</v>
      </c>
      <c r="AL10" s="176">
        <f t="shared" si="9"/>
        <v>51274</v>
      </c>
      <c r="AM10" s="176">
        <f t="shared" si="9"/>
        <v>25637</v>
      </c>
      <c r="AN10" s="176">
        <f t="shared" si="9"/>
        <v>38455.5</v>
      </c>
      <c r="AO10" s="176">
        <f t="shared" si="9"/>
        <v>51274</v>
      </c>
      <c r="AP10" s="176">
        <f t="shared" si="9"/>
        <v>25637</v>
      </c>
      <c r="AQ10" s="176">
        <f t="shared" si="9"/>
        <v>38455.5</v>
      </c>
      <c r="AR10" s="176">
        <f t="shared" si="9"/>
        <v>51274</v>
      </c>
      <c r="AS10" s="176">
        <f t="shared" si="9"/>
        <v>25637</v>
      </c>
      <c r="AT10" s="176">
        <f t="shared" si="9"/>
        <v>38455.5</v>
      </c>
      <c r="AU10" s="176">
        <f t="shared" si="9"/>
        <v>51274</v>
      </c>
      <c r="AV10" s="176">
        <f t="shared" si="10"/>
        <v>25637</v>
      </c>
      <c r="AW10" s="176">
        <f t="shared" si="11"/>
        <v>38455.5</v>
      </c>
      <c r="AX10" s="176">
        <f t="shared" si="12"/>
        <v>51274</v>
      </c>
    </row>
    <row r="11" spans="1:50" ht="15.75" thickBot="1">
      <c r="A11" s="164" t="s">
        <v>208</v>
      </c>
      <c r="B11" s="176">
        <v>15635</v>
      </c>
      <c r="C11" s="176">
        <f t="shared" si="13"/>
        <v>23453</v>
      </c>
      <c r="D11" s="176">
        <v>31271</v>
      </c>
      <c r="E11" s="176">
        <f t="shared" si="14"/>
        <v>15635</v>
      </c>
      <c r="F11" s="176">
        <f t="shared" si="1"/>
        <v>23453</v>
      </c>
      <c r="G11" s="176">
        <f t="shared" si="1"/>
        <v>31271</v>
      </c>
      <c r="H11" s="176">
        <f t="shared" si="1"/>
        <v>15635</v>
      </c>
      <c r="I11" s="176">
        <f t="shared" si="1"/>
        <v>23453</v>
      </c>
      <c r="J11" s="176">
        <f t="shared" si="1"/>
        <v>31271</v>
      </c>
      <c r="K11" s="176">
        <f t="shared" si="1"/>
        <v>15635</v>
      </c>
      <c r="L11" s="176">
        <f t="shared" si="1"/>
        <v>23453</v>
      </c>
      <c r="M11" s="176">
        <f t="shared" si="1"/>
        <v>31271</v>
      </c>
      <c r="N11" s="176">
        <f t="shared" si="2"/>
        <v>15635</v>
      </c>
      <c r="O11" s="176">
        <f t="shared" si="3"/>
        <v>23453</v>
      </c>
      <c r="P11" s="176">
        <f t="shared" si="4"/>
        <v>31271</v>
      </c>
      <c r="R11" s="164" t="s">
        <v>208</v>
      </c>
      <c r="S11" s="176">
        <f t="shared" si="15"/>
        <v>15635</v>
      </c>
      <c r="T11" s="176">
        <f t="shared" si="5"/>
        <v>23453</v>
      </c>
      <c r="U11" s="176">
        <f t="shared" si="5"/>
        <v>31271</v>
      </c>
      <c r="V11" s="176">
        <f t="shared" si="5"/>
        <v>15635</v>
      </c>
      <c r="W11" s="176">
        <f t="shared" si="5"/>
        <v>23453</v>
      </c>
      <c r="X11" s="176">
        <f t="shared" si="5"/>
        <v>31271</v>
      </c>
      <c r="Y11" s="176">
        <f t="shared" si="5"/>
        <v>15635</v>
      </c>
      <c r="Z11" s="176">
        <f t="shared" si="5"/>
        <v>23453</v>
      </c>
      <c r="AA11" s="176">
        <f t="shared" si="5"/>
        <v>31271</v>
      </c>
      <c r="AB11" s="176">
        <f t="shared" si="5"/>
        <v>15635</v>
      </c>
      <c r="AC11" s="176">
        <f t="shared" si="5"/>
        <v>23453</v>
      </c>
      <c r="AD11" s="176">
        <f t="shared" si="5"/>
        <v>31271</v>
      </c>
      <c r="AE11" s="176">
        <f t="shared" si="6"/>
        <v>15635</v>
      </c>
      <c r="AF11" s="176">
        <f t="shared" si="7"/>
        <v>23453</v>
      </c>
      <c r="AG11" s="176">
        <f t="shared" si="8"/>
        <v>31271</v>
      </c>
      <c r="AI11" s="164" t="s">
        <v>208</v>
      </c>
      <c r="AJ11" s="176">
        <f t="shared" si="16"/>
        <v>15635</v>
      </c>
      <c r="AK11" s="176">
        <f t="shared" si="9"/>
        <v>23453</v>
      </c>
      <c r="AL11" s="176">
        <f t="shared" si="9"/>
        <v>31271</v>
      </c>
      <c r="AM11" s="176">
        <f t="shared" si="9"/>
        <v>15635</v>
      </c>
      <c r="AN11" s="176">
        <f t="shared" si="9"/>
        <v>23453</v>
      </c>
      <c r="AO11" s="176">
        <f t="shared" si="9"/>
        <v>31271</v>
      </c>
      <c r="AP11" s="176">
        <f t="shared" si="9"/>
        <v>15635</v>
      </c>
      <c r="AQ11" s="176">
        <f t="shared" si="9"/>
        <v>23453</v>
      </c>
      <c r="AR11" s="176">
        <f t="shared" si="9"/>
        <v>31271</v>
      </c>
      <c r="AS11" s="176">
        <f t="shared" si="9"/>
        <v>15635</v>
      </c>
      <c r="AT11" s="176">
        <f t="shared" si="9"/>
        <v>23453</v>
      </c>
      <c r="AU11" s="176">
        <f t="shared" si="9"/>
        <v>31271</v>
      </c>
      <c r="AV11" s="176">
        <f t="shared" si="10"/>
        <v>15635</v>
      </c>
      <c r="AW11" s="176">
        <f t="shared" si="11"/>
        <v>23453</v>
      </c>
      <c r="AX11" s="176">
        <f t="shared" si="12"/>
        <v>31271</v>
      </c>
    </row>
    <row r="12" spans="1:50" ht="15.75" thickBot="1">
      <c r="A12" s="164" t="s">
        <v>204</v>
      </c>
      <c r="B12" s="176">
        <v>32844</v>
      </c>
      <c r="C12" s="176">
        <f t="shared" si="13"/>
        <v>49265.5</v>
      </c>
      <c r="D12" s="176">
        <v>65687</v>
      </c>
      <c r="E12" s="176">
        <f t="shared" si="14"/>
        <v>32844</v>
      </c>
      <c r="F12" s="176">
        <f t="shared" si="1"/>
        <v>49265.5</v>
      </c>
      <c r="G12" s="176">
        <f t="shared" si="1"/>
        <v>65687</v>
      </c>
      <c r="H12" s="176">
        <f t="shared" si="1"/>
        <v>32844</v>
      </c>
      <c r="I12" s="176">
        <f t="shared" si="1"/>
        <v>49265.5</v>
      </c>
      <c r="J12" s="176">
        <f t="shared" si="1"/>
        <v>65687</v>
      </c>
      <c r="K12" s="176">
        <f t="shared" si="1"/>
        <v>32844</v>
      </c>
      <c r="L12" s="176">
        <f t="shared" si="1"/>
        <v>49265.5</v>
      </c>
      <c r="M12" s="176">
        <f t="shared" si="1"/>
        <v>65687</v>
      </c>
      <c r="N12" s="176">
        <f t="shared" si="2"/>
        <v>32844</v>
      </c>
      <c r="O12" s="176">
        <f t="shared" si="3"/>
        <v>49265.5</v>
      </c>
      <c r="P12" s="176">
        <f t="shared" si="4"/>
        <v>65687</v>
      </c>
      <c r="R12" s="164" t="s">
        <v>204</v>
      </c>
      <c r="S12" s="176">
        <f t="shared" si="15"/>
        <v>32844</v>
      </c>
      <c r="T12" s="176">
        <f t="shared" si="5"/>
        <v>49265.5</v>
      </c>
      <c r="U12" s="176">
        <f t="shared" si="5"/>
        <v>65687</v>
      </c>
      <c r="V12" s="176">
        <f t="shared" si="5"/>
        <v>32844</v>
      </c>
      <c r="W12" s="176">
        <f t="shared" si="5"/>
        <v>49265.5</v>
      </c>
      <c r="X12" s="176">
        <f t="shared" si="5"/>
        <v>65687</v>
      </c>
      <c r="Y12" s="176">
        <f t="shared" si="5"/>
        <v>32844</v>
      </c>
      <c r="Z12" s="176">
        <f t="shared" si="5"/>
        <v>49265.5</v>
      </c>
      <c r="AA12" s="176">
        <f t="shared" si="5"/>
        <v>65687</v>
      </c>
      <c r="AB12" s="176">
        <f t="shared" si="5"/>
        <v>32844</v>
      </c>
      <c r="AC12" s="176">
        <f t="shared" si="5"/>
        <v>49265.5</v>
      </c>
      <c r="AD12" s="176">
        <f t="shared" si="5"/>
        <v>65687</v>
      </c>
      <c r="AE12" s="176">
        <f t="shared" si="6"/>
        <v>32844</v>
      </c>
      <c r="AF12" s="176">
        <f t="shared" si="7"/>
        <v>49265.5</v>
      </c>
      <c r="AG12" s="176">
        <f t="shared" si="8"/>
        <v>65687</v>
      </c>
      <c r="AI12" s="164" t="s">
        <v>204</v>
      </c>
      <c r="AJ12" s="176">
        <f t="shared" si="16"/>
        <v>32844</v>
      </c>
      <c r="AK12" s="176">
        <f t="shared" si="9"/>
        <v>49265.5</v>
      </c>
      <c r="AL12" s="176">
        <f t="shared" si="9"/>
        <v>65687</v>
      </c>
      <c r="AM12" s="176">
        <f t="shared" si="9"/>
        <v>32844</v>
      </c>
      <c r="AN12" s="176">
        <f t="shared" si="9"/>
        <v>49265.5</v>
      </c>
      <c r="AO12" s="176">
        <f t="shared" si="9"/>
        <v>65687</v>
      </c>
      <c r="AP12" s="176">
        <f t="shared" si="9"/>
        <v>32844</v>
      </c>
      <c r="AQ12" s="176">
        <f t="shared" si="9"/>
        <v>49265.5</v>
      </c>
      <c r="AR12" s="176">
        <f t="shared" si="9"/>
        <v>65687</v>
      </c>
      <c r="AS12" s="176">
        <f t="shared" si="9"/>
        <v>32844</v>
      </c>
      <c r="AT12" s="176">
        <f t="shared" si="9"/>
        <v>49265.5</v>
      </c>
      <c r="AU12" s="176">
        <f t="shared" si="9"/>
        <v>65687</v>
      </c>
      <c r="AV12" s="176">
        <f t="shared" si="10"/>
        <v>32844</v>
      </c>
      <c r="AW12" s="176">
        <f t="shared" si="11"/>
        <v>49265.5</v>
      </c>
      <c r="AX12" s="176">
        <f t="shared" si="12"/>
        <v>65687</v>
      </c>
    </row>
    <row r="13" spans="1:50" ht="15.75" thickBot="1">
      <c r="A13" s="164" t="s">
        <v>209</v>
      </c>
      <c r="B13" s="176">
        <v>17364</v>
      </c>
      <c r="C13" s="176">
        <f t="shared" si="13"/>
        <v>26046</v>
      </c>
      <c r="D13" s="176">
        <v>34728</v>
      </c>
      <c r="E13" s="176">
        <f t="shared" si="14"/>
        <v>17364</v>
      </c>
      <c r="F13" s="176">
        <f t="shared" si="1"/>
        <v>26046</v>
      </c>
      <c r="G13" s="176">
        <f t="shared" si="1"/>
        <v>34728</v>
      </c>
      <c r="H13" s="176">
        <f t="shared" si="1"/>
        <v>17364</v>
      </c>
      <c r="I13" s="176">
        <f t="shared" si="1"/>
        <v>26046</v>
      </c>
      <c r="J13" s="176">
        <f t="shared" si="1"/>
        <v>34728</v>
      </c>
      <c r="K13" s="176">
        <f t="shared" si="1"/>
        <v>17364</v>
      </c>
      <c r="L13" s="176">
        <f t="shared" si="1"/>
        <v>26046</v>
      </c>
      <c r="M13" s="176">
        <f t="shared" si="1"/>
        <v>34728</v>
      </c>
      <c r="N13" s="176">
        <f t="shared" si="2"/>
        <v>17364</v>
      </c>
      <c r="O13" s="176">
        <f t="shared" si="3"/>
        <v>26046</v>
      </c>
      <c r="P13" s="176">
        <f t="shared" si="4"/>
        <v>34728</v>
      </c>
      <c r="R13" s="164" t="s">
        <v>209</v>
      </c>
      <c r="S13" s="176">
        <f t="shared" si="15"/>
        <v>17364</v>
      </c>
      <c r="T13" s="176">
        <f t="shared" si="5"/>
        <v>26046</v>
      </c>
      <c r="U13" s="176">
        <f t="shared" si="5"/>
        <v>34728</v>
      </c>
      <c r="V13" s="176">
        <f t="shared" si="5"/>
        <v>17364</v>
      </c>
      <c r="W13" s="176">
        <f t="shared" si="5"/>
        <v>26046</v>
      </c>
      <c r="X13" s="176">
        <f t="shared" si="5"/>
        <v>34728</v>
      </c>
      <c r="Y13" s="176">
        <f t="shared" si="5"/>
        <v>17364</v>
      </c>
      <c r="Z13" s="176">
        <f t="shared" si="5"/>
        <v>26046</v>
      </c>
      <c r="AA13" s="176">
        <f t="shared" si="5"/>
        <v>34728</v>
      </c>
      <c r="AB13" s="176">
        <f t="shared" si="5"/>
        <v>17364</v>
      </c>
      <c r="AC13" s="176">
        <f t="shared" si="5"/>
        <v>26046</v>
      </c>
      <c r="AD13" s="176">
        <f t="shared" si="5"/>
        <v>34728</v>
      </c>
      <c r="AE13" s="176">
        <f t="shared" si="6"/>
        <v>17364</v>
      </c>
      <c r="AF13" s="176">
        <f t="shared" si="7"/>
        <v>26046</v>
      </c>
      <c r="AG13" s="176">
        <f t="shared" si="8"/>
        <v>34728</v>
      </c>
      <c r="AI13" s="164" t="s">
        <v>209</v>
      </c>
      <c r="AJ13" s="176">
        <f t="shared" si="16"/>
        <v>17364</v>
      </c>
      <c r="AK13" s="176">
        <f t="shared" si="9"/>
        <v>26046</v>
      </c>
      <c r="AL13" s="176">
        <f t="shared" si="9"/>
        <v>34728</v>
      </c>
      <c r="AM13" s="176">
        <f t="shared" si="9"/>
        <v>17364</v>
      </c>
      <c r="AN13" s="176">
        <f t="shared" si="9"/>
        <v>26046</v>
      </c>
      <c r="AO13" s="176">
        <f t="shared" si="9"/>
        <v>34728</v>
      </c>
      <c r="AP13" s="176">
        <f t="shared" si="9"/>
        <v>17364</v>
      </c>
      <c r="AQ13" s="176">
        <f t="shared" si="9"/>
        <v>26046</v>
      </c>
      <c r="AR13" s="176">
        <f t="shared" si="9"/>
        <v>34728</v>
      </c>
      <c r="AS13" s="176">
        <f t="shared" si="9"/>
        <v>17364</v>
      </c>
      <c r="AT13" s="176">
        <f t="shared" si="9"/>
        <v>26046</v>
      </c>
      <c r="AU13" s="176">
        <f t="shared" si="9"/>
        <v>34728</v>
      </c>
      <c r="AV13" s="176">
        <f t="shared" si="10"/>
        <v>17364</v>
      </c>
      <c r="AW13" s="176">
        <f t="shared" si="11"/>
        <v>26046</v>
      </c>
      <c r="AX13" s="176">
        <f t="shared" si="12"/>
        <v>34728</v>
      </c>
    </row>
    <row r="14" spans="1:50" ht="15.75" thickBot="1">
      <c r="A14" s="164" t="s">
        <v>202</v>
      </c>
      <c r="B14" s="176">
        <v>21790</v>
      </c>
      <c r="C14" s="176">
        <f t="shared" si="13"/>
        <v>32685</v>
      </c>
      <c r="D14" s="176">
        <v>43580</v>
      </c>
      <c r="E14" s="176">
        <f t="shared" si="14"/>
        <v>21790</v>
      </c>
      <c r="F14" s="176">
        <f t="shared" si="1"/>
        <v>32685</v>
      </c>
      <c r="G14" s="176">
        <f t="shared" si="1"/>
        <v>43580</v>
      </c>
      <c r="H14" s="176">
        <f t="shared" si="1"/>
        <v>21790</v>
      </c>
      <c r="I14" s="176">
        <f t="shared" si="1"/>
        <v>32685</v>
      </c>
      <c r="J14" s="176">
        <f t="shared" si="1"/>
        <v>43580</v>
      </c>
      <c r="K14" s="176">
        <f t="shared" si="1"/>
        <v>21790</v>
      </c>
      <c r="L14" s="176">
        <f t="shared" si="1"/>
        <v>32685</v>
      </c>
      <c r="M14" s="176">
        <f t="shared" si="1"/>
        <v>43580</v>
      </c>
      <c r="N14" s="176">
        <f t="shared" si="2"/>
        <v>21790</v>
      </c>
      <c r="O14" s="176">
        <f t="shared" si="3"/>
        <v>32685</v>
      </c>
      <c r="P14" s="176">
        <f t="shared" si="4"/>
        <v>43580</v>
      </c>
      <c r="R14" s="164" t="s">
        <v>202</v>
      </c>
      <c r="S14" s="176">
        <f t="shared" si="15"/>
        <v>21790</v>
      </c>
      <c r="T14" s="176">
        <f t="shared" si="5"/>
        <v>32685</v>
      </c>
      <c r="U14" s="176">
        <f t="shared" si="5"/>
        <v>43580</v>
      </c>
      <c r="V14" s="176">
        <f t="shared" si="5"/>
        <v>21790</v>
      </c>
      <c r="W14" s="176">
        <f t="shared" si="5"/>
        <v>32685</v>
      </c>
      <c r="X14" s="176">
        <f t="shared" si="5"/>
        <v>43580</v>
      </c>
      <c r="Y14" s="176">
        <f t="shared" si="5"/>
        <v>21790</v>
      </c>
      <c r="Z14" s="176">
        <f t="shared" si="5"/>
        <v>32685</v>
      </c>
      <c r="AA14" s="176">
        <f t="shared" si="5"/>
        <v>43580</v>
      </c>
      <c r="AB14" s="176">
        <f t="shared" si="5"/>
        <v>21790</v>
      </c>
      <c r="AC14" s="176">
        <f t="shared" si="5"/>
        <v>32685</v>
      </c>
      <c r="AD14" s="176">
        <f t="shared" si="5"/>
        <v>43580</v>
      </c>
      <c r="AE14" s="176">
        <f t="shared" si="6"/>
        <v>21790</v>
      </c>
      <c r="AF14" s="176">
        <f t="shared" si="7"/>
        <v>32685</v>
      </c>
      <c r="AG14" s="176">
        <f t="shared" si="8"/>
        <v>43580</v>
      </c>
      <c r="AI14" s="164" t="s">
        <v>202</v>
      </c>
      <c r="AJ14" s="176">
        <f t="shared" si="16"/>
        <v>21790</v>
      </c>
      <c r="AK14" s="176">
        <f t="shared" si="9"/>
        <v>32685</v>
      </c>
      <c r="AL14" s="176">
        <f t="shared" si="9"/>
        <v>43580</v>
      </c>
      <c r="AM14" s="176">
        <f t="shared" si="9"/>
        <v>21790</v>
      </c>
      <c r="AN14" s="176">
        <f t="shared" si="9"/>
        <v>32685</v>
      </c>
      <c r="AO14" s="176">
        <f t="shared" si="9"/>
        <v>43580</v>
      </c>
      <c r="AP14" s="176">
        <f t="shared" si="9"/>
        <v>21790</v>
      </c>
      <c r="AQ14" s="176">
        <f t="shared" si="9"/>
        <v>32685</v>
      </c>
      <c r="AR14" s="176">
        <f t="shared" si="9"/>
        <v>43580</v>
      </c>
      <c r="AS14" s="176">
        <f t="shared" si="9"/>
        <v>21790</v>
      </c>
      <c r="AT14" s="176">
        <f t="shared" si="9"/>
        <v>32685</v>
      </c>
      <c r="AU14" s="176">
        <f t="shared" si="9"/>
        <v>43580</v>
      </c>
      <c r="AV14" s="176">
        <f t="shared" si="10"/>
        <v>21790</v>
      </c>
      <c r="AW14" s="176">
        <f t="shared" si="11"/>
        <v>32685</v>
      </c>
      <c r="AX14" s="176">
        <f t="shared" si="12"/>
        <v>43580</v>
      </c>
    </row>
    <row r="15" spans="1:50" ht="15.75" thickBot="1">
      <c r="A15" s="164" t="s">
        <v>91</v>
      </c>
      <c r="B15" s="176">
        <v>23972</v>
      </c>
      <c r="C15" s="176">
        <f t="shared" si="13"/>
        <v>35958.5</v>
      </c>
      <c r="D15" s="176">
        <v>47945</v>
      </c>
      <c r="E15" s="176">
        <f t="shared" si="14"/>
        <v>23972</v>
      </c>
      <c r="F15" s="176">
        <f t="shared" si="1"/>
        <v>35958.5</v>
      </c>
      <c r="G15" s="176">
        <f t="shared" si="1"/>
        <v>47945</v>
      </c>
      <c r="H15" s="176">
        <f t="shared" si="1"/>
        <v>23972</v>
      </c>
      <c r="I15" s="176">
        <f t="shared" si="1"/>
        <v>35958.5</v>
      </c>
      <c r="J15" s="176">
        <f t="shared" si="1"/>
        <v>47945</v>
      </c>
      <c r="K15" s="176">
        <f t="shared" si="1"/>
        <v>23972</v>
      </c>
      <c r="L15" s="176">
        <f t="shared" si="1"/>
        <v>35958.5</v>
      </c>
      <c r="M15" s="176">
        <f t="shared" si="1"/>
        <v>47945</v>
      </c>
      <c r="N15" s="176">
        <f t="shared" si="2"/>
        <v>23972</v>
      </c>
      <c r="O15" s="176">
        <f t="shared" si="3"/>
        <v>35958.5</v>
      </c>
      <c r="P15" s="176">
        <f t="shared" si="4"/>
        <v>47945</v>
      </c>
      <c r="R15" s="164" t="s">
        <v>91</v>
      </c>
      <c r="S15" s="176">
        <f t="shared" si="15"/>
        <v>23972</v>
      </c>
      <c r="T15" s="176">
        <f t="shared" si="5"/>
        <v>35958.5</v>
      </c>
      <c r="U15" s="176">
        <f t="shared" si="5"/>
        <v>47945</v>
      </c>
      <c r="V15" s="176">
        <f t="shared" si="5"/>
        <v>23972</v>
      </c>
      <c r="W15" s="176">
        <f t="shared" si="5"/>
        <v>35958.5</v>
      </c>
      <c r="X15" s="176">
        <f t="shared" si="5"/>
        <v>47945</v>
      </c>
      <c r="Y15" s="176">
        <f t="shared" si="5"/>
        <v>23972</v>
      </c>
      <c r="Z15" s="176">
        <f t="shared" si="5"/>
        <v>35958.5</v>
      </c>
      <c r="AA15" s="176">
        <f t="shared" si="5"/>
        <v>47945</v>
      </c>
      <c r="AB15" s="176">
        <f t="shared" si="5"/>
        <v>23972</v>
      </c>
      <c r="AC15" s="176">
        <f t="shared" si="5"/>
        <v>35958.5</v>
      </c>
      <c r="AD15" s="176">
        <f t="shared" si="5"/>
        <v>47945</v>
      </c>
      <c r="AE15" s="176">
        <f t="shared" si="6"/>
        <v>23972</v>
      </c>
      <c r="AF15" s="176">
        <f t="shared" si="7"/>
        <v>35958.5</v>
      </c>
      <c r="AG15" s="176">
        <f t="shared" si="8"/>
        <v>47945</v>
      </c>
      <c r="AI15" s="164" t="s">
        <v>91</v>
      </c>
      <c r="AJ15" s="176">
        <f t="shared" si="16"/>
        <v>23972</v>
      </c>
      <c r="AK15" s="176">
        <f t="shared" si="9"/>
        <v>35958.5</v>
      </c>
      <c r="AL15" s="176">
        <f t="shared" si="9"/>
        <v>47945</v>
      </c>
      <c r="AM15" s="176">
        <f t="shared" si="9"/>
        <v>23972</v>
      </c>
      <c r="AN15" s="176">
        <f t="shared" si="9"/>
        <v>35958.5</v>
      </c>
      <c r="AO15" s="176">
        <f t="shared" si="9"/>
        <v>47945</v>
      </c>
      <c r="AP15" s="176">
        <f t="shared" si="9"/>
        <v>23972</v>
      </c>
      <c r="AQ15" s="176">
        <f t="shared" si="9"/>
        <v>35958.5</v>
      </c>
      <c r="AR15" s="176">
        <f t="shared" si="9"/>
        <v>47945</v>
      </c>
      <c r="AS15" s="176">
        <f t="shared" si="9"/>
        <v>23972</v>
      </c>
      <c r="AT15" s="176">
        <f t="shared" si="9"/>
        <v>35958.5</v>
      </c>
      <c r="AU15" s="176">
        <f t="shared" si="9"/>
        <v>47945</v>
      </c>
      <c r="AV15" s="176">
        <f t="shared" si="10"/>
        <v>23972</v>
      </c>
      <c r="AW15" s="176">
        <f t="shared" si="11"/>
        <v>35958.5</v>
      </c>
      <c r="AX15" s="176">
        <f t="shared" si="12"/>
        <v>47945</v>
      </c>
    </row>
    <row r="16" spans="1:50" ht="15.75" thickBot="1">
      <c r="A16" s="164" t="s">
        <v>92</v>
      </c>
      <c r="B16" s="176">
        <v>45072</v>
      </c>
      <c r="C16" s="176">
        <f t="shared" si="13"/>
        <v>67608</v>
      </c>
      <c r="D16" s="176">
        <v>90144</v>
      </c>
      <c r="E16" s="176">
        <f t="shared" si="14"/>
        <v>45072</v>
      </c>
      <c r="F16" s="176">
        <f t="shared" si="1"/>
        <v>67608</v>
      </c>
      <c r="G16" s="176">
        <f t="shared" si="1"/>
        <v>90144</v>
      </c>
      <c r="H16" s="176">
        <f t="shared" si="1"/>
        <v>45072</v>
      </c>
      <c r="I16" s="176">
        <f t="shared" si="1"/>
        <v>67608</v>
      </c>
      <c r="J16" s="176">
        <f t="shared" si="1"/>
        <v>90144</v>
      </c>
      <c r="K16" s="176">
        <f t="shared" si="1"/>
        <v>45072</v>
      </c>
      <c r="L16" s="176">
        <f t="shared" si="1"/>
        <v>67608</v>
      </c>
      <c r="M16" s="176">
        <f t="shared" si="1"/>
        <v>90144</v>
      </c>
      <c r="N16" s="176">
        <f t="shared" si="2"/>
        <v>45072</v>
      </c>
      <c r="O16" s="176">
        <f t="shared" si="3"/>
        <v>67608</v>
      </c>
      <c r="P16" s="176">
        <f t="shared" si="4"/>
        <v>90144</v>
      </c>
      <c r="R16" s="164" t="s">
        <v>92</v>
      </c>
      <c r="S16" s="176">
        <f t="shared" si="15"/>
        <v>45072</v>
      </c>
      <c r="T16" s="176">
        <f t="shared" si="5"/>
        <v>67608</v>
      </c>
      <c r="U16" s="176">
        <f t="shared" si="5"/>
        <v>90144</v>
      </c>
      <c r="V16" s="176">
        <f t="shared" si="5"/>
        <v>45072</v>
      </c>
      <c r="W16" s="176">
        <f t="shared" si="5"/>
        <v>67608</v>
      </c>
      <c r="X16" s="176">
        <f t="shared" si="5"/>
        <v>90144</v>
      </c>
      <c r="Y16" s="176">
        <f t="shared" si="5"/>
        <v>45072</v>
      </c>
      <c r="Z16" s="176">
        <f t="shared" si="5"/>
        <v>67608</v>
      </c>
      <c r="AA16" s="176">
        <f t="shared" si="5"/>
        <v>90144</v>
      </c>
      <c r="AB16" s="176">
        <f t="shared" si="5"/>
        <v>45072</v>
      </c>
      <c r="AC16" s="176">
        <f t="shared" si="5"/>
        <v>67608</v>
      </c>
      <c r="AD16" s="176">
        <f t="shared" si="5"/>
        <v>90144</v>
      </c>
      <c r="AE16" s="176">
        <f t="shared" si="6"/>
        <v>45072</v>
      </c>
      <c r="AF16" s="176">
        <f t="shared" si="7"/>
        <v>67608</v>
      </c>
      <c r="AG16" s="176">
        <f t="shared" si="8"/>
        <v>90144</v>
      </c>
      <c r="AI16" s="164" t="s">
        <v>92</v>
      </c>
      <c r="AJ16" s="176">
        <f t="shared" si="16"/>
        <v>45072</v>
      </c>
      <c r="AK16" s="176">
        <f t="shared" si="9"/>
        <v>67608</v>
      </c>
      <c r="AL16" s="176">
        <f t="shared" si="9"/>
        <v>90144</v>
      </c>
      <c r="AM16" s="176">
        <f t="shared" si="9"/>
        <v>45072</v>
      </c>
      <c r="AN16" s="176">
        <f t="shared" si="9"/>
        <v>67608</v>
      </c>
      <c r="AO16" s="176">
        <f t="shared" si="9"/>
        <v>90144</v>
      </c>
      <c r="AP16" s="176">
        <f t="shared" si="9"/>
        <v>45072</v>
      </c>
      <c r="AQ16" s="176">
        <f t="shared" si="9"/>
        <v>67608</v>
      </c>
      <c r="AR16" s="176">
        <f t="shared" si="9"/>
        <v>90144</v>
      </c>
      <c r="AS16" s="176">
        <f t="shared" si="9"/>
        <v>45072</v>
      </c>
      <c r="AT16" s="176">
        <f t="shared" si="9"/>
        <v>67608</v>
      </c>
      <c r="AU16" s="176">
        <f t="shared" si="9"/>
        <v>90144</v>
      </c>
      <c r="AV16" s="176">
        <f t="shared" si="10"/>
        <v>45072</v>
      </c>
      <c r="AW16" s="176">
        <f t="shared" si="11"/>
        <v>67608</v>
      </c>
      <c r="AX16" s="176">
        <f t="shared" si="12"/>
        <v>90144</v>
      </c>
    </row>
    <row r="17" spans="1:50" ht="15.75" thickBot="1">
      <c r="A17" s="164" t="s">
        <v>448</v>
      </c>
      <c r="B17" s="165">
        <f>TAX!$B17</f>
        <v>6.8564856955967928</v>
      </c>
      <c r="C17" s="165">
        <f>TAX!$B18</f>
        <v>5.6090714932482975</v>
      </c>
      <c r="D17" s="165">
        <f>TAX!$B19</f>
        <v>3.1488447684000027</v>
      </c>
      <c r="E17" s="165">
        <f>TAX!$C17</f>
        <v>6.8564856955967928</v>
      </c>
      <c r="F17" s="165">
        <f>TAX!$C18</f>
        <v>5.6090714932482975</v>
      </c>
      <c r="G17" s="165">
        <f>TAX!$C19</f>
        <v>3.1488447684000027</v>
      </c>
      <c r="H17" s="165">
        <f>TAX!$D17</f>
        <v>6.8564856955967928</v>
      </c>
      <c r="I17" s="165">
        <f>TAX!$D18</f>
        <v>5.6090714932482975</v>
      </c>
      <c r="J17" s="165">
        <f>TAX!$D19</f>
        <v>3.1488447684000027</v>
      </c>
      <c r="K17" s="165">
        <f>TAX!$E17</f>
        <v>6.8564856955967928</v>
      </c>
      <c r="L17" s="165">
        <f>TAX!$E18</f>
        <v>5.6090714932482975</v>
      </c>
      <c r="M17" s="165">
        <f>TAX!$E19</f>
        <v>3.1488447684000027</v>
      </c>
      <c r="N17" s="165">
        <f>TAX!$F17</f>
        <v>6.8564856955967928</v>
      </c>
      <c r="O17" s="165">
        <f>TAX!$F18</f>
        <v>5.6090714932482975</v>
      </c>
      <c r="P17" s="165">
        <f>TAX!$F19</f>
        <v>3.1488447684000027</v>
      </c>
      <c r="R17" s="164" t="s">
        <v>448</v>
      </c>
      <c r="S17" s="165">
        <f>B17</f>
        <v>6.8564856955967928</v>
      </c>
      <c r="T17" s="165">
        <f t="shared" si="5"/>
        <v>5.6090714932482975</v>
      </c>
      <c r="U17" s="165">
        <f t="shared" si="5"/>
        <v>3.1488447684000027</v>
      </c>
      <c r="V17" s="165">
        <f t="shared" si="5"/>
        <v>6.8564856955967928</v>
      </c>
      <c r="W17" s="165">
        <f t="shared" si="5"/>
        <v>5.6090714932482975</v>
      </c>
      <c r="X17" s="165">
        <f t="shared" si="5"/>
        <v>3.1488447684000027</v>
      </c>
      <c r="Y17" s="165">
        <f t="shared" si="5"/>
        <v>6.8564856955967928</v>
      </c>
      <c r="Z17" s="165">
        <f t="shared" si="5"/>
        <v>5.6090714932482975</v>
      </c>
      <c r="AA17" s="165">
        <f t="shared" si="5"/>
        <v>3.1488447684000027</v>
      </c>
      <c r="AB17" s="165">
        <f t="shared" si="5"/>
        <v>6.8564856955967928</v>
      </c>
      <c r="AC17" s="165">
        <f t="shared" si="5"/>
        <v>5.6090714932482975</v>
      </c>
      <c r="AD17" s="165">
        <f t="shared" si="5"/>
        <v>3.1488447684000027</v>
      </c>
      <c r="AE17" s="165">
        <f>N17</f>
        <v>6.8564856955967928</v>
      </c>
      <c r="AF17" s="165">
        <f t="shared" si="7"/>
        <v>5.6090714932482975</v>
      </c>
      <c r="AG17" s="165">
        <f t="shared" si="8"/>
        <v>3.1488447684000027</v>
      </c>
      <c r="AI17" s="164" t="s">
        <v>448</v>
      </c>
      <c r="AJ17" s="165">
        <f>B17</f>
        <v>6.8564856955967928</v>
      </c>
      <c r="AK17" s="165">
        <f t="shared" ref="AK17:AU17" si="17">C17</f>
        <v>5.6090714932482975</v>
      </c>
      <c r="AL17" s="165">
        <f t="shared" si="17"/>
        <v>3.1488447684000027</v>
      </c>
      <c r="AM17" s="165">
        <f t="shared" si="17"/>
        <v>6.8564856955967928</v>
      </c>
      <c r="AN17" s="165">
        <f t="shared" si="17"/>
        <v>5.6090714932482975</v>
      </c>
      <c r="AO17" s="165">
        <f t="shared" si="17"/>
        <v>3.1488447684000027</v>
      </c>
      <c r="AP17" s="165">
        <f t="shared" si="17"/>
        <v>6.8564856955967928</v>
      </c>
      <c r="AQ17" s="165">
        <f t="shared" si="17"/>
        <v>5.6090714932482975</v>
      </c>
      <c r="AR17" s="165">
        <f t="shared" si="17"/>
        <v>3.1488447684000027</v>
      </c>
      <c r="AS17" s="165">
        <f t="shared" si="17"/>
        <v>6.8564856955967928</v>
      </c>
      <c r="AT17" s="165">
        <f t="shared" si="17"/>
        <v>5.6090714932482975</v>
      </c>
      <c r="AU17" s="165">
        <f t="shared" si="17"/>
        <v>3.1488447684000027</v>
      </c>
      <c r="AV17" s="165">
        <f>N17</f>
        <v>6.8564856955967928</v>
      </c>
      <c r="AW17" s="165">
        <f>O17</f>
        <v>5.6090714932482975</v>
      </c>
      <c r="AX17" s="165">
        <f>P17</f>
        <v>3.1488447684000027</v>
      </c>
    </row>
    <row r="18" spans="1:50" ht="15.75" thickBot="1">
      <c r="A18" s="164" t="s">
        <v>11</v>
      </c>
      <c r="B18" s="282">
        <f>B19+B27+B37+B42+B46</f>
        <v>1207235.3388579909</v>
      </c>
      <c r="C18" s="282">
        <f t="shared" ref="C18:P18" si="18">C19+C27+C37+C42+C46</f>
        <v>769035.66114200919</v>
      </c>
      <c r="D18" s="282">
        <f t="shared" si="18"/>
        <v>351223</v>
      </c>
      <c r="E18" s="282">
        <f t="shared" si="18"/>
        <v>1270096.4382720909</v>
      </c>
      <c r="F18" s="282">
        <f t="shared" si="18"/>
        <v>809079.56172790902</v>
      </c>
      <c r="G18" s="282">
        <f t="shared" si="18"/>
        <v>387589</v>
      </c>
      <c r="H18" s="282">
        <f t="shared" si="18"/>
        <v>1347617.0779486531</v>
      </c>
      <c r="I18" s="282">
        <f t="shared" si="18"/>
        <v>858461.92205134686</v>
      </c>
      <c r="J18" s="282">
        <f t="shared" si="18"/>
        <v>434964</v>
      </c>
      <c r="K18" s="282">
        <f t="shared" si="18"/>
        <v>1423411.4118603626</v>
      </c>
      <c r="L18" s="282">
        <f t="shared" si="18"/>
        <v>906744.58813963761</v>
      </c>
      <c r="M18" s="282">
        <f t="shared" si="18"/>
        <v>473986</v>
      </c>
      <c r="N18" s="282" t="e">
        <f t="shared" si="18"/>
        <v>#DIV/0!</v>
      </c>
      <c r="O18" s="282" t="e">
        <f t="shared" si="18"/>
        <v>#DIV/0!</v>
      </c>
      <c r="P18" s="282">
        <f t="shared" si="18"/>
        <v>515791</v>
      </c>
      <c r="R18" s="164" t="s">
        <v>11</v>
      </c>
      <c r="S18" s="282">
        <f>S19+S27+S37+S42+S46</f>
        <v>4904456985.0521717</v>
      </c>
      <c r="T18" s="282">
        <f t="shared" ref="T18:AG18" si="19">T19+T27+T37+T42+T46</f>
        <v>5728585762.5883789</v>
      </c>
      <c r="U18" s="282">
        <f t="shared" si="19"/>
        <v>6186961705.2920399</v>
      </c>
      <c r="V18" s="282">
        <f t="shared" si="19"/>
        <v>5170479474.1140661</v>
      </c>
      <c r="W18" s="282">
        <f t="shared" si="19"/>
        <v>6039309491.3663588</v>
      </c>
      <c r="X18" s="282">
        <f t="shared" si="19"/>
        <v>6826638740.5698013</v>
      </c>
      <c r="Y18" s="282">
        <f t="shared" si="19"/>
        <v>5495385182.102684</v>
      </c>
      <c r="Z18" s="282">
        <f t="shared" si="19"/>
        <v>6418811026.4023466</v>
      </c>
      <c r="AA18" s="282">
        <f t="shared" si="19"/>
        <v>7654923083.5052748</v>
      </c>
      <c r="AB18" s="282">
        <f t="shared" si="19"/>
        <v>5814231463.8364525</v>
      </c>
      <c r="AC18" s="282">
        <f t="shared" si="19"/>
        <v>6791234843.1832371</v>
      </c>
      <c r="AD18" s="282">
        <f t="shared" si="19"/>
        <v>8353675857.5640621</v>
      </c>
      <c r="AE18" s="282" t="e">
        <f t="shared" si="19"/>
        <v>#DIV/0!</v>
      </c>
      <c r="AF18" s="282" t="e">
        <f t="shared" si="19"/>
        <v>#DIV/0!</v>
      </c>
      <c r="AG18" s="282">
        <f t="shared" si="19"/>
        <v>9115551159.9210587</v>
      </c>
      <c r="AI18" s="125" t="s">
        <v>11</v>
      </c>
      <c r="AJ18" s="171">
        <f>S18/COMB_CORR!$L3</f>
        <v>0.13984878865081019</v>
      </c>
      <c r="AK18" s="171">
        <f>T18/COMB_CORR!$L3</f>
        <v>0.16334851789341168</v>
      </c>
      <c r="AL18" s="171">
        <f>U18/COMB_CORR!$L3</f>
        <v>0.17641893945672737</v>
      </c>
      <c r="AM18" s="171">
        <f>V18/COMB_CORR!$M3</f>
        <v>0.13280839110730541</v>
      </c>
      <c r="AN18" s="171">
        <f>W18/COMB_CORR!$M3</f>
        <v>0.15512506740680479</v>
      </c>
      <c r="AO18" s="171">
        <f>X18/COMB_CORR!$M3</f>
        <v>0.17534832356359448</v>
      </c>
      <c r="AP18" s="171">
        <f>Y18/COMB_CORR!$N3</f>
        <v>0.13256562106209169</v>
      </c>
      <c r="AQ18" s="171">
        <f>Z18/COMB_CORR!$N3</f>
        <v>0.15484149736518499</v>
      </c>
      <c r="AR18" s="171">
        <f>AA18/COMB_CORR!$N3</f>
        <v>0.18466032846111369</v>
      </c>
      <c r="AS18" s="171">
        <f>AB18/COMB_CORR!$O3</f>
        <v>0.13208672724952655</v>
      </c>
      <c r="AT18" s="171">
        <f>AC18/COMB_CORR!$O3</f>
        <v>0.15428212481708276</v>
      </c>
      <c r="AU18" s="171">
        <f>AD18/COMB_CORR!$O3</f>
        <v>0.18977739558392934</v>
      </c>
      <c r="AV18" s="171" t="e">
        <f>AE18/COMB_CORR!$P3</f>
        <v>#DIV/0!</v>
      </c>
      <c r="AW18" s="171" t="e">
        <f>AF18/COMB_CORR!$P3</f>
        <v>#DIV/0!</v>
      </c>
      <c r="AX18" s="171" t="e">
        <f>AG18/COMB_CORR!$P3</f>
        <v>#DIV/0!</v>
      </c>
    </row>
    <row r="19" spans="1:50" ht="15.75" thickBot="1">
      <c r="A19" s="269" t="s">
        <v>46</v>
      </c>
      <c r="B19" s="926">
        <f t="shared" ref="B19:O19" si="20">SUM(B20:B26)</f>
        <v>60056.446623910975</v>
      </c>
      <c r="C19" s="926">
        <f t="shared" si="20"/>
        <v>38256.553376089018</v>
      </c>
      <c r="D19" s="729">
        <f t="shared" si="20"/>
        <v>12203</v>
      </c>
      <c r="E19" s="926">
        <f t="shared" si="20"/>
        <v>64212.800178778292</v>
      </c>
      <c r="F19" s="926">
        <f t="shared" si="20"/>
        <v>40904.1998212217</v>
      </c>
      <c r="G19" s="729">
        <f t="shared" si="20"/>
        <v>13307</v>
      </c>
      <c r="H19" s="926">
        <f t="shared" si="20"/>
        <v>69010.563012964965</v>
      </c>
      <c r="I19" s="926">
        <f t="shared" si="20"/>
        <v>43960.436987035035</v>
      </c>
      <c r="J19" s="729">
        <f t="shared" si="20"/>
        <v>14783</v>
      </c>
      <c r="K19" s="729">
        <f t="shared" si="20"/>
        <v>73894.468628854287</v>
      </c>
      <c r="L19" s="729">
        <f t="shared" si="20"/>
        <v>47071.531371145713</v>
      </c>
      <c r="M19" s="729">
        <f t="shared" si="20"/>
        <v>16218</v>
      </c>
      <c r="N19" s="729" t="e">
        <f t="shared" si="20"/>
        <v>#DIV/0!</v>
      </c>
      <c r="O19" s="729" t="e">
        <f t="shared" si="20"/>
        <v>#DIV/0!</v>
      </c>
      <c r="P19" s="729">
        <f>SUM(P20:P26)</f>
        <v>17654</v>
      </c>
      <c r="R19" s="269" t="s">
        <v>46</v>
      </c>
      <c r="S19" s="282">
        <f>SUM(S20:S26)</f>
        <v>539260979.60390723</v>
      </c>
      <c r="T19" s="282">
        <f t="shared" ref="T19:AD19" si="21">SUM(T20:T26)</f>
        <v>629864399.47879112</v>
      </c>
      <c r="U19" s="282">
        <f t="shared" si="21"/>
        <v>477184461.76801974</v>
      </c>
      <c r="V19" s="282">
        <f t="shared" si="21"/>
        <v>576581857.13790286</v>
      </c>
      <c r="W19" s="282">
        <f t="shared" si="21"/>
        <v>673455839.14146519</v>
      </c>
      <c r="X19" s="282">
        <f t="shared" si="21"/>
        <v>520355128.47226411</v>
      </c>
      <c r="Y19" s="282">
        <f t="shared" si="21"/>
        <v>619662099.66494954</v>
      </c>
      <c r="Z19" s="282">
        <f t="shared" si="21"/>
        <v>723774407.26195192</v>
      </c>
      <c r="AA19" s="282">
        <f t="shared" si="21"/>
        <v>578072432.87032986</v>
      </c>
      <c r="AB19" s="282">
        <f t="shared" si="21"/>
        <v>663515838.51850522</v>
      </c>
      <c r="AC19" s="282">
        <f t="shared" si="21"/>
        <v>774996156.81962323</v>
      </c>
      <c r="AD19" s="282">
        <f t="shared" si="21"/>
        <v>634186478.81289387</v>
      </c>
      <c r="AE19" s="282" t="e">
        <f>SUM(AE20:AE26)</f>
        <v>#DIV/0!</v>
      </c>
      <c r="AF19" s="282" t="e">
        <f>SUM(AF20:AF26)</f>
        <v>#DIV/0!</v>
      </c>
      <c r="AG19" s="282">
        <f>SUM(AG20:AG26)</f>
        <v>690339628.62022626</v>
      </c>
      <c r="AI19" s="4" t="s">
        <v>46</v>
      </c>
      <c r="AJ19" s="171">
        <f>S19/COMB_CORR!$L4</f>
        <v>0.15810179624163334</v>
      </c>
      <c r="AK19" s="171">
        <f>T19/COMB_CORR!$L4</f>
        <v>0.18466511895483165</v>
      </c>
      <c r="AL19" s="171">
        <f>U19/COMB_CORR!$L4</f>
        <v>0.13990205744078707</v>
      </c>
      <c r="AM19" s="171">
        <f>V19/COMB_CORR!$M4</f>
        <v>0.14162071424462516</v>
      </c>
      <c r="AN19" s="171">
        <f>W19/COMB_CORR!$M4</f>
        <v>0.16541501570108627</v>
      </c>
      <c r="AO19" s="171">
        <f>X19/COMB_CORR!$M4</f>
        <v>0.12781023898480096</v>
      </c>
      <c r="AP19" s="171">
        <f>Y19/COMB_CORR!$N4</f>
        <v>0.13993062421023514</v>
      </c>
      <c r="AQ19" s="171">
        <f>Z19/COMB_CORR!$N4</f>
        <v>0.16344101833938024</v>
      </c>
      <c r="AR19" s="171">
        <f>AA19/COMB_CORR!$N4</f>
        <v>0.13053894439245461</v>
      </c>
      <c r="AS19" s="171">
        <f>AB19/COMB_CORR!$O4</f>
        <v>0.13921425753331257</v>
      </c>
      <c r="AT19" s="171">
        <f>AC19/COMB_CORR!$O4</f>
        <v>0.16260427905340122</v>
      </c>
      <c r="AU19" s="171">
        <f>AD19/COMB_CORR!$O4</f>
        <v>0.13306057619171749</v>
      </c>
      <c r="AV19" s="171" t="e">
        <f>AE19/COMB_CORR!$P4</f>
        <v>#DIV/0!</v>
      </c>
      <c r="AW19" s="171" t="e">
        <f>AF19/COMB_CORR!$P4</f>
        <v>#DIV/0!</v>
      </c>
      <c r="AX19" s="171" t="e">
        <f>AG19/COMB_CORR!$P4</f>
        <v>#DIV/0!</v>
      </c>
    </row>
    <row r="20" spans="1:50" ht="15.75" thickBot="1">
      <c r="A20" s="130" t="s">
        <v>13</v>
      </c>
      <c r="B20" s="920">
        <f>DEN!$D5*ONSV_2013!AA4</f>
        <v>2759.9775134430506</v>
      </c>
      <c r="C20" s="920">
        <f>DEN!$D5*ONSV_2013!AB4</f>
        <v>1758.0224865569496</v>
      </c>
      <c r="D20" s="925">
        <f>DEN!E5</f>
        <v>350</v>
      </c>
      <c r="E20" s="920">
        <f>DEN!$D41*ONSV_2013!AA4</f>
        <v>2994.5572755417957</v>
      </c>
      <c r="F20" s="920">
        <f>DEN!$D41*ONSV_2013!AB4</f>
        <v>1907.4427244582043</v>
      </c>
      <c r="G20" s="925">
        <f>DEN!E41</f>
        <v>392</v>
      </c>
      <c r="H20" s="920">
        <f>DEN!$D77*ONSV_2013!AA4</f>
        <v>3304.2758676877952</v>
      </c>
      <c r="I20" s="920">
        <f>DEN!$D77*ONSV_2013!AB4</f>
        <v>2104.7241323122048</v>
      </c>
      <c r="J20" s="169">
        <f>DEN!E77</f>
        <v>459</v>
      </c>
      <c r="K20" s="935">
        <f>DEN!$D113*ONSV_2013!AA4</f>
        <v>3564.512791266091</v>
      </c>
      <c r="L20" s="935">
        <f>DEN!$D113*ONSV_2013!AB4</f>
        <v>2270.487208733909</v>
      </c>
      <c r="M20" s="169">
        <f>DEN!E113</f>
        <v>503</v>
      </c>
      <c r="N20" s="167" t="e">
        <f>DEN!$D149*DIST_DSL_CAM!$K$2</f>
        <v>#DIV/0!</v>
      </c>
      <c r="O20" s="167" t="e">
        <f>DEN!$D149*DIST_DSL_CAM!$K$3</f>
        <v>#DIV/0!</v>
      </c>
      <c r="P20" s="169">
        <f>DEN!E149</f>
        <v>541</v>
      </c>
      <c r="R20" s="127" t="s">
        <v>13</v>
      </c>
      <c r="S20" s="167">
        <f>B$9*B20/B$17</f>
        <v>24782488.1632521</v>
      </c>
      <c r="T20" s="167">
        <f t="shared" ref="T20:AD26" si="22">C$9*C20/C$17</f>
        <v>28944473.039160263</v>
      </c>
      <c r="U20" s="167">
        <f t="shared" si="22"/>
        <v>13686352.668918045</v>
      </c>
      <c r="V20" s="167">
        <f t="shared" si="22"/>
        <v>26888835.098774187</v>
      </c>
      <c r="W20" s="167">
        <f t="shared" si="22"/>
        <v>31404561.053112797</v>
      </c>
      <c r="X20" s="167">
        <f t="shared" si="22"/>
        <v>15328714.989188211</v>
      </c>
      <c r="Y20" s="167">
        <f t="shared" si="22"/>
        <v>29669871.287080698</v>
      </c>
      <c r="Z20" s="167">
        <f t="shared" si="22"/>
        <v>34652646.0090345</v>
      </c>
      <c r="AA20" s="167">
        <f t="shared" si="22"/>
        <v>17948673.928666808</v>
      </c>
      <c r="AB20" s="167">
        <f t="shared" si="22"/>
        <v>32006599.918675516</v>
      </c>
      <c r="AC20" s="167">
        <f t="shared" si="22"/>
        <v>37381806.149513088</v>
      </c>
      <c r="AD20" s="167">
        <f t="shared" si="22"/>
        <v>19669243.978473648</v>
      </c>
      <c r="AE20" s="167" t="e">
        <f t="shared" ref="AE20:AE26" si="23">N$9*N20/N$17</f>
        <v>#DIV/0!</v>
      </c>
      <c r="AF20" s="167" t="e">
        <f t="shared" ref="AF20:AF26" si="24">O$9*O20/O$17</f>
        <v>#DIV/0!</v>
      </c>
      <c r="AG20" s="167">
        <f t="shared" ref="AG20:AG26" si="25">P$9*P20/P$17</f>
        <v>21155190.839670464</v>
      </c>
      <c r="AI20" s="127" t="s">
        <v>13</v>
      </c>
      <c r="AJ20" s="171">
        <f>S20/COMB_CORR!$L5</f>
        <v>0.22129413627007224</v>
      </c>
      <c r="AK20" s="171">
        <f>T20/COMB_CORR!$L5</f>
        <v>0.25845839686473315</v>
      </c>
      <c r="AL20" s="171">
        <f>U20/COMB_CORR!$L5</f>
        <v>0.12221168320971255</v>
      </c>
      <c r="AM20" s="171">
        <f>V20/COMB_CORR!$M5</f>
        <v>0.20090072394438388</v>
      </c>
      <c r="AN20" s="171">
        <f>W20/COMB_CORR!$M5</f>
        <v>0.23464010350577025</v>
      </c>
      <c r="AO20" s="171">
        <f>X20/COMB_CORR!$M5</f>
        <v>0.11452894583021304</v>
      </c>
      <c r="AP20" s="171">
        <f>Y20/COMB_CORR!$N5</f>
        <v>0.21496970628277343</v>
      </c>
      <c r="AQ20" s="171">
        <f>Z20/COMB_CORR!$N5</f>
        <v>0.25107183858012694</v>
      </c>
      <c r="AR20" s="171">
        <f>AA20/COMB_CORR!$N5</f>
        <v>0.13004509272309747</v>
      </c>
      <c r="AS20" s="171">
        <f>AB20/COMB_CORR!$O5</f>
        <v>0.16943653797163066</v>
      </c>
      <c r="AT20" s="171">
        <f>AC20/COMB_CORR!$O5</f>
        <v>0.19789180460259947</v>
      </c>
      <c r="AU20" s="171">
        <f>AD20/COMB_CORR!$O5</f>
        <v>0.10412504335667749</v>
      </c>
      <c r="AV20" s="171" t="e">
        <f>AE20/COMB_CORR!$P5</f>
        <v>#DIV/0!</v>
      </c>
      <c r="AW20" s="171" t="e">
        <f>AF20/COMB_CORR!$P5</f>
        <v>#DIV/0!</v>
      </c>
      <c r="AX20" s="171" t="e">
        <f>AG20/COMB_CORR!$P5</f>
        <v>#DIV/0!</v>
      </c>
    </row>
    <row r="21" spans="1:50" ht="15.75" thickBot="1">
      <c r="A21" s="127" t="s">
        <v>14</v>
      </c>
      <c r="B21" s="920">
        <f>DEN!$D6*ONSV_2013!AA5</f>
        <v>1755.7883959044368</v>
      </c>
      <c r="C21" s="920">
        <f>DEN!$D6*ONSV_2013!AB5</f>
        <v>1118.2116040955632</v>
      </c>
      <c r="D21" s="169">
        <f>DEN!E6</f>
        <v>184</v>
      </c>
      <c r="E21" s="920">
        <f>DEN!$D42*ONSV_2013!AA5</f>
        <v>1857.8122866894198</v>
      </c>
      <c r="F21" s="920">
        <f>DEN!$D42*ONSV_2013!AB5</f>
        <v>1183.1877133105802</v>
      </c>
      <c r="G21" s="169">
        <f>DEN!E42</f>
        <v>188</v>
      </c>
      <c r="H21" s="920">
        <f>DEN!$D78*ONSV_2013!AA5</f>
        <v>1939.6757679180887</v>
      </c>
      <c r="I21" s="920">
        <f>DEN!$D78*ONSV_2013!AB5</f>
        <v>1235.3242320819113</v>
      </c>
      <c r="J21" s="169">
        <f>DEN!E78</f>
        <v>223</v>
      </c>
      <c r="K21" s="935">
        <f>DEN!$D114*ONSV_2013!AA5</f>
        <v>2050.2525597269623</v>
      </c>
      <c r="L21" s="935">
        <f>DEN!$D114*ONSV_2013!AB5</f>
        <v>1305.7474402730377</v>
      </c>
      <c r="M21" s="169">
        <f>DEN!E114</f>
        <v>221</v>
      </c>
      <c r="N21" s="167" t="e">
        <f>DEN!$D150*DIST_DSL_CAM!$K$2</f>
        <v>#DIV/0!</v>
      </c>
      <c r="O21" s="167" t="e">
        <f>DEN!$D150*DIST_DSL_CAM!$K$3</f>
        <v>#DIV/0!</v>
      </c>
      <c r="P21" s="169">
        <f>DEN!E150</f>
        <v>239</v>
      </c>
      <c r="R21" s="127" t="s">
        <v>14</v>
      </c>
      <c r="S21" s="167">
        <f t="shared" ref="S21:S26" si="26">B$9*B21/B$17</f>
        <v>15765637.555646317</v>
      </c>
      <c r="T21" s="167">
        <f t="shared" si="22"/>
        <v>18410484.435957588</v>
      </c>
      <c r="U21" s="167">
        <f t="shared" si="22"/>
        <v>7195111.1173740579</v>
      </c>
      <c r="V21" s="167">
        <f t="shared" si="22"/>
        <v>16681734.101155341</v>
      </c>
      <c r="W21" s="167">
        <f t="shared" si="22"/>
        <v>19480265.542709474</v>
      </c>
      <c r="X21" s="167">
        <f t="shared" si="22"/>
        <v>7351526.5764474068</v>
      </c>
      <c r="Y21" s="167">
        <f t="shared" si="22"/>
        <v>17416805.580785338</v>
      </c>
      <c r="Z21" s="167">
        <f t="shared" si="22"/>
        <v>20338652.778067272</v>
      </c>
      <c r="AA21" s="167">
        <f t="shared" si="22"/>
        <v>8720161.8433392122</v>
      </c>
      <c r="AB21" s="167">
        <f t="shared" si="22"/>
        <v>18409700.639091525</v>
      </c>
      <c r="AC21" s="167">
        <f t="shared" si="22"/>
        <v>21498116.133289378</v>
      </c>
      <c r="AD21" s="167">
        <f t="shared" si="22"/>
        <v>8641954.1138025373</v>
      </c>
      <c r="AE21" s="167" t="e">
        <f t="shared" si="23"/>
        <v>#DIV/0!</v>
      </c>
      <c r="AF21" s="167" t="e">
        <f t="shared" si="24"/>
        <v>#DIV/0!</v>
      </c>
      <c r="AG21" s="167">
        <f t="shared" si="25"/>
        <v>9345823.6796326078</v>
      </c>
      <c r="AI21" s="127" t="s">
        <v>14</v>
      </c>
      <c r="AJ21" s="171">
        <f>S21/COMB_CORR!$L6</f>
        <v>5.6437230701614334E-2</v>
      </c>
      <c r="AK21" s="171">
        <f>T21/COMB_CORR!$L6</f>
        <v>6.5905153139112799E-2</v>
      </c>
      <c r="AL21" s="171">
        <f>U21/COMB_CORR!$L6</f>
        <v>2.5756785580140325E-2</v>
      </c>
      <c r="AM21" s="171">
        <f>V21/COMB_CORR!$M6</f>
        <v>5.596030015762981E-2</v>
      </c>
      <c r="AN21" s="171">
        <f>W21/COMB_CORR!$M6</f>
        <v>6.5348212620464682E-2</v>
      </c>
      <c r="AO21" s="171">
        <f>X21/COMB_CORR!$M6</f>
        <v>2.4661323057912625E-2</v>
      </c>
      <c r="AP21" s="171">
        <f>Y21/COMB_CORR!$N6</f>
        <v>5.0320626561958418E-2</v>
      </c>
      <c r="AQ21" s="171">
        <f>Z21/COMB_CORR!$N6</f>
        <v>5.876242612178903E-2</v>
      </c>
      <c r="AR21" s="171">
        <f>AA21/COMB_CORR!$N6</f>
        <v>2.5194287531268716E-2</v>
      </c>
      <c r="AS21" s="171">
        <f>AB21/COMB_CORR!$O6</f>
        <v>4.229116031203535E-2</v>
      </c>
      <c r="AT21" s="171">
        <f>AC21/COMB_CORR!$O6</f>
        <v>4.9385934819011837E-2</v>
      </c>
      <c r="AU21" s="171">
        <f>AD21/COMB_CORR!$O6</f>
        <v>1.9852482883942861E-2</v>
      </c>
      <c r="AV21" s="171" t="e">
        <f>AE21/COMB_CORR!$P6</f>
        <v>#DIV/0!</v>
      </c>
      <c r="AW21" s="171" t="e">
        <f>AF21/COMB_CORR!$P6</f>
        <v>#DIV/0!</v>
      </c>
      <c r="AX21" s="171" t="e">
        <f>AG21/COMB_CORR!$P6</f>
        <v>#DIV/0!</v>
      </c>
    </row>
    <row r="22" spans="1:50" ht="15.75" thickBot="1">
      <c r="A22" s="127" t="s">
        <v>15</v>
      </c>
      <c r="B22" s="920">
        <f>DEN!$D7*ONSV_2013!AA6</f>
        <v>9023.4641521703779</v>
      </c>
      <c r="C22" s="920">
        <f>DEN!$D7*ONSV_2013!AB6</f>
        <v>5748.5358478296212</v>
      </c>
      <c r="D22" s="169">
        <f>DEN!E7</f>
        <v>1872</v>
      </c>
      <c r="E22" s="920">
        <f>DEN!$D43*ONSV_2013!AA6</f>
        <v>9663.023248252317</v>
      </c>
      <c r="F22" s="920">
        <f>DEN!$D43*ONSV_2013!AB6</f>
        <v>6155.976751747683</v>
      </c>
      <c r="G22" s="169">
        <f>DEN!E43</f>
        <v>1990</v>
      </c>
      <c r="H22" s="920">
        <f>DEN!$D79*ONSV_2013!AA6</f>
        <v>10365.499810328944</v>
      </c>
      <c r="I22" s="920">
        <f>DEN!$D79*ONSV_2013!AB6</f>
        <v>6603.5001896710564</v>
      </c>
      <c r="J22" s="169">
        <f>DEN!E79</f>
        <v>2249</v>
      </c>
      <c r="K22" s="935">
        <f>DEN!$D115*ONSV_2013!AA6</f>
        <v>11031.936270525117</v>
      </c>
      <c r="L22" s="935">
        <f>DEN!$D115*ONSV_2013!AB6</f>
        <v>7028.0637294748822</v>
      </c>
      <c r="M22" s="169">
        <f>DEN!E115</f>
        <v>2477</v>
      </c>
      <c r="N22" s="167" t="e">
        <f>DEN!$D151*DIST_DSL_CAM!$K$2</f>
        <v>#DIV/0!</v>
      </c>
      <c r="O22" s="167" t="e">
        <f>DEN!$D151*DIST_DSL_CAM!$K$3</f>
        <v>#DIV/0!</v>
      </c>
      <c r="P22" s="169">
        <f>DEN!E151</f>
        <v>2608</v>
      </c>
      <c r="R22" s="127" t="s">
        <v>15</v>
      </c>
      <c r="S22" s="167">
        <f t="shared" si="26"/>
        <v>81023809.959858328</v>
      </c>
      <c r="T22" s="167">
        <f t="shared" si="22"/>
        <v>94645172.137711883</v>
      </c>
      <c r="U22" s="167">
        <f t="shared" si="22"/>
        <v>73202434.846327364</v>
      </c>
      <c r="V22" s="167">
        <f t="shared" si="22"/>
        <v>86766561.721838534</v>
      </c>
      <c r="W22" s="167">
        <f t="shared" si="22"/>
        <v>101353369.75673328</v>
      </c>
      <c r="X22" s="167">
        <f t="shared" si="22"/>
        <v>77816690.888991162</v>
      </c>
      <c r="Y22" s="167">
        <f t="shared" si="22"/>
        <v>93074264.230221763</v>
      </c>
      <c r="Z22" s="167">
        <f t="shared" si="22"/>
        <v>108721495.12624106</v>
      </c>
      <c r="AA22" s="167">
        <f t="shared" si="22"/>
        <v>87944591.863990515</v>
      </c>
      <c r="AB22" s="167">
        <f t="shared" si="22"/>
        <v>99058354.17513141</v>
      </c>
      <c r="AC22" s="167">
        <f t="shared" si="22"/>
        <v>115711603.62896536</v>
      </c>
      <c r="AD22" s="167">
        <f t="shared" si="22"/>
        <v>96860273.031171426</v>
      </c>
      <c r="AE22" s="167" t="e">
        <f t="shared" si="23"/>
        <v>#DIV/0!</v>
      </c>
      <c r="AF22" s="167" t="e">
        <f t="shared" si="24"/>
        <v>#DIV/0!</v>
      </c>
      <c r="AG22" s="167">
        <f t="shared" si="25"/>
        <v>101982879.3158236</v>
      </c>
      <c r="AI22" s="127" t="s">
        <v>15</v>
      </c>
      <c r="AJ22" s="171">
        <f>S22/COMB_CORR!$L7</f>
        <v>0.12071562564253019</v>
      </c>
      <c r="AK22" s="171">
        <f>T22/COMB_CORR!$L7</f>
        <v>0.14100979914804335</v>
      </c>
      <c r="AL22" s="171">
        <f>U22/COMB_CORR!$L7</f>
        <v>0.10906272767732006</v>
      </c>
      <c r="AM22" s="171">
        <f>V22/COMB_CORR!$M7</f>
        <v>9.2175679075894898E-2</v>
      </c>
      <c r="AN22" s="171">
        <f>W22/COMB_CORR!$M7</f>
        <v>0.10767184383665353</v>
      </c>
      <c r="AO22" s="171">
        <f>X22/COMB_CORR!$M7</f>
        <v>8.2667864022626339E-2</v>
      </c>
      <c r="AP22" s="171">
        <f>Y22/COMB_CORR!$N7</f>
        <v>8.3653972196585408E-2</v>
      </c>
      <c r="AQ22" s="171">
        <f>Z22/COMB_CORR!$N7</f>
        <v>9.77175055390722E-2</v>
      </c>
      <c r="AR22" s="171">
        <f>AA22/COMB_CORR!$N7</f>
        <v>7.9043487514795521E-2</v>
      </c>
      <c r="AS22" s="171">
        <f>AB22/COMB_CORR!$O7</f>
        <v>9.0267858425747916E-2</v>
      </c>
      <c r="AT22" s="171">
        <f>AC22/COMB_CORR!$O7</f>
        <v>0.10544328887323599</v>
      </c>
      <c r="AU22" s="171">
        <f>AD22/COMB_CORR!$O7</f>
        <v>8.8264836276192582E-2</v>
      </c>
      <c r="AV22" s="171" t="e">
        <f>AE22/COMB_CORR!$P7</f>
        <v>#DIV/0!</v>
      </c>
      <c r="AW22" s="171" t="e">
        <f>AF22/COMB_CORR!$P7</f>
        <v>#DIV/0!</v>
      </c>
      <c r="AX22" s="171" t="e">
        <f>AG22/COMB_CORR!$P7</f>
        <v>#DIV/0!</v>
      </c>
    </row>
    <row r="23" spans="1:50" ht="15.75" thickBot="1">
      <c r="A23" s="127" t="s">
        <v>16</v>
      </c>
      <c r="B23" s="920">
        <f>DEN!$D8*ONSV_2013!AA7</f>
        <v>22051.208384862726</v>
      </c>
      <c r="C23" s="920">
        <f>DEN!$D8*ONSV_2013!AB7</f>
        <v>14046.791615137274</v>
      </c>
      <c r="D23" s="169">
        <f>DEN!E8</f>
        <v>3360</v>
      </c>
      <c r="E23" s="920">
        <f>DEN!$D44*ONSV_2013!AA7</f>
        <v>23654.743816472917</v>
      </c>
      <c r="F23" s="920">
        <f>DEN!$D44*ONSV_2013!AB7</f>
        <v>15068.256183527083</v>
      </c>
      <c r="G23" s="169">
        <f>DEN!E44</f>
        <v>3802</v>
      </c>
      <c r="H23" s="920">
        <f>DEN!$D80*ONSV_2013!AA7</f>
        <v>25390.227306455603</v>
      </c>
      <c r="I23" s="920">
        <f>DEN!$D80*ONSV_2013!AB7</f>
        <v>16173.772693544397</v>
      </c>
      <c r="J23" s="169">
        <f>DEN!E80</f>
        <v>4343</v>
      </c>
      <c r="K23" s="935">
        <f>DEN!$D116*ONSV_2013!AA7</f>
        <v>27539.270220133563</v>
      </c>
      <c r="L23" s="935">
        <f>DEN!$D116*ONSV_2013!AB7</f>
        <v>17542.729779866437</v>
      </c>
      <c r="M23" s="169">
        <f>DEN!E116</f>
        <v>4891</v>
      </c>
      <c r="N23" s="167" t="e">
        <f>DEN!$D152*DIST_DSL_CAM!$K$2</f>
        <v>#DIV/0!</v>
      </c>
      <c r="O23" s="167" t="e">
        <f>DEN!$D152*DIST_DSL_CAM!$K$3</f>
        <v>#DIV/0!</v>
      </c>
      <c r="P23" s="169">
        <f>DEN!E152</f>
        <v>5430</v>
      </c>
      <c r="R23" s="127" t="s">
        <v>16</v>
      </c>
      <c r="S23" s="167">
        <f t="shared" si="26"/>
        <v>198002993.90900892</v>
      </c>
      <c r="T23" s="167">
        <f t="shared" si="22"/>
        <v>231269499.84997961</v>
      </c>
      <c r="U23" s="167">
        <f t="shared" si="22"/>
        <v>131388985.62161323</v>
      </c>
      <c r="V23" s="167">
        <f t="shared" si="22"/>
        <v>212401516.23742461</v>
      </c>
      <c r="W23" s="167">
        <f t="shared" si="22"/>
        <v>248087119.58254638</v>
      </c>
      <c r="X23" s="167">
        <f t="shared" si="22"/>
        <v>148672893.84921831</v>
      </c>
      <c r="Y23" s="167">
        <f t="shared" si="22"/>
        <v>227984831.26029271</v>
      </c>
      <c r="Z23" s="167">
        <f t="shared" si="22"/>
        <v>266288589.167393</v>
      </c>
      <c r="AA23" s="167">
        <f t="shared" si="22"/>
        <v>169828084.68888876</v>
      </c>
      <c r="AB23" s="167">
        <f t="shared" si="22"/>
        <v>247281593.7560513</v>
      </c>
      <c r="AC23" s="167">
        <f t="shared" si="22"/>
        <v>288827402.96517211</v>
      </c>
      <c r="AD23" s="167">
        <f t="shared" si="22"/>
        <v>191257002.58193758</v>
      </c>
      <c r="AE23" s="167" t="e">
        <f t="shared" si="23"/>
        <v>#DIV/0!</v>
      </c>
      <c r="AF23" s="167" t="e">
        <f t="shared" si="24"/>
        <v>#DIV/0!</v>
      </c>
      <c r="AG23" s="167">
        <f t="shared" si="25"/>
        <v>212333985.69207138</v>
      </c>
      <c r="AI23" s="127" t="s">
        <v>16</v>
      </c>
      <c r="AJ23" s="171">
        <f>S23/COMB_CORR!$L8</f>
        <v>0.16277744538294472</v>
      </c>
      <c r="AK23" s="171">
        <f>T23/COMB_CORR!$L8</f>
        <v>0.19012570283594168</v>
      </c>
      <c r="AL23" s="171">
        <f>U23/COMB_CORR!$L8</f>
        <v>0.10801434366578821</v>
      </c>
      <c r="AM23" s="171">
        <f>V23/COMB_CORR!$M8</f>
        <v>0.15441570608176464</v>
      </c>
      <c r="AN23" s="171">
        <f>W23/COMB_CORR!$M8</f>
        <v>0.18035910674624556</v>
      </c>
      <c r="AO23" s="171">
        <f>X23/COMB_CORR!$M8</f>
        <v>0.10808505647993696</v>
      </c>
      <c r="AP23" s="171">
        <f>Y23/COMB_CORR!$N8</f>
        <v>0.14887248064801081</v>
      </c>
      <c r="AQ23" s="171">
        <f>Z23/COMB_CORR!$N8</f>
        <v>0.17388456336530536</v>
      </c>
      <c r="AR23" s="171">
        <f>AA23/COMB_CORR!$N8</f>
        <v>0.11089653689490321</v>
      </c>
      <c r="AS23" s="171">
        <f>AB23/COMB_CORR!$O8</f>
        <v>0.14561108611935347</v>
      </c>
      <c r="AT23" s="171">
        <f>AC23/COMB_CORR!$O8</f>
        <v>0.17007522156412705</v>
      </c>
      <c r="AU23" s="171">
        <f>AD23/COMB_CORR!$O8</f>
        <v>0.11262115975102339</v>
      </c>
      <c r="AV23" s="171" t="e">
        <f>AE23/COMB_CORR!$P8</f>
        <v>#DIV/0!</v>
      </c>
      <c r="AW23" s="171" t="e">
        <f>AF23/COMB_CORR!$P8</f>
        <v>#DIV/0!</v>
      </c>
      <c r="AX23" s="171" t="e">
        <f>AG23/COMB_CORR!$P8</f>
        <v>#DIV/0!</v>
      </c>
    </row>
    <row r="24" spans="1:50" ht="15.75" thickBot="1">
      <c r="A24" s="127" t="s">
        <v>17</v>
      </c>
      <c r="B24" s="920">
        <f>DEN!$D9*ONSV_2013!AA8</f>
        <v>12168.229599420665</v>
      </c>
      <c r="C24" s="920">
        <f>DEN!$D9*ONSV_2013!AB8</f>
        <v>7751.7704005793348</v>
      </c>
      <c r="D24" s="169">
        <f>DEN!E9</f>
        <v>3626</v>
      </c>
      <c r="E24" s="920">
        <f>DEN!$D45*ONSV_2013!AA8</f>
        <v>13093.063917368601</v>
      </c>
      <c r="F24" s="920">
        <f>DEN!$D45*ONSV_2013!AB8</f>
        <v>8340.9360826313987</v>
      </c>
      <c r="G24" s="169">
        <f>DEN!E45</f>
        <v>3888</v>
      </c>
      <c r="H24" s="920">
        <f>DEN!$D81*ONSV_2013!AA8</f>
        <v>14237.805999161488</v>
      </c>
      <c r="I24" s="920">
        <f>DEN!$D81*ONSV_2013!AB8</f>
        <v>9070.1940008385118</v>
      </c>
      <c r="J24" s="169">
        <f>DEN!E81</f>
        <v>4238</v>
      </c>
      <c r="K24" s="935">
        <f>DEN!$D117*ONSV_2013!AA8</f>
        <v>15201.124175782292</v>
      </c>
      <c r="L24" s="935">
        <f>DEN!$D117*ONSV_2013!AB8</f>
        <v>9683.8758242177082</v>
      </c>
      <c r="M24" s="169">
        <f>DEN!E117</f>
        <v>4534</v>
      </c>
      <c r="N24" s="167" t="e">
        <f>DEN!$D153*DIST_DSL_CAM!$K$2</f>
        <v>#DIV/0!</v>
      </c>
      <c r="O24" s="167" t="e">
        <f>DEN!$D153*DIST_DSL_CAM!$K$3</f>
        <v>#DIV/0!</v>
      </c>
      <c r="P24" s="169">
        <f>DEN!E153</f>
        <v>4882</v>
      </c>
      <c r="R24" s="127" t="s">
        <v>17</v>
      </c>
      <c r="S24" s="167">
        <f t="shared" si="26"/>
        <v>109261399.61161637</v>
      </c>
      <c r="T24" s="167">
        <f t="shared" si="22"/>
        <v>127626871.14699817</v>
      </c>
      <c r="U24" s="167">
        <f t="shared" si="22"/>
        <v>141790613.64999095</v>
      </c>
      <c r="V24" s="167">
        <f t="shared" si="22"/>
        <v>117565704.78290087</v>
      </c>
      <c r="W24" s="167">
        <f t="shared" si="22"/>
        <v>137327025.91188547</v>
      </c>
      <c r="X24" s="167">
        <f t="shared" si="22"/>
        <v>152035826.21929532</v>
      </c>
      <c r="Y24" s="167">
        <f t="shared" si="22"/>
        <v>127844613.56162421</v>
      </c>
      <c r="Z24" s="167">
        <f t="shared" si="22"/>
        <v>149333690.39629686</v>
      </c>
      <c r="AA24" s="167">
        <f t="shared" si="22"/>
        <v>165722178.88821337</v>
      </c>
      <c r="AB24" s="167">
        <f t="shared" si="22"/>
        <v>136494474.36421052</v>
      </c>
      <c r="AC24" s="167">
        <f t="shared" si="22"/>
        <v>159437484.36210087</v>
      </c>
      <c r="AD24" s="167">
        <f t="shared" si="22"/>
        <v>177296922.85964119</v>
      </c>
      <c r="AE24" s="167" t="e">
        <f t="shared" si="23"/>
        <v>#DIV/0!</v>
      </c>
      <c r="AF24" s="167" t="e">
        <f t="shared" si="24"/>
        <v>#DIV/0!</v>
      </c>
      <c r="AG24" s="167">
        <f t="shared" si="25"/>
        <v>190905067.79902256</v>
      </c>
      <c r="AI24" s="127" t="s">
        <v>17</v>
      </c>
      <c r="AJ24" s="171">
        <f>S24/COMB_CORR!$L9</f>
        <v>0.17639365063967941</v>
      </c>
      <c r="AK24" s="171">
        <f>T24/COMB_CORR!$L9</f>
        <v>0.20604321197937045</v>
      </c>
      <c r="AL24" s="171">
        <f>U24/COMB_CORR!$L9</f>
        <v>0.22890942324615038</v>
      </c>
      <c r="AM24" s="171">
        <f>V24/COMB_CORR!$M9</f>
        <v>0.17517364857628029</v>
      </c>
      <c r="AN24" s="171">
        <f>W24/COMB_CORR!$M9</f>
        <v>0.20461814286348884</v>
      </c>
      <c r="AO24" s="171">
        <f>X24/COMB_CORR!$M9</f>
        <v>0.22653434896106539</v>
      </c>
      <c r="AP24" s="171">
        <f>Y24/COMB_CORR!$N9</f>
        <v>0.18870036639162527</v>
      </c>
      <c r="AQ24" s="171">
        <f>Z24/COMB_CORR!$N9</f>
        <v>0.22041853236790168</v>
      </c>
      <c r="AR24" s="171">
        <f>AA24/COMB_CORR!$N9</f>
        <v>0.24460816145648984</v>
      </c>
      <c r="AS24" s="171">
        <f>AB24/COMB_CORR!$O9</f>
        <v>0.20550082025266767</v>
      </c>
      <c r="AT24" s="171">
        <f>AC24/COMB_CORR!$O9</f>
        <v>0.24004293190658724</v>
      </c>
      <c r="AU24" s="171">
        <f>AD24/COMB_CORR!$O9</f>
        <v>0.26693141422495231</v>
      </c>
      <c r="AV24" s="171" t="e">
        <f>AE24/COMB_CORR!$P9</f>
        <v>#DIV/0!</v>
      </c>
      <c r="AW24" s="171" t="e">
        <f>AF24/COMB_CORR!$P9</f>
        <v>#DIV/0!</v>
      </c>
      <c r="AX24" s="171" t="e">
        <f>AG24/COMB_CORR!$P9</f>
        <v>#DIV/0!</v>
      </c>
    </row>
    <row r="25" spans="1:50" ht="15.75" thickBot="1">
      <c r="A25" s="127" t="s">
        <v>18</v>
      </c>
      <c r="B25" s="920">
        <f>DEN!$D10*ONSV_2013!AA9</f>
        <v>1742.4590341833969</v>
      </c>
      <c r="C25" s="920">
        <f>DEN!$D10*ONSV_2013!AB9</f>
        <v>1109.5409658166034</v>
      </c>
      <c r="D25" s="169">
        <f>DEN!E10</f>
        <v>256</v>
      </c>
      <c r="E25" s="920">
        <f>DEN!$D46*ONSV_2013!AA9</f>
        <v>1863.42919153554</v>
      </c>
      <c r="F25" s="920">
        <f>DEN!$D46*ONSV_2013!AB9</f>
        <v>1186.5708084644602</v>
      </c>
      <c r="G25" s="169">
        <f>DEN!E46</f>
        <v>297</v>
      </c>
      <c r="H25" s="920">
        <f>DEN!$D82*ONSV_2013!AA9</f>
        <v>1995.3966359196963</v>
      </c>
      <c r="I25" s="920">
        <f>DEN!$D82*ONSV_2013!AB9</f>
        <v>1270.6033640803039</v>
      </c>
      <c r="J25" s="169">
        <f>DEN!E82</f>
        <v>346</v>
      </c>
      <c r="K25" s="935">
        <f>DEN!$D118*ONSV_2013!AA9</f>
        <v>2153.0244167118831</v>
      </c>
      <c r="L25" s="935">
        <f>DEN!$D118*ONSV_2013!AB9</f>
        <v>1370.9755832881172</v>
      </c>
      <c r="M25" s="169">
        <f>DEN!E118</f>
        <v>389</v>
      </c>
      <c r="N25" s="167" t="e">
        <f>DEN!$D154*DIST_DSL_CAM!$K$2</f>
        <v>#DIV/0!</v>
      </c>
      <c r="O25" s="167" t="e">
        <f>DEN!$D154*DIST_DSL_CAM!$K$3</f>
        <v>#DIV/0!</v>
      </c>
      <c r="P25" s="169">
        <f>DEN!E154</f>
        <v>430</v>
      </c>
      <c r="R25" s="127" t="s">
        <v>18</v>
      </c>
      <c r="S25" s="167">
        <f t="shared" si="26"/>
        <v>15645950.077227956</v>
      </c>
      <c r="T25" s="167">
        <f t="shared" si="22"/>
        <v>18267729.119790286</v>
      </c>
      <c r="U25" s="167">
        <f t="shared" si="22"/>
        <v>10010589.380694341</v>
      </c>
      <c r="V25" s="167">
        <f t="shared" si="22"/>
        <v>16732169.61274378</v>
      </c>
      <c r="W25" s="167">
        <f t="shared" si="22"/>
        <v>19535965.573408265</v>
      </c>
      <c r="X25" s="167">
        <f t="shared" si="22"/>
        <v>11613847.836196169</v>
      </c>
      <c r="Y25" s="167">
        <f t="shared" si="22"/>
        <v>17917136.378761046</v>
      </c>
      <c r="Z25" s="167">
        <f t="shared" si="22"/>
        <v>20919496.250082426</v>
      </c>
      <c r="AA25" s="167">
        <f t="shared" si="22"/>
        <v>13529937.209844695</v>
      </c>
      <c r="AB25" s="167">
        <f t="shared" si="22"/>
        <v>19332513.349281669</v>
      </c>
      <c r="AC25" s="167">
        <f t="shared" si="22"/>
        <v>22572046.780554336</v>
      </c>
      <c r="AD25" s="167">
        <f t="shared" si="22"/>
        <v>15211403.394883199</v>
      </c>
      <c r="AE25" s="167" t="e">
        <f t="shared" si="23"/>
        <v>#DIV/0!</v>
      </c>
      <c r="AF25" s="167" t="e">
        <f t="shared" si="24"/>
        <v>#DIV/0!</v>
      </c>
      <c r="AG25" s="167">
        <f t="shared" si="25"/>
        <v>16814661.850385025</v>
      </c>
      <c r="AI25" s="127" t="s">
        <v>18</v>
      </c>
      <c r="AJ25" s="171">
        <f>S25/COMB_CORR!$L10</f>
        <v>0.29062636963357452</v>
      </c>
      <c r="AK25" s="171">
        <f>T25/COMB_CORR!$L10</f>
        <v>0.33932639241009338</v>
      </c>
      <c r="AL25" s="171">
        <f>U25/COMB_CORR!$L10</f>
        <v>0.18594851928091202</v>
      </c>
      <c r="AM25" s="171">
        <f>V25/COMB_CORR!$M10</f>
        <v>0.13882089016805227</v>
      </c>
      <c r="AN25" s="171">
        <f>W25/COMB_CORR!$M10</f>
        <v>0.16208299305831858</v>
      </c>
      <c r="AO25" s="171">
        <f>X25/COMB_CORR!$M10</f>
        <v>9.6355985637936667E-2</v>
      </c>
      <c r="AP25" s="171">
        <f>Y25/COMB_CORR!$N10</f>
        <v>0.26456267719635862</v>
      </c>
      <c r="AQ25" s="171">
        <f>Z25/COMB_CORR!$N10</f>
        <v>0.30889522837374861</v>
      </c>
      <c r="AR25" s="171">
        <f>AA25/COMB_CORR!$N10</f>
        <v>0.19978172487308288</v>
      </c>
      <c r="AS25" s="171">
        <f>AB25/COMB_CORR!$O10</f>
        <v>0.29182451185055192</v>
      </c>
      <c r="AT25" s="171">
        <f>AC25/COMB_CORR!$O10</f>
        <v>0.34072530633725617</v>
      </c>
      <c r="AU25" s="171">
        <f>AD25/COMB_CORR!$O10</f>
        <v>0.22961630958545587</v>
      </c>
      <c r="AV25" s="171" t="e">
        <f>AE25/COMB_CORR!$P10</f>
        <v>#DIV/0!</v>
      </c>
      <c r="AW25" s="171" t="e">
        <f>AF25/COMB_CORR!$P10</f>
        <v>#DIV/0!</v>
      </c>
      <c r="AX25" s="171" t="e">
        <f>AG25/COMB_CORR!$P10</f>
        <v>#DIV/0!</v>
      </c>
    </row>
    <row r="26" spans="1:50" ht="15.75" thickBot="1">
      <c r="A26" s="128" t="s">
        <v>19</v>
      </c>
      <c r="B26" s="920">
        <f>DEN!$D11*ONSV_2013!AA10</f>
        <v>10555.319543926325</v>
      </c>
      <c r="C26" s="920">
        <f>DEN!$D11*ONSV_2013!AB10</f>
        <v>6723.6804560736737</v>
      </c>
      <c r="D26" s="169">
        <f>DEN!E11</f>
        <v>2555</v>
      </c>
      <c r="E26" s="920">
        <f>DEN!$D47*ONSV_2013!AA10</f>
        <v>11086.170442917703</v>
      </c>
      <c r="F26" s="920">
        <f>DEN!$D47*ONSV_2013!AB10</f>
        <v>7061.8295570822984</v>
      </c>
      <c r="G26" s="169">
        <f>DEN!E47</f>
        <v>2750</v>
      </c>
      <c r="H26" s="920">
        <f>DEN!$D83*ONSV_2013!AA10</f>
        <v>11777.681625493349</v>
      </c>
      <c r="I26" s="920">
        <f>DEN!$D83*ONSV_2013!AB10</f>
        <v>7502.3183745066517</v>
      </c>
      <c r="J26" s="169">
        <f>DEN!E83</f>
        <v>2925</v>
      </c>
      <c r="K26" s="935">
        <f>DEN!$D119*ONSV_2013!AA10</f>
        <v>12354.348194708375</v>
      </c>
      <c r="L26" s="935">
        <f>DEN!$D119*ONSV_2013!AB10</f>
        <v>7869.6518052916244</v>
      </c>
      <c r="M26" s="169">
        <f>DEN!E119</f>
        <v>3203</v>
      </c>
      <c r="N26" s="167" t="e">
        <f>DEN!$D155*DIST_DSL_CAM!$K$2</f>
        <v>#DIV/0!</v>
      </c>
      <c r="O26" s="167" t="e">
        <f>DEN!$D155*DIST_DSL_CAM!$K$3</f>
        <v>#DIV/0!</v>
      </c>
      <c r="P26" s="169">
        <f>DEN!E155</f>
        <v>3524</v>
      </c>
      <c r="R26" s="128" t="s">
        <v>19</v>
      </c>
      <c r="S26" s="167">
        <f t="shared" si="26"/>
        <v>94778700.327297166</v>
      </c>
      <c r="T26" s="167">
        <f t="shared" si="22"/>
        <v>110700169.7491933</v>
      </c>
      <c r="U26" s="167">
        <f t="shared" si="22"/>
        <v>99910374.483101726</v>
      </c>
      <c r="V26" s="167">
        <f t="shared" si="22"/>
        <v>99545335.58306554</v>
      </c>
      <c r="W26" s="167">
        <f t="shared" si="22"/>
        <v>116267531.72106951</v>
      </c>
      <c r="X26" s="167">
        <f t="shared" si="22"/>
        <v>107535628.1129275</v>
      </c>
      <c r="Y26" s="167">
        <f t="shared" si="22"/>
        <v>105754577.3661838</v>
      </c>
      <c r="Z26" s="167">
        <f t="shared" si="22"/>
        <v>123519837.5348369</v>
      </c>
      <c r="AA26" s="167">
        <f t="shared" si="22"/>
        <v>114378804.44738652</v>
      </c>
      <c r="AB26" s="167">
        <f t="shared" si="22"/>
        <v>110932602.31606333</v>
      </c>
      <c r="AC26" s="167">
        <f t="shared" si="22"/>
        <v>129567696.80002809</v>
      </c>
      <c r="AD26" s="167">
        <f t="shared" si="22"/>
        <v>125249678.85298428</v>
      </c>
      <c r="AE26" s="167" t="e">
        <f t="shared" si="23"/>
        <v>#DIV/0!</v>
      </c>
      <c r="AF26" s="167" t="e">
        <f t="shared" si="24"/>
        <v>#DIV/0!</v>
      </c>
      <c r="AG26" s="167">
        <f t="shared" si="25"/>
        <v>137802019.44362053</v>
      </c>
      <c r="AI26" s="128" t="s">
        <v>19</v>
      </c>
      <c r="AJ26" s="171">
        <f>S26/COMB_CORR!$L11</f>
        <v>0.2066437586841384</v>
      </c>
      <c r="AK26" s="171">
        <f>T26/COMB_CORR!$L11</f>
        <v>0.24135696190125006</v>
      </c>
      <c r="AL26" s="171">
        <f>U26/COMB_CORR!$L11</f>
        <v>0.21783222647527453</v>
      </c>
      <c r="AM26" s="171">
        <f>V26/COMB_CORR!$M11</f>
        <v>0.18751507582901833</v>
      </c>
      <c r="AN26" s="171">
        <f>W26/COMB_CORR!$M11</f>
        <v>0.2190149332405088</v>
      </c>
      <c r="AO26" s="171">
        <f>X26/COMB_CORR!$M11</f>
        <v>0.20256651245191112</v>
      </c>
      <c r="AP26" s="171">
        <f>Y26/COMB_CORR!$N11</f>
        <v>0.19055832943254905</v>
      </c>
      <c r="AQ26" s="171">
        <f>Z26/COMB_CORR!$N11</f>
        <v>0.22256941003051883</v>
      </c>
      <c r="AR26" s="171">
        <f>AA26/COMB_CORR!$N11</f>
        <v>0.20609825542128871</v>
      </c>
      <c r="AS26" s="171">
        <f>AB26/COMB_CORR!$O11</f>
        <v>0.18012247791415584</v>
      </c>
      <c r="AT26" s="171">
        <f>AC26/COMB_CORR!$O11</f>
        <v>0.21038048434812287</v>
      </c>
      <c r="AU26" s="171">
        <f>AD26/COMB_CORR!$O11</f>
        <v>0.2033692714489308</v>
      </c>
      <c r="AV26" s="171" t="e">
        <f>AE26/COMB_CORR!$P11</f>
        <v>#DIV/0!</v>
      </c>
      <c r="AW26" s="171" t="e">
        <f>AF26/COMB_CORR!$P11</f>
        <v>#DIV/0!</v>
      </c>
      <c r="AX26" s="171" t="e">
        <f>AG26/COMB_CORR!$P11</f>
        <v>#DIV/0!</v>
      </c>
    </row>
    <row r="27" spans="1:50" ht="15.75" thickBot="1">
      <c r="A27" s="269" t="s">
        <v>54</v>
      </c>
      <c r="B27" s="282">
        <f t="shared" ref="B27:P27" si="27">SUM(B28:B36)</f>
        <v>173739.99817345967</v>
      </c>
      <c r="C27" s="282">
        <f t="shared" si="27"/>
        <v>110677.00182654033</v>
      </c>
      <c r="D27" s="282">
        <f t="shared" si="27"/>
        <v>27356</v>
      </c>
      <c r="E27" s="282">
        <f t="shared" si="27"/>
        <v>187136.25280111042</v>
      </c>
      <c r="F27" s="282">
        <f t="shared" si="27"/>
        <v>119210.74719888958</v>
      </c>
      <c r="G27" s="282">
        <f t="shared" si="27"/>
        <v>30902</v>
      </c>
      <c r="H27" s="282">
        <f t="shared" si="27"/>
        <v>203949.07185733566</v>
      </c>
      <c r="I27" s="282">
        <f t="shared" si="27"/>
        <v>129920.92814266434</v>
      </c>
      <c r="J27" s="282">
        <f t="shared" si="27"/>
        <v>36005</v>
      </c>
      <c r="K27" s="282">
        <f t="shared" si="27"/>
        <v>220855.35009606331</v>
      </c>
      <c r="L27" s="282">
        <f t="shared" si="27"/>
        <v>140690.64990393669</v>
      </c>
      <c r="M27" s="282">
        <f t="shared" si="27"/>
        <v>40800</v>
      </c>
      <c r="N27" s="282" t="e">
        <f t="shared" si="27"/>
        <v>#DIV/0!</v>
      </c>
      <c r="O27" s="282" t="e">
        <f t="shared" si="27"/>
        <v>#DIV/0!</v>
      </c>
      <c r="P27" s="282">
        <f t="shared" si="27"/>
        <v>45168</v>
      </c>
      <c r="R27" s="269" t="s">
        <v>54</v>
      </c>
      <c r="S27" s="282">
        <f>SUM(S28:S36)</f>
        <v>649629056.47618222</v>
      </c>
      <c r="T27" s="282">
        <f t="shared" ref="T27:AD27" si="28">SUM(T28:T36)</f>
        <v>758795720.26558864</v>
      </c>
      <c r="U27" s="282">
        <f t="shared" si="28"/>
        <v>445449568.70411813</v>
      </c>
      <c r="V27" s="282">
        <f t="shared" si="28"/>
        <v>699718824.78265417</v>
      </c>
      <c r="W27" s="282">
        <f t="shared" si="28"/>
        <v>817302631.00142026</v>
      </c>
      <c r="X27" s="282">
        <f t="shared" si="28"/>
        <v>503190618.95359915</v>
      </c>
      <c r="Y27" s="282">
        <f t="shared" si="28"/>
        <v>762583426.45771527</v>
      </c>
      <c r="Z27" s="282">
        <f t="shared" si="28"/>
        <v>890731069.87567902</v>
      </c>
      <c r="AA27" s="282">
        <f t="shared" si="28"/>
        <v>586284972.99282694</v>
      </c>
      <c r="AB27" s="282">
        <f t="shared" si="28"/>
        <v>825797480.19439936</v>
      </c>
      <c r="AC27" s="282">
        <f t="shared" si="28"/>
        <v>964567717.47218978</v>
      </c>
      <c r="AD27" s="282">
        <f t="shared" si="28"/>
        <v>664364029.94326723</v>
      </c>
      <c r="AE27" s="282" t="e">
        <f>SUM(AE28:AE36)</f>
        <v>#DIV/0!</v>
      </c>
      <c r="AF27" s="282" t="e">
        <f>SUM(AF28:AF36)</f>
        <v>#DIV/0!</v>
      </c>
      <c r="AG27" s="282">
        <f>SUM(AG28:AG36)</f>
        <v>735490061.38425243</v>
      </c>
      <c r="AI27" s="4" t="s">
        <v>54</v>
      </c>
      <c r="AJ27" s="171">
        <f>S27/COMB_CORR!$L12</f>
        <v>0.11017985552640609</v>
      </c>
      <c r="AK27" s="171">
        <f>T27/COMB_CORR!$L12</f>
        <v>0.12869498677663141</v>
      </c>
      <c r="AL27" s="171">
        <f>U27/COMB_CORR!$L12</f>
        <v>7.555014455533221E-2</v>
      </c>
      <c r="AM27" s="171">
        <f>V27/COMB_CORR!$M12</f>
        <v>0.10722992661900174</v>
      </c>
      <c r="AN27" s="171">
        <f>W27/COMB_CORR!$M12</f>
        <v>0.12524931164317576</v>
      </c>
      <c r="AO27" s="171">
        <f>X27/COMB_CORR!$M12</f>
        <v>7.7112536114094965E-2</v>
      </c>
      <c r="AP27" s="171">
        <f>Y27/COMB_CORR!$N12</f>
        <v>0.10992662284276741</v>
      </c>
      <c r="AQ27" s="171">
        <f>Z27/COMB_CORR!$N12</f>
        <v>0.12839914293362603</v>
      </c>
      <c r="AR27" s="171">
        <f>AA27/COMB_CORR!$N12</f>
        <v>8.4513149471309917E-2</v>
      </c>
      <c r="AS27" s="171">
        <f>AB27/COMB_CORR!$O12</f>
        <v>0.10797897151103091</v>
      </c>
      <c r="AT27" s="171">
        <f>AC27/COMB_CORR!$O12</f>
        <v>0.12612418006031118</v>
      </c>
      <c r="AU27" s="171">
        <f>AD27/COMB_CORR!$O12</f>
        <v>8.6870384546717416E-2</v>
      </c>
      <c r="AV27" s="171" t="e">
        <f>AE27/COMB_CORR!$P12</f>
        <v>#DIV/0!</v>
      </c>
      <c r="AW27" s="171" t="e">
        <f>AF27/COMB_CORR!$P12</f>
        <v>#DIV/0!</v>
      </c>
      <c r="AX27" s="171" t="e">
        <f>AG27/COMB_CORR!$P12</f>
        <v>#DIV/0!</v>
      </c>
    </row>
    <row r="28" spans="1:50" ht="15.75" thickBot="1">
      <c r="A28" s="127" t="s">
        <v>21</v>
      </c>
      <c r="B28" s="920">
        <f>DEN!$D13*ONSV_2013!AA12</f>
        <v>8264.5712419012361</v>
      </c>
      <c r="C28" s="920">
        <f>DEN!$D13*ONSV_2013!AB12</f>
        <v>5264.4287580987639</v>
      </c>
      <c r="D28" s="169">
        <f>DEN!E13</f>
        <v>1300</v>
      </c>
      <c r="E28" s="920">
        <f>DEN!$D49*ONSV_2013!AA12</f>
        <v>8962.1941525562161</v>
      </c>
      <c r="F28" s="920">
        <f>DEN!$D49*ONSV_2013!AB12</f>
        <v>5708.8058474437848</v>
      </c>
      <c r="G28" s="169">
        <f>DEN!E49</f>
        <v>1412</v>
      </c>
      <c r="H28" s="920">
        <f>DEN!$D85*ONSV_2013!AA12</f>
        <v>9861.4068710186748</v>
      </c>
      <c r="I28" s="920">
        <f>DEN!$D85*ONSV_2013!AB12</f>
        <v>6281.5931289813252</v>
      </c>
      <c r="J28" s="169">
        <f>DEN!E85</f>
        <v>1606</v>
      </c>
      <c r="K28" s="935">
        <f>DEN!$D121*ONSV_2013!AA12</f>
        <v>10726.410409974411</v>
      </c>
      <c r="L28" s="935">
        <f>DEN!$D121*ONSV_2013!AB12</f>
        <v>6832.58959002559</v>
      </c>
      <c r="M28" s="169">
        <f>DEN!E121</f>
        <v>1775</v>
      </c>
      <c r="N28" s="167" t="e">
        <f>DEN!$D157*DIST_DSL_CAM!$K$2</f>
        <v>#DIV/0!</v>
      </c>
      <c r="O28" s="167" t="e">
        <f>DEN!$D157*DIST_DSL_CAM!$K$3</f>
        <v>#DIV/0!</v>
      </c>
      <c r="P28" s="169">
        <f>DEN!E157</f>
        <v>1927</v>
      </c>
      <c r="R28" s="127" t="s">
        <v>21</v>
      </c>
      <c r="S28" s="167">
        <f>B$10*B28/B$17</f>
        <v>30901955.073674213</v>
      </c>
      <c r="T28" s="167">
        <f t="shared" ref="T28:AD36" si="29">C$10*C28/C$17</f>
        <v>36092647.481985897</v>
      </c>
      <c r="U28" s="167">
        <f t="shared" si="29"/>
        <v>21168461.738388419</v>
      </c>
      <c r="V28" s="167">
        <f t="shared" si="29"/>
        <v>33510428.182857156</v>
      </c>
      <c r="W28" s="167">
        <f t="shared" si="29"/>
        <v>39139273.50197465</v>
      </c>
      <c r="X28" s="167">
        <f t="shared" si="29"/>
        <v>22992206.134311114</v>
      </c>
      <c r="Y28" s="167">
        <f t="shared" si="29"/>
        <v>36872663.223765455</v>
      </c>
      <c r="Z28" s="167">
        <f t="shared" si="29"/>
        <v>43066273.065392733</v>
      </c>
      <c r="AA28" s="167">
        <f t="shared" si="29"/>
        <v>26151191.962962925</v>
      </c>
      <c r="AB28" s="167">
        <f t="shared" si="29"/>
        <v>40106987.148987032</v>
      </c>
      <c r="AC28" s="167">
        <f t="shared" si="29"/>
        <v>46843875.906289481</v>
      </c>
      <c r="AD28" s="167">
        <f t="shared" si="29"/>
        <v>28903091.988953419</v>
      </c>
      <c r="AE28" s="167" t="e">
        <f t="shared" ref="AE28:AE36" si="30">N$10*N28/N$17</f>
        <v>#DIV/0!</v>
      </c>
      <c r="AF28" s="167" t="e">
        <f t="shared" ref="AF28:AF36" si="31">O$10*O28/O$17</f>
        <v>#DIV/0!</v>
      </c>
      <c r="AG28" s="167">
        <f t="shared" ref="AG28:AG36" si="32">P$10*P28/P$17</f>
        <v>31378173.669134218</v>
      </c>
      <c r="AI28" s="127" t="s">
        <v>21</v>
      </c>
      <c r="AJ28" s="171">
        <f>S28/COMB_CORR!$L13</f>
        <v>0.13327162542103752</v>
      </c>
      <c r="AK28" s="171">
        <f>T28/COMB_CORR!$L13</f>
        <v>0.15565765286386646</v>
      </c>
      <c r="AL28" s="171">
        <f>U28/COMB_CORR!$L13</f>
        <v>9.1293748140273676E-2</v>
      </c>
      <c r="AM28" s="171">
        <f>V28/COMB_CORR!$M13</f>
        <v>0.13010708055955156</v>
      </c>
      <c r="AN28" s="171">
        <f>W28/COMB_CORR!$M13</f>
        <v>0.15196155008155912</v>
      </c>
      <c r="AO28" s="171">
        <f>X28/COMB_CORR!$M13</f>
        <v>8.9269191054054023E-2</v>
      </c>
      <c r="AP28" s="171">
        <f>Y28/COMB_CORR!$N13</f>
        <v>0.12636193825300659</v>
      </c>
      <c r="AQ28" s="171">
        <f>Z28/COMB_CORR!$N13</f>
        <v>0.1475873251913303</v>
      </c>
      <c r="AR28" s="171">
        <f>AA28/COMB_CORR!$N13</f>
        <v>8.9619653563201035E-2</v>
      </c>
      <c r="AS28" s="171">
        <f>AB28/COMB_CORR!$O13</f>
        <v>0.13821209556349173</v>
      </c>
      <c r="AT28" s="171">
        <f>AC28/COMB_CORR!$O13</f>
        <v>0.16142798832716485</v>
      </c>
      <c r="AU28" s="171">
        <f>AD28/COMB_CORR!$O13</f>
        <v>9.9602518065446774E-2</v>
      </c>
      <c r="AV28" s="171" t="e">
        <f>AE28/COMB_CORR!$P13</f>
        <v>#DIV/0!</v>
      </c>
      <c r="AW28" s="171" t="e">
        <f>AF28/COMB_CORR!$P13</f>
        <v>#DIV/0!</v>
      </c>
      <c r="AX28" s="171" t="e">
        <f>AG28/COMB_CORR!$P13</f>
        <v>#DIV/0!</v>
      </c>
    </row>
    <row r="29" spans="1:50" ht="15.75" thickBot="1">
      <c r="A29" s="127" t="s">
        <v>22</v>
      </c>
      <c r="B29" s="920">
        <f>DEN!$D14*ONSV_2013!AA13</f>
        <v>45798.917571026737</v>
      </c>
      <c r="C29" s="920">
        <f>DEN!$D14*ONSV_2013!AB13</f>
        <v>29175.082428973266</v>
      </c>
      <c r="D29" s="169">
        <f>DEN!E14</f>
        <v>9711</v>
      </c>
      <c r="E29" s="920">
        <f>DEN!$D50*ONSV_2013!AA13</f>
        <v>49598.49165393263</v>
      </c>
      <c r="F29" s="920">
        <f>DEN!$D50*ONSV_2013!AB13</f>
        <v>31595.508346067374</v>
      </c>
      <c r="G29" s="169">
        <f>DEN!E50</f>
        <v>11223</v>
      </c>
      <c r="H29" s="920">
        <f>DEN!$D86*ONSV_2013!AA13</f>
        <v>54708.369017840632</v>
      </c>
      <c r="I29" s="920">
        <f>DEN!$D86*ONSV_2013!AB13</f>
        <v>34850.630982159368</v>
      </c>
      <c r="J29" s="169">
        <f>DEN!E86</f>
        <v>13255</v>
      </c>
      <c r="K29" s="935">
        <f>DEN!$D122*ONSV_2013!AA13</f>
        <v>59024.123181141294</v>
      </c>
      <c r="L29" s="935">
        <f>DEN!$D122*ONSV_2013!AB13</f>
        <v>37599.876818858706</v>
      </c>
      <c r="M29" s="169">
        <f>DEN!E122</f>
        <v>14986</v>
      </c>
      <c r="N29" s="167" t="e">
        <f>DEN!$D158*DIST_DSL_CAM!$K$2</f>
        <v>#DIV/0!</v>
      </c>
      <c r="O29" s="167" t="e">
        <f>DEN!$D158*DIST_DSL_CAM!$K$3</f>
        <v>#DIV/0!</v>
      </c>
      <c r="P29" s="169">
        <f>DEN!E158</f>
        <v>16719</v>
      </c>
      <c r="R29" s="127" t="s">
        <v>22</v>
      </c>
      <c r="S29" s="167">
        <f t="shared" ref="S29:S36" si="33">B$10*B29/B$17</f>
        <v>171246160.48166552</v>
      </c>
      <c r="T29" s="167">
        <f t="shared" si="29"/>
        <v>200022835.09808639</v>
      </c>
      <c r="U29" s="167">
        <f t="shared" si="29"/>
        <v>158128409.18576148</v>
      </c>
      <c r="V29" s="167">
        <f t="shared" si="29"/>
        <v>185453100.46347201</v>
      </c>
      <c r="W29" s="167">
        <f t="shared" si="29"/>
        <v>216617148.25078064</v>
      </c>
      <c r="X29" s="167">
        <f t="shared" si="29"/>
        <v>182748958.53071788</v>
      </c>
      <c r="Y29" s="167">
        <f t="shared" si="29"/>
        <v>204559379.07244489</v>
      </c>
      <c r="Z29" s="167">
        <f t="shared" si="29"/>
        <v>238934098.33474961</v>
      </c>
      <c r="AA29" s="167">
        <f t="shared" si="29"/>
        <v>215836892.5710296</v>
      </c>
      <c r="AB29" s="167">
        <f t="shared" si="29"/>
        <v>220696361.54374114</v>
      </c>
      <c r="AC29" s="167">
        <f t="shared" si="29"/>
        <v>257782783.61188546</v>
      </c>
      <c r="AD29" s="167">
        <f t="shared" si="29"/>
        <v>244023513.54729912</v>
      </c>
      <c r="AE29" s="167" t="e">
        <f t="shared" si="30"/>
        <v>#DIV/0!</v>
      </c>
      <c r="AF29" s="167" t="e">
        <f t="shared" si="31"/>
        <v>#DIV/0!</v>
      </c>
      <c r="AG29" s="167">
        <f t="shared" si="32"/>
        <v>272242701.3877815</v>
      </c>
      <c r="AI29" s="127" t="s">
        <v>22</v>
      </c>
      <c r="AJ29" s="171">
        <f>S29/COMB_CORR!$L14</f>
        <v>8.1444784468104922E-2</v>
      </c>
      <c r="AK29" s="171">
        <f>T29/COMB_CORR!$L14</f>
        <v>9.5130989491627849E-2</v>
      </c>
      <c r="AL29" s="171">
        <f>U29/COMB_CORR!$L14</f>
        <v>7.5205973483986568E-2</v>
      </c>
      <c r="AM29" s="171">
        <f>V29/COMB_CORR!$M14</f>
        <v>8.0219866941246651E-2</v>
      </c>
      <c r="AN29" s="171">
        <f>W29/COMB_CORR!$M14</f>
        <v>9.3700233463029137E-2</v>
      </c>
      <c r="AO29" s="171">
        <f>X29/COMB_CORR!$M14</f>
        <v>7.9050159314392993E-2</v>
      </c>
      <c r="AP29" s="171">
        <f>Y29/COMB_CORR!$N14</f>
        <v>8.3297254279597083E-2</v>
      </c>
      <c r="AQ29" s="171">
        <f>Z29/COMB_CORR!$N14</f>
        <v>9.7294753412442592E-2</v>
      </c>
      <c r="AR29" s="171">
        <f>AA29/COMB_CORR!$N14</f>
        <v>8.7889494996169243E-2</v>
      </c>
      <c r="AS29" s="171">
        <f>AB29/COMB_CORR!$O14</f>
        <v>8.30689888022621E-2</v>
      </c>
      <c r="AT29" s="171">
        <f>AC29/COMB_CORR!$O14</f>
        <v>9.702812957805626E-2</v>
      </c>
      <c r="AU29" s="171">
        <f>AD29/COMB_CORR!$O14</f>
        <v>9.1849210256833597E-2</v>
      </c>
      <c r="AV29" s="171" t="e">
        <f>AE29/COMB_CORR!$P14</f>
        <v>#DIV/0!</v>
      </c>
      <c r="AW29" s="171" t="e">
        <f>AF29/COMB_CORR!$P14</f>
        <v>#DIV/0!</v>
      </c>
      <c r="AX29" s="171" t="e">
        <f>AG29/COMB_CORR!$P14</f>
        <v>#DIV/0!</v>
      </c>
    </row>
    <row r="30" spans="1:50" ht="15.75" thickBot="1">
      <c r="A30" s="127" t="s">
        <v>23</v>
      </c>
      <c r="B30" s="920">
        <f>DEN!$D15*ONSV_2013!AA14</f>
        <v>27047.969940117731</v>
      </c>
      <c r="C30" s="920">
        <f>DEN!$D15*ONSV_2013!AB14</f>
        <v>17230.030059882272</v>
      </c>
      <c r="D30" s="169">
        <f>DEN!E15</f>
        <v>4139</v>
      </c>
      <c r="E30" s="920">
        <f>DEN!$D51*ONSV_2013!AA14</f>
        <v>29187.837113437043</v>
      </c>
      <c r="F30" s="920">
        <f>DEN!$D51*ONSV_2013!AB14</f>
        <v>18593.162886562961</v>
      </c>
      <c r="G30" s="169">
        <f>DEN!E51</f>
        <v>4625</v>
      </c>
      <c r="H30" s="920">
        <f>DEN!$D87*ONSV_2013!AA14</f>
        <v>31611.757451356261</v>
      </c>
      <c r="I30" s="920">
        <f>DEN!$D87*ONSV_2013!AB14</f>
        <v>20137.242548643742</v>
      </c>
      <c r="J30" s="169">
        <f>DEN!E87</f>
        <v>5239</v>
      </c>
      <c r="K30" s="935">
        <f>DEN!$D123*ONSV_2013!AA14</f>
        <v>33911.671784084552</v>
      </c>
      <c r="L30" s="935">
        <f>DEN!$D123*ONSV_2013!AB14</f>
        <v>21602.328215915451</v>
      </c>
      <c r="M30" s="169">
        <f>DEN!E123</f>
        <v>5916</v>
      </c>
      <c r="N30" s="167" t="e">
        <f>DEN!$D159*DIST_DSL_CAM!$K$2</f>
        <v>#DIV/0!</v>
      </c>
      <c r="O30" s="167" t="e">
        <f>DEN!$D159*DIST_DSL_CAM!$K$3</f>
        <v>#DIV/0!</v>
      </c>
      <c r="P30" s="169">
        <f>DEN!E159</f>
        <v>6352</v>
      </c>
      <c r="R30" s="127" t="s">
        <v>23</v>
      </c>
      <c r="S30" s="167">
        <f t="shared" si="33"/>
        <v>101134726.46783403</v>
      </c>
      <c r="T30" s="167">
        <f t="shared" si="29"/>
        <v>118128182.4924801</v>
      </c>
      <c r="U30" s="167">
        <f t="shared" si="29"/>
        <v>67397125.488607436</v>
      </c>
      <c r="V30" s="167">
        <f t="shared" si="29"/>
        <v>109135877.08025606</v>
      </c>
      <c r="W30" s="167">
        <f t="shared" si="29"/>
        <v>127473749.66514274</v>
      </c>
      <c r="X30" s="167">
        <f t="shared" si="29"/>
        <v>75310873.492343411</v>
      </c>
      <c r="Y30" s="167">
        <f t="shared" si="29"/>
        <v>118199127.33149515</v>
      </c>
      <c r="Z30" s="167">
        <f t="shared" si="29"/>
        <v>138059878.85187569</v>
      </c>
      <c r="AA30" s="167">
        <f t="shared" si="29"/>
        <v>85308900.805705324</v>
      </c>
      <c r="AB30" s="167">
        <f t="shared" si="29"/>
        <v>126798708.27804638</v>
      </c>
      <c r="AC30" s="167">
        <f t="shared" si="29"/>
        <v>148104429.35289624</v>
      </c>
      <c r="AD30" s="167">
        <f t="shared" si="29"/>
        <v>96332784.341773763</v>
      </c>
      <c r="AE30" s="167" t="e">
        <f t="shared" si="30"/>
        <v>#DIV/0!</v>
      </c>
      <c r="AF30" s="167" t="e">
        <f t="shared" si="31"/>
        <v>#DIV/0!</v>
      </c>
      <c r="AG30" s="167">
        <f t="shared" si="32"/>
        <v>103432360.74018711</v>
      </c>
      <c r="AI30" s="127" t="s">
        <v>23</v>
      </c>
      <c r="AJ30" s="171">
        <f>S30/COMB_CORR!$L15</f>
        <v>0.14942826600952333</v>
      </c>
      <c r="AK30" s="171">
        <f>T30/COMB_CORR!$L15</f>
        <v>0.17453638421934098</v>
      </c>
      <c r="AL30" s="171">
        <f>U30/COMB_CORR!$L15</f>
        <v>9.9580390905511143E-2</v>
      </c>
      <c r="AM30" s="171">
        <f>V30/COMB_CORR!$M15</f>
        <v>0.14223127086432455</v>
      </c>
      <c r="AN30" s="171">
        <f>W30/COMB_CORR!$M15</f>
        <v>0.16613009307087048</v>
      </c>
      <c r="AO30" s="171">
        <f>X30/COMB_CORR!$M15</f>
        <v>9.8148853825963528E-2</v>
      </c>
      <c r="AP30" s="171">
        <f>Y30/COMB_CORR!$N15</f>
        <v>0.14535722352149785</v>
      </c>
      <c r="AQ30" s="171">
        <f>Z30/COMB_CORR!$N15</f>
        <v>0.16978129299839356</v>
      </c>
      <c r="AR30" s="171">
        <f>AA30/COMB_CORR!$N15</f>
        <v>0.1049099535905291</v>
      </c>
      <c r="AS30" s="171">
        <f>AB30/COMB_CORR!$O15</f>
        <v>0.13861160423284699</v>
      </c>
      <c r="AT30" s="171">
        <f>AC30/COMB_CORR!$O15</f>
        <v>0.16190222144518202</v>
      </c>
      <c r="AU30" s="171">
        <f>AD30/COMB_CORR!$O15</f>
        <v>0.10530739594404862</v>
      </c>
      <c r="AV30" s="171" t="e">
        <f>AE30/COMB_CORR!$P15</f>
        <v>#DIV/0!</v>
      </c>
      <c r="AW30" s="171" t="e">
        <f>AF30/COMB_CORR!$P15</f>
        <v>#DIV/0!</v>
      </c>
      <c r="AX30" s="171" t="e">
        <f>AG30/COMB_CORR!$P15</f>
        <v>#DIV/0!</v>
      </c>
    </row>
    <row r="31" spans="1:50" ht="15.75" thickBot="1">
      <c r="A31" s="127" t="s">
        <v>24</v>
      </c>
      <c r="B31" s="920">
        <f>DEN!$D16*ONSV_2013!AA15</f>
        <v>12739.075330685764</v>
      </c>
      <c r="C31" s="920">
        <f>DEN!$D16*ONSV_2013!AB15</f>
        <v>8114.9246693142377</v>
      </c>
      <c r="D31" s="169">
        <f>DEN!E16</f>
        <v>1013</v>
      </c>
      <c r="E31" s="920">
        <f>DEN!$D52*ONSV_2013!AA15</f>
        <v>14271.747240376499</v>
      </c>
      <c r="F31" s="920">
        <f>DEN!$D52*ONSV_2013!AB15</f>
        <v>9091.2527596235032</v>
      </c>
      <c r="G31" s="169">
        <f>DEN!E52</f>
        <v>1261</v>
      </c>
      <c r="H31" s="920">
        <f>DEN!$D88*ONSV_2013!AA15</f>
        <v>16076.867006472999</v>
      </c>
      <c r="I31" s="920">
        <f>DEN!$D88*ONSV_2013!AB15</f>
        <v>10241.132993527002</v>
      </c>
      <c r="J31" s="169">
        <f>DEN!E88</f>
        <v>1663</v>
      </c>
      <c r="K31" s="935">
        <f>DEN!$D124*ONSV_2013!AA15</f>
        <v>17915.584602395324</v>
      </c>
      <c r="L31" s="935">
        <f>DEN!$D124*ONSV_2013!AB15</f>
        <v>11412.415397604678</v>
      </c>
      <c r="M31" s="169">
        <f>DEN!E124</f>
        <v>2165</v>
      </c>
      <c r="N31" s="167" t="e">
        <f>DEN!$D160*DIST_DSL_CAM!$K$2</f>
        <v>#DIV/0!</v>
      </c>
      <c r="O31" s="167" t="e">
        <f>DEN!$D160*DIST_DSL_CAM!$K$3</f>
        <v>#DIV/0!</v>
      </c>
      <c r="P31" s="169">
        <f>DEN!E160</f>
        <v>2616</v>
      </c>
      <c r="R31" s="127" t="s">
        <v>24</v>
      </c>
      <c r="S31" s="167">
        <f t="shared" si="33"/>
        <v>47632517.407937825</v>
      </c>
      <c r="T31" s="167">
        <f t="shared" si="29"/>
        <v>55635497.960125484</v>
      </c>
      <c r="U31" s="167">
        <f t="shared" si="29"/>
        <v>16495116.723836515</v>
      </c>
      <c r="V31" s="167">
        <f t="shared" si="29"/>
        <v>53363311.796377264</v>
      </c>
      <c r="W31" s="167">
        <f t="shared" si="29"/>
        <v>62329152.145507425</v>
      </c>
      <c r="X31" s="167">
        <f t="shared" si="29"/>
        <v>20533407.886236768</v>
      </c>
      <c r="Y31" s="167">
        <f t="shared" si="29"/>
        <v>60112812.5607609</v>
      </c>
      <c r="Z31" s="167">
        <f t="shared" si="29"/>
        <v>70212670.72574003</v>
      </c>
      <c r="AA31" s="167">
        <f t="shared" si="29"/>
        <v>27079347.593030725</v>
      </c>
      <c r="AB31" s="167">
        <f t="shared" si="29"/>
        <v>66987938.550877556</v>
      </c>
      <c r="AC31" s="167">
        <f t="shared" si="29"/>
        <v>78242921.462288305</v>
      </c>
      <c r="AD31" s="167">
        <f t="shared" si="29"/>
        <v>35253630.510469943</v>
      </c>
      <c r="AE31" s="167" t="e">
        <f t="shared" si="30"/>
        <v>#DIV/0!</v>
      </c>
      <c r="AF31" s="167" t="e">
        <f t="shared" si="31"/>
        <v>#DIV/0!</v>
      </c>
      <c r="AG31" s="167">
        <f t="shared" si="32"/>
        <v>42597458.390480079</v>
      </c>
      <c r="AI31" s="127" t="s">
        <v>24</v>
      </c>
      <c r="AJ31" s="171">
        <f>S31/COMB_CORR!$L16</f>
        <v>6.4812521560653841E-2</v>
      </c>
      <c r="AK31" s="171">
        <f>T31/COMB_CORR!$L16</f>
        <v>7.5702001643050604E-2</v>
      </c>
      <c r="AL31" s="171">
        <f>U31/COMB_CORR!$L16</f>
        <v>2.2444543485979917E-2</v>
      </c>
      <c r="AM31" s="171">
        <f>V31/COMB_CORR!$M16</f>
        <v>6.6278014667289609E-2</v>
      </c>
      <c r="AN31" s="171">
        <f>W31/COMB_CORR!$M16</f>
        <v>7.7413719670601774E-2</v>
      </c>
      <c r="AO31" s="171">
        <f>X31/COMB_CORR!$M16</f>
        <v>2.5502793272021592E-2</v>
      </c>
      <c r="AP31" s="171">
        <f>Y31/COMB_CORR!$N16</f>
        <v>6.8828619485682627E-2</v>
      </c>
      <c r="AQ31" s="171">
        <f>Z31/COMB_CORR!$N16</f>
        <v>8.039286452569068E-2</v>
      </c>
      <c r="AR31" s="171">
        <f>AA31/COMB_CORR!$N16</f>
        <v>3.1005604828709666E-2</v>
      </c>
      <c r="AS31" s="171">
        <f>AB31/COMB_CORR!$O16</f>
        <v>6.8785495243162506E-2</v>
      </c>
      <c r="AT31" s="171">
        <f>AC31/COMB_CORR!$O16</f>
        <v>8.0342494760720848E-2</v>
      </c>
      <c r="AU31" s="171">
        <f>AD31/COMB_CORR!$O16</f>
        <v>3.6199627667903085E-2</v>
      </c>
      <c r="AV31" s="171" t="e">
        <f>AE31/COMB_CORR!$P16</f>
        <v>#DIV/0!</v>
      </c>
      <c r="AW31" s="171" t="e">
        <f>AF31/COMB_CORR!$P16</f>
        <v>#DIV/0!</v>
      </c>
      <c r="AX31" s="171" t="e">
        <f>AG31/COMB_CORR!$P16</f>
        <v>#DIV/0!</v>
      </c>
    </row>
    <row r="32" spans="1:50" ht="15.75" thickBot="1">
      <c r="A32" s="127" t="s">
        <v>25</v>
      </c>
      <c r="B32" s="920">
        <f>DEN!$D17*ONSV_2013!AA16</f>
        <v>11744.17670136109</v>
      </c>
      <c r="C32" s="920">
        <f>DEN!$D17*ONSV_2013!AB16</f>
        <v>7481.8232986389112</v>
      </c>
      <c r="D32" s="169">
        <f>DEN!E17</f>
        <v>1430</v>
      </c>
      <c r="E32" s="920">
        <f>DEN!$D53*ONSV_2013!AA16</f>
        <v>12397.173939151322</v>
      </c>
      <c r="F32" s="920">
        <f>DEN!$D53*ONSV_2013!AB16</f>
        <v>7897.8260608486789</v>
      </c>
      <c r="G32" s="169">
        <f>DEN!E53</f>
        <v>1549</v>
      </c>
      <c r="H32" s="920">
        <f>DEN!$D89*ONSV_2013!AA16</f>
        <v>13315.890352281825</v>
      </c>
      <c r="I32" s="920">
        <f>DEN!$D89*ONSV_2013!AB16</f>
        <v>8483.1096477181745</v>
      </c>
      <c r="J32" s="169">
        <f>DEN!E89</f>
        <v>1760</v>
      </c>
      <c r="K32" s="935">
        <f>DEN!$D125*ONSV_2013!AA16</f>
        <v>14362.884987990392</v>
      </c>
      <c r="L32" s="935">
        <f>DEN!$D125*ONSV_2013!AB16</f>
        <v>9150.1150120096081</v>
      </c>
      <c r="M32" s="169">
        <f>DEN!E125</f>
        <v>2004</v>
      </c>
      <c r="N32" s="167" t="e">
        <f>DEN!$D161*DIST_DSL_CAM!$K$2</f>
        <v>#DIV/0!</v>
      </c>
      <c r="O32" s="167" t="e">
        <f>DEN!$D161*DIST_DSL_CAM!$K$3</f>
        <v>#DIV/0!</v>
      </c>
      <c r="P32" s="169">
        <f>DEN!E161</f>
        <v>2202</v>
      </c>
      <c r="R32" s="127" t="s">
        <v>25</v>
      </c>
      <c r="S32" s="167">
        <f t="shared" si="33"/>
        <v>43912504.373217039</v>
      </c>
      <c r="T32" s="167">
        <f t="shared" si="29"/>
        <v>51294988.164643146</v>
      </c>
      <c r="U32" s="167">
        <f t="shared" si="29"/>
        <v>23285307.912227262</v>
      </c>
      <c r="V32" s="167">
        <f t="shared" si="29"/>
        <v>46354118.18654114</v>
      </c>
      <c r="W32" s="167">
        <f t="shared" si="29"/>
        <v>54147081.285833381</v>
      </c>
      <c r="X32" s="167">
        <f t="shared" si="29"/>
        <v>25223036.332895122</v>
      </c>
      <c r="Y32" s="167">
        <f t="shared" si="29"/>
        <v>49789279.248505056</v>
      </c>
      <c r="Z32" s="167">
        <f t="shared" si="29"/>
        <v>58159754.863260992</v>
      </c>
      <c r="AA32" s="167">
        <f t="shared" si="29"/>
        <v>28658840.507356629</v>
      </c>
      <c r="AB32" s="167">
        <f t="shared" si="29"/>
        <v>53704083.809812345</v>
      </c>
      <c r="AC32" s="167">
        <f t="shared" si="29"/>
        <v>62732708.660941139</v>
      </c>
      <c r="AD32" s="167">
        <f t="shared" si="29"/>
        <v>32631997.94133107</v>
      </c>
      <c r="AE32" s="167" t="e">
        <f t="shared" si="30"/>
        <v>#DIV/0!</v>
      </c>
      <c r="AF32" s="167" t="e">
        <f t="shared" si="31"/>
        <v>#DIV/0!</v>
      </c>
      <c r="AG32" s="167">
        <f t="shared" si="32"/>
        <v>35856117.49840869</v>
      </c>
      <c r="AI32" s="127" t="s">
        <v>25</v>
      </c>
      <c r="AJ32" s="171">
        <f>S32/COMB_CORR!$L17</f>
        <v>0.14125906463438948</v>
      </c>
      <c r="AK32" s="171">
        <f>T32/COMB_CORR!$L17</f>
        <v>0.16500726050571038</v>
      </c>
      <c r="AL32" s="171">
        <f>U32/COMB_CORR!$L17</f>
        <v>7.4904878743630623E-2</v>
      </c>
      <c r="AM32" s="171">
        <f>V32/COMB_CORR!$M17</f>
        <v>0.13732721631219966</v>
      </c>
      <c r="AN32" s="171">
        <f>W32/COMB_CORR!$M17</f>
        <v>0.16041439758361953</v>
      </c>
      <c r="AO32" s="171">
        <f>X32/COMB_CORR!$M17</f>
        <v>7.4724954374036021E-2</v>
      </c>
      <c r="AP32" s="171">
        <f>Y32/COMB_CORR!$N17</f>
        <v>0.13972424744210296</v>
      </c>
      <c r="AQ32" s="171">
        <f>Z32/COMB_CORR!$N17</f>
        <v>0.16321441286841537</v>
      </c>
      <c r="AR32" s="171">
        <f>AA32/COMB_CORR!$N17</f>
        <v>8.0425645498250362E-2</v>
      </c>
      <c r="AS32" s="171">
        <f>AB32/COMB_CORR!$O17</f>
        <v>0.13979069330797617</v>
      </c>
      <c r="AT32" s="171">
        <f>AC32/COMB_CORR!$O17</f>
        <v>0.16329202948245744</v>
      </c>
      <c r="AU32" s="171">
        <f>AD32/COMB_CORR!$O17</f>
        <v>8.4940460624889316E-2</v>
      </c>
      <c r="AV32" s="171" t="e">
        <f>AE32/COMB_CORR!$P17</f>
        <v>#DIV/0!</v>
      </c>
      <c r="AW32" s="171" t="e">
        <f>AF32/COMB_CORR!$P17</f>
        <v>#DIV/0!</v>
      </c>
      <c r="AX32" s="171" t="e">
        <f>AG32/COMB_CORR!$P17</f>
        <v>#DIV/0!</v>
      </c>
    </row>
    <row r="33" spans="1:50" ht="15.75" thickBot="1">
      <c r="A33" s="127" t="s">
        <v>26</v>
      </c>
      <c r="B33" s="920">
        <f>DEN!$D18*ONSV_2013!AA17</f>
        <v>37393.362802727483</v>
      </c>
      <c r="C33" s="920">
        <f>DEN!$D18*ONSV_2013!AB17</f>
        <v>23820.637197272514</v>
      </c>
      <c r="D33" s="169">
        <f>DEN!E18</f>
        <v>6296</v>
      </c>
      <c r="E33" s="920">
        <f>DEN!$D54*ONSV_2013!AA17</f>
        <v>39936.385139901242</v>
      </c>
      <c r="F33" s="920">
        <f>DEN!$D54*ONSV_2013!AB17</f>
        <v>25440.614860098751</v>
      </c>
      <c r="G33" s="169">
        <f>DEN!E54</f>
        <v>6883</v>
      </c>
      <c r="H33" s="920">
        <f>DEN!$D90*ONSV_2013!AA17</f>
        <v>43337.059017164349</v>
      </c>
      <c r="I33" s="920">
        <f>DEN!$D90*ONSV_2013!AB17</f>
        <v>27606.940982835644</v>
      </c>
      <c r="J33" s="169">
        <f>DEN!E90</f>
        <v>7951</v>
      </c>
      <c r="K33" s="935">
        <f>DEN!$D126*ONSV_2013!AA17</f>
        <v>47135.404655537262</v>
      </c>
      <c r="L33" s="935">
        <f>DEN!$D126*ONSV_2013!AB17</f>
        <v>30026.59534446273</v>
      </c>
      <c r="M33" s="169">
        <f>DEN!E126</f>
        <v>8860</v>
      </c>
      <c r="N33" s="167" t="e">
        <f>DEN!$D162*DIST_DSL_CAM!$K$2</f>
        <v>#DIV/0!</v>
      </c>
      <c r="O33" s="167" t="e">
        <f>DEN!$D162*DIST_DSL_CAM!$K$3</f>
        <v>#DIV/0!</v>
      </c>
      <c r="P33" s="169">
        <f>DEN!E162</f>
        <v>9561</v>
      </c>
      <c r="R33" s="127" t="s">
        <v>26</v>
      </c>
      <c r="S33" s="167">
        <f t="shared" si="33"/>
        <v>139817055.66587386</v>
      </c>
      <c r="T33" s="167">
        <f t="shared" si="29"/>
        <v>163313039.39383805</v>
      </c>
      <c r="U33" s="167">
        <f t="shared" si="29"/>
        <v>102520488.54222576</v>
      </c>
      <c r="V33" s="167">
        <f t="shared" si="29"/>
        <v>149325638.71447435</v>
      </c>
      <c r="W33" s="167">
        <f t="shared" si="29"/>
        <v>174419521.29334706</v>
      </c>
      <c r="X33" s="167">
        <f t="shared" si="29"/>
        <v>112078863.18871345</v>
      </c>
      <c r="Y33" s="167">
        <f t="shared" si="29"/>
        <v>162041055.92119047</v>
      </c>
      <c r="Z33" s="167">
        <f t="shared" si="29"/>
        <v>189271739.58173695</v>
      </c>
      <c r="AA33" s="167">
        <f t="shared" si="29"/>
        <v>129469568.67840487</v>
      </c>
      <c r="AB33" s="167">
        <f t="shared" si="29"/>
        <v>176243402.64139178</v>
      </c>
      <c r="AC33" s="167">
        <f t="shared" si="29"/>
        <v>205860762.99061209</v>
      </c>
      <c r="AD33" s="167">
        <f t="shared" si="29"/>
        <v>144271208.46317029</v>
      </c>
      <c r="AE33" s="167" t="e">
        <f t="shared" si="30"/>
        <v>#DIV/0!</v>
      </c>
      <c r="AF33" s="167" t="e">
        <f t="shared" si="31"/>
        <v>#DIV/0!</v>
      </c>
      <c r="AG33" s="167">
        <f t="shared" si="32"/>
        <v>155685894.36979359</v>
      </c>
      <c r="AI33" s="127" t="s">
        <v>26</v>
      </c>
      <c r="AJ33" s="171">
        <f>S33/COMB_CORR!$L18</f>
        <v>0.15172204306136966</v>
      </c>
      <c r="AK33" s="171">
        <f>T33/COMB_CORR!$L18</f>
        <v>0.17721863672060464</v>
      </c>
      <c r="AL33" s="171">
        <f>U33/COMB_CORR!$L18</f>
        <v>0.11124978925638154</v>
      </c>
      <c r="AM33" s="171">
        <f>V33/COMB_CORR!$M18</f>
        <v>0.14237766969946447</v>
      </c>
      <c r="AN33" s="171">
        <f>W33/COMB_CORR!$M18</f>
        <v>0.1663039596256268</v>
      </c>
      <c r="AO33" s="171">
        <f>X33/COMB_CORR!$M18</f>
        <v>0.1068639484870144</v>
      </c>
      <c r="AP33" s="171">
        <f>Y33/COMB_CORR!$N18</f>
        <v>0.14472712372535451</v>
      </c>
      <c r="AQ33" s="171">
        <f>Z33/COMB_CORR!$N18</f>
        <v>0.16904823482193138</v>
      </c>
      <c r="AR33" s="171">
        <f>AA33/COMB_CORR!$N18</f>
        <v>0.11563586881278404</v>
      </c>
      <c r="AS33" s="171">
        <f>AB33/COMB_CORR!$O18</f>
        <v>0.14001750025336332</v>
      </c>
      <c r="AT33" s="171">
        <f>AC33/COMB_CORR!$O18</f>
        <v>0.16354716830362695</v>
      </c>
      <c r="AU33" s="171">
        <f>AD33/COMB_CORR!$O18</f>
        <v>0.11461702205470684</v>
      </c>
      <c r="AV33" s="171" t="e">
        <f>AE33/COMB_CORR!$P18</f>
        <v>#DIV/0!</v>
      </c>
      <c r="AW33" s="171" t="e">
        <f>AF33/COMB_CORR!$P18</f>
        <v>#DIV/0!</v>
      </c>
      <c r="AX33" s="171" t="e">
        <f>AG33/COMB_CORR!$P18</f>
        <v>#DIV/0!</v>
      </c>
    </row>
    <row r="34" spans="1:50" ht="15.75" thickBot="1">
      <c r="A34" s="127" t="s">
        <v>27</v>
      </c>
      <c r="B34" s="920">
        <f>DEN!$D19*ONSV_2013!AA18</f>
        <v>9530.7965494484779</v>
      </c>
      <c r="C34" s="920">
        <f>DEN!$D19*ONSV_2013!AB18</f>
        <v>6071.203450551523</v>
      </c>
      <c r="D34" s="169">
        <f>DEN!E19</f>
        <v>1021</v>
      </c>
      <c r="E34" s="920">
        <f>DEN!$D55*ONSV_2013!AA18</f>
        <v>10219.247242387102</v>
      </c>
      <c r="F34" s="920">
        <f>DEN!$D55*ONSV_2013!AB18</f>
        <v>6509.7527576128978</v>
      </c>
      <c r="G34" s="169">
        <f>DEN!E55</f>
        <v>1167</v>
      </c>
      <c r="H34" s="920">
        <f>DEN!$D91*ONSV_2013!AA18</f>
        <v>10907.087065145659</v>
      </c>
      <c r="I34" s="920">
        <f>DEN!$D91*ONSV_2013!AB18</f>
        <v>6947.912934854342</v>
      </c>
      <c r="J34" s="169">
        <f>DEN!E91</f>
        <v>1336</v>
      </c>
      <c r="K34" s="935">
        <f>DEN!$D127*ONSV_2013!AA18</f>
        <v>11861.877156594701</v>
      </c>
      <c r="L34" s="935">
        <f>DEN!$D127*ONSV_2013!AB18</f>
        <v>7556.1228434052991</v>
      </c>
      <c r="M34" s="169">
        <f>DEN!E127</f>
        <v>1499</v>
      </c>
      <c r="N34" s="167" t="e">
        <f>DEN!$D163*DIST_DSL_CAM!$K$2</f>
        <v>#DIV/0!</v>
      </c>
      <c r="O34" s="167" t="e">
        <f>DEN!$D163*DIST_DSL_CAM!$K$3</f>
        <v>#DIV/0!</v>
      </c>
      <c r="P34" s="169">
        <f>DEN!E163</f>
        <v>1758</v>
      </c>
      <c r="R34" s="127" t="s">
        <v>27</v>
      </c>
      <c r="S34" s="167">
        <f t="shared" si="33"/>
        <v>35636482.301002309</v>
      </c>
      <c r="T34" s="167">
        <f t="shared" si="29"/>
        <v>41623852.463587955</v>
      </c>
      <c r="U34" s="167">
        <f t="shared" si="29"/>
        <v>16625384.180688135</v>
      </c>
      <c r="V34" s="167">
        <f t="shared" si="29"/>
        <v>38210659.68551901</v>
      </c>
      <c r="W34" s="167">
        <f t="shared" si="29"/>
        <v>44630523.513867639</v>
      </c>
      <c r="X34" s="167">
        <f t="shared" si="29"/>
        <v>19002765.268230218</v>
      </c>
      <c r="Y34" s="167">
        <f t="shared" si="29"/>
        <v>40782552.972977586</v>
      </c>
      <c r="Z34" s="167">
        <f t="shared" si="29"/>
        <v>47634526.710509092</v>
      </c>
      <c r="AA34" s="167">
        <f t="shared" si="29"/>
        <v>21754665.294220712</v>
      </c>
      <c r="AB34" s="167">
        <f t="shared" si="29"/>
        <v>44352596.674840584</v>
      </c>
      <c r="AC34" s="167">
        <f t="shared" si="29"/>
        <v>51804381.947054923</v>
      </c>
      <c r="AD34" s="167">
        <f t="shared" si="29"/>
        <v>24408864.727572493</v>
      </c>
      <c r="AE34" s="167" t="e">
        <f t="shared" si="30"/>
        <v>#DIV/0!</v>
      </c>
      <c r="AF34" s="167" t="e">
        <f t="shared" si="31"/>
        <v>#DIV/0!</v>
      </c>
      <c r="AG34" s="167">
        <f t="shared" si="32"/>
        <v>28626273.643143725</v>
      </c>
      <c r="AI34" s="127" t="s">
        <v>27</v>
      </c>
      <c r="AJ34" s="171">
        <f>S34/COMB_CORR!$L19</f>
        <v>0.11084773786315116</v>
      </c>
      <c r="AK34" s="171">
        <f>T34/COMB_CORR!$L19</f>
        <v>0.12947152998343234</v>
      </c>
      <c r="AL34" s="171">
        <f>U34/COMB_CORR!$L19</f>
        <v>5.1713471940614791E-2</v>
      </c>
      <c r="AM34" s="171">
        <f>V34/COMB_CORR!$M19</f>
        <v>0.10541856800502548</v>
      </c>
      <c r="AN34" s="171">
        <f>W34/COMB_CORR!$M19</f>
        <v>0.12313019238266625</v>
      </c>
      <c r="AO34" s="171">
        <f>X34/COMB_CORR!$M19</f>
        <v>5.2426320801565451E-2</v>
      </c>
      <c r="AP34" s="171">
        <f>Y34/COMB_CORR!$N19</f>
        <v>0.11196592235805923</v>
      </c>
      <c r="AQ34" s="171">
        <f>Z34/COMB_CORR!$N19</f>
        <v>0.13077758331523986</v>
      </c>
      <c r="AR34" s="171">
        <f>AA34/COMB_CORR!$N19</f>
        <v>5.9726059005482668E-2</v>
      </c>
      <c r="AS34" s="171">
        <f>AB34/COMB_CORR!$O19</f>
        <v>0.1040396122942546</v>
      </c>
      <c r="AT34" s="171">
        <f>AC34/COMB_CORR!$O19</f>
        <v>0.12151955504270254</v>
      </c>
      <c r="AU34" s="171">
        <f>AD34/COMB_CORR!$O19</f>
        <v>5.7256824023566057E-2</v>
      </c>
      <c r="AV34" s="171" t="e">
        <f>AE34/COMB_CORR!$P19</f>
        <v>#DIV/0!</v>
      </c>
      <c r="AW34" s="171" t="e">
        <f>AF34/COMB_CORR!$P19</f>
        <v>#DIV/0!</v>
      </c>
      <c r="AX34" s="171" t="e">
        <f>AG34/COMB_CORR!$P19</f>
        <v>#DIV/0!</v>
      </c>
    </row>
    <row r="35" spans="1:50" ht="15.75" thickBot="1">
      <c r="A35" s="127" t="s">
        <v>28</v>
      </c>
      <c r="B35" s="920">
        <f>DEN!$D20*ONSV_2013!AA19</f>
        <v>12480.814665193033</v>
      </c>
      <c r="C35" s="920">
        <f>DEN!$D20*ONSV_2013!AB19</f>
        <v>7951.1853348069671</v>
      </c>
      <c r="D35" s="169">
        <f>DEN!E20</f>
        <v>1463</v>
      </c>
      <c r="E35" s="920">
        <f>DEN!$D56*ONSV_2013!AA19</f>
        <v>13317.674301612104</v>
      </c>
      <c r="F35" s="920">
        <f>DEN!$D56*ONSV_2013!AB19</f>
        <v>8484.3256983878964</v>
      </c>
      <c r="G35" s="169">
        <f>DEN!E56</f>
        <v>1646</v>
      </c>
      <c r="H35" s="920">
        <f>DEN!$D92*ONSV_2013!AA19</f>
        <v>14159.420709630702</v>
      </c>
      <c r="I35" s="920">
        <f>DEN!$D92*ONSV_2013!AB19</f>
        <v>9020.5792903692982</v>
      </c>
      <c r="J35" s="169">
        <f>DEN!E92</f>
        <v>1865</v>
      </c>
      <c r="K35" s="935">
        <f>DEN!$D128*ONSV_2013!AA19</f>
        <v>15068.360227142803</v>
      </c>
      <c r="L35" s="935">
        <f>DEN!$D128*ONSV_2013!AB19</f>
        <v>9599.6397728571974</v>
      </c>
      <c r="M35" s="169">
        <f>DEN!E128</f>
        <v>2106</v>
      </c>
      <c r="N35" s="167" t="e">
        <f>DEN!$D164*DIST_DSL_CAM!$K$2</f>
        <v>#DIV/0!</v>
      </c>
      <c r="O35" s="167" t="e">
        <f>DEN!$D164*DIST_DSL_CAM!$K$3</f>
        <v>#DIV/0!</v>
      </c>
      <c r="P35" s="169">
        <f>DEN!E164</f>
        <v>2354</v>
      </c>
      <c r="R35" s="127" t="s">
        <v>28</v>
      </c>
      <c r="S35" s="167">
        <f t="shared" si="33"/>
        <v>46666858.180282883</v>
      </c>
      <c r="T35" s="167">
        <f t="shared" si="29"/>
        <v>54512909.669759832</v>
      </c>
      <c r="U35" s="167">
        <f t="shared" si="29"/>
        <v>23822661.171740197</v>
      </c>
      <c r="V35" s="167">
        <f t="shared" si="29"/>
        <v>49795949.591157377</v>
      </c>
      <c r="W35" s="167">
        <f t="shared" si="29"/>
        <v>58168092.042879008</v>
      </c>
      <c r="X35" s="167">
        <f t="shared" si="29"/>
        <v>26802529.24722103</v>
      </c>
      <c r="Y35" s="167">
        <f t="shared" si="29"/>
        <v>52943313.068664715</v>
      </c>
      <c r="Z35" s="167">
        <f t="shared" si="29"/>
        <v>61844618.546644129</v>
      </c>
      <c r="AA35" s="167">
        <f t="shared" si="29"/>
        <v>30368600.878534153</v>
      </c>
      <c r="AB35" s="167">
        <f t="shared" si="29"/>
        <v>56341917.462373637</v>
      </c>
      <c r="AC35" s="167">
        <f t="shared" si="29"/>
        <v>65814626.846791081</v>
      </c>
      <c r="AD35" s="167">
        <f t="shared" si="29"/>
        <v>34292908.01618924</v>
      </c>
      <c r="AE35" s="167" t="e">
        <f t="shared" si="30"/>
        <v>#DIV/0!</v>
      </c>
      <c r="AF35" s="167" t="e">
        <f t="shared" si="31"/>
        <v>#DIV/0!</v>
      </c>
      <c r="AG35" s="167">
        <f t="shared" si="32"/>
        <v>38331199.178589493</v>
      </c>
      <c r="AI35" s="127" t="s">
        <v>28</v>
      </c>
      <c r="AJ35" s="171">
        <f>S35/COMB_CORR!$L20</f>
        <v>0.13742832172264599</v>
      </c>
      <c r="AK35" s="171">
        <f>T35/COMB_CORR!$L20</f>
        <v>0.16053400593611336</v>
      </c>
      <c r="AL35" s="171">
        <f>U35/COMB_CORR!$L20</f>
        <v>7.0154890889628188E-2</v>
      </c>
      <c r="AM35" s="171">
        <f>V35/COMB_CORR!$M20</f>
        <v>0.14099359053740299</v>
      </c>
      <c r="AN35" s="171">
        <f>W35/COMB_CORR!$M20</f>
        <v>0.16469869977722085</v>
      </c>
      <c r="AO35" s="171">
        <f>X35/COMB_CORR!$M20</f>
        <v>7.5889401950887003E-2</v>
      </c>
      <c r="AP35" s="171">
        <f>Y35/COMB_CORR!$N20</f>
        <v>0.1412525849001641</v>
      </c>
      <c r="AQ35" s="171">
        <f>Z35/COMB_CORR!$N20</f>
        <v>0.16500123859926089</v>
      </c>
      <c r="AR35" s="171">
        <f>AA35/COMB_CORR!$N20</f>
        <v>8.1023327125956404E-2</v>
      </c>
      <c r="AS35" s="171">
        <f>AB35/COMB_CORR!$O20</f>
        <v>0.12718338518863348</v>
      </c>
      <c r="AT35" s="171">
        <f>AC35/COMB_CORR!$O20</f>
        <v>0.14856659862333632</v>
      </c>
      <c r="AU35" s="171">
        <f>AD35/COMB_CORR!$O20</f>
        <v>7.7411070228024625E-2</v>
      </c>
      <c r="AV35" s="171" t="e">
        <f>AE35/COMB_CORR!$P20</f>
        <v>#DIV/0!</v>
      </c>
      <c r="AW35" s="171" t="e">
        <f>AF35/COMB_CORR!$P20</f>
        <v>#DIV/0!</v>
      </c>
      <c r="AX35" s="171" t="e">
        <f>AG35/COMB_CORR!$P20</f>
        <v>#DIV/0!</v>
      </c>
    </row>
    <row r="36" spans="1:50" ht="15.75" thickBot="1">
      <c r="A36" s="128" t="s">
        <v>29</v>
      </c>
      <c r="B36" s="920">
        <f>DEN!$D21*ONSV_2013!AA20</f>
        <v>8740.3133709981157</v>
      </c>
      <c r="C36" s="920">
        <f>DEN!$D21*ONSV_2013!AB20</f>
        <v>5567.6866290018834</v>
      </c>
      <c r="D36" s="169">
        <f>DEN!E21</f>
        <v>983</v>
      </c>
      <c r="E36" s="920">
        <f>DEN!$D57*ONSV_2013!AA20</f>
        <v>9245.5020177562546</v>
      </c>
      <c r="F36" s="920">
        <f>DEN!$D57*ONSV_2013!AB20</f>
        <v>5889.4979822437444</v>
      </c>
      <c r="G36" s="169">
        <f>DEN!E57</f>
        <v>1136</v>
      </c>
      <c r="H36" s="920">
        <f>DEN!$D93*ONSV_2013!AA20</f>
        <v>9971.2143664245359</v>
      </c>
      <c r="I36" s="920">
        <f>DEN!$D93*ONSV_2013!AB20</f>
        <v>6351.7856335754641</v>
      </c>
      <c r="J36" s="169">
        <f>DEN!E93</f>
        <v>1330</v>
      </c>
      <c r="K36" s="935">
        <f>DEN!$D129*ONSV_2013!AA20</f>
        <v>10849.033091202582</v>
      </c>
      <c r="L36" s="935">
        <f>DEN!$D129*ONSV_2013!AB20</f>
        <v>6910.9669087974171</v>
      </c>
      <c r="M36" s="169">
        <f>DEN!E129</f>
        <v>1489</v>
      </c>
      <c r="N36" s="167" t="e">
        <f>DEN!$D165*DIST_DSL_CAM!$K$2</f>
        <v>#DIV/0!</v>
      </c>
      <c r="O36" s="167" t="e">
        <f>DEN!$D165*DIST_DSL_CAM!$K$3</f>
        <v>#DIV/0!</v>
      </c>
      <c r="P36" s="169">
        <f>DEN!E165</f>
        <v>1679</v>
      </c>
      <c r="R36" s="128" t="s">
        <v>29</v>
      </c>
      <c r="S36" s="167">
        <f t="shared" si="33"/>
        <v>32680796.524694715</v>
      </c>
      <c r="T36" s="167">
        <f t="shared" si="29"/>
        <v>38171767.541081682</v>
      </c>
      <c r="U36" s="167">
        <f t="shared" si="29"/>
        <v>16006613.760642935</v>
      </c>
      <c r="V36" s="167">
        <f t="shared" si="29"/>
        <v>34569741.081999898</v>
      </c>
      <c r="W36" s="167">
        <f t="shared" si="29"/>
        <v>40378089.302087724</v>
      </c>
      <c r="X36" s="167">
        <f t="shared" si="29"/>
        <v>18497978.872930188</v>
      </c>
      <c r="Y36" s="167">
        <f t="shared" si="29"/>
        <v>37283243.057911091</v>
      </c>
      <c r="Z36" s="167">
        <f t="shared" si="29"/>
        <v>43547509.195769943</v>
      </c>
      <c r="AA36" s="167">
        <f t="shared" si="29"/>
        <v>21656964.701582</v>
      </c>
      <c r="AB36" s="167">
        <f t="shared" si="29"/>
        <v>40565484.08432892</v>
      </c>
      <c r="AC36" s="167">
        <f t="shared" si="29"/>
        <v>47381226.69343099</v>
      </c>
      <c r="AD36" s="167">
        <f t="shared" si="29"/>
        <v>24246030.406507965</v>
      </c>
      <c r="AE36" s="167" t="e">
        <f t="shared" si="30"/>
        <v>#DIV/0!</v>
      </c>
      <c r="AF36" s="167" t="e">
        <f t="shared" si="31"/>
        <v>#DIV/0!</v>
      </c>
      <c r="AG36" s="167">
        <f t="shared" si="32"/>
        <v>27339882.506733965</v>
      </c>
      <c r="AI36" s="128" t="s">
        <v>29</v>
      </c>
      <c r="AJ36" s="171">
        <f>S36/COMB_CORR!$L21</f>
        <v>0.12745968923628162</v>
      </c>
      <c r="AK36" s="171">
        <f>T36/COMB_CORR!$L21</f>
        <v>0.14887524619265083</v>
      </c>
      <c r="AL36" s="171">
        <f>U36/COMB_CORR!$L21</f>
        <v>6.242803825528228E-2</v>
      </c>
      <c r="AM36" s="171">
        <f>V36/COMB_CORR!$M21</f>
        <v>0.12276629448592527</v>
      </c>
      <c r="AN36" s="171">
        <f>W36/COMB_CORR!$M21</f>
        <v>0.14339327535837934</v>
      </c>
      <c r="AO36" s="171">
        <f>X36/COMB_CORR!$M21</f>
        <v>6.5691215804072653E-2</v>
      </c>
      <c r="AP36" s="171">
        <f>Y36/COMB_CORR!$N21</f>
        <v>0.12942472093711713</v>
      </c>
      <c r="AQ36" s="171">
        <f>Z36/COMB_CORR!$N21</f>
        <v>0.15117043912769665</v>
      </c>
      <c r="AR36" s="171">
        <f>AA36/COMB_CORR!$N21</f>
        <v>7.5179796148460112E-2</v>
      </c>
      <c r="AS36" s="171">
        <f>AB36/COMB_CORR!$O21</f>
        <v>0.13524170777509639</v>
      </c>
      <c r="AT36" s="171">
        <f>AC36/COMB_CORR!$O21</f>
        <v>0.15796478605253644</v>
      </c>
      <c r="AU36" s="171">
        <f>AD36/COMB_CORR!$O21</f>
        <v>8.083410399162004E-2</v>
      </c>
      <c r="AV36" s="171" t="e">
        <f>AE36/COMB_CORR!$P21</f>
        <v>#DIV/0!</v>
      </c>
      <c r="AW36" s="171" t="e">
        <f>AF36/COMB_CORR!$P21</f>
        <v>#DIV/0!</v>
      </c>
      <c r="AX36" s="171" t="e">
        <f>AG36/COMB_CORR!$P21</f>
        <v>#DIV/0!</v>
      </c>
    </row>
    <row r="37" spans="1:50" ht="15.75" thickBot="1">
      <c r="A37" s="269" t="s">
        <v>64</v>
      </c>
      <c r="B37" s="282">
        <f t="shared" ref="B37:P37" si="34">SUM(B38:B41)</f>
        <v>569633.75435047888</v>
      </c>
      <c r="C37" s="282">
        <f t="shared" si="34"/>
        <v>362869.24564952112</v>
      </c>
      <c r="D37" s="282">
        <f t="shared" si="34"/>
        <v>149078</v>
      </c>
      <c r="E37" s="282">
        <f t="shared" si="34"/>
        <v>595981.59960164153</v>
      </c>
      <c r="F37" s="282">
        <f t="shared" si="34"/>
        <v>379653.40039835835</v>
      </c>
      <c r="G37" s="282">
        <f t="shared" si="34"/>
        <v>166551</v>
      </c>
      <c r="H37" s="282">
        <f t="shared" si="34"/>
        <v>628984.82222995779</v>
      </c>
      <c r="I37" s="282">
        <f t="shared" si="34"/>
        <v>400677.17777004215</v>
      </c>
      <c r="J37" s="282">
        <f t="shared" si="34"/>
        <v>189859</v>
      </c>
      <c r="K37" s="282">
        <f t="shared" si="34"/>
        <v>659965.46709604887</v>
      </c>
      <c r="L37" s="282">
        <f t="shared" si="34"/>
        <v>420412.53290395119</v>
      </c>
      <c r="M37" s="282">
        <f t="shared" si="34"/>
        <v>207495</v>
      </c>
      <c r="N37" s="282" t="e">
        <f t="shared" si="34"/>
        <v>#DIV/0!</v>
      </c>
      <c r="O37" s="282" t="e">
        <f t="shared" si="34"/>
        <v>#DIV/0!</v>
      </c>
      <c r="P37" s="282">
        <f t="shared" si="34"/>
        <v>225222</v>
      </c>
      <c r="R37" s="269" t="s">
        <v>64</v>
      </c>
      <c r="S37" s="282">
        <f>SUM(S38:S41)</f>
        <v>1971338369.0962906</v>
      </c>
      <c r="T37" s="282">
        <f t="shared" ref="T37:AD37" si="35">SUM(T38:T41)</f>
        <v>2302587151.7109442</v>
      </c>
      <c r="U37" s="282">
        <f t="shared" si="35"/>
        <v>2247594781.4334922</v>
      </c>
      <c r="V37" s="282">
        <f t="shared" si="35"/>
        <v>2065157398.3550012</v>
      </c>
      <c r="W37" s="282">
        <f t="shared" si="35"/>
        <v>2412170698.8572922</v>
      </c>
      <c r="X37" s="282">
        <f t="shared" si="35"/>
        <v>2514533827.9165945</v>
      </c>
      <c r="Y37" s="282">
        <f t="shared" si="35"/>
        <v>2182173009.4783125</v>
      </c>
      <c r="Z37" s="282">
        <f t="shared" si="35"/>
        <v>2548848588.862155</v>
      </c>
      <c r="AA37" s="282">
        <f t="shared" si="35"/>
        <v>2863456521.7330551</v>
      </c>
      <c r="AB37" s="282">
        <f t="shared" si="35"/>
        <v>2290466669.0470057</v>
      </c>
      <c r="AC37" s="282">
        <f t="shared" si="35"/>
        <v>2675339021.5745487</v>
      </c>
      <c r="AD37" s="282">
        <f t="shared" si="35"/>
        <v>3129181791.6469355</v>
      </c>
      <c r="AE37" s="282" t="e">
        <f>SUM(AE38:AE41)</f>
        <v>#DIV/0!</v>
      </c>
      <c r="AF37" s="282" t="e">
        <f>SUM(AF38:AF41)</f>
        <v>#DIV/0!</v>
      </c>
      <c r="AG37" s="282">
        <f>SUM(AG38:AG41)</f>
        <v>3397312420.8455954</v>
      </c>
      <c r="AI37" s="4" t="s">
        <v>64</v>
      </c>
      <c r="AJ37" s="171">
        <f>S37/COMB_CORR!$L22</f>
        <v>0.1221873926313017</v>
      </c>
      <c r="AK37" s="171">
        <f>T37/COMB_CORR!$L22</f>
        <v>0.14271883750878958</v>
      </c>
      <c r="AL37" s="171">
        <f>U37/COMB_CORR!$L22</f>
        <v>0.13931030326416</v>
      </c>
      <c r="AM37" s="171">
        <f>V37/COMB_CORR!$M22</f>
        <v>0.116674767874797</v>
      </c>
      <c r="AN37" s="171">
        <f>W37/COMB_CORR!$M22</f>
        <v>0.13627990611647406</v>
      </c>
      <c r="AO37" s="171">
        <f>X37/COMB_CORR!$M22</f>
        <v>0.14206309452208679</v>
      </c>
      <c r="AP37" s="171">
        <f>Y37/COMB_CORR!$N22</f>
        <v>0.11694551962313313</v>
      </c>
      <c r="AQ37" s="171">
        <f>Z37/COMB_CORR!$N22</f>
        <v>0.13659614584658197</v>
      </c>
      <c r="AR37" s="171">
        <f>AA37/COMB_CORR!$N22</f>
        <v>0.15345639846053169</v>
      </c>
      <c r="AS37" s="171">
        <f>AB37/COMB_CORR!$O22</f>
        <v>0.11864475260798364</v>
      </c>
      <c r="AT37" s="171">
        <f>AC37/COMB_CORR!$O22</f>
        <v>0.13858090172046214</v>
      </c>
      <c r="AU37" s="171">
        <f>AD37/COMB_CORR!$O22</f>
        <v>0.16208967567724014</v>
      </c>
      <c r="AV37" s="171" t="e">
        <f>AE37/COMB_CORR!$P22</f>
        <v>#DIV/0!</v>
      </c>
      <c r="AW37" s="171" t="e">
        <f>AF37/COMB_CORR!$P22</f>
        <v>#DIV/0!</v>
      </c>
      <c r="AX37" s="171" t="e">
        <f>AG37/COMB_CORR!$P22</f>
        <v>#DIV/0!</v>
      </c>
    </row>
    <row r="38" spans="1:50" ht="15.75" thickBot="1">
      <c r="A38" s="127" t="s">
        <v>31</v>
      </c>
      <c r="B38" s="920">
        <f>DEN!$D23*ONSV_2013!AA22</f>
        <v>31147.504805091488</v>
      </c>
      <c r="C38" s="920">
        <f>DEN!$D23*ONSV_2013!AB22</f>
        <v>19841.495194908512</v>
      </c>
      <c r="D38" s="169">
        <f>DEN!E23</f>
        <v>11557</v>
      </c>
      <c r="E38" s="920">
        <f>DEN!$D59*ONSV_2013!AA22</f>
        <v>32450.484423229911</v>
      </c>
      <c r="F38" s="920">
        <f>DEN!$D59*ONSV_2013!AB22</f>
        <v>20671.515576770089</v>
      </c>
      <c r="G38" s="169">
        <f>DEN!E59</f>
        <v>12551</v>
      </c>
      <c r="H38" s="920">
        <f>DEN!$D95*ONSV_2013!AA22</f>
        <v>34352.113842482097</v>
      </c>
      <c r="I38" s="920">
        <f>DEN!$D95*ONSV_2013!AB22</f>
        <v>21882.8861575179</v>
      </c>
      <c r="J38" s="169">
        <f>DEN!E95</f>
        <v>13963</v>
      </c>
      <c r="K38" s="935">
        <f>DEN!$D131*ONSV_2013!AA22</f>
        <v>36502.977056483687</v>
      </c>
      <c r="L38" s="935">
        <f>DEN!$D131*ONSV_2013!AB22</f>
        <v>23253.022943516309</v>
      </c>
      <c r="M38" s="169">
        <f>DEN!E131</f>
        <v>15031</v>
      </c>
      <c r="N38" s="167" t="e">
        <f>DEN!$D167*DIST_DSL_CAM!$K$2</f>
        <v>#DIV/0!</v>
      </c>
      <c r="O38" s="167" t="e">
        <f>DEN!$D167*DIST_DSL_CAM!$K$3</f>
        <v>#DIV/0!</v>
      </c>
      <c r="P38" s="169">
        <f>DEN!E167</f>
        <v>16018</v>
      </c>
      <c r="R38" s="127" t="s">
        <v>31</v>
      </c>
      <c r="S38" s="167">
        <f>B11*B38/B$17</f>
        <v>71026362.374000028</v>
      </c>
      <c r="T38" s="167">
        <f t="shared" ref="T38:AD41" si="36">C11*C38/C$17</f>
        <v>82962498.760503843</v>
      </c>
      <c r="U38" s="167">
        <f t="shared" si="36"/>
        <v>114771915.9187497</v>
      </c>
      <c r="V38" s="167">
        <f t="shared" si="36"/>
        <v>73997576.379839361</v>
      </c>
      <c r="W38" s="167">
        <f t="shared" si="36"/>
        <v>86433031.813832104</v>
      </c>
      <c r="X38" s="167">
        <f t="shared" si="36"/>
        <v>124643273.92024121</v>
      </c>
      <c r="Y38" s="167">
        <f t="shared" si="36"/>
        <v>78333905.118788183</v>
      </c>
      <c r="Z38" s="167">
        <f t="shared" si="36"/>
        <v>91498090.133105844</v>
      </c>
      <c r="AA38" s="167">
        <f t="shared" si="36"/>
        <v>138665766.37306413</v>
      </c>
      <c r="AB38" s="167">
        <f t="shared" si="36"/>
        <v>83238567.338460147</v>
      </c>
      <c r="AC38" s="167">
        <f t="shared" si="36"/>
        <v>97226991.624324232</v>
      </c>
      <c r="AD38" s="167">
        <f t="shared" si="36"/>
        <v>149272014.20565256</v>
      </c>
      <c r="AE38" s="167" t="e">
        <f t="shared" ref="AE38:AG41" si="37">N11*N38/N$17</f>
        <v>#DIV/0!</v>
      </c>
      <c r="AF38" s="167" t="e">
        <f t="shared" si="37"/>
        <v>#DIV/0!</v>
      </c>
      <c r="AG38" s="167">
        <f t="shared" si="37"/>
        <v>159073855.60149977</v>
      </c>
      <c r="AI38" s="127" t="s">
        <v>31</v>
      </c>
      <c r="AJ38" s="171">
        <f>S38/COMB_CORR!$L23</f>
        <v>0.10954653112664263</v>
      </c>
      <c r="AK38" s="171">
        <f>T38/COMB_CORR!$L23</f>
        <v>0.12795606657927958</v>
      </c>
      <c r="AL38" s="171">
        <f>U38/COMB_CORR!$L23</f>
        <v>0.17701688273789676</v>
      </c>
      <c r="AM38" s="171">
        <f>V38/COMB_CORR!$M23</f>
        <v>0.10033903865469235</v>
      </c>
      <c r="AN38" s="171">
        <f>W38/COMB_CORR!$M23</f>
        <v>0.11720123474980736</v>
      </c>
      <c r="AO38" s="171">
        <f>X38/COMB_CORR!$M23</f>
        <v>0.16901345816696109</v>
      </c>
      <c r="AP38" s="171">
        <f>Y38/COMB_CORR!$N23</f>
        <v>9.5047181061384364E-2</v>
      </c>
      <c r="AQ38" s="171">
        <f>Z38/COMB_CORR!$N23</f>
        <v>0.11102006885095675</v>
      </c>
      <c r="AR38" s="171">
        <f>AA38/COMB_CORR!$N23</f>
        <v>0.16825141276296604</v>
      </c>
      <c r="AS38" s="171">
        <f>AB38/COMB_CORR!$O23</f>
        <v>9.6031266892457404E-2</v>
      </c>
      <c r="AT38" s="171">
        <f>AC38/COMB_CORR!$O23</f>
        <v>0.11216953246998215</v>
      </c>
      <c r="AU38" s="171">
        <f>AD38/COMB_CORR!$O23</f>
        <v>0.17221320709990606</v>
      </c>
      <c r="AV38" s="171" t="e">
        <f>AE38/COMB_CORR!$P23</f>
        <v>#DIV/0!</v>
      </c>
      <c r="AW38" s="171" t="e">
        <f>AF38/COMB_CORR!$P23</f>
        <v>#DIV/0!</v>
      </c>
      <c r="AX38" s="171" t="e">
        <f>AG38/COMB_CORR!$P23</f>
        <v>#DIV/0!</v>
      </c>
    </row>
    <row r="39" spans="1:50" ht="15.75" thickBot="1">
      <c r="A39" s="127" t="s">
        <v>32</v>
      </c>
      <c r="B39" s="920">
        <f>DEN!$D24*ONSV_2013!AA23</f>
        <v>142056.9375792685</v>
      </c>
      <c r="C39" s="920">
        <f>DEN!$D24*ONSV_2013!AB23</f>
        <v>90493.062420731498</v>
      </c>
      <c r="D39" s="169">
        <f>DEN!E24</f>
        <v>36302</v>
      </c>
      <c r="E39" s="920">
        <f>DEN!$D60*ONSV_2013!AA23</f>
        <v>150270.03379837523</v>
      </c>
      <c r="F39" s="920">
        <f>DEN!$D60*ONSV_2013!AB23</f>
        <v>95724.966201624789</v>
      </c>
      <c r="G39" s="169">
        <f>DEN!E60</f>
        <v>40788</v>
      </c>
      <c r="H39" s="920">
        <f>DEN!$D96*ONSV_2013!AA23</f>
        <v>160652.31593596819</v>
      </c>
      <c r="I39" s="920">
        <f>DEN!$D96*ONSV_2013!AB23</f>
        <v>102338.68406403181</v>
      </c>
      <c r="J39" s="169">
        <f>DEN!E96</f>
        <v>45925</v>
      </c>
      <c r="K39" s="935">
        <f>DEN!$D132*ONSV_2013!AA23</f>
        <v>170070.04032495801</v>
      </c>
      <c r="L39" s="935">
        <f>DEN!$D132*ONSV_2013!AB23</f>
        <v>108337.95967504199</v>
      </c>
      <c r="M39" s="169">
        <f>DEN!E132</f>
        <v>50159</v>
      </c>
      <c r="N39" s="167" t="e">
        <f>DEN!$D168*DIST_DSL_CAM!$K$2</f>
        <v>#DIV/0!</v>
      </c>
      <c r="O39" s="167" t="e">
        <f>DEN!$D168*DIST_DSL_CAM!$K$3</f>
        <v>#DIV/0!</v>
      </c>
      <c r="P39" s="169">
        <f>DEN!E168</f>
        <v>54395</v>
      </c>
      <c r="R39" s="127" t="s">
        <v>32</v>
      </c>
      <c r="S39" s="167">
        <f>B12*B39/B$17</f>
        <v>680482431.52462196</v>
      </c>
      <c r="T39" s="167">
        <f t="shared" si="36"/>
        <v>794817105.12246382</v>
      </c>
      <c r="U39" s="167">
        <f t="shared" si="36"/>
        <v>757283908.66713071</v>
      </c>
      <c r="V39" s="167">
        <f t="shared" si="36"/>
        <v>719824879.5652523</v>
      </c>
      <c r="W39" s="167">
        <f t="shared" si="36"/>
        <v>840769872.17630839</v>
      </c>
      <c r="X39" s="167">
        <f t="shared" si="36"/>
        <v>850864857.76857829</v>
      </c>
      <c r="Y39" s="167">
        <f t="shared" si="36"/>
        <v>769558181.67745364</v>
      </c>
      <c r="Z39" s="167">
        <f t="shared" si="36"/>
        <v>898859364.83879554</v>
      </c>
      <c r="AA39" s="167">
        <f t="shared" si="36"/>
        <v>958026100.64288414</v>
      </c>
      <c r="AB39" s="167">
        <f t="shared" si="36"/>
        <v>814671050.50916779</v>
      </c>
      <c r="AC39" s="167">
        <f t="shared" si="36"/>
        <v>951552098.91608226</v>
      </c>
      <c r="AD39" s="167">
        <f t="shared" si="36"/>
        <v>1046350161.8322574</v>
      </c>
      <c r="AE39" s="167" t="e">
        <f t="shared" si="37"/>
        <v>#DIV/0!</v>
      </c>
      <c r="AF39" s="167" t="e">
        <f t="shared" si="37"/>
        <v>#DIV/0!</v>
      </c>
      <c r="AG39" s="167">
        <f t="shared" si="37"/>
        <v>1134715944.3542664</v>
      </c>
      <c r="AI39" s="127" t="s">
        <v>32</v>
      </c>
      <c r="AJ39" s="171">
        <f>S39/COMB_CORR!$L24</f>
        <v>0.14103160859121885</v>
      </c>
      <c r="AK39" s="171">
        <f>T39/COMB_CORR!$L24</f>
        <v>0.16472774266940213</v>
      </c>
      <c r="AL39" s="171">
        <f>U39/COMB_CORR!$L24</f>
        <v>0.1569488980932004</v>
      </c>
      <c r="AM39" s="171">
        <f>V39/COMB_CORR!$M24</f>
        <v>0.13497651407962755</v>
      </c>
      <c r="AN39" s="171">
        <f>W39/COMB_CORR!$M24</f>
        <v>0.15765527104046809</v>
      </c>
      <c r="AO39" s="171">
        <f>X39/COMB_CORR!$M24</f>
        <v>0.15954821195375188</v>
      </c>
      <c r="AP39" s="171">
        <f>Y39/COMB_CORR!$N24</f>
        <v>0.13573772719436628</v>
      </c>
      <c r="AQ39" s="171">
        <f>Z39/COMB_CORR!$N24</f>
        <v>0.15854438320003164</v>
      </c>
      <c r="AR39" s="171">
        <f>AA39/COMB_CORR!$N24</f>
        <v>0.16898044695033901</v>
      </c>
      <c r="AS39" s="171">
        <f>AB39/COMB_CORR!$O24</f>
        <v>0.14055191394220481</v>
      </c>
      <c r="AT39" s="171">
        <f>AC39/COMB_CORR!$O24</f>
        <v>0.16416744971456734</v>
      </c>
      <c r="AU39" s="171">
        <f>AD39/COMB_CORR!$O24</f>
        <v>0.18052257755733833</v>
      </c>
      <c r="AV39" s="171" t="e">
        <f>AE39/COMB_CORR!$P24</f>
        <v>#DIV/0!</v>
      </c>
      <c r="AW39" s="171" t="e">
        <f>AF39/COMB_CORR!$P24</f>
        <v>#DIV/0!</v>
      </c>
      <c r="AX39" s="171" t="e">
        <f>AG39/COMB_CORR!$P24</f>
        <v>#DIV/0!</v>
      </c>
    </row>
    <row r="40" spans="1:50" ht="15.75" thickBot="1">
      <c r="A40" s="127" t="s">
        <v>33</v>
      </c>
      <c r="B40" s="920">
        <f>DEN!$D25*ONSV_2013!AA24</f>
        <v>62008.737987574554</v>
      </c>
      <c r="C40" s="920">
        <f>DEN!$D25*ONSV_2013!AB24</f>
        <v>39501.262012425446</v>
      </c>
      <c r="D40" s="169">
        <f>DEN!E25</f>
        <v>9011</v>
      </c>
      <c r="E40" s="920">
        <f>DEN!$D61*ONSV_2013!AA24</f>
        <v>65085.656648232747</v>
      </c>
      <c r="F40" s="920">
        <f>DEN!$D61*ONSV_2013!AB24</f>
        <v>41461.343351767253</v>
      </c>
      <c r="G40" s="169">
        <f>DEN!E61</f>
        <v>9899</v>
      </c>
      <c r="H40" s="920">
        <f>DEN!$D97*ONSV_2013!AA24</f>
        <v>69578.556538870223</v>
      </c>
      <c r="I40" s="920">
        <f>DEN!$D97*ONSV_2013!AB24</f>
        <v>44323.443461129769</v>
      </c>
      <c r="J40" s="169">
        <f>DEN!E97</f>
        <v>11395</v>
      </c>
      <c r="K40" s="935">
        <f>DEN!$D133*ONSV_2013!AA24</f>
        <v>74869.854819319153</v>
      </c>
      <c r="L40" s="935">
        <f>DEN!$D133*ONSV_2013!AB24</f>
        <v>47694.14518068084</v>
      </c>
      <c r="M40" s="169">
        <f>DEN!E133</f>
        <v>12785</v>
      </c>
      <c r="N40" s="167" t="e">
        <f>DEN!$D169*DIST_DSL_CAM!$K$2</f>
        <v>#DIV/0!</v>
      </c>
      <c r="O40" s="167" t="e">
        <f>DEN!$D169*DIST_DSL_CAM!$K$3</f>
        <v>#DIV/0!</v>
      </c>
      <c r="P40" s="169">
        <f>DEN!E169</f>
        <v>13885</v>
      </c>
      <c r="R40" s="127" t="s">
        <v>33</v>
      </c>
      <c r="S40" s="167">
        <f>B13*B40/B$17</f>
        <v>157036676.54520297</v>
      </c>
      <c r="T40" s="167">
        <f t="shared" si="36"/>
        <v>183426057.52379361</v>
      </c>
      <c r="U40" s="167">
        <f t="shared" si="36"/>
        <v>99380576.375318959</v>
      </c>
      <c r="V40" s="167">
        <f t="shared" si="36"/>
        <v>164828950.60448962</v>
      </c>
      <c r="W40" s="167">
        <f t="shared" si="36"/>
        <v>192527791.85289761</v>
      </c>
      <c r="X40" s="167">
        <f t="shared" si="36"/>
        <v>109174156.64624152</v>
      </c>
      <c r="Y40" s="167">
        <f t="shared" si="36"/>
        <v>176207186.79786924</v>
      </c>
      <c r="Z40" s="167">
        <f t="shared" si="36"/>
        <v>205818094.8091335</v>
      </c>
      <c r="AA40" s="167">
        <f t="shared" si="36"/>
        <v>125673251.33689485</v>
      </c>
      <c r="AB40" s="167">
        <f t="shared" si="36"/>
        <v>189607361.08842731</v>
      </c>
      <c r="AC40" s="167">
        <f t="shared" si="36"/>
        <v>221470114.41578403</v>
      </c>
      <c r="AD40" s="167">
        <f t="shared" si="36"/>
        <v>141003292.52673987</v>
      </c>
      <c r="AE40" s="167" t="e">
        <f t="shared" si="37"/>
        <v>#DIV/0!</v>
      </c>
      <c r="AF40" s="167" t="e">
        <f t="shared" si="37"/>
        <v>#DIV/0!</v>
      </c>
      <c r="AG40" s="167">
        <f t="shared" si="37"/>
        <v>153134979.79927906</v>
      </c>
      <c r="AI40" s="127" t="s">
        <v>33</v>
      </c>
      <c r="AJ40" s="171">
        <f>S40/COMB_CORR!$L25</f>
        <v>7.0766171018472698E-2</v>
      </c>
      <c r="AK40" s="171">
        <f>T40/COMB_CORR!$L25</f>
        <v>8.2658141025014606E-2</v>
      </c>
      <c r="AL40" s="171">
        <f>U40/COMB_CORR!$L25</f>
        <v>4.4784333306148547E-2</v>
      </c>
      <c r="AM40" s="171">
        <f>V40/COMB_CORR!$M25</f>
        <v>6.9479801426114152E-2</v>
      </c>
      <c r="AN40" s="171">
        <f>W40/COMB_CORR!$M25</f>
        <v>8.1155602203920152E-2</v>
      </c>
      <c r="AO40" s="171">
        <f>X40/COMB_CORR!$M25</f>
        <v>4.6019820528043383E-2</v>
      </c>
      <c r="AP40" s="171">
        <f>Y40/COMB_CORR!$N25</f>
        <v>6.8833308860611439E-2</v>
      </c>
      <c r="AQ40" s="171">
        <f>Z40/COMB_CORR!$N25</f>
        <v>8.0400469166737806E-2</v>
      </c>
      <c r="AR40" s="171">
        <f>AA40/COMB_CORR!$N25</f>
        <v>4.9092808766721306E-2</v>
      </c>
      <c r="AS40" s="171">
        <f>AB40/COMB_CORR!$O25</f>
        <v>7.2351146416568257E-2</v>
      </c>
      <c r="AT40" s="171">
        <f>AC40/COMB_CORR!$O25</f>
        <v>8.4509465154770924E-2</v>
      </c>
      <c r="AU40" s="171">
        <f>AD40/COMB_CORR!$O25</f>
        <v>5.380460866212132E-2</v>
      </c>
      <c r="AV40" s="171" t="e">
        <f>AE40/COMB_CORR!$P25</f>
        <v>#DIV/0!</v>
      </c>
      <c r="AW40" s="171" t="e">
        <f>AF40/COMB_CORR!$P25</f>
        <v>#DIV/0!</v>
      </c>
      <c r="AX40" s="171" t="e">
        <f>AG40/COMB_CORR!$P25</f>
        <v>#DIV/0!</v>
      </c>
    </row>
    <row r="41" spans="1:50" ht="15.75" thickBot="1">
      <c r="A41" s="128" t="s">
        <v>34</v>
      </c>
      <c r="B41" s="920">
        <f>DEN!$D26*ONSV_2013!AA25</f>
        <v>334420.57397854433</v>
      </c>
      <c r="C41" s="920">
        <f>DEN!$D26*ONSV_2013!AB25</f>
        <v>213033.4260214557</v>
      </c>
      <c r="D41" s="169">
        <f>DEN!E26</f>
        <v>92208</v>
      </c>
      <c r="E41" s="920">
        <f>DEN!$D62*ONSV_2013!AA25</f>
        <v>348175.42473180371</v>
      </c>
      <c r="F41" s="920">
        <f>DEN!$D62*ONSV_2013!AB25</f>
        <v>221795.57526819626</v>
      </c>
      <c r="G41" s="169">
        <f>DEN!E62</f>
        <v>103313</v>
      </c>
      <c r="H41" s="920">
        <f>DEN!$D98*ONSV_2013!AA25</f>
        <v>364401.8359126373</v>
      </c>
      <c r="I41" s="920">
        <f>DEN!$D98*ONSV_2013!AB25</f>
        <v>232132.16408736267</v>
      </c>
      <c r="J41" s="169">
        <f>DEN!E98</f>
        <v>118576</v>
      </c>
      <c r="K41" s="935">
        <f>DEN!$D134*ONSV_2013!AA25</f>
        <v>378522.594895288</v>
      </c>
      <c r="L41" s="935">
        <f>DEN!$D134*ONSV_2013!AB25</f>
        <v>241127.40510471203</v>
      </c>
      <c r="M41" s="169">
        <f>DEN!E134</f>
        <v>129520</v>
      </c>
      <c r="N41" s="167" t="e">
        <f>DEN!$D170*DIST_DSL_CAM!$K$2</f>
        <v>#DIV/0!</v>
      </c>
      <c r="O41" s="167" t="e">
        <f>DEN!$D170*DIST_DSL_CAM!$K$3</f>
        <v>#DIV/0!</v>
      </c>
      <c r="P41" s="169">
        <f>DEN!E170</f>
        <v>140924</v>
      </c>
      <c r="R41" s="128" t="s">
        <v>34</v>
      </c>
      <c r="S41" s="167">
        <f>B14*B41/B$17</f>
        <v>1062792898.6524655</v>
      </c>
      <c r="T41" s="167">
        <f t="shared" si="36"/>
        <v>1241381490.3041828</v>
      </c>
      <c r="U41" s="167">
        <f t="shared" si="36"/>
        <v>1276158380.4722929</v>
      </c>
      <c r="V41" s="167">
        <f t="shared" si="36"/>
        <v>1106505991.8054199</v>
      </c>
      <c r="W41" s="167">
        <f t="shared" si="36"/>
        <v>1292440003.0142539</v>
      </c>
      <c r="X41" s="167">
        <f t="shared" si="36"/>
        <v>1429851539.5815332</v>
      </c>
      <c r="Y41" s="167">
        <f t="shared" si="36"/>
        <v>1158073735.8842015</v>
      </c>
      <c r="Z41" s="167">
        <f t="shared" si="36"/>
        <v>1352673039.0811198</v>
      </c>
      <c r="AA41" s="167">
        <f t="shared" si="36"/>
        <v>1641091403.3802123</v>
      </c>
      <c r="AB41" s="167">
        <f t="shared" si="36"/>
        <v>1202949690.1109505</v>
      </c>
      <c r="AC41" s="167">
        <f t="shared" si="36"/>
        <v>1405089816.6183584</v>
      </c>
      <c r="AD41" s="167">
        <f t="shared" si="36"/>
        <v>1792556323.0822856</v>
      </c>
      <c r="AE41" s="167" t="e">
        <f t="shared" si="37"/>
        <v>#DIV/0!</v>
      </c>
      <c r="AF41" s="167" t="e">
        <f t="shared" si="37"/>
        <v>#DIV/0!</v>
      </c>
      <c r="AG41" s="167">
        <f t="shared" si="37"/>
        <v>1950387641.0905499</v>
      </c>
      <c r="AI41" s="128" t="s">
        <v>34</v>
      </c>
      <c r="AJ41" s="171">
        <f>S41/COMB_CORR!$L26</f>
        <v>0.12590490112151312</v>
      </c>
      <c r="AK41" s="171">
        <f>T41/COMB_CORR!$L26</f>
        <v>0.1470615902580788</v>
      </c>
      <c r="AL41" s="171">
        <f>U41/COMB_CORR!$L26</f>
        <v>0.15118147186763914</v>
      </c>
      <c r="AM41" s="171">
        <f>V41/COMB_CORR!$M26</f>
        <v>0.11952727227290968</v>
      </c>
      <c r="AN41" s="171">
        <f>W41/COMB_CORR!$M26</f>
        <v>0.13961228342254717</v>
      </c>
      <c r="AO41" s="171">
        <f>X41/COMB_CORR!$M26</f>
        <v>0.15445578744905253</v>
      </c>
      <c r="AP41" s="171">
        <f>Y41/COMB_CORR!$N26</f>
        <v>0.12055455898679888</v>
      </c>
      <c r="AQ41" s="171">
        <f>Z41/COMB_CORR!$N26</f>
        <v>0.14081219237326975</v>
      </c>
      <c r="AR41" s="171">
        <f>AA41/COMB_CORR!$N26</f>
        <v>0.17083631573811198</v>
      </c>
      <c r="AS41" s="171">
        <f>AB41/COMB_CORR!$O26</f>
        <v>0.12003591887710341</v>
      </c>
      <c r="AT41" s="171">
        <f>AC41/COMB_CORR!$O26</f>
        <v>0.14020640150552713</v>
      </c>
      <c r="AU41" s="171">
        <f>AD41/COMB_CORR!$O26</f>
        <v>0.17886961287657702</v>
      </c>
      <c r="AV41" s="171" t="e">
        <f>AE41/COMB_CORR!$P26</f>
        <v>#DIV/0!</v>
      </c>
      <c r="AW41" s="171" t="e">
        <f>AF41/COMB_CORR!$P26</f>
        <v>#DIV/0!</v>
      </c>
      <c r="AX41" s="171" t="e">
        <f>AG41/COMB_CORR!$P26</f>
        <v>#DIV/0!</v>
      </c>
    </row>
    <row r="42" spans="1:50" ht="15.75" thickBot="1">
      <c r="A42" s="269" t="s">
        <v>69</v>
      </c>
      <c r="B42" s="282">
        <f t="shared" ref="B42:P42" si="38">SUM(B43:B45)</f>
        <v>295783.2677367779</v>
      </c>
      <c r="C42" s="282">
        <f t="shared" si="38"/>
        <v>188420.73226322216</v>
      </c>
      <c r="D42" s="282">
        <f t="shared" si="38"/>
        <v>122205</v>
      </c>
      <c r="E42" s="282">
        <f t="shared" si="38"/>
        <v>308731.77577491512</v>
      </c>
      <c r="F42" s="282">
        <f t="shared" si="38"/>
        <v>196669.22422508488</v>
      </c>
      <c r="G42" s="282">
        <f t="shared" si="38"/>
        <v>132347</v>
      </c>
      <c r="H42" s="282">
        <f t="shared" si="38"/>
        <v>324536.07471399964</v>
      </c>
      <c r="I42" s="282">
        <f t="shared" si="38"/>
        <v>206736.92528600036</v>
      </c>
      <c r="J42" s="282">
        <f t="shared" si="38"/>
        <v>144442</v>
      </c>
      <c r="K42" s="282">
        <f t="shared" si="38"/>
        <v>340089.30562763364</v>
      </c>
      <c r="L42" s="282">
        <f t="shared" si="38"/>
        <v>216644.69437236642</v>
      </c>
      <c r="M42" s="282">
        <f t="shared" si="38"/>
        <v>154519</v>
      </c>
      <c r="N42" s="282" t="e">
        <f t="shared" si="38"/>
        <v>#DIV/0!</v>
      </c>
      <c r="O42" s="282" t="e">
        <f t="shared" si="38"/>
        <v>#DIV/0!</v>
      </c>
      <c r="P42" s="282">
        <f t="shared" si="38"/>
        <v>166210</v>
      </c>
      <c r="R42" s="269" t="s">
        <v>69</v>
      </c>
      <c r="S42" s="282">
        <f>SUM(S43:S45)</f>
        <v>1034132762.6103764</v>
      </c>
      <c r="T42" s="282">
        <f t="shared" ref="T42:AC42" si="39">SUM(T43:T45)</f>
        <v>1207923077.6863179</v>
      </c>
      <c r="U42" s="282">
        <f t="shared" si="39"/>
        <v>1860720091.3169012</v>
      </c>
      <c r="V42" s="282">
        <f t="shared" si="39"/>
        <v>1079404006.2869387</v>
      </c>
      <c r="W42" s="282">
        <f t="shared" si="39"/>
        <v>1260802310.651643</v>
      </c>
      <c r="X42" s="282">
        <f t="shared" si="39"/>
        <v>2015144404.2839324</v>
      </c>
      <c r="Y42" s="282">
        <f t="shared" si="39"/>
        <v>1134659813.8518896</v>
      </c>
      <c r="Z42" s="282">
        <f t="shared" si="39"/>
        <v>1325344085.3526244</v>
      </c>
      <c r="AA42" s="282">
        <f t="shared" si="39"/>
        <v>2199305522.9327431</v>
      </c>
      <c r="AB42" s="282">
        <f t="shared" si="39"/>
        <v>1189037824.397594</v>
      </c>
      <c r="AC42" s="282">
        <f t="shared" si="39"/>
        <v>1388860572.0155129</v>
      </c>
      <c r="AD42" s="282">
        <f>SUM(AD43:AD45)</f>
        <v>2352740131.6656132</v>
      </c>
      <c r="AE42" s="282" t="e">
        <f>SUM(AE43:AE45)</f>
        <v>#DIV/0!</v>
      </c>
      <c r="AF42" s="282" t="e">
        <f>SUM(AF43:AF45)</f>
        <v>#DIV/0!</v>
      </c>
      <c r="AG42" s="282">
        <f>SUM(AG43:AG45)</f>
        <v>2530749857.8436413</v>
      </c>
      <c r="AI42" s="4" t="s">
        <v>69</v>
      </c>
      <c r="AJ42" s="171">
        <f>S42/COMB_CORR!$L27</f>
        <v>0.16885191045150011</v>
      </c>
      <c r="AK42" s="171">
        <f>T42/COMB_CORR!$L27</f>
        <v>0.1972281768067678</v>
      </c>
      <c r="AL42" s="171">
        <f>U42/COMB_CORR!$L27</f>
        <v>0.30381606075536588</v>
      </c>
      <c r="AM42" s="171">
        <f>V42/COMB_CORR!$M27</f>
        <v>0.1591230113872282</v>
      </c>
      <c r="AN42" s="171">
        <f>W42/COMB_CORR!$M27</f>
        <v>0.18586429109614899</v>
      </c>
      <c r="AO42" s="171">
        <f>X42/COMB_CORR!$M27</f>
        <v>0.29706749662048337</v>
      </c>
      <c r="AP42" s="171">
        <f>Y42/COMB_CORR!$N27</f>
        <v>0.15655418222549242</v>
      </c>
      <c r="AQ42" s="171">
        <f>Z42/COMB_CORR!$N27</f>
        <v>0.18286375961919574</v>
      </c>
      <c r="AR42" s="171">
        <f>AA42/COMB_CORR!$N27</f>
        <v>0.30344819954264141</v>
      </c>
      <c r="AS42" s="171">
        <f>AB42/COMB_CORR!$O27</f>
        <v>0.15856323728858354</v>
      </c>
      <c r="AT42" s="171">
        <f>AC42/COMB_CORR!$O27</f>
        <v>0.18521044824862956</v>
      </c>
      <c r="AU42" s="171">
        <f>AD42/COMB_CORR!$O27</f>
        <v>0.31374787590518538</v>
      </c>
      <c r="AV42" s="171" t="e">
        <f>AE42/COMB_CORR!$P27</f>
        <v>#DIV/0!</v>
      </c>
      <c r="AW42" s="171" t="e">
        <f>AF42/COMB_CORR!$P27</f>
        <v>#DIV/0!</v>
      </c>
      <c r="AX42" s="171" t="e">
        <f>AG42/COMB_CORR!$P27</f>
        <v>#DIV/0!</v>
      </c>
    </row>
    <row r="43" spans="1:50" ht="15.75" thickBot="1">
      <c r="A43" s="127" t="s">
        <v>36</v>
      </c>
      <c r="B43" s="920">
        <f>DEN!$D28*ONSV_2013!AA27</f>
        <v>122745.75609283191</v>
      </c>
      <c r="C43" s="920">
        <f>DEN!$D28*ONSV_2013!AB27</f>
        <v>78192.243907168086</v>
      </c>
      <c r="D43" s="169">
        <f>DEN!E28</f>
        <v>54864</v>
      </c>
      <c r="E43" s="920">
        <f>DEN!$D64*ONSV_2013!AA27</f>
        <v>127446.35325779993</v>
      </c>
      <c r="F43" s="920">
        <f>DEN!$D64*ONSV_2013!AB27</f>
        <v>81186.646742200071</v>
      </c>
      <c r="G43" s="169">
        <f>DEN!E64</f>
        <v>59272</v>
      </c>
      <c r="H43" s="920">
        <f>DEN!$D100*ONSV_2013!AA27</f>
        <v>133954.49649309157</v>
      </c>
      <c r="I43" s="920">
        <f>DEN!$D100*ONSV_2013!AB27</f>
        <v>85332.503506908441</v>
      </c>
      <c r="J43" s="169">
        <f>DEN!E100</f>
        <v>65063</v>
      </c>
      <c r="K43" s="935">
        <f>DEN!$D136*ONSV_2013!AA27</f>
        <v>141030.13222562236</v>
      </c>
      <c r="L43" s="935">
        <f>DEN!$D136*ONSV_2013!AB27</f>
        <v>89839.86777437765</v>
      </c>
      <c r="M43" s="169">
        <f>DEN!E136</f>
        <v>69996</v>
      </c>
      <c r="N43" s="167" t="e">
        <f>DEN!$D172*DIST_DSL_CAM!$K$2</f>
        <v>#DIV/0!</v>
      </c>
      <c r="O43" s="167" t="e">
        <f>DEN!$D172*DIST_DSL_CAM!$K$3</f>
        <v>#DIV/0!</v>
      </c>
      <c r="P43" s="169">
        <f>DEN!E172</f>
        <v>75152</v>
      </c>
      <c r="R43" s="127" t="s">
        <v>36</v>
      </c>
      <c r="S43" s="167">
        <f>B$15*B43/B$17</f>
        <v>429150062.53816056</v>
      </c>
      <c r="T43" s="167">
        <f t="shared" ref="T43:AD45" si="40">C$15*C43/C$17</f>
        <v>501272947.92379618</v>
      </c>
      <c r="U43" s="167">
        <f t="shared" si="40"/>
        <v>835371278.50751173</v>
      </c>
      <c r="V43" s="167">
        <f t="shared" si="40"/>
        <v>445584533.52538621</v>
      </c>
      <c r="W43" s="167">
        <f t="shared" si="40"/>
        <v>520469393.26650691</v>
      </c>
      <c r="X43" s="167">
        <f t="shared" si="40"/>
        <v>902488451.80258894</v>
      </c>
      <c r="Y43" s="167">
        <f t="shared" si="40"/>
        <v>468338640.59463924</v>
      </c>
      <c r="Z43" s="167">
        <f t="shared" si="40"/>
        <v>547047551.63963759</v>
      </c>
      <c r="AA43" s="167">
        <f t="shared" si="40"/>
        <v>990663485.95680654</v>
      </c>
      <c r="AB43" s="167">
        <f t="shared" si="40"/>
        <v>493076844.29119992</v>
      </c>
      <c r="AC43" s="167">
        <f t="shared" si="40"/>
        <v>575943253.57656014</v>
      </c>
      <c r="AD43" s="167">
        <f t="shared" si="40"/>
        <v>1065774424.2201041</v>
      </c>
      <c r="AE43" s="167" t="e">
        <f t="shared" ref="AE43:AG45" si="41">N$15*N43/N$17</f>
        <v>#DIV/0!</v>
      </c>
      <c r="AF43" s="167" t="e">
        <f t="shared" si="41"/>
        <v>#DIV/0!</v>
      </c>
      <c r="AG43" s="167">
        <f t="shared" si="41"/>
        <v>1144280809.3175218</v>
      </c>
      <c r="AI43" s="127" t="s">
        <v>36</v>
      </c>
      <c r="AJ43" s="171">
        <f>S43/COMB_CORR!$L28</f>
        <v>0.15217319759289163</v>
      </c>
      <c r="AK43" s="171">
        <f>T43/COMB_CORR!$L28</f>
        <v>0.17774739889638527</v>
      </c>
      <c r="AL43" s="171">
        <f>U43/COMB_CORR!$L28</f>
        <v>0.29621600862855829</v>
      </c>
      <c r="AM43" s="171">
        <f>V43/COMB_CORR!$M28</f>
        <v>0.14386881636819701</v>
      </c>
      <c r="AN43" s="171">
        <f>W43/COMB_CORR!$M28</f>
        <v>0.16804738479743467</v>
      </c>
      <c r="AO43" s="171">
        <f>X43/COMB_CORR!$M28</f>
        <v>0.29139239712728437</v>
      </c>
      <c r="AP43" s="171">
        <f>Y43/COMB_CORR!$N28</f>
        <v>0.14134136107147871</v>
      </c>
      <c r="AQ43" s="171">
        <f>Z43/COMB_CORR!$N28</f>
        <v>0.16509516580010211</v>
      </c>
      <c r="AR43" s="171">
        <f>AA43/COMB_CORR!$N28</f>
        <v>0.29897538518531858</v>
      </c>
      <c r="AS43" s="171">
        <f>AB43/COMB_CORR!$O28</f>
        <v>0.14104915117670766</v>
      </c>
      <c r="AT43" s="171">
        <f>AC43/COMB_CORR!$O28</f>
        <v>0.16475384716088756</v>
      </c>
      <c r="AU43" s="171">
        <f>AD43/COMB_CORR!$O28</f>
        <v>0.30487454363870026</v>
      </c>
      <c r="AV43" s="171" t="e">
        <f>AE43/COMB_CORR!$P28</f>
        <v>#DIV/0!</v>
      </c>
      <c r="AW43" s="171" t="e">
        <f>AF43/COMB_CORR!$P28</f>
        <v>#DIV/0!</v>
      </c>
      <c r="AX43" s="171" t="e">
        <f>AG43/COMB_CORR!$P28</f>
        <v>#DIV/0!</v>
      </c>
    </row>
    <row r="44" spans="1:50" ht="15.75" thickBot="1">
      <c r="A44" s="127" t="s">
        <v>37</v>
      </c>
      <c r="B44" s="920">
        <f>DEN!$D29*ONSV_2013!AA28</f>
        <v>103283.28517368427</v>
      </c>
      <c r="C44" s="920">
        <f>DEN!$D29*ONSV_2013!AB28</f>
        <v>65793.714826315743</v>
      </c>
      <c r="D44" s="169">
        <f>DEN!E29</f>
        <v>35652</v>
      </c>
      <c r="E44" s="920">
        <f>DEN!$D65*ONSV_2013!AA28</f>
        <v>107715.72434175712</v>
      </c>
      <c r="F44" s="920">
        <f>DEN!$D65*ONSV_2013!AB28</f>
        <v>68617.275658242899</v>
      </c>
      <c r="G44" s="169">
        <f>DEN!E65</f>
        <v>38554</v>
      </c>
      <c r="H44" s="920">
        <f>DEN!$D101*ONSV_2013!AA28</f>
        <v>113286.20570527094</v>
      </c>
      <c r="I44" s="920">
        <f>DEN!$D101*ONSV_2013!AB28</f>
        <v>72165.794294729072</v>
      </c>
      <c r="J44" s="169">
        <f>DEN!E101</f>
        <v>41862</v>
      </c>
      <c r="K44" s="935">
        <f>DEN!$D137*ONSV_2013!AA28</f>
        <v>118572.02380358052</v>
      </c>
      <c r="L44" s="935">
        <f>DEN!$D137*ONSV_2013!AB28</f>
        <v>75532.976196419477</v>
      </c>
      <c r="M44" s="169">
        <f>DEN!E137</f>
        <v>44544</v>
      </c>
      <c r="N44" s="167" t="e">
        <f>DEN!$D173*DIST_DSL_CAM!$K$2</f>
        <v>#DIV/0!</v>
      </c>
      <c r="O44" s="167" t="e">
        <f>DEN!$D173*DIST_DSL_CAM!$K$3</f>
        <v>#DIV/0!</v>
      </c>
      <c r="P44" s="169">
        <f>DEN!E173</f>
        <v>48063</v>
      </c>
      <c r="R44" s="127" t="s">
        <v>37</v>
      </c>
      <c r="S44" s="167">
        <f>B$15*B44/B$17</f>
        <v>361104364.8459118</v>
      </c>
      <c r="T44" s="167">
        <f t="shared" si="40"/>
        <v>421788757.27112174</v>
      </c>
      <c r="U44" s="167">
        <f t="shared" si="40"/>
        <v>542845159.32760656</v>
      </c>
      <c r="V44" s="167">
        <f t="shared" si="40"/>
        <v>376601287.97159964</v>
      </c>
      <c r="W44" s="167">
        <f t="shared" si="40"/>
        <v>439889972.82828963</v>
      </c>
      <c r="X44" s="167">
        <f t="shared" si="40"/>
        <v>587031646.82813156</v>
      </c>
      <c r="Y44" s="167">
        <f t="shared" si="40"/>
        <v>396077093.09606886</v>
      </c>
      <c r="Z44" s="167">
        <f t="shared" si="40"/>
        <v>462638730.36216682</v>
      </c>
      <c r="AA44" s="167">
        <f t="shared" si="40"/>
        <v>637399979.23741353</v>
      </c>
      <c r="AB44" s="167">
        <f t="shared" si="40"/>
        <v>414557643.78606021</v>
      </c>
      <c r="AC44" s="167">
        <f t="shared" si="40"/>
        <v>484224978.73815531</v>
      </c>
      <c r="AD44" s="167">
        <f t="shared" si="40"/>
        <v>678236698.56077945</v>
      </c>
      <c r="AE44" s="167" t="e">
        <f t="shared" si="41"/>
        <v>#DIV/0!</v>
      </c>
      <c r="AF44" s="167" t="e">
        <f t="shared" si="41"/>
        <v>#DIV/0!</v>
      </c>
      <c r="AG44" s="167">
        <f t="shared" si="41"/>
        <v>731817763.17633677</v>
      </c>
      <c r="AI44" s="127" t="s">
        <v>37</v>
      </c>
      <c r="AJ44" s="171">
        <f>S44/COMB_CORR!$L29</f>
        <v>0.21119218274006366</v>
      </c>
      <c r="AK44" s="171">
        <f>T44/COMB_CORR!$L29</f>
        <v>0.24668349921862093</v>
      </c>
      <c r="AL44" s="171">
        <f>U44/COMB_CORR!$L29</f>
        <v>0.31748343484353975</v>
      </c>
      <c r="AM44" s="171">
        <f>V44/COMB_CORR!$M29</f>
        <v>0.19233639191188973</v>
      </c>
      <c r="AN44" s="171">
        <f>W44/COMB_CORR!$M29</f>
        <v>0.22465895076384559</v>
      </c>
      <c r="AO44" s="171">
        <f>X44/COMB_CORR!$M29</f>
        <v>0.29980659252958308</v>
      </c>
      <c r="AP44" s="171">
        <f>Y44/COMB_CORR!$N29</f>
        <v>0.18724082079301191</v>
      </c>
      <c r="AQ44" s="171">
        <f>Z44/COMB_CORR!$N29</f>
        <v>0.21870705757436495</v>
      </c>
      <c r="AR44" s="171">
        <f>AA44/COMB_CORR!$N29</f>
        <v>0.30132339730365137</v>
      </c>
      <c r="AS44" s="171">
        <f>AB44/COMB_CORR!$O29</f>
        <v>0.19290415700893923</v>
      </c>
      <c r="AT44" s="171">
        <f>AC44/COMB_CORR!$O29</f>
        <v>0.22532213004944796</v>
      </c>
      <c r="AU44" s="171">
        <f>AD44/COMB_CORR!$O29</f>
        <v>0.31560069039738353</v>
      </c>
      <c r="AV44" s="171" t="e">
        <f>AE44/COMB_CORR!$P29</f>
        <v>#DIV/0!</v>
      </c>
      <c r="AW44" s="171" t="e">
        <f>AF44/COMB_CORR!$P29</f>
        <v>#DIV/0!</v>
      </c>
      <c r="AX44" s="171" t="e">
        <f>AG44/COMB_CORR!$P29</f>
        <v>#DIV/0!</v>
      </c>
    </row>
    <row r="45" spans="1:50" ht="15.75" thickBot="1">
      <c r="A45" s="128" t="s">
        <v>38</v>
      </c>
      <c r="B45" s="920">
        <f>DEN!$D30*ONSV_2013!AA29</f>
        <v>69754.226470261667</v>
      </c>
      <c r="C45" s="920">
        <f>DEN!$D30*ONSV_2013!AB29</f>
        <v>44434.773529738333</v>
      </c>
      <c r="D45" s="169">
        <f>DEN!E30</f>
        <v>31689</v>
      </c>
      <c r="E45" s="920">
        <f>DEN!$D66*ONSV_2013!AA29</f>
        <v>73569.698175358091</v>
      </c>
      <c r="F45" s="920">
        <f>DEN!$D66*ONSV_2013!AB29</f>
        <v>46865.301824641923</v>
      </c>
      <c r="G45" s="169">
        <f>DEN!E66</f>
        <v>34521</v>
      </c>
      <c r="H45" s="920">
        <f>DEN!$D102*ONSV_2013!AA29</f>
        <v>77295.372515637151</v>
      </c>
      <c r="I45" s="920">
        <f>DEN!$D102*ONSV_2013!AB29</f>
        <v>49238.627484362856</v>
      </c>
      <c r="J45" s="169">
        <f>DEN!E102</f>
        <v>37517</v>
      </c>
      <c r="K45" s="935">
        <f>DEN!$D138*ONSV_2013!AA29</f>
        <v>80487.14959843074</v>
      </c>
      <c r="L45" s="935">
        <f>DEN!$D138*ONSV_2013!AB29</f>
        <v>51271.850401569267</v>
      </c>
      <c r="M45" s="169">
        <f>DEN!E138</f>
        <v>39979</v>
      </c>
      <c r="N45" s="167" t="e">
        <f>DEN!$D174*DIST_DSL_CAM!$K$2</f>
        <v>#DIV/0!</v>
      </c>
      <c r="O45" s="167" t="e">
        <f>DEN!$D174*DIST_DSL_CAM!$K$3</f>
        <v>#DIV/0!</v>
      </c>
      <c r="P45" s="169">
        <f>DEN!E174</f>
        <v>42995</v>
      </c>
      <c r="R45" s="128" t="s">
        <v>38</v>
      </c>
      <c r="S45" s="167">
        <f>B$15*B45/B$17</f>
        <v>243878335.22630399</v>
      </c>
      <c r="T45" s="167">
        <f t="shared" si="40"/>
        <v>284861372.49139988</v>
      </c>
      <c r="U45" s="167">
        <f t="shared" si="40"/>
        <v>482503653.48178297</v>
      </c>
      <c r="V45" s="167">
        <f t="shared" si="40"/>
        <v>257218184.78995284</v>
      </c>
      <c r="W45" s="167">
        <f t="shared" si="40"/>
        <v>300442944.5568465</v>
      </c>
      <c r="X45" s="167">
        <f t="shared" si="40"/>
        <v>525624305.65321183</v>
      </c>
      <c r="Y45" s="167">
        <f t="shared" si="40"/>
        <v>270244080.16118145</v>
      </c>
      <c r="Z45" s="167">
        <f t="shared" si="40"/>
        <v>315657803.35082006</v>
      </c>
      <c r="AA45" s="167">
        <f t="shared" si="40"/>
        <v>571242057.73852289</v>
      </c>
      <c r="AB45" s="167">
        <f t="shared" si="40"/>
        <v>281403336.32033372</v>
      </c>
      <c r="AC45" s="167">
        <f t="shared" si="40"/>
        <v>328692339.70079744</v>
      </c>
      <c r="AD45" s="167">
        <f t="shared" si="40"/>
        <v>608729008.88472974</v>
      </c>
      <c r="AE45" s="167" t="e">
        <f t="shared" si="41"/>
        <v>#DIV/0!</v>
      </c>
      <c r="AF45" s="167" t="e">
        <f t="shared" si="41"/>
        <v>#DIV/0!</v>
      </c>
      <c r="AG45" s="167">
        <f t="shared" si="41"/>
        <v>654651285.34978247</v>
      </c>
      <c r="AI45" s="128" t="s">
        <v>38</v>
      </c>
      <c r="AJ45" s="171">
        <f>S45/COMB_CORR!$L30</f>
        <v>0.15294823756450496</v>
      </c>
      <c r="AK45" s="171">
        <f>T45/COMB_CORR!$L30</f>
        <v>0.17865073923985986</v>
      </c>
      <c r="AL45" s="171">
        <f>U45/COMB_CORR!$L30</f>
        <v>0.30260204683615405</v>
      </c>
      <c r="AM45" s="171">
        <f>V45/COMB_CORR!$M30</f>
        <v>0.14883043415724168</v>
      </c>
      <c r="AN45" s="171">
        <f>W45/COMB_CORR!$M30</f>
        <v>0.1738409510757972</v>
      </c>
      <c r="AO45" s="171">
        <f>X45/COMB_CORR!$M30</f>
        <v>0.30413438178116675</v>
      </c>
      <c r="AP45" s="171">
        <f>Y45/COMB_CORR!$N30</f>
        <v>0.14857968606575758</v>
      </c>
      <c r="AQ45" s="171">
        <f>Z45/COMB_CORR!$N30</f>
        <v>0.17354806550470508</v>
      </c>
      <c r="AR45" s="171">
        <f>AA45/COMB_CORR!$N30</f>
        <v>0.31406780698295111</v>
      </c>
      <c r="AS45" s="171">
        <f>AB45/COMB_CORR!$O30</f>
        <v>0.15178095496933697</v>
      </c>
      <c r="AT45" s="171">
        <f>AC45/COMB_CORR!$O30</f>
        <v>0.17728729823622863</v>
      </c>
      <c r="AU45" s="171">
        <f>AD45/COMB_CORR!$O30</f>
        <v>0.32833111182763935</v>
      </c>
      <c r="AV45" s="171" t="e">
        <f>AE45/COMB_CORR!$P30</f>
        <v>#DIV/0!</v>
      </c>
      <c r="AW45" s="171" t="e">
        <f>AF45/COMB_CORR!$P30</f>
        <v>#DIV/0!</v>
      </c>
      <c r="AX45" s="171" t="e">
        <f>AG45/COMB_CORR!$P30</f>
        <v>#DIV/0!</v>
      </c>
    </row>
    <row r="46" spans="1:50" ht="26.25" thickBot="1">
      <c r="A46" s="274" t="s">
        <v>73</v>
      </c>
      <c r="B46" s="282">
        <f t="shared" ref="B46:P46" si="42">SUM(B47:B50)</f>
        <v>108021.87197336344</v>
      </c>
      <c r="C46" s="282">
        <f t="shared" si="42"/>
        <v>68812.128026636565</v>
      </c>
      <c r="D46" s="282">
        <f t="shared" si="42"/>
        <v>40381</v>
      </c>
      <c r="E46" s="282">
        <f t="shared" si="42"/>
        <v>114034.00991564544</v>
      </c>
      <c r="F46" s="282">
        <f t="shared" si="42"/>
        <v>72641.990084354562</v>
      </c>
      <c r="G46" s="282">
        <f t="shared" si="42"/>
        <v>44482</v>
      </c>
      <c r="H46" s="282">
        <f t="shared" si="42"/>
        <v>121136.54613439512</v>
      </c>
      <c r="I46" s="282">
        <f t="shared" si="42"/>
        <v>77166.453865604883</v>
      </c>
      <c r="J46" s="282">
        <f t="shared" si="42"/>
        <v>49875</v>
      </c>
      <c r="K46" s="282">
        <f t="shared" si="42"/>
        <v>128606.82041176243</v>
      </c>
      <c r="L46" s="282">
        <f t="shared" si="42"/>
        <v>81925.179588237574</v>
      </c>
      <c r="M46" s="282">
        <f t="shared" si="42"/>
        <v>54954</v>
      </c>
      <c r="N46" s="282" t="e">
        <f t="shared" si="42"/>
        <v>#DIV/0!</v>
      </c>
      <c r="O46" s="282" t="e">
        <f t="shared" si="42"/>
        <v>#DIV/0!</v>
      </c>
      <c r="P46" s="282">
        <f t="shared" si="42"/>
        <v>61537</v>
      </c>
      <c r="R46" s="274" t="s">
        <v>73</v>
      </c>
      <c r="S46" s="282">
        <f>SUM(S47:S50)</f>
        <v>710095817.26541567</v>
      </c>
      <c r="T46" s="282">
        <f t="shared" ref="T46:AD46" si="43">SUM(T47:T50)</f>
        <v>829415413.44673729</v>
      </c>
      <c r="U46" s="282">
        <f t="shared" si="43"/>
        <v>1156012802.0695086</v>
      </c>
      <c r="V46" s="282">
        <f t="shared" si="43"/>
        <v>749617387.55156898</v>
      </c>
      <c r="W46" s="282">
        <f t="shared" si="43"/>
        <v>875578011.71453881</v>
      </c>
      <c r="X46" s="282">
        <f t="shared" si="43"/>
        <v>1273414760.9434111</v>
      </c>
      <c r="Y46" s="282">
        <f t="shared" si="43"/>
        <v>796306832.64981675</v>
      </c>
      <c r="Z46" s="282">
        <f t="shared" si="43"/>
        <v>930112875.04993641</v>
      </c>
      <c r="AA46" s="282">
        <f t="shared" si="43"/>
        <v>1427803632.9763193</v>
      </c>
      <c r="AB46" s="282">
        <f t="shared" si="43"/>
        <v>845413651.67894793</v>
      </c>
      <c r="AC46" s="282">
        <f t="shared" si="43"/>
        <v>987471375.30136299</v>
      </c>
      <c r="AD46" s="282">
        <f t="shared" si="43"/>
        <v>1573203425.4953513</v>
      </c>
      <c r="AE46" s="282" t="e">
        <f>SUM(AE47:AE50)</f>
        <v>#DIV/0!</v>
      </c>
      <c r="AF46" s="282" t="e">
        <f>SUM(AF47:AF50)</f>
        <v>#DIV/0!</v>
      </c>
      <c r="AG46" s="282">
        <f>SUM(AG47:AG50)</f>
        <v>1761659191.2273433</v>
      </c>
      <c r="AI46" s="126" t="s">
        <v>73</v>
      </c>
      <c r="AJ46" s="171">
        <f>S46/COMB_CORR!$L31</f>
        <v>0.20262032635971716</v>
      </c>
      <c r="AK46" s="171">
        <f>T46/COMB_CORR!$L31</f>
        <v>0.23666724641125786</v>
      </c>
      <c r="AL46" s="171">
        <f>U46/COMB_CORR!$L31</f>
        <v>0.32985927467276593</v>
      </c>
      <c r="AM46" s="171">
        <f>V46/COMB_CORR!$M31</f>
        <v>0.19462590968964696</v>
      </c>
      <c r="AN46" s="171">
        <f>W46/COMB_CORR!$M31</f>
        <v>0.22732952818876725</v>
      </c>
      <c r="AO46" s="171">
        <f>X46/COMB_CORR!$M31</f>
        <v>0.33062134146906497</v>
      </c>
      <c r="AP46" s="171">
        <f>Y46/COMB_CORR!$N31</f>
        <v>0.19045549932177186</v>
      </c>
      <c r="AQ46" s="171">
        <f>Z46/COMB_CORR!$N31</f>
        <v>0.22245835999393671</v>
      </c>
      <c r="AR46" s="171">
        <f>AA46/COMB_CORR!$N31</f>
        <v>0.34149280491170902</v>
      </c>
      <c r="AS46" s="171">
        <f>AB46/COMB_CORR!$O31</f>
        <v>0.17611677352385552</v>
      </c>
      <c r="AT46" s="171">
        <f>AC46/COMB_CORR!$O31</f>
        <v>0.20571027238543338</v>
      </c>
      <c r="AU46" s="171">
        <f>AD46/COMB_CORR!$O31</f>
        <v>0.32773011276157737</v>
      </c>
      <c r="AV46" s="171" t="e">
        <f>AE46/COMB_CORR!$P31</f>
        <v>#DIV/0!</v>
      </c>
      <c r="AW46" s="171" t="e">
        <f>AF46/COMB_CORR!$P31</f>
        <v>#DIV/0!</v>
      </c>
      <c r="AX46" s="171" t="e">
        <f>AG46/COMB_CORR!$P31</f>
        <v>#DIV/0!</v>
      </c>
    </row>
    <row r="47" spans="1:50" ht="15.75" thickBot="1">
      <c r="A47" s="127" t="s">
        <v>40</v>
      </c>
      <c r="B47" s="920">
        <f>DEN!$D32*ONSV_2013!AA31</f>
        <v>10882.635865749193</v>
      </c>
      <c r="C47" s="920">
        <f>DEN!$D32*ONSV_2013!AB31</f>
        <v>6932.3641342508081</v>
      </c>
      <c r="D47" s="169">
        <f>DEN!E32</f>
        <v>1856</v>
      </c>
      <c r="E47" s="920">
        <f>DEN!$D68*ONSV_2013!AA31</f>
        <v>11489.229040865046</v>
      </c>
      <c r="F47" s="920">
        <f>DEN!$D68*ONSV_2013!AB31</f>
        <v>7318.770959134953</v>
      </c>
      <c r="G47" s="169">
        <f>DEN!E68</f>
        <v>2114</v>
      </c>
      <c r="H47" s="920">
        <f>DEN!$D104*ONSV_2013!AA31</f>
        <v>12190.506951270889</v>
      </c>
      <c r="I47" s="920">
        <f>DEN!$D104*ONSV_2013!AB31</f>
        <v>7765.4930487291113</v>
      </c>
      <c r="J47" s="169">
        <f>DEN!E104</f>
        <v>2433</v>
      </c>
      <c r="K47" s="935">
        <f>DEN!$D140*ONSV_2013!AA31</f>
        <v>12740.28928521275</v>
      </c>
      <c r="L47" s="935">
        <f>DEN!$D140*ONSV_2013!AB31</f>
        <v>8115.7107147872493</v>
      </c>
      <c r="M47" s="169">
        <f>DEN!E140</f>
        <v>2658</v>
      </c>
      <c r="N47" s="167" t="e">
        <f>DEN!$D176*DIST_DSL_CAM!$K$2</f>
        <v>#DIV/0!</v>
      </c>
      <c r="O47" s="167" t="e">
        <f>DEN!$D176*DIST_DSL_CAM!$K$3</f>
        <v>#DIV/0!</v>
      </c>
      <c r="P47" s="169">
        <f>DEN!E176</f>
        <v>2840</v>
      </c>
      <c r="R47" s="127" t="s">
        <v>40</v>
      </c>
      <c r="S47" s="167">
        <f>B$16*B47/B$17</f>
        <v>71538421.505939424</v>
      </c>
      <c r="T47" s="167">
        <f t="shared" ref="T47:AD50" si="44">C$16*C47/C$17</f>
        <v>83558085.318147212</v>
      </c>
      <c r="U47" s="167">
        <f t="shared" si="44"/>
        <v>53132903.113865629</v>
      </c>
      <c r="V47" s="167">
        <f t="shared" si="44"/>
        <v>75525940.594089717</v>
      </c>
      <c r="W47" s="167">
        <f t="shared" si="44"/>
        <v>88215575.002173036</v>
      </c>
      <c r="X47" s="167">
        <f t="shared" si="44"/>
        <v>60518834.688961178</v>
      </c>
      <c r="Y47" s="167">
        <f t="shared" si="44"/>
        <v>80135882.09781234</v>
      </c>
      <c r="Z47" s="167">
        <f t="shared" si="44"/>
        <v>93600064.586525157</v>
      </c>
      <c r="AA47" s="167">
        <f t="shared" si="44"/>
        <v>69651052.411656827</v>
      </c>
      <c r="AB47" s="167">
        <f t="shared" si="44"/>
        <v>83749947.736619279</v>
      </c>
      <c r="AC47" s="167">
        <f t="shared" si="44"/>
        <v>97821354.330355227</v>
      </c>
      <c r="AD47" s="167">
        <f t="shared" si="44"/>
        <v>76092271.808542475</v>
      </c>
      <c r="AE47" s="167" t="e">
        <f t="shared" ref="AE47:AG50" si="45">N$16*N47/N$17</f>
        <v>#DIV/0!</v>
      </c>
      <c r="AF47" s="167" t="e">
        <f t="shared" si="45"/>
        <v>#DIV/0!</v>
      </c>
      <c r="AG47" s="167">
        <f t="shared" si="45"/>
        <v>81302502.609578878</v>
      </c>
      <c r="AI47" s="127" t="s">
        <v>40</v>
      </c>
      <c r="AJ47" s="171">
        <f>S47/COMB_CORR!$L32</f>
        <v>0.21553323601459354</v>
      </c>
      <c r="AK47" s="171">
        <f>T47/COMB_CORR!$L32</f>
        <v>0.25174646217639196</v>
      </c>
      <c r="AL47" s="171">
        <f>U47/COMB_CORR!$L32</f>
        <v>0.16008050367774115</v>
      </c>
      <c r="AM47" s="171">
        <f>V47/COMB_CORR!$M32</f>
        <v>0.21956046033334986</v>
      </c>
      <c r="AN47" s="171">
        <f>W47/COMB_CORR!$M32</f>
        <v>0.25645032824078401</v>
      </c>
      <c r="AO47" s="171">
        <f>X47/COMB_CORR!$M32</f>
        <v>0.17593350176940445</v>
      </c>
      <c r="AP47" s="171">
        <f>Y47/COMB_CORR!$N32</f>
        <v>0.23058907011539906</v>
      </c>
      <c r="AQ47" s="171">
        <f>Z47/COMB_CORR!$N32</f>
        <v>0.2693319308497053</v>
      </c>
      <c r="AR47" s="171">
        <f>AA47/COMB_CORR!$N32</f>
        <v>0.20041922529235279</v>
      </c>
      <c r="AS47" s="171">
        <f>AB47/COMB_CORR!$O32</f>
        <v>0.23429664806486661</v>
      </c>
      <c r="AT47" s="171">
        <f>AC47/COMB_CORR!$O32</f>
        <v>0.27366244455274485</v>
      </c>
      <c r="AU47" s="171">
        <f>AD47/COMB_CORR!$O32</f>
        <v>0.21287373556875624</v>
      </c>
      <c r="AV47" s="171" t="e">
        <f>AE47/COMB_CORR!$P32</f>
        <v>#DIV/0!</v>
      </c>
      <c r="AW47" s="171" t="e">
        <f>AF47/COMB_CORR!$P32</f>
        <v>#DIV/0!</v>
      </c>
      <c r="AX47" s="171" t="e">
        <f>AG47/COMB_CORR!$P32</f>
        <v>#DIV/0!</v>
      </c>
    </row>
    <row r="48" spans="1:50" ht="15.75" thickBot="1">
      <c r="A48" s="127" t="s">
        <v>41</v>
      </c>
      <c r="B48" s="920">
        <f>DEN!$D33*ONSV_2013!AA32</f>
        <v>46840.442756619057</v>
      </c>
      <c r="C48" s="920">
        <f>DEN!$D33*ONSV_2013!AB32</f>
        <v>29838.557243380939</v>
      </c>
      <c r="D48" s="169">
        <f>DEN!E33</f>
        <v>15123</v>
      </c>
      <c r="E48" s="920">
        <f>DEN!$D69*ONSV_2013!AA32</f>
        <v>49608.878528773072</v>
      </c>
      <c r="F48" s="920">
        <f>DEN!$D69*ONSV_2013!AB32</f>
        <v>31602.121471226925</v>
      </c>
      <c r="G48" s="169">
        <f>DEN!E69</f>
        <v>16994</v>
      </c>
      <c r="H48" s="920">
        <f>DEN!$D105*ONSV_2013!AA32</f>
        <v>52955.802534870127</v>
      </c>
      <c r="I48" s="920">
        <f>DEN!$D105*ONSV_2013!AB32</f>
        <v>33734.197465129873</v>
      </c>
      <c r="J48" s="169">
        <f>DEN!E105</f>
        <v>19283</v>
      </c>
      <c r="K48" s="935">
        <f>DEN!$D141*ONSV_2013!AA32</f>
        <v>56602.660778418111</v>
      </c>
      <c r="L48" s="935">
        <f>DEN!$D141*ONSV_2013!AB32</f>
        <v>36057.339221581889</v>
      </c>
      <c r="M48" s="169">
        <f>DEN!E141</f>
        <v>21224</v>
      </c>
      <c r="N48" s="167" t="e">
        <f>DEN!$D177*DIST_DSL_CAM!$K$2</f>
        <v>#DIV/0!</v>
      </c>
      <c r="O48" s="167" t="e">
        <f>DEN!$D177*DIST_DSL_CAM!$K$3</f>
        <v>#DIV/0!</v>
      </c>
      <c r="P48" s="169">
        <f>DEN!E177</f>
        <v>23252</v>
      </c>
      <c r="R48" s="127" t="s">
        <v>41</v>
      </c>
      <c r="S48" s="167">
        <f>B$16*B48/B$17</f>
        <v>307911739.28680891</v>
      </c>
      <c r="T48" s="167">
        <f t="shared" si="44"/>
        <v>359654031.96211272</v>
      </c>
      <c r="U48" s="167">
        <f t="shared" si="44"/>
        <v>432935826.39600748</v>
      </c>
      <c r="V48" s="167">
        <f t="shared" si="44"/>
        <v>326110411.70621735</v>
      </c>
      <c r="W48" s="167">
        <f t="shared" si="44"/>
        <v>380910856.81444901</v>
      </c>
      <c r="X48" s="167">
        <f t="shared" si="44"/>
        <v>486498144.13633215</v>
      </c>
      <c r="Y48" s="167">
        <f t="shared" si="44"/>
        <v>348111851.72959304</v>
      </c>
      <c r="Z48" s="167">
        <f t="shared" si="44"/>
        <v>406609476.26854223</v>
      </c>
      <c r="AA48" s="167">
        <f t="shared" si="44"/>
        <v>552026816.13398218</v>
      </c>
      <c r="AB48" s="167">
        <f t="shared" si="44"/>
        <v>372084948.45154107</v>
      </c>
      <c r="AC48" s="167">
        <f t="shared" si="44"/>
        <v>434611074.76113886</v>
      </c>
      <c r="AD48" s="167">
        <f t="shared" si="44"/>
        <v>607593068.79778242</v>
      </c>
      <c r="AE48" s="167" t="e">
        <f t="shared" si="45"/>
        <v>#DIV/0!</v>
      </c>
      <c r="AF48" s="167" t="e">
        <f t="shared" si="45"/>
        <v>#DIV/0!</v>
      </c>
      <c r="AG48" s="167">
        <f t="shared" si="45"/>
        <v>665649926.29504502</v>
      </c>
      <c r="AI48" s="127" t="s">
        <v>41</v>
      </c>
      <c r="AJ48" s="171">
        <f>S48/COMB_CORR!$L33</f>
        <v>0.21454430889983603</v>
      </c>
      <c r="AK48" s="171">
        <f>T48/COMB_CORR!$L33</f>
        <v>0.25059689477599811</v>
      </c>
      <c r="AL48" s="171">
        <f>U48/COMB_CORR!$L33</f>
        <v>0.30165760450462309</v>
      </c>
      <c r="AM48" s="171">
        <f>V48/COMB_CORR!$M33</f>
        <v>0.20000562732186217</v>
      </c>
      <c r="AN48" s="171">
        <f>W48/COMB_CORR!$M33</f>
        <v>0.23361509518289761</v>
      </c>
      <c r="AO48" s="171">
        <f>X48/COMB_CORR!$M33</f>
        <v>0.29837246225847425</v>
      </c>
      <c r="AP48" s="171">
        <f>Y48/COMB_CORR!$N33</f>
        <v>0.19853488109134695</v>
      </c>
      <c r="AQ48" s="171">
        <f>Z48/COMB_CORR!$N33</f>
        <v>0.23189720091545893</v>
      </c>
      <c r="AR48" s="171">
        <f>AA48/COMB_CORR!$N33</f>
        <v>0.31483150532182291</v>
      </c>
      <c r="AS48" s="171">
        <f>AB48/COMB_CORR!$O33</f>
        <v>0.18345174132271957</v>
      </c>
      <c r="AT48" s="171">
        <f>AC48/COMB_CORR!$O33</f>
        <v>0.21427945095568232</v>
      </c>
      <c r="AU48" s="171">
        <f>AD48/COMB_CORR!$O33</f>
        <v>0.29956601832574475</v>
      </c>
      <c r="AV48" s="171" t="e">
        <f>AE48/COMB_CORR!$P33</f>
        <v>#DIV/0!</v>
      </c>
      <c r="AW48" s="171" t="e">
        <f>AF48/COMB_CORR!$P33</f>
        <v>#DIV/0!</v>
      </c>
      <c r="AX48" s="171" t="e">
        <f>AG48/COMB_CORR!$P33</f>
        <v>#DIV/0!</v>
      </c>
    </row>
    <row r="49" spans="1:50" ht="15.75" thickBot="1">
      <c r="A49" s="127" t="s">
        <v>42</v>
      </c>
      <c r="B49" s="920">
        <f>DEN!$D34*ONSV_2013!AA33</f>
        <v>27942.701620674554</v>
      </c>
      <c r="C49" s="920">
        <f>DEN!$D34*ONSV_2013!AB33</f>
        <v>17800.298379325446</v>
      </c>
      <c r="D49" s="169">
        <f>DEN!E34</f>
        <v>15476</v>
      </c>
      <c r="E49" s="920">
        <f>DEN!$D70*ONSV_2013!AA33</f>
        <v>29674.497941305301</v>
      </c>
      <c r="F49" s="920">
        <f>DEN!$D70*ONSV_2013!AB33</f>
        <v>18903.502058694699</v>
      </c>
      <c r="G49" s="169">
        <f>DEN!E70</f>
        <v>16647</v>
      </c>
      <c r="H49" s="920">
        <f>DEN!$D106*ONSV_2013!AA33</f>
        <v>31435.004818221638</v>
      </c>
      <c r="I49" s="920">
        <f>DEN!$D106*ONSV_2013!AB33</f>
        <v>20024.995181778362</v>
      </c>
      <c r="J49" s="169">
        <f>DEN!E106</f>
        <v>18316</v>
      </c>
      <c r="K49" s="935">
        <f>DEN!$D142*ONSV_2013!AA33</f>
        <v>33439.856855015329</v>
      </c>
      <c r="L49" s="935">
        <f>DEN!$D142*ONSV_2013!AB33</f>
        <v>21302.143144984668</v>
      </c>
      <c r="M49" s="169">
        <f>DEN!E142</f>
        <v>20265</v>
      </c>
      <c r="N49" s="167" t="e">
        <f>DEN!$D178*DIST_DSL_CAM!$K$2</f>
        <v>#DIV/0!</v>
      </c>
      <c r="O49" s="167" t="e">
        <f>DEN!$D178*DIST_DSL_CAM!$K$3</f>
        <v>#DIV/0!</v>
      </c>
      <c r="P49" s="169">
        <f>DEN!E178</f>
        <v>23246</v>
      </c>
      <c r="R49" s="127" t="s">
        <v>42</v>
      </c>
      <c r="S49" s="167">
        <f>B$16*B49/B$17</f>
        <v>183684981.39737189</v>
      </c>
      <c r="T49" s="167">
        <f t="shared" si="44"/>
        <v>214552903.14591858</v>
      </c>
      <c r="U49" s="167">
        <f t="shared" si="44"/>
        <v>443041383.93867695</v>
      </c>
      <c r="V49" s="167">
        <f t="shared" si="44"/>
        <v>195069169.62861052</v>
      </c>
      <c r="W49" s="167">
        <f t="shared" si="44"/>
        <v>227850183.17605826</v>
      </c>
      <c r="X49" s="167">
        <f t="shared" si="44"/>
        <v>476564352.44424629</v>
      </c>
      <c r="Y49" s="167">
        <f t="shared" si="44"/>
        <v>206642090.43370038</v>
      </c>
      <c r="Z49" s="167">
        <f t="shared" si="44"/>
        <v>241367911.94038367</v>
      </c>
      <c r="AA49" s="167">
        <f t="shared" si="44"/>
        <v>524343886.54825586</v>
      </c>
      <c r="AB49" s="167">
        <f t="shared" si="44"/>
        <v>219821245.90986452</v>
      </c>
      <c r="AC49" s="167">
        <f t="shared" si="44"/>
        <v>256761800.14458767</v>
      </c>
      <c r="AD49" s="167">
        <f t="shared" si="44"/>
        <v>580139160.34616756</v>
      </c>
      <c r="AE49" s="167" t="e">
        <f t="shared" si="45"/>
        <v>#DIV/0!</v>
      </c>
      <c r="AF49" s="167" t="e">
        <f t="shared" si="45"/>
        <v>#DIV/0!</v>
      </c>
      <c r="AG49" s="167">
        <f t="shared" si="45"/>
        <v>665478160.44446146</v>
      </c>
      <c r="AI49" s="127" t="s">
        <v>42</v>
      </c>
      <c r="AJ49" s="171">
        <f>S49/COMB_CORR!$L34</f>
        <v>0.15123102364458871</v>
      </c>
      <c r="AK49" s="171">
        <f>T49/COMB_CORR!$L34</f>
        <v>0.17664511775451996</v>
      </c>
      <c r="AL49" s="171">
        <f>U49/COMB_CORR!$L34</f>
        <v>0.36476363772503834</v>
      </c>
      <c r="AM49" s="171">
        <f>V49/COMB_CORR!$M34</f>
        <v>0.15063404648084422</v>
      </c>
      <c r="AN49" s="171">
        <f>W49/COMB_CORR!$M34</f>
        <v>0.17594781968137968</v>
      </c>
      <c r="AO49" s="171">
        <f>X49/COMB_CORR!$M34</f>
        <v>0.36800698415784483</v>
      </c>
      <c r="AP49" s="171">
        <f>Y49/COMB_CORR!$N34</f>
        <v>0.14557864626890746</v>
      </c>
      <c r="AQ49" s="171">
        <f>Z49/COMB_CORR!$N34</f>
        <v>0.1700428688041544</v>
      </c>
      <c r="AR49" s="171">
        <f>AA49/COMB_CORR!$N34</f>
        <v>0.36939847551321431</v>
      </c>
      <c r="AS49" s="171">
        <f>AB49/COMB_CORR!$O34</f>
        <v>0.12926022899572687</v>
      </c>
      <c r="AT49" s="171">
        <f>AC49/COMB_CORR!$O34</f>
        <v>0.15098217165802666</v>
      </c>
      <c r="AU49" s="171">
        <f>AD49/COMB_CORR!$O34</f>
        <v>0.34113590979501035</v>
      </c>
      <c r="AV49" s="171" t="e">
        <f>AE49/COMB_CORR!$P34</f>
        <v>#DIV/0!</v>
      </c>
      <c r="AW49" s="171" t="e">
        <f>AF49/COMB_CORR!$P34</f>
        <v>#DIV/0!</v>
      </c>
      <c r="AX49" s="171" t="e">
        <f>AG49/COMB_CORR!$P34</f>
        <v>#DIV/0!</v>
      </c>
    </row>
    <row r="50" spans="1:50" ht="15.75" thickBot="1">
      <c r="A50" s="128" t="s">
        <v>43</v>
      </c>
      <c r="B50" s="920">
        <f>DEN!$D35*ONSV_2013!AA34</f>
        <v>22356.091730320633</v>
      </c>
      <c r="C50" s="920">
        <f>DEN!$D35*ONSV_2013!AB34</f>
        <v>14240.908269679367</v>
      </c>
      <c r="D50" s="169">
        <f>DEN!E35</f>
        <v>7926</v>
      </c>
      <c r="E50" s="920">
        <f>DEN!$D71*ONSV_2013!AA34</f>
        <v>23261.404404702011</v>
      </c>
      <c r="F50" s="920">
        <f>DEN!$D71*ONSV_2013!AB34</f>
        <v>14817.595595297991</v>
      </c>
      <c r="G50" s="169">
        <f>DEN!E71</f>
        <v>8727</v>
      </c>
      <c r="H50" s="920">
        <f>DEN!$D107*ONSV_2013!AA34</f>
        <v>24555.231830032477</v>
      </c>
      <c r="I50" s="920">
        <f>DEN!$D107*ONSV_2013!AB34</f>
        <v>15641.768169967525</v>
      </c>
      <c r="J50" s="169">
        <f>DEN!E107</f>
        <v>9843</v>
      </c>
      <c r="K50" s="935">
        <f>DEN!$D143*ONSV_2013!AA34</f>
        <v>25824.013493116225</v>
      </c>
      <c r="L50" s="935">
        <f>DEN!$D143*ONSV_2013!AB34</f>
        <v>16449.986506883775</v>
      </c>
      <c r="M50" s="169">
        <f>DEN!E143</f>
        <v>10807</v>
      </c>
      <c r="N50" s="167" t="e">
        <f>DEN!$D179*DIST_DSL_CAM!$K$2</f>
        <v>#DIV/0!</v>
      </c>
      <c r="O50" s="167" t="e">
        <f>DEN!$D179*DIST_DSL_CAM!$K$3</f>
        <v>#DIV/0!</v>
      </c>
      <c r="P50" s="169">
        <f>DEN!E179</f>
        <v>12199</v>
      </c>
      <c r="R50" s="128" t="s">
        <v>43</v>
      </c>
      <c r="S50" s="167">
        <f>B$16*B50/B$17</f>
        <v>146960675.07529548</v>
      </c>
      <c r="T50" s="167">
        <f t="shared" si="44"/>
        <v>171650393.02055874</v>
      </c>
      <c r="U50" s="167">
        <f t="shared" si="44"/>
        <v>226902688.62095851</v>
      </c>
      <c r="V50" s="167">
        <f t="shared" si="44"/>
        <v>152911865.62265152</v>
      </c>
      <c r="W50" s="167">
        <f t="shared" si="44"/>
        <v>178601396.72185853</v>
      </c>
      <c r="X50" s="167">
        <f t="shared" si="44"/>
        <v>249833429.67387143</v>
      </c>
      <c r="Y50" s="167">
        <f t="shared" si="44"/>
        <v>161417008.38871092</v>
      </c>
      <c r="Z50" s="167">
        <f t="shared" si="44"/>
        <v>188535422.25448534</v>
      </c>
      <c r="AA50" s="167">
        <f t="shared" si="44"/>
        <v>281781877.88242424</v>
      </c>
      <c r="AB50" s="167">
        <f t="shared" si="44"/>
        <v>169757509.58092308</v>
      </c>
      <c r="AC50" s="167">
        <f t="shared" si="44"/>
        <v>198277146.06528133</v>
      </c>
      <c r="AD50" s="167">
        <f t="shared" si="44"/>
        <v>309378924.54285878</v>
      </c>
      <c r="AE50" s="167" t="e">
        <f t="shared" si="45"/>
        <v>#DIV/0!</v>
      </c>
      <c r="AF50" s="167" t="e">
        <f t="shared" si="45"/>
        <v>#DIV/0!</v>
      </c>
      <c r="AG50" s="167">
        <f t="shared" si="45"/>
        <v>349228601.87825799</v>
      </c>
      <c r="AI50" s="128" t="s">
        <v>43</v>
      </c>
      <c r="AJ50" s="171">
        <f>S50/COMB_CORR!$L35</f>
        <v>0.28106977389801968</v>
      </c>
      <c r="AK50" s="171">
        <f>T50/COMB_CORR!$L35</f>
        <v>0.32829011659803481</v>
      </c>
      <c r="AL50" s="171">
        <f>U50/COMB_CORR!$L35</f>
        <v>0.43396294522238771</v>
      </c>
      <c r="AM50" s="171">
        <f>V50/COMB_CORR!$M35</f>
        <v>0.26268992338072883</v>
      </c>
      <c r="AN50" s="171">
        <f>W50/COMB_CORR!$M35</f>
        <v>0.30682241060569587</v>
      </c>
      <c r="AO50" s="171">
        <f>X50/COMB_CORR!$M35</f>
        <v>0.42919314489909749</v>
      </c>
      <c r="AP50" s="171">
        <f>Y50/COMB_CORR!$N35</f>
        <v>0.24431914549002889</v>
      </c>
      <c r="AQ50" s="171">
        <f>Z50/COMB_CORR!$N35</f>
        <v>0.28536530146125016</v>
      </c>
      <c r="AR50" s="171">
        <f>AA50/COMB_CORR!$N35</f>
        <v>0.4265021902340273</v>
      </c>
      <c r="AS50" s="171">
        <f>AB50/COMB_CORR!$O35</f>
        <v>0.23775736137813175</v>
      </c>
      <c r="AT50" s="171">
        <f>AC50/COMB_CORR!$O35</f>
        <v>0.27770112312819528</v>
      </c>
      <c r="AU50" s="171">
        <f>AD50/COMB_CORR!$O35</f>
        <v>0.43330699741592105</v>
      </c>
      <c r="AV50" s="171" t="e">
        <f>AE50/COMB_CORR!$P35</f>
        <v>#DIV/0!</v>
      </c>
      <c r="AW50" s="171" t="e">
        <f>AF50/COMB_CORR!$P35</f>
        <v>#DIV/0!</v>
      </c>
      <c r="AX50" s="171" t="e">
        <f>AG50/COMB_CORR!$P35</f>
        <v>#DIV/0!</v>
      </c>
    </row>
    <row r="51" spans="1:50">
      <c r="A51" s="129"/>
      <c r="B51" s="129"/>
      <c r="C51" s="129"/>
      <c r="D51" s="129"/>
      <c r="E51" s="129"/>
      <c r="F51" s="129"/>
      <c r="G51" s="129"/>
      <c r="H51" s="129"/>
      <c r="I51" s="129"/>
      <c r="J51" s="129"/>
      <c r="K51" s="129"/>
    </row>
  </sheetData>
  <mergeCells count="23">
    <mergeCell ref="B1:C1"/>
    <mergeCell ref="D1:E1"/>
    <mergeCell ref="F1:G1"/>
    <mergeCell ref="H1:I1"/>
    <mergeCell ref="AP6:AR7"/>
    <mergeCell ref="R6:R8"/>
    <mergeCell ref="S6:U7"/>
    <mergeCell ref="J1:K1"/>
    <mergeCell ref="N6:P7"/>
    <mergeCell ref="AV6:AX7"/>
    <mergeCell ref="A6:A8"/>
    <mergeCell ref="B6:D7"/>
    <mergeCell ref="E6:G7"/>
    <mergeCell ref="H6:J7"/>
    <mergeCell ref="K6:M7"/>
    <mergeCell ref="AS6:AU7"/>
    <mergeCell ref="V6:X7"/>
    <mergeCell ref="Y6:AA7"/>
    <mergeCell ref="AB6:AD7"/>
    <mergeCell ref="AI6:AI8"/>
    <mergeCell ref="AJ6:AL7"/>
    <mergeCell ref="AM6:AO7"/>
    <mergeCell ref="AE6:AG7"/>
  </mergeCells>
  <pageMargins left="0.511811024" right="0.511811024" top="0.78740157499999996" bottom="0.78740157499999996" header="0.31496062000000002" footer="0.31496062000000002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FFFF00"/>
  </sheetPr>
  <dimension ref="A1:CJ51"/>
  <sheetViews>
    <sheetView topLeftCell="A15" workbookViewId="0">
      <pane xSplit="1" topLeftCell="B1" activePane="topRight" state="frozen"/>
      <selection pane="topRight" activeCell="M51" sqref="M51"/>
      <selection activeCell="A19" sqref="A19"/>
    </sheetView>
  </sheetViews>
  <sheetFormatPr defaultColWidth="8.85546875" defaultRowHeight="15"/>
  <cols>
    <col min="1" max="1" width="19.85546875" style="45" customWidth="1"/>
    <col min="2" max="10" width="12.85546875" style="45" customWidth="1"/>
    <col min="11" max="11" width="10.42578125" style="45" bestFit="1" customWidth="1"/>
    <col min="12" max="12" width="13.85546875" style="45" customWidth="1"/>
    <col min="13" max="13" width="10.42578125" style="46" bestFit="1" customWidth="1"/>
    <col min="14" max="14" width="10.42578125" style="46" customWidth="1"/>
    <col min="15" max="15" width="13.85546875" style="46" customWidth="1"/>
    <col min="16" max="16" width="10.42578125" style="46" customWidth="1"/>
    <col min="17" max="17" width="8.85546875" style="1"/>
    <col min="18" max="18" width="21.42578125" style="1" customWidth="1"/>
    <col min="19" max="30" width="12.7109375" style="1" bestFit="1" customWidth="1"/>
    <col min="31" max="33" width="12.7109375" style="1" customWidth="1"/>
    <col min="34" max="34" width="8.85546875" style="1"/>
    <col min="35" max="35" width="21.42578125" style="1" customWidth="1"/>
    <col min="36" max="36" width="17.42578125" style="1" bestFit="1" customWidth="1"/>
    <col min="37" max="38" width="18.42578125" style="1" bestFit="1" customWidth="1"/>
    <col min="39" max="47" width="12.7109375" style="1" bestFit="1" customWidth="1"/>
    <col min="48" max="48" width="8.85546875" style="1"/>
    <col min="49" max="49" width="14.42578125" style="1" customWidth="1"/>
    <col min="50" max="88" width="8.85546875" style="1"/>
  </cols>
  <sheetData>
    <row r="1" spans="1:50" ht="15.75" thickBot="1">
      <c r="A1" s="175" t="s">
        <v>440</v>
      </c>
      <c r="B1" s="1204">
        <v>2004</v>
      </c>
      <c r="C1" s="1205"/>
      <c r="D1" s="1204">
        <v>2005</v>
      </c>
      <c r="E1" s="1205"/>
      <c r="F1" s="1204">
        <v>2006</v>
      </c>
      <c r="G1" s="1205"/>
      <c r="H1" s="1204">
        <v>2007</v>
      </c>
      <c r="I1" s="1039"/>
      <c r="J1" s="1204">
        <v>2008</v>
      </c>
      <c r="K1" s="1039"/>
    </row>
    <row r="2" spans="1:50">
      <c r="A2" s="15" t="s">
        <v>461</v>
      </c>
      <c r="B2" s="161">
        <f>ONI!C19</f>
        <v>49048</v>
      </c>
      <c r="C2" s="162">
        <f>B2/B4</f>
        <v>0.17071515337145721</v>
      </c>
      <c r="D2" s="161">
        <f>ONI!E19</f>
        <v>56753</v>
      </c>
      <c r="E2" s="162">
        <f>D2/D4</f>
        <v>0.19337417543477076</v>
      </c>
      <c r="F2" s="161">
        <f>ONI!G19</f>
        <v>56753</v>
      </c>
      <c r="G2" s="162">
        <f>F2/F4</f>
        <v>0.19337417543477076</v>
      </c>
      <c r="H2" s="161">
        <f>ONI!I19</f>
        <v>56753</v>
      </c>
      <c r="I2" s="163">
        <f>H2/H4</f>
        <v>0.19337417543477076</v>
      </c>
      <c r="J2" s="161">
        <f>ONI!K19</f>
        <v>0</v>
      </c>
      <c r="K2" s="163" t="e">
        <f>J2/J4</f>
        <v>#DIV/0!</v>
      </c>
      <c r="L2" s="214"/>
      <c r="M2" s="214"/>
      <c r="N2" s="214"/>
      <c r="O2" s="214"/>
      <c r="P2" s="214"/>
      <c r="Q2" s="214"/>
      <c r="R2" s="214"/>
      <c r="S2" s="214"/>
      <c r="T2" s="214"/>
      <c r="U2" s="214"/>
    </row>
    <row r="3" spans="1:50">
      <c r="A3" s="24" t="s">
        <v>462</v>
      </c>
      <c r="B3" s="149">
        <f>ONI!C20</f>
        <v>238261</v>
      </c>
      <c r="C3" s="157">
        <f>B3/B4</f>
        <v>0.82928484662854274</v>
      </c>
      <c r="D3" s="149">
        <f>ONI!E20</f>
        <v>236735</v>
      </c>
      <c r="E3" s="157">
        <f>D3/D4</f>
        <v>0.80662582456522924</v>
      </c>
      <c r="F3" s="149">
        <f>ONI!G20</f>
        <v>236735</v>
      </c>
      <c r="G3" s="157">
        <f>F3/F4</f>
        <v>0.80662582456522924</v>
      </c>
      <c r="H3" s="149">
        <f>ONI!I20</f>
        <v>236735</v>
      </c>
      <c r="I3" s="158">
        <f>H3/H4</f>
        <v>0.80662582456522924</v>
      </c>
      <c r="J3" s="149">
        <f>ONI!K20</f>
        <v>0</v>
      </c>
      <c r="K3" s="158" t="e">
        <f>J3/J4</f>
        <v>#DIV/0!</v>
      </c>
      <c r="L3" s="214"/>
      <c r="M3" s="214"/>
      <c r="N3" s="214"/>
      <c r="O3" s="214"/>
      <c r="P3" s="214"/>
      <c r="Q3" s="214"/>
      <c r="R3" s="214"/>
      <c r="S3" s="214"/>
      <c r="T3" s="214"/>
      <c r="U3" s="214"/>
    </row>
    <row r="4" spans="1:50" ht="15.75" thickBot="1">
      <c r="A4" s="39" t="s">
        <v>449</v>
      </c>
      <c r="B4" s="150">
        <f>SUM(B2:B3)</f>
        <v>287309</v>
      </c>
      <c r="C4" s="159">
        <f t="shared" ref="C4:I4" si="0">SUM(C2:C3)</f>
        <v>1</v>
      </c>
      <c r="D4" s="150">
        <f t="shared" si="0"/>
        <v>293488</v>
      </c>
      <c r="E4" s="159">
        <f t="shared" si="0"/>
        <v>1</v>
      </c>
      <c r="F4" s="150">
        <f t="shared" si="0"/>
        <v>293488</v>
      </c>
      <c r="G4" s="159">
        <f t="shared" si="0"/>
        <v>1</v>
      </c>
      <c r="H4" s="150">
        <f t="shared" si="0"/>
        <v>293488</v>
      </c>
      <c r="I4" s="160">
        <f t="shared" si="0"/>
        <v>1</v>
      </c>
      <c r="J4" s="150">
        <f>SUM(J2:J3)</f>
        <v>0</v>
      </c>
      <c r="K4" s="160" t="e">
        <f>SUM(K2:K3)</f>
        <v>#DIV/0!</v>
      </c>
    </row>
    <row r="5" spans="1:50" ht="15.75" thickBot="1"/>
    <row r="6" spans="1:50">
      <c r="A6" s="1233" t="s">
        <v>463</v>
      </c>
      <c r="B6" s="1200">
        <v>2004</v>
      </c>
      <c r="C6" s="1214"/>
      <c r="D6" s="1201"/>
      <c r="E6" s="1200">
        <v>2005</v>
      </c>
      <c r="F6" s="1214"/>
      <c r="G6" s="1201"/>
      <c r="H6" s="1200">
        <v>2006</v>
      </c>
      <c r="I6" s="1214"/>
      <c r="J6" s="1201"/>
      <c r="K6" s="1214">
        <v>2007</v>
      </c>
      <c r="L6" s="1214"/>
      <c r="M6" s="1201"/>
      <c r="N6" s="1214">
        <v>2008</v>
      </c>
      <c r="O6" s="1214"/>
      <c r="P6" s="1201"/>
      <c r="R6" s="1233" t="s">
        <v>456</v>
      </c>
      <c r="S6" s="1200">
        <v>2004</v>
      </c>
      <c r="T6" s="1214"/>
      <c r="U6" s="1201"/>
      <c r="V6" s="1200">
        <v>2005</v>
      </c>
      <c r="W6" s="1214"/>
      <c r="X6" s="1201"/>
      <c r="Y6" s="1200">
        <v>2006</v>
      </c>
      <c r="Z6" s="1214"/>
      <c r="AA6" s="1201"/>
      <c r="AB6" s="1214">
        <v>2007</v>
      </c>
      <c r="AC6" s="1214"/>
      <c r="AD6" s="1201"/>
      <c r="AE6" s="1214">
        <v>2008</v>
      </c>
      <c r="AF6" s="1214"/>
      <c r="AG6" s="1201"/>
      <c r="AI6" s="1170" t="s">
        <v>457</v>
      </c>
      <c r="AJ6" s="1200">
        <v>2004</v>
      </c>
      <c r="AK6" s="1214"/>
      <c r="AL6" s="1201"/>
      <c r="AM6" s="1200">
        <v>2005</v>
      </c>
      <c r="AN6" s="1214"/>
      <c r="AO6" s="1201"/>
      <c r="AP6" s="1200">
        <v>2006</v>
      </c>
      <c r="AQ6" s="1214"/>
      <c r="AR6" s="1201"/>
      <c r="AS6" s="1214">
        <v>2007</v>
      </c>
      <c r="AT6" s="1214"/>
      <c r="AU6" s="1201"/>
      <c r="AV6" s="1214">
        <v>2008</v>
      </c>
      <c r="AW6" s="1214"/>
      <c r="AX6" s="1201"/>
    </row>
    <row r="7" spans="1:50" ht="15.75" thickBot="1">
      <c r="A7" s="1234"/>
      <c r="B7" s="1215"/>
      <c r="C7" s="1216"/>
      <c r="D7" s="1217"/>
      <c r="E7" s="1215"/>
      <c r="F7" s="1216"/>
      <c r="G7" s="1217"/>
      <c r="H7" s="1215"/>
      <c r="I7" s="1216"/>
      <c r="J7" s="1217"/>
      <c r="K7" s="1216"/>
      <c r="L7" s="1216"/>
      <c r="M7" s="1217"/>
      <c r="N7" s="1216"/>
      <c r="O7" s="1216"/>
      <c r="P7" s="1217"/>
      <c r="R7" s="1234"/>
      <c r="S7" s="1215"/>
      <c r="T7" s="1216"/>
      <c r="U7" s="1217"/>
      <c r="V7" s="1215"/>
      <c r="W7" s="1216"/>
      <c r="X7" s="1217"/>
      <c r="Y7" s="1215"/>
      <c r="Z7" s="1216"/>
      <c r="AA7" s="1217"/>
      <c r="AB7" s="1216"/>
      <c r="AC7" s="1216"/>
      <c r="AD7" s="1217"/>
      <c r="AE7" s="1216"/>
      <c r="AF7" s="1216"/>
      <c r="AG7" s="1217"/>
      <c r="AI7" s="1171"/>
      <c r="AJ7" s="1215"/>
      <c r="AK7" s="1216"/>
      <c r="AL7" s="1217"/>
      <c r="AM7" s="1215"/>
      <c r="AN7" s="1216"/>
      <c r="AO7" s="1217"/>
      <c r="AP7" s="1215"/>
      <c r="AQ7" s="1216"/>
      <c r="AR7" s="1217"/>
      <c r="AS7" s="1216"/>
      <c r="AT7" s="1216"/>
      <c r="AU7" s="1217"/>
      <c r="AV7" s="1216"/>
      <c r="AW7" s="1216"/>
      <c r="AX7" s="1217"/>
    </row>
    <row r="8" spans="1:50" ht="26.25" thickBot="1">
      <c r="A8" s="1235"/>
      <c r="B8" s="134" t="s">
        <v>464</v>
      </c>
      <c r="C8" s="135" t="s">
        <v>465</v>
      </c>
      <c r="D8" s="136" t="s">
        <v>466</v>
      </c>
      <c r="E8" s="134" t="s">
        <v>464</v>
      </c>
      <c r="F8" s="135" t="s">
        <v>465</v>
      </c>
      <c r="G8" s="136" t="s">
        <v>466</v>
      </c>
      <c r="H8" s="134" t="s">
        <v>464</v>
      </c>
      <c r="I8" s="135" t="s">
        <v>465</v>
      </c>
      <c r="J8" s="136" t="s">
        <v>466</v>
      </c>
      <c r="K8" s="134" t="s">
        <v>464</v>
      </c>
      <c r="L8" s="135" t="s">
        <v>465</v>
      </c>
      <c r="M8" s="136" t="s">
        <v>466</v>
      </c>
      <c r="N8" s="134" t="s">
        <v>464</v>
      </c>
      <c r="O8" s="135" t="s">
        <v>465</v>
      </c>
      <c r="P8" s="136" t="s">
        <v>466</v>
      </c>
      <c r="R8" s="1235"/>
      <c r="S8" s="134" t="s">
        <v>464</v>
      </c>
      <c r="T8" s="135" t="s">
        <v>465</v>
      </c>
      <c r="U8" s="136" t="s">
        <v>466</v>
      </c>
      <c r="V8" s="134" t="s">
        <v>464</v>
      </c>
      <c r="W8" s="135" t="s">
        <v>465</v>
      </c>
      <c r="X8" s="136" t="s">
        <v>466</v>
      </c>
      <c r="Y8" s="134" t="s">
        <v>464</v>
      </c>
      <c r="Z8" s="135" t="s">
        <v>465</v>
      </c>
      <c r="AA8" s="136" t="s">
        <v>466</v>
      </c>
      <c r="AB8" s="134" t="s">
        <v>464</v>
      </c>
      <c r="AC8" s="135" t="s">
        <v>465</v>
      </c>
      <c r="AD8" s="136" t="s">
        <v>466</v>
      </c>
      <c r="AE8" s="134" t="s">
        <v>464</v>
      </c>
      <c r="AF8" s="135" t="s">
        <v>465</v>
      </c>
      <c r="AG8" s="136" t="s">
        <v>466</v>
      </c>
      <c r="AI8" s="1172"/>
      <c r="AJ8" s="134" t="s">
        <v>464</v>
      </c>
      <c r="AK8" s="135" t="s">
        <v>465</v>
      </c>
      <c r="AL8" s="136" t="s">
        <v>466</v>
      </c>
      <c r="AM8" s="134" t="s">
        <v>464</v>
      </c>
      <c r="AN8" s="135" t="s">
        <v>465</v>
      </c>
      <c r="AO8" s="136" t="s">
        <v>466</v>
      </c>
      <c r="AP8" s="134" t="s">
        <v>464</v>
      </c>
      <c r="AQ8" s="135" t="s">
        <v>465</v>
      </c>
      <c r="AR8" s="136" t="s">
        <v>466</v>
      </c>
      <c r="AS8" s="134" t="s">
        <v>464</v>
      </c>
      <c r="AT8" s="135" t="s">
        <v>465</v>
      </c>
      <c r="AU8" s="136" t="s">
        <v>466</v>
      </c>
      <c r="AV8" s="134" t="s">
        <v>464</v>
      </c>
      <c r="AW8" s="135" t="s">
        <v>465</v>
      </c>
      <c r="AX8" s="136" t="s">
        <v>466</v>
      </c>
    </row>
    <row r="9" spans="1:50" ht="15.75" thickBot="1">
      <c r="A9" s="164" t="s">
        <v>87</v>
      </c>
      <c r="B9" s="176">
        <v>43871</v>
      </c>
      <c r="C9" s="176">
        <v>113364</v>
      </c>
      <c r="D9" s="176">
        <v>87051</v>
      </c>
      <c r="E9" s="176">
        <f>B9</f>
        <v>43871</v>
      </c>
      <c r="F9" s="176">
        <f t="shared" ref="F9:G16" si="1">C9</f>
        <v>113364</v>
      </c>
      <c r="G9" s="176">
        <f t="shared" si="1"/>
        <v>87051</v>
      </c>
      <c r="H9" s="176">
        <f t="shared" ref="H9:M16" si="2">E9</f>
        <v>43871</v>
      </c>
      <c r="I9" s="176">
        <f t="shared" si="2"/>
        <v>113364</v>
      </c>
      <c r="J9" s="176">
        <f t="shared" si="2"/>
        <v>87051</v>
      </c>
      <c r="K9" s="176">
        <f t="shared" si="2"/>
        <v>43871</v>
      </c>
      <c r="L9" s="176">
        <f t="shared" si="2"/>
        <v>113364</v>
      </c>
      <c r="M9" s="176">
        <f t="shared" si="2"/>
        <v>87051</v>
      </c>
      <c r="N9" s="176">
        <f t="shared" ref="N9:N16" si="3">K9</f>
        <v>43871</v>
      </c>
      <c r="O9" s="176">
        <f t="shared" ref="O9:O16" si="4">L9</f>
        <v>113364</v>
      </c>
      <c r="P9" s="176">
        <f t="shared" ref="P9:P16" si="5">M9</f>
        <v>87051</v>
      </c>
      <c r="R9" s="164" t="s">
        <v>87</v>
      </c>
      <c r="S9" s="176">
        <f>B9</f>
        <v>43871</v>
      </c>
      <c r="T9" s="176">
        <f t="shared" ref="T9:AD16" si="6">C9</f>
        <v>113364</v>
      </c>
      <c r="U9" s="176">
        <f t="shared" si="6"/>
        <v>87051</v>
      </c>
      <c r="V9" s="176">
        <f t="shared" si="6"/>
        <v>43871</v>
      </c>
      <c r="W9" s="176">
        <f t="shared" si="6"/>
        <v>113364</v>
      </c>
      <c r="X9" s="176">
        <f t="shared" si="6"/>
        <v>87051</v>
      </c>
      <c r="Y9" s="176">
        <f t="shared" si="6"/>
        <v>43871</v>
      </c>
      <c r="Z9" s="176">
        <f t="shared" si="6"/>
        <v>113364</v>
      </c>
      <c r="AA9" s="176">
        <f t="shared" si="6"/>
        <v>87051</v>
      </c>
      <c r="AB9" s="176">
        <f t="shared" si="6"/>
        <v>43871</v>
      </c>
      <c r="AC9" s="176">
        <f t="shared" si="6"/>
        <v>113364</v>
      </c>
      <c r="AD9" s="176">
        <f t="shared" si="6"/>
        <v>87051</v>
      </c>
      <c r="AE9" s="176">
        <f t="shared" ref="AE9:AE17" si="7">N9</f>
        <v>43871</v>
      </c>
      <c r="AF9" s="176">
        <f t="shared" ref="AF9:AF17" si="8">O9</f>
        <v>113364</v>
      </c>
      <c r="AG9" s="176">
        <f t="shared" ref="AG9:AG17" si="9">P9</f>
        <v>87051</v>
      </c>
      <c r="AI9" s="164" t="s">
        <v>87</v>
      </c>
      <c r="AJ9" s="176">
        <f>S9</f>
        <v>43871</v>
      </c>
      <c r="AK9" s="176">
        <f t="shared" ref="AK9:AU16" si="10">T9</f>
        <v>113364</v>
      </c>
      <c r="AL9" s="176">
        <f t="shared" si="10"/>
        <v>87051</v>
      </c>
      <c r="AM9" s="176">
        <f t="shared" si="10"/>
        <v>43871</v>
      </c>
      <c r="AN9" s="176">
        <f t="shared" si="10"/>
        <v>113364</v>
      </c>
      <c r="AO9" s="176">
        <f t="shared" si="10"/>
        <v>87051</v>
      </c>
      <c r="AP9" s="176">
        <f t="shared" si="10"/>
        <v>43871</v>
      </c>
      <c r="AQ9" s="176">
        <f t="shared" si="10"/>
        <v>113364</v>
      </c>
      <c r="AR9" s="176">
        <f t="shared" si="10"/>
        <v>87051</v>
      </c>
      <c r="AS9" s="176">
        <f t="shared" si="10"/>
        <v>43871</v>
      </c>
      <c r="AT9" s="176">
        <f t="shared" si="10"/>
        <v>113364</v>
      </c>
      <c r="AU9" s="176">
        <f t="shared" si="10"/>
        <v>87051</v>
      </c>
      <c r="AV9" s="176">
        <f t="shared" ref="AV9:AV17" si="11">AE9</f>
        <v>43871</v>
      </c>
      <c r="AW9" s="176">
        <f t="shared" ref="AW9:AW17" si="12">AF9</f>
        <v>113364</v>
      </c>
      <c r="AX9" s="176">
        <f t="shared" ref="AX9:AX17" si="13">AG9</f>
        <v>87051</v>
      </c>
    </row>
    <row r="10" spans="1:50" ht="15.75" thickBot="1">
      <c r="A10" s="164" t="s">
        <v>88</v>
      </c>
      <c r="B10" s="176">
        <v>37444</v>
      </c>
      <c r="C10" s="176">
        <v>113364</v>
      </c>
      <c r="D10" s="176">
        <v>73850</v>
      </c>
      <c r="E10" s="176">
        <f t="shared" ref="E10:E16" si="14">B10</f>
        <v>37444</v>
      </c>
      <c r="F10" s="176">
        <f t="shared" si="1"/>
        <v>113364</v>
      </c>
      <c r="G10" s="176">
        <f t="shared" si="1"/>
        <v>73850</v>
      </c>
      <c r="H10" s="176">
        <f t="shared" si="2"/>
        <v>37444</v>
      </c>
      <c r="I10" s="176">
        <f t="shared" si="2"/>
        <v>113364</v>
      </c>
      <c r="J10" s="176">
        <f t="shared" si="2"/>
        <v>73850</v>
      </c>
      <c r="K10" s="176">
        <f t="shared" si="2"/>
        <v>37444</v>
      </c>
      <c r="L10" s="176">
        <f t="shared" si="2"/>
        <v>113364</v>
      </c>
      <c r="M10" s="176">
        <f t="shared" si="2"/>
        <v>73850</v>
      </c>
      <c r="N10" s="176">
        <f t="shared" si="3"/>
        <v>37444</v>
      </c>
      <c r="O10" s="176">
        <f t="shared" si="4"/>
        <v>113364</v>
      </c>
      <c r="P10" s="176">
        <f t="shared" si="5"/>
        <v>73850</v>
      </c>
      <c r="R10" s="164" t="s">
        <v>88</v>
      </c>
      <c r="S10" s="176">
        <f t="shared" ref="S10:S16" si="15">B10</f>
        <v>37444</v>
      </c>
      <c r="T10" s="176">
        <f t="shared" si="6"/>
        <v>113364</v>
      </c>
      <c r="U10" s="176">
        <f t="shared" si="6"/>
        <v>73850</v>
      </c>
      <c r="V10" s="176">
        <f t="shared" si="6"/>
        <v>37444</v>
      </c>
      <c r="W10" s="176">
        <f t="shared" si="6"/>
        <v>113364</v>
      </c>
      <c r="X10" s="176">
        <f t="shared" si="6"/>
        <v>73850</v>
      </c>
      <c r="Y10" s="176">
        <f t="shared" si="6"/>
        <v>37444</v>
      </c>
      <c r="Z10" s="176">
        <f t="shared" si="6"/>
        <v>113364</v>
      </c>
      <c r="AA10" s="176">
        <f t="shared" si="6"/>
        <v>73850</v>
      </c>
      <c r="AB10" s="176">
        <f t="shared" si="6"/>
        <v>37444</v>
      </c>
      <c r="AC10" s="176">
        <f t="shared" si="6"/>
        <v>113364</v>
      </c>
      <c r="AD10" s="176">
        <f t="shared" si="6"/>
        <v>73850</v>
      </c>
      <c r="AE10" s="176">
        <f t="shared" si="7"/>
        <v>37444</v>
      </c>
      <c r="AF10" s="176">
        <f t="shared" si="8"/>
        <v>113364</v>
      </c>
      <c r="AG10" s="176">
        <f t="shared" si="9"/>
        <v>73850</v>
      </c>
      <c r="AI10" s="164" t="s">
        <v>88</v>
      </c>
      <c r="AJ10" s="176">
        <f t="shared" ref="AJ10:AJ16" si="16">S10</f>
        <v>37444</v>
      </c>
      <c r="AK10" s="176">
        <f t="shared" si="10"/>
        <v>113364</v>
      </c>
      <c r="AL10" s="176">
        <f t="shared" si="10"/>
        <v>73850</v>
      </c>
      <c r="AM10" s="176">
        <f t="shared" si="10"/>
        <v>37444</v>
      </c>
      <c r="AN10" s="176">
        <f t="shared" si="10"/>
        <v>113364</v>
      </c>
      <c r="AO10" s="176">
        <f t="shared" si="10"/>
        <v>73850</v>
      </c>
      <c r="AP10" s="176">
        <f t="shared" si="10"/>
        <v>37444</v>
      </c>
      <c r="AQ10" s="176">
        <f t="shared" si="10"/>
        <v>113364</v>
      </c>
      <c r="AR10" s="176">
        <f t="shared" si="10"/>
        <v>73850</v>
      </c>
      <c r="AS10" s="176">
        <f t="shared" si="10"/>
        <v>37444</v>
      </c>
      <c r="AT10" s="176">
        <f t="shared" si="10"/>
        <v>113364</v>
      </c>
      <c r="AU10" s="176">
        <f t="shared" si="10"/>
        <v>73850</v>
      </c>
      <c r="AV10" s="176">
        <f t="shared" si="11"/>
        <v>37444</v>
      </c>
      <c r="AW10" s="176">
        <f t="shared" si="12"/>
        <v>113364</v>
      </c>
      <c r="AX10" s="176">
        <f t="shared" si="13"/>
        <v>73850</v>
      </c>
    </row>
    <row r="11" spans="1:50" ht="15.75" thickBot="1">
      <c r="A11" s="164" t="s">
        <v>208</v>
      </c>
      <c r="B11" s="176">
        <v>35430</v>
      </c>
      <c r="C11" s="176">
        <v>113364</v>
      </c>
      <c r="D11" s="176">
        <v>69714</v>
      </c>
      <c r="E11" s="176">
        <f t="shared" si="14"/>
        <v>35430</v>
      </c>
      <c r="F11" s="176">
        <f t="shared" si="1"/>
        <v>113364</v>
      </c>
      <c r="G11" s="176">
        <f t="shared" si="1"/>
        <v>69714</v>
      </c>
      <c r="H11" s="176">
        <f t="shared" si="2"/>
        <v>35430</v>
      </c>
      <c r="I11" s="176">
        <f t="shared" si="2"/>
        <v>113364</v>
      </c>
      <c r="J11" s="176">
        <f t="shared" si="2"/>
        <v>69714</v>
      </c>
      <c r="K11" s="176">
        <f t="shared" si="2"/>
        <v>35430</v>
      </c>
      <c r="L11" s="176">
        <f t="shared" si="2"/>
        <v>113364</v>
      </c>
      <c r="M11" s="176">
        <f t="shared" si="2"/>
        <v>69714</v>
      </c>
      <c r="N11" s="176">
        <f t="shared" si="3"/>
        <v>35430</v>
      </c>
      <c r="O11" s="176">
        <f t="shared" si="4"/>
        <v>113364</v>
      </c>
      <c r="P11" s="176">
        <f t="shared" si="5"/>
        <v>69714</v>
      </c>
      <c r="R11" s="164" t="s">
        <v>208</v>
      </c>
      <c r="S11" s="176">
        <f t="shared" si="15"/>
        <v>35430</v>
      </c>
      <c r="T11" s="176">
        <f t="shared" si="6"/>
        <v>113364</v>
      </c>
      <c r="U11" s="176">
        <f t="shared" si="6"/>
        <v>69714</v>
      </c>
      <c r="V11" s="176">
        <f t="shared" si="6"/>
        <v>35430</v>
      </c>
      <c r="W11" s="176">
        <f t="shared" si="6"/>
        <v>113364</v>
      </c>
      <c r="X11" s="176">
        <f t="shared" si="6"/>
        <v>69714</v>
      </c>
      <c r="Y11" s="176">
        <f t="shared" si="6"/>
        <v>35430</v>
      </c>
      <c r="Z11" s="176">
        <f t="shared" si="6"/>
        <v>113364</v>
      </c>
      <c r="AA11" s="176">
        <f t="shared" si="6"/>
        <v>69714</v>
      </c>
      <c r="AB11" s="176">
        <f t="shared" si="6"/>
        <v>35430</v>
      </c>
      <c r="AC11" s="176">
        <f t="shared" si="6"/>
        <v>113364</v>
      </c>
      <c r="AD11" s="176">
        <f t="shared" si="6"/>
        <v>69714</v>
      </c>
      <c r="AE11" s="176">
        <f t="shared" si="7"/>
        <v>35430</v>
      </c>
      <c r="AF11" s="176">
        <f t="shared" si="8"/>
        <v>113364</v>
      </c>
      <c r="AG11" s="176">
        <f t="shared" si="9"/>
        <v>69714</v>
      </c>
      <c r="AI11" s="164" t="s">
        <v>208</v>
      </c>
      <c r="AJ11" s="176">
        <f t="shared" si="16"/>
        <v>35430</v>
      </c>
      <c r="AK11" s="176">
        <f t="shared" si="10"/>
        <v>113364</v>
      </c>
      <c r="AL11" s="176">
        <f t="shared" si="10"/>
        <v>69714</v>
      </c>
      <c r="AM11" s="176">
        <f t="shared" si="10"/>
        <v>35430</v>
      </c>
      <c r="AN11" s="176">
        <f t="shared" si="10"/>
        <v>113364</v>
      </c>
      <c r="AO11" s="176">
        <f t="shared" si="10"/>
        <v>69714</v>
      </c>
      <c r="AP11" s="176">
        <f t="shared" si="10"/>
        <v>35430</v>
      </c>
      <c r="AQ11" s="176">
        <f t="shared" si="10"/>
        <v>113364</v>
      </c>
      <c r="AR11" s="176">
        <f t="shared" si="10"/>
        <v>69714</v>
      </c>
      <c r="AS11" s="176">
        <f t="shared" si="10"/>
        <v>35430</v>
      </c>
      <c r="AT11" s="176">
        <f t="shared" si="10"/>
        <v>113364</v>
      </c>
      <c r="AU11" s="176">
        <f t="shared" si="10"/>
        <v>69714</v>
      </c>
      <c r="AV11" s="176">
        <f t="shared" si="11"/>
        <v>35430</v>
      </c>
      <c r="AW11" s="176">
        <f t="shared" si="12"/>
        <v>113364</v>
      </c>
      <c r="AX11" s="176">
        <f t="shared" si="13"/>
        <v>69714</v>
      </c>
    </row>
    <row r="12" spans="1:50" ht="15.75" thickBot="1">
      <c r="A12" s="164" t="s">
        <v>204</v>
      </c>
      <c r="B12" s="176">
        <v>28186</v>
      </c>
      <c r="C12" s="176">
        <v>113364</v>
      </c>
      <c r="D12" s="176">
        <v>54834</v>
      </c>
      <c r="E12" s="176">
        <f t="shared" si="14"/>
        <v>28186</v>
      </c>
      <c r="F12" s="176">
        <f t="shared" si="1"/>
        <v>113364</v>
      </c>
      <c r="G12" s="176">
        <f t="shared" si="1"/>
        <v>54834</v>
      </c>
      <c r="H12" s="176">
        <f t="shared" si="2"/>
        <v>28186</v>
      </c>
      <c r="I12" s="176">
        <f t="shared" si="2"/>
        <v>113364</v>
      </c>
      <c r="J12" s="176">
        <f t="shared" si="2"/>
        <v>54834</v>
      </c>
      <c r="K12" s="176">
        <f t="shared" si="2"/>
        <v>28186</v>
      </c>
      <c r="L12" s="176">
        <f t="shared" si="2"/>
        <v>113364</v>
      </c>
      <c r="M12" s="176">
        <f t="shared" si="2"/>
        <v>54834</v>
      </c>
      <c r="N12" s="176">
        <f t="shared" si="3"/>
        <v>28186</v>
      </c>
      <c r="O12" s="176">
        <f t="shared" si="4"/>
        <v>113364</v>
      </c>
      <c r="P12" s="176">
        <f t="shared" si="5"/>
        <v>54834</v>
      </c>
      <c r="R12" s="164" t="s">
        <v>204</v>
      </c>
      <c r="S12" s="176">
        <f t="shared" si="15"/>
        <v>28186</v>
      </c>
      <c r="T12" s="176">
        <f t="shared" si="6"/>
        <v>113364</v>
      </c>
      <c r="U12" s="176">
        <f t="shared" si="6"/>
        <v>54834</v>
      </c>
      <c r="V12" s="176">
        <f t="shared" si="6"/>
        <v>28186</v>
      </c>
      <c r="W12" s="176">
        <f t="shared" si="6"/>
        <v>113364</v>
      </c>
      <c r="X12" s="176">
        <f t="shared" si="6"/>
        <v>54834</v>
      </c>
      <c r="Y12" s="176">
        <f t="shared" si="6"/>
        <v>28186</v>
      </c>
      <c r="Z12" s="176">
        <f t="shared" si="6"/>
        <v>113364</v>
      </c>
      <c r="AA12" s="176">
        <f t="shared" si="6"/>
        <v>54834</v>
      </c>
      <c r="AB12" s="176">
        <f t="shared" si="6"/>
        <v>28186</v>
      </c>
      <c r="AC12" s="176">
        <f t="shared" si="6"/>
        <v>113364</v>
      </c>
      <c r="AD12" s="176">
        <f t="shared" si="6"/>
        <v>54834</v>
      </c>
      <c r="AE12" s="176">
        <f t="shared" si="7"/>
        <v>28186</v>
      </c>
      <c r="AF12" s="176">
        <f t="shared" si="8"/>
        <v>113364</v>
      </c>
      <c r="AG12" s="176">
        <f t="shared" si="9"/>
        <v>54834</v>
      </c>
      <c r="AI12" s="164" t="s">
        <v>204</v>
      </c>
      <c r="AJ12" s="176">
        <f t="shared" si="16"/>
        <v>28186</v>
      </c>
      <c r="AK12" s="176">
        <f t="shared" si="10"/>
        <v>113364</v>
      </c>
      <c r="AL12" s="176">
        <f t="shared" si="10"/>
        <v>54834</v>
      </c>
      <c r="AM12" s="176">
        <f t="shared" si="10"/>
        <v>28186</v>
      </c>
      <c r="AN12" s="176">
        <f t="shared" si="10"/>
        <v>113364</v>
      </c>
      <c r="AO12" s="176">
        <f t="shared" si="10"/>
        <v>54834</v>
      </c>
      <c r="AP12" s="176">
        <f t="shared" si="10"/>
        <v>28186</v>
      </c>
      <c r="AQ12" s="176">
        <f t="shared" si="10"/>
        <v>113364</v>
      </c>
      <c r="AR12" s="176">
        <f t="shared" si="10"/>
        <v>54834</v>
      </c>
      <c r="AS12" s="176">
        <f t="shared" si="10"/>
        <v>28186</v>
      </c>
      <c r="AT12" s="176">
        <f t="shared" si="10"/>
        <v>113364</v>
      </c>
      <c r="AU12" s="176">
        <f t="shared" si="10"/>
        <v>54834</v>
      </c>
      <c r="AV12" s="176">
        <f t="shared" si="11"/>
        <v>28186</v>
      </c>
      <c r="AW12" s="176">
        <f t="shared" si="12"/>
        <v>113364</v>
      </c>
      <c r="AX12" s="176">
        <f t="shared" si="13"/>
        <v>54834</v>
      </c>
    </row>
    <row r="13" spans="1:50" ht="15.75" thickBot="1">
      <c r="A13" s="164" t="s">
        <v>209</v>
      </c>
      <c r="B13" s="176">
        <v>38535</v>
      </c>
      <c r="C13" s="176">
        <v>113364</v>
      </c>
      <c r="D13" s="176">
        <v>76092</v>
      </c>
      <c r="E13" s="176">
        <f t="shared" si="14"/>
        <v>38535</v>
      </c>
      <c r="F13" s="176">
        <f t="shared" si="1"/>
        <v>113364</v>
      </c>
      <c r="G13" s="176">
        <f t="shared" si="1"/>
        <v>76092</v>
      </c>
      <c r="H13" s="176">
        <f t="shared" si="2"/>
        <v>38535</v>
      </c>
      <c r="I13" s="176">
        <f t="shared" si="2"/>
        <v>113364</v>
      </c>
      <c r="J13" s="176">
        <f t="shared" si="2"/>
        <v>76092</v>
      </c>
      <c r="K13" s="176">
        <f t="shared" si="2"/>
        <v>38535</v>
      </c>
      <c r="L13" s="176">
        <f t="shared" si="2"/>
        <v>113364</v>
      </c>
      <c r="M13" s="176">
        <f t="shared" si="2"/>
        <v>76092</v>
      </c>
      <c r="N13" s="176">
        <f t="shared" si="3"/>
        <v>38535</v>
      </c>
      <c r="O13" s="176">
        <f t="shared" si="4"/>
        <v>113364</v>
      </c>
      <c r="P13" s="176">
        <f t="shared" si="5"/>
        <v>76092</v>
      </c>
      <c r="R13" s="164" t="s">
        <v>209</v>
      </c>
      <c r="S13" s="176">
        <f t="shared" si="15"/>
        <v>38535</v>
      </c>
      <c r="T13" s="176">
        <f t="shared" si="6"/>
        <v>113364</v>
      </c>
      <c r="U13" s="176">
        <f t="shared" si="6"/>
        <v>76092</v>
      </c>
      <c r="V13" s="176">
        <f t="shared" si="6"/>
        <v>38535</v>
      </c>
      <c r="W13" s="176">
        <f t="shared" si="6"/>
        <v>113364</v>
      </c>
      <c r="X13" s="176">
        <f t="shared" si="6"/>
        <v>76092</v>
      </c>
      <c r="Y13" s="176">
        <f t="shared" si="6"/>
        <v>38535</v>
      </c>
      <c r="Z13" s="176">
        <f t="shared" si="6"/>
        <v>113364</v>
      </c>
      <c r="AA13" s="176">
        <f t="shared" si="6"/>
        <v>76092</v>
      </c>
      <c r="AB13" s="176">
        <f t="shared" si="6"/>
        <v>38535</v>
      </c>
      <c r="AC13" s="176">
        <f t="shared" si="6"/>
        <v>113364</v>
      </c>
      <c r="AD13" s="176">
        <f t="shared" si="6"/>
        <v>76092</v>
      </c>
      <c r="AE13" s="176">
        <f t="shared" si="7"/>
        <v>38535</v>
      </c>
      <c r="AF13" s="176">
        <f t="shared" si="8"/>
        <v>113364</v>
      </c>
      <c r="AG13" s="176">
        <f t="shared" si="9"/>
        <v>76092</v>
      </c>
      <c r="AI13" s="164" t="s">
        <v>209</v>
      </c>
      <c r="AJ13" s="176">
        <f t="shared" si="16"/>
        <v>38535</v>
      </c>
      <c r="AK13" s="176">
        <f t="shared" si="10"/>
        <v>113364</v>
      </c>
      <c r="AL13" s="176">
        <f t="shared" si="10"/>
        <v>76092</v>
      </c>
      <c r="AM13" s="176">
        <f t="shared" si="10"/>
        <v>38535</v>
      </c>
      <c r="AN13" s="176">
        <f t="shared" si="10"/>
        <v>113364</v>
      </c>
      <c r="AO13" s="176">
        <f t="shared" si="10"/>
        <v>76092</v>
      </c>
      <c r="AP13" s="176">
        <f t="shared" si="10"/>
        <v>38535</v>
      </c>
      <c r="AQ13" s="176">
        <f t="shared" si="10"/>
        <v>113364</v>
      </c>
      <c r="AR13" s="176">
        <f t="shared" si="10"/>
        <v>76092</v>
      </c>
      <c r="AS13" s="176">
        <f t="shared" si="10"/>
        <v>38535</v>
      </c>
      <c r="AT13" s="176">
        <f t="shared" si="10"/>
        <v>113364</v>
      </c>
      <c r="AU13" s="176">
        <f t="shared" si="10"/>
        <v>76092</v>
      </c>
      <c r="AV13" s="176">
        <f t="shared" si="11"/>
        <v>38535</v>
      </c>
      <c r="AW13" s="176">
        <f t="shared" si="12"/>
        <v>113364</v>
      </c>
      <c r="AX13" s="176">
        <f t="shared" si="13"/>
        <v>76092</v>
      </c>
    </row>
    <row r="14" spans="1:50" ht="15.75" thickBot="1">
      <c r="A14" s="164" t="s">
        <v>202</v>
      </c>
      <c r="B14" s="176">
        <v>28627</v>
      </c>
      <c r="C14" s="176">
        <v>113364</v>
      </c>
      <c r="D14" s="176">
        <v>55740</v>
      </c>
      <c r="E14" s="176">
        <f t="shared" si="14"/>
        <v>28627</v>
      </c>
      <c r="F14" s="176">
        <f t="shared" si="1"/>
        <v>113364</v>
      </c>
      <c r="G14" s="176">
        <f t="shared" si="1"/>
        <v>55740</v>
      </c>
      <c r="H14" s="176">
        <f t="shared" si="2"/>
        <v>28627</v>
      </c>
      <c r="I14" s="176">
        <f t="shared" si="2"/>
        <v>113364</v>
      </c>
      <c r="J14" s="176">
        <f t="shared" si="2"/>
        <v>55740</v>
      </c>
      <c r="K14" s="176">
        <f t="shared" si="2"/>
        <v>28627</v>
      </c>
      <c r="L14" s="176">
        <f t="shared" si="2"/>
        <v>113364</v>
      </c>
      <c r="M14" s="176">
        <f t="shared" si="2"/>
        <v>55740</v>
      </c>
      <c r="N14" s="176">
        <f t="shared" si="3"/>
        <v>28627</v>
      </c>
      <c r="O14" s="176">
        <f t="shared" si="4"/>
        <v>113364</v>
      </c>
      <c r="P14" s="176">
        <f t="shared" si="5"/>
        <v>55740</v>
      </c>
      <c r="R14" s="164" t="s">
        <v>202</v>
      </c>
      <c r="S14" s="176">
        <f t="shared" si="15"/>
        <v>28627</v>
      </c>
      <c r="T14" s="176">
        <f t="shared" si="6"/>
        <v>113364</v>
      </c>
      <c r="U14" s="176">
        <f t="shared" si="6"/>
        <v>55740</v>
      </c>
      <c r="V14" s="176">
        <f t="shared" si="6"/>
        <v>28627</v>
      </c>
      <c r="W14" s="176">
        <f t="shared" si="6"/>
        <v>113364</v>
      </c>
      <c r="X14" s="176">
        <f t="shared" si="6"/>
        <v>55740</v>
      </c>
      <c r="Y14" s="176">
        <f t="shared" si="6"/>
        <v>28627</v>
      </c>
      <c r="Z14" s="176">
        <f t="shared" si="6"/>
        <v>113364</v>
      </c>
      <c r="AA14" s="176">
        <f t="shared" si="6"/>
        <v>55740</v>
      </c>
      <c r="AB14" s="176">
        <f t="shared" si="6"/>
        <v>28627</v>
      </c>
      <c r="AC14" s="176">
        <f t="shared" si="6"/>
        <v>113364</v>
      </c>
      <c r="AD14" s="176">
        <f t="shared" si="6"/>
        <v>55740</v>
      </c>
      <c r="AE14" s="176">
        <f t="shared" si="7"/>
        <v>28627</v>
      </c>
      <c r="AF14" s="176">
        <f t="shared" si="8"/>
        <v>113364</v>
      </c>
      <c r="AG14" s="176">
        <f t="shared" si="9"/>
        <v>55740</v>
      </c>
      <c r="AI14" s="164" t="s">
        <v>202</v>
      </c>
      <c r="AJ14" s="176">
        <f t="shared" si="16"/>
        <v>28627</v>
      </c>
      <c r="AK14" s="176">
        <f t="shared" si="10"/>
        <v>113364</v>
      </c>
      <c r="AL14" s="176">
        <f t="shared" si="10"/>
        <v>55740</v>
      </c>
      <c r="AM14" s="176">
        <f t="shared" si="10"/>
        <v>28627</v>
      </c>
      <c r="AN14" s="176">
        <f t="shared" si="10"/>
        <v>113364</v>
      </c>
      <c r="AO14" s="176">
        <f t="shared" si="10"/>
        <v>55740</v>
      </c>
      <c r="AP14" s="176">
        <f t="shared" si="10"/>
        <v>28627</v>
      </c>
      <c r="AQ14" s="176">
        <f t="shared" si="10"/>
        <v>113364</v>
      </c>
      <c r="AR14" s="176">
        <f t="shared" si="10"/>
        <v>55740</v>
      </c>
      <c r="AS14" s="176">
        <f t="shared" si="10"/>
        <v>28627</v>
      </c>
      <c r="AT14" s="176">
        <f t="shared" si="10"/>
        <v>113364</v>
      </c>
      <c r="AU14" s="176">
        <f t="shared" si="10"/>
        <v>55740</v>
      </c>
      <c r="AV14" s="176">
        <f t="shared" si="11"/>
        <v>28627</v>
      </c>
      <c r="AW14" s="176">
        <f t="shared" si="12"/>
        <v>113364</v>
      </c>
      <c r="AX14" s="176">
        <f t="shared" si="13"/>
        <v>55740</v>
      </c>
    </row>
    <row r="15" spans="1:50" ht="15.75" thickBot="1">
      <c r="A15" s="164" t="s">
        <v>91</v>
      </c>
      <c r="B15" s="176">
        <v>30066</v>
      </c>
      <c r="C15" s="176">
        <v>113364</v>
      </c>
      <c r="D15" s="176">
        <v>58695</v>
      </c>
      <c r="E15" s="176">
        <f t="shared" si="14"/>
        <v>30066</v>
      </c>
      <c r="F15" s="176">
        <f t="shared" si="1"/>
        <v>113364</v>
      </c>
      <c r="G15" s="176">
        <f t="shared" si="1"/>
        <v>58695</v>
      </c>
      <c r="H15" s="176">
        <f t="shared" si="2"/>
        <v>30066</v>
      </c>
      <c r="I15" s="176">
        <f t="shared" si="2"/>
        <v>113364</v>
      </c>
      <c r="J15" s="176">
        <f t="shared" si="2"/>
        <v>58695</v>
      </c>
      <c r="K15" s="176">
        <f t="shared" si="2"/>
        <v>30066</v>
      </c>
      <c r="L15" s="176">
        <f t="shared" si="2"/>
        <v>113364</v>
      </c>
      <c r="M15" s="176">
        <f t="shared" si="2"/>
        <v>58695</v>
      </c>
      <c r="N15" s="176">
        <f t="shared" si="3"/>
        <v>30066</v>
      </c>
      <c r="O15" s="176">
        <f t="shared" si="4"/>
        <v>113364</v>
      </c>
      <c r="P15" s="176">
        <f t="shared" si="5"/>
        <v>58695</v>
      </c>
      <c r="R15" s="164" t="s">
        <v>91</v>
      </c>
      <c r="S15" s="176">
        <f t="shared" si="15"/>
        <v>30066</v>
      </c>
      <c r="T15" s="176">
        <f t="shared" si="6"/>
        <v>113364</v>
      </c>
      <c r="U15" s="176">
        <f t="shared" si="6"/>
        <v>58695</v>
      </c>
      <c r="V15" s="176">
        <f t="shared" si="6"/>
        <v>30066</v>
      </c>
      <c r="W15" s="176">
        <f t="shared" si="6"/>
        <v>113364</v>
      </c>
      <c r="X15" s="176">
        <f t="shared" si="6"/>
        <v>58695</v>
      </c>
      <c r="Y15" s="176">
        <f t="shared" si="6"/>
        <v>30066</v>
      </c>
      <c r="Z15" s="176">
        <f t="shared" si="6"/>
        <v>113364</v>
      </c>
      <c r="AA15" s="176">
        <f t="shared" si="6"/>
        <v>58695</v>
      </c>
      <c r="AB15" s="176">
        <f t="shared" si="6"/>
        <v>30066</v>
      </c>
      <c r="AC15" s="176">
        <f t="shared" si="6"/>
        <v>113364</v>
      </c>
      <c r="AD15" s="176">
        <f t="shared" si="6"/>
        <v>58695</v>
      </c>
      <c r="AE15" s="176">
        <f t="shared" si="7"/>
        <v>30066</v>
      </c>
      <c r="AF15" s="176">
        <f t="shared" si="8"/>
        <v>113364</v>
      </c>
      <c r="AG15" s="176">
        <f t="shared" si="9"/>
        <v>58695</v>
      </c>
      <c r="AI15" s="164" t="s">
        <v>91</v>
      </c>
      <c r="AJ15" s="176">
        <f t="shared" si="16"/>
        <v>30066</v>
      </c>
      <c r="AK15" s="176">
        <f t="shared" si="10"/>
        <v>113364</v>
      </c>
      <c r="AL15" s="176">
        <f t="shared" si="10"/>
        <v>58695</v>
      </c>
      <c r="AM15" s="176">
        <f t="shared" si="10"/>
        <v>30066</v>
      </c>
      <c r="AN15" s="176">
        <f t="shared" si="10"/>
        <v>113364</v>
      </c>
      <c r="AO15" s="176">
        <f t="shared" si="10"/>
        <v>58695</v>
      </c>
      <c r="AP15" s="176">
        <f t="shared" si="10"/>
        <v>30066</v>
      </c>
      <c r="AQ15" s="176">
        <f t="shared" si="10"/>
        <v>113364</v>
      </c>
      <c r="AR15" s="176">
        <f t="shared" si="10"/>
        <v>58695</v>
      </c>
      <c r="AS15" s="176">
        <f t="shared" si="10"/>
        <v>30066</v>
      </c>
      <c r="AT15" s="176">
        <f t="shared" si="10"/>
        <v>113364</v>
      </c>
      <c r="AU15" s="176">
        <f t="shared" si="10"/>
        <v>58695</v>
      </c>
      <c r="AV15" s="176">
        <f t="shared" si="11"/>
        <v>30066</v>
      </c>
      <c r="AW15" s="176">
        <f t="shared" si="12"/>
        <v>113364</v>
      </c>
      <c r="AX15" s="176">
        <f t="shared" si="13"/>
        <v>58695</v>
      </c>
    </row>
    <row r="16" spans="1:50" ht="15.75" thickBot="1">
      <c r="A16" s="164" t="s">
        <v>92</v>
      </c>
      <c r="B16" s="176">
        <v>26714</v>
      </c>
      <c r="C16" s="176">
        <v>113364</v>
      </c>
      <c r="D16" s="176">
        <v>51810</v>
      </c>
      <c r="E16" s="176">
        <f t="shared" si="14"/>
        <v>26714</v>
      </c>
      <c r="F16" s="176">
        <f t="shared" si="1"/>
        <v>113364</v>
      </c>
      <c r="G16" s="176">
        <f t="shared" si="1"/>
        <v>51810</v>
      </c>
      <c r="H16" s="176">
        <f t="shared" si="2"/>
        <v>26714</v>
      </c>
      <c r="I16" s="176">
        <f t="shared" si="2"/>
        <v>113364</v>
      </c>
      <c r="J16" s="176">
        <f t="shared" si="2"/>
        <v>51810</v>
      </c>
      <c r="K16" s="176">
        <f t="shared" si="2"/>
        <v>26714</v>
      </c>
      <c r="L16" s="176">
        <f t="shared" si="2"/>
        <v>113364</v>
      </c>
      <c r="M16" s="176">
        <f t="shared" si="2"/>
        <v>51810</v>
      </c>
      <c r="N16" s="176">
        <f t="shared" si="3"/>
        <v>26714</v>
      </c>
      <c r="O16" s="176">
        <f t="shared" si="4"/>
        <v>113364</v>
      </c>
      <c r="P16" s="176">
        <f t="shared" si="5"/>
        <v>51810</v>
      </c>
      <c r="R16" s="164" t="s">
        <v>92</v>
      </c>
      <c r="S16" s="176">
        <f t="shared" si="15"/>
        <v>26714</v>
      </c>
      <c r="T16" s="176">
        <f t="shared" si="6"/>
        <v>113364</v>
      </c>
      <c r="U16" s="176">
        <f t="shared" si="6"/>
        <v>51810</v>
      </c>
      <c r="V16" s="176">
        <f t="shared" si="6"/>
        <v>26714</v>
      </c>
      <c r="W16" s="176">
        <f t="shared" si="6"/>
        <v>113364</v>
      </c>
      <c r="X16" s="176">
        <f t="shared" si="6"/>
        <v>51810</v>
      </c>
      <c r="Y16" s="176">
        <f t="shared" si="6"/>
        <v>26714</v>
      </c>
      <c r="Z16" s="176">
        <f t="shared" si="6"/>
        <v>113364</v>
      </c>
      <c r="AA16" s="176">
        <f t="shared" si="6"/>
        <v>51810</v>
      </c>
      <c r="AB16" s="176">
        <f t="shared" si="6"/>
        <v>26714</v>
      </c>
      <c r="AC16" s="176">
        <f t="shared" si="6"/>
        <v>113364</v>
      </c>
      <c r="AD16" s="176">
        <f t="shared" si="6"/>
        <v>51810</v>
      </c>
      <c r="AE16" s="176">
        <f t="shared" si="7"/>
        <v>26714</v>
      </c>
      <c r="AF16" s="176">
        <f t="shared" si="8"/>
        <v>113364</v>
      </c>
      <c r="AG16" s="176">
        <f t="shared" si="9"/>
        <v>51810</v>
      </c>
      <c r="AI16" s="164" t="s">
        <v>92</v>
      </c>
      <c r="AJ16" s="176">
        <f t="shared" si="16"/>
        <v>26714</v>
      </c>
      <c r="AK16" s="176">
        <f t="shared" si="10"/>
        <v>113364</v>
      </c>
      <c r="AL16" s="176">
        <f t="shared" si="10"/>
        <v>51810</v>
      </c>
      <c r="AM16" s="176">
        <f t="shared" si="10"/>
        <v>26714</v>
      </c>
      <c r="AN16" s="176">
        <f t="shared" si="10"/>
        <v>113364</v>
      </c>
      <c r="AO16" s="176">
        <f t="shared" si="10"/>
        <v>51810</v>
      </c>
      <c r="AP16" s="176">
        <f t="shared" si="10"/>
        <v>26714</v>
      </c>
      <c r="AQ16" s="176">
        <f t="shared" si="10"/>
        <v>113364</v>
      </c>
      <c r="AR16" s="176">
        <f t="shared" si="10"/>
        <v>51810</v>
      </c>
      <c r="AS16" s="176">
        <f t="shared" si="10"/>
        <v>26714</v>
      </c>
      <c r="AT16" s="176">
        <f t="shared" si="10"/>
        <v>113364</v>
      </c>
      <c r="AU16" s="176">
        <f t="shared" si="10"/>
        <v>51810</v>
      </c>
      <c r="AV16" s="176">
        <f t="shared" si="11"/>
        <v>26714</v>
      </c>
      <c r="AW16" s="176">
        <f t="shared" si="12"/>
        <v>113364</v>
      </c>
      <c r="AX16" s="176">
        <f t="shared" si="13"/>
        <v>51810</v>
      </c>
    </row>
    <row r="17" spans="1:50" ht="15.75" thickBot="1">
      <c r="A17" s="164" t="s">
        <v>448</v>
      </c>
      <c r="B17" s="165">
        <f>TAX!$B20</f>
        <v>4.7</v>
      </c>
      <c r="C17" s="165">
        <f>TAX!$B21</f>
        <v>3</v>
      </c>
      <c r="D17" s="165">
        <f>TAX!$B22</f>
        <v>2.3569174140963063</v>
      </c>
      <c r="E17" s="165">
        <f>TAX!$C20</f>
        <v>4.7</v>
      </c>
      <c r="F17" s="165">
        <f>TAX!$C21</f>
        <v>3</v>
      </c>
      <c r="G17" s="165">
        <f>TAX!$C22</f>
        <v>2.3569174140963063</v>
      </c>
      <c r="H17" s="165">
        <f>TAX!$D20</f>
        <v>4.7</v>
      </c>
      <c r="I17" s="165">
        <f>TAX!$D21</f>
        <v>3</v>
      </c>
      <c r="J17" s="165">
        <f>TAX!$D22</f>
        <v>2.3569174140963063</v>
      </c>
      <c r="K17" s="165">
        <f>TAX!$E20</f>
        <v>4.7</v>
      </c>
      <c r="L17" s="165">
        <f>TAX!$E21</f>
        <v>3</v>
      </c>
      <c r="M17" s="165">
        <f>TAX!$E22</f>
        <v>2.3569174140963063</v>
      </c>
      <c r="N17" s="165">
        <f>TAX!$F20</f>
        <v>4.7</v>
      </c>
      <c r="O17" s="165">
        <f>TAX!$F21</f>
        <v>3</v>
      </c>
      <c r="P17" s="165">
        <f>TAX!$F22</f>
        <v>2.3569174140963063</v>
      </c>
      <c r="R17" s="164" t="s">
        <v>448</v>
      </c>
      <c r="S17" s="165">
        <f>B17</f>
        <v>4.7</v>
      </c>
      <c r="T17" s="165">
        <f t="shared" ref="T17:AD17" si="17">C17</f>
        <v>3</v>
      </c>
      <c r="U17" s="165">
        <f t="shared" si="17"/>
        <v>2.3569174140963063</v>
      </c>
      <c r="V17" s="165">
        <f t="shared" si="17"/>
        <v>4.7</v>
      </c>
      <c r="W17" s="165">
        <f t="shared" si="17"/>
        <v>3</v>
      </c>
      <c r="X17" s="165">
        <f t="shared" si="17"/>
        <v>2.3569174140963063</v>
      </c>
      <c r="Y17" s="165">
        <f t="shared" si="17"/>
        <v>4.7</v>
      </c>
      <c r="Z17" s="165">
        <f t="shared" si="17"/>
        <v>3</v>
      </c>
      <c r="AA17" s="165">
        <f t="shared" si="17"/>
        <v>2.3569174140963063</v>
      </c>
      <c r="AB17" s="165">
        <f t="shared" si="17"/>
        <v>4.7</v>
      </c>
      <c r="AC17" s="165">
        <f t="shared" si="17"/>
        <v>3</v>
      </c>
      <c r="AD17" s="165">
        <f t="shared" si="17"/>
        <v>2.3569174140963063</v>
      </c>
      <c r="AE17" s="165">
        <f t="shared" si="7"/>
        <v>4.7</v>
      </c>
      <c r="AF17" s="165">
        <f t="shared" si="8"/>
        <v>3</v>
      </c>
      <c r="AG17" s="165">
        <f t="shared" si="9"/>
        <v>2.3569174140963063</v>
      </c>
      <c r="AI17" s="164" t="s">
        <v>448</v>
      </c>
      <c r="AJ17" s="165">
        <f t="shared" ref="AJ17:AU17" si="18">S17</f>
        <v>4.7</v>
      </c>
      <c r="AK17" s="165">
        <f t="shared" si="18"/>
        <v>3</v>
      </c>
      <c r="AL17" s="165">
        <f t="shared" si="18"/>
        <v>2.3569174140963063</v>
      </c>
      <c r="AM17" s="165">
        <f t="shared" si="18"/>
        <v>4.7</v>
      </c>
      <c r="AN17" s="165">
        <f t="shared" si="18"/>
        <v>3</v>
      </c>
      <c r="AO17" s="165">
        <f t="shared" si="18"/>
        <v>2.3569174140963063</v>
      </c>
      <c r="AP17" s="165">
        <f t="shared" si="18"/>
        <v>4.7</v>
      </c>
      <c r="AQ17" s="165">
        <f t="shared" si="18"/>
        <v>3</v>
      </c>
      <c r="AR17" s="165">
        <f t="shared" si="18"/>
        <v>2.3569174140963063</v>
      </c>
      <c r="AS17" s="165">
        <f t="shared" si="18"/>
        <v>4.7</v>
      </c>
      <c r="AT17" s="165">
        <f t="shared" si="18"/>
        <v>3</v>
      </c>
      <c r="AU17" s="165">
        <f t="shared" si="18"/>
        <v>2.3569174140963063</v>
      </c>
      <c r="AV17" s="165">
        <f t="shared" si="11"/>
        <v>4.7</v>
      </c>
      <c r="AW17" s="165">
        <f t="shared" si="12"/>
        <v>3</v>
      </c>
      <c r="AX17" s="165">
        <f t="shared" si="13"/>
        <v>2.3569174140963063</v>
      </c>
    </row>
    <row r="18" spans="1:50" ht="15.75" thickBot="1">
      <c r="A18" s="164" t="s">
        <v>11</v>
      </c>
      <c r="B18" s="282">
        <f>B19+B27+B37+B42+B46</f>
        <v>240590</v>
      </c>
      <c r="C18" s="282">
        <f t="shared" ref="C18:P18" si="19">C19+C27+C37+C42+C46</f>
        <v>335007.80505115283</v>
      </c>
      <c r="D18" s="282">
        <f t="shared" si="19"/>
        <v>76457.194948847173</v>
      </c>
      <c r="E18" s="282">
        <f t="shared" si="19"/>
        <v>258974</v>
      </c>
      <c r="F18" s="282">
        <f t="shared" si="19"/>
        <v>355704.38285010488</v>
      </c>
      <c r="G18" s="282">
        <f t="shared" si="19"/>
        <v>81180.617149895144</v>
      </c>
      <c r="H18" s="282">
        <f t="shared" si="19"/>
        <v>283389</v>
      </c>
      <c r="I18" s="282">
        <f t="shared" si="19"/>
        <v>381309.65447665699</v>
      </c>
      <c r="J18" s="282">
        <f t="shared" si="19"/>
        <v>87024.345523343029</v>
      </c>
      <c r="K18" s="282">
        <f t="shared" si="19"/>
        <v>308354</v>
      </c>
      <c r="L18" s="282">
        <f t="shared" si="19"/>
        <v>408127.22659141239</v>
      </c>
      <c r="M18" s="282">
        <f t="shared" si="19"/>
        <v>93144.773408587673</v>
      </c>
      <c r="N18" s="282">
        <f t="shared" si="19"/>
        <v>329183</v>
      </c>
      <c r="O18" s="282" t="e">
        <f t="shared" si="19"/>
        <v>#DIV/0!</v>
      </c>
      <c r="P18" s="282" t="e">
        <f t="shared" si="19"/>
        <v>#DIV/0!</v>
      </c>
      <c r="R18" s="164" t="s">
        <v>11</v>
      </c>
      <c r="S18" s="282">
        <f>S19+S27+S37+S42+S46</f>
        <v>1646049707.8723402</v>
      </c>
      <c r="T18" s="282">
        <f t="shared" ref="T18:AD18" si="20">T19+T27+T37+T42+T46</f>
        <v>12659274937.272964</v>
      </c>
      <c r="U18" s="282">
        <f t="shared" si="20"/>
        <v>2026333429.7818229</v>
      </c>
      <c r="V18" s="282">
        <f t="shared" si="20"/>
        <v>1772306315.1063828</v>
      </c>
      <c r="W18" s="282">
        <f t="shared" si="20"/>
        <v>13441357219.139763</v>
      </c>
      <c r="X18" s="282">
        <f t="shared" si="20"/>
        <v>2156765070.4801912</v>
      </c>
      <c r="Y18" s="282">
        <f t="shared" si="20"/>
        <v>1941660723.4042552</v>
      </c>
      <c r="Z18" s="282">
        <f t="shared" si="20"/>
        <v>14408929223.363914</v>
      </c>
      <c r="AA18" s="282">
        <f t="shared" si="20"/>
        <v>2317776842.7666178</v>
      </c>
      <c r="AB18" s="282">
        <f t="shared" si="20"/>
        <v>2115376684.2553189</v>
      </c>
      <c r="AC18" s="282">
        <f t="shared" si="20"/>
        <v>15422311638.436291</v>
      </c>
      <c r="AD18" s="282">
        <f t="shared" si="20"/>
        <v>2488286305.9061747</v>
      </c>
      <c r="AE18" s="282">
        <f>AE19+AE27+AE37+AE42+AE46</f>
        <v>2260693083.8297873</v>
      </c>
      <c r="AF18" s="282" t="e">
        <f>AF19+AF27+AF37+AF42+AF46</f>
        <v>#DIV/0!</v>
      </c>
      <c r="AG18" s="282" t="e">
        <f>AG19+AG27+AG37+AG42+AG46</f>
        <v>#DIV/0!</v>
      </c>
      <c r="AI18" s="125" t="s">
        <v>11</v>
      </c>
      <c r="AJ18" s="171">
        <f>S18/COMB_CORR!$L3</f>
        <v>4.6936502533627175E-2</v>
      </c>
      <c r="AK18" s="171">
        <f>T18/COMB_CORR!$L3</f>
        <v>0.36097457283670165</v>
      </c>
      <c r="AL18" s="171">
        <f>U18/COMB_CORR!$L3</f>
        <v>5.7780153118136689E-2</v>
      </c>
      <c r="AM18" s="171">
        <f>V18/COMB_CORR!$M3</f>
        <v>4.5523273312853905E-2</v>
      </c>
      <c r="AN18" s="171">
        <f>W18/COMB_CORR!$M3</f>
        <v>0.34525328560140706</v>
      </c>
      <c r="AO18" s="171">
        <f>X18/COMB_CORR!$M3</f>
        <v>5.5398440404018374E-2</v>
      </c>
      <c r="AP18" s="171">
        <f>Y18/COMB_CORR!$N3</f>
        <v>4.6838838618309196E-2</v>
      </c>
      <c r="AQ18" s="171">
        <f>Z18/COMB_CORR!$N3</f>
        <v>0.34758776464948221</v>
      </c>
      <c r="AR18" s="171">
        <f>AA18/COMB_CORR!$N3</f>
        <v>5.5911918175520069E-2</v>
      </c>
      <c r="AS18" s="171">
        <f>AB18/COMB_CORR!$O3</f>
        <v>4.8056769817497534E-2</v>
      </c>
      <c r="AT18" s="171">
        <f>AC18/COMB_CORR!$O3</f>
        <v>0.35036146799687057</v>
      </c>
      <c r="AU18" s="171">
        <f>AD18/COMB_CORR!$O3</f>
        <v>5.6528467545750589E-2</v>
      </c>
      <c r="AV18" s="171" t="e">
        <f>AE18/COMB_CORR!$P3</f>
        <v>#DIV/0!</v>
      </c>
      <c r="AW18" s="171" t="e">
        <f>AF18/COMB_CORR!$P3</f>
        <v>#DIV/0!</v>
      </c>
      <c r="AX18" s="171" t="e">
        <f>AG18/COMB_CORR!$P3</f>
        <v>#DIV/0!</v>
      </c>
    </row>
    <row r="19" spans="1:50" ht="15.75" thickBot="1">
      <c r="A19" s="269" t="s">
        <v>46</v>
      </c>
      <c r="B19" s="282">
        <f>SUM(B20:B26)</f>
        <v>9008</v>
      </c>
      <c r="C19" s="277">
        <f t="shared" ref="C19:P19" si="21">SUM(C20:C26)</f>
        <v>17544.661325409154</v>
      </c>
      <c r="D19" s="277">
        <f t="shared" si="21"/>
        <v>4003.338674590846</v>
      </c>
      <c r="E19" s="282">
        <f t="shared" si="21"/>
        <v>9784</v>
      </c>
      <c r="F19" s="277">
        <f t="shared" si="21"/>
        <v>19337.552622300362</v>
      </c>
      <c r="G19" s="277">
        <f t="shared" si="21"/>
        <v>4412.4473776996329</v>
      </c>
      <c r="H19" s="282">
        <f t="shared" si="21"/>
        <v>10677</v>
      </c>
      <c r="I19" s="277">
        <f t="shared" si="21"/>
        <v>21954.426565531405</v>
      </c>
      <c r="J19" s="277">
        <f t="shared" si="21"/>
        <v>5009.5734344685898</v>
      </c>
      <c r="K19" s="282">
        <f t="shared" si="21"/>
        <v>11718</v>
      </c>
      <c r="L19" s="282">
        <f t="shared" si="21"/>
        <v>24881.533710980275</v>
      </c>
      <c r="M19" s="282">
        <f t="shared" si="21"/>
        <v>5677.4662890197251</v>
      </c>
      <c r="N19" s="282">
        <f t="shared" si="21"/>
        <v>12446</v>
      </c>
      <c r="O19" s="282" t="e">
        <f t="shared" si="21"/>
        <v>#DIV/0!</v>
      </c>
      <c r="P19" s="282" t="e">
        <f t="shared" si="21"/>
        <v>#DIV/0!</v>
      </c>
      <c r="R19" s="269" t="s">
        <v>46</v>
      </c>
      <c r="S19" s="282">
        <f>SUM(S20:S26)</f>
        <v>84082971.914893612</v>
      </c>
      <c r="T19" s="282">
        <f t="shared" ref="T19:AD19" si="22">SUM(T20:T26)</f>
        <v>662977662.16456115</v>
      </c>
      <c r="U19" s="282">
        <f t="shared" si="22"/>
        <v>147860350.50592902</v>
      </c>
      <c r="V19" s="282">
        <f t="shared" si="22"/>
        <v>91326354.042553201</v>
      </c>
      <c r="W19" s="282">
        <f t="shared" si="22"/>
        <v>730727438.49148631</v>
      </c>
      <c r="X19" s="282">
        <f t="shared" si="22"/>
        <v>162970477.61574036</v>
      </c>
      <c r="Y19" s="282">
        <f t="shared" si="22"/>
        <v>99661844.042553201</v>
      </c>
      <c r="Z19" s="282">
        <f t="shared" si="22"/>
        <v>829613871.05830097</v>
      </c>
      <c r="AA19" s="282">
        <f t="shared" si="22"/>
        <v>185024886.50461733</v>
      </c>
      <c r="AB19" s="282">
        <f t="shared" si="22"/>
        <v>109378803.82978722</v>
      </c>
      <c r="AC19" s="282">
        <f t="shared" si="22"/>
        <v>940223395.8705225</v>
      </c>
      <c r="AD19" s="282">
        <f t="shared" si="22"/>
        <v>209693014.68501154</v>
      </c>
      <c r="AE19" s="282">
        <f>SUM(AE20:AE26)</f>
        <v>116174141.70212765</v>
      </c>
      <c r="AF19" s="282" t="e">
        <f>SUM(AF20:AF26)</f>
        <v>#DIV/0!</v>
      </c>
      <c r="AG19" s="282" t="e">
        <f>SUM(AG20:AG26)</f>
        <v>#DIV/0!</v>
      </c>
      <c r="AI19" s="4" t="s">
        <v>46</v>
      </c>
      <c r="AJ19" s="171">
        <f>S19/COMB_CORR!$L4</f>
        <v>2.4651642517958233E-2</v>
      </c>
      <c r="AK19" s="171">
        <f>T19/COMB_CORR!$L4</f>
        <v>0.19437334281684118</v>
      </c>
      <c r="AL19" s="171">
        <f>U19/COMB_CORR!$L4</f>
        <v>4.3350043656182051E-2</v>
      </c>
      <c r="AM19" s="171">
        <f>V19/COMB_CORR!$M4</f>
        <v>2.2431686548490374E-2</v>
      </c>
      <c r="AN19" s="171">
        <f>W19/COMB_CORR!$M4</f>
        <v>0.17948213332796314</v>
      </c>
      <c r="AO19" s="171">
        <f>X19/COMB_CORR!$M4</f>
        <v>4.002900048797188E-2</v>
      </c>
      <c r="AP19" s="171">
        <f>Y19/COMB_CORR!$N4</f>
        <v>2.250540101509842E-2</v>
      </c>
      <c r="AQ19" s="171">
        <f>Z19/COMB_CORR!$N4</f>
        <v>0.18734143478103055</v>
      </c>
      <c r="AR19" s="171">
        <f>AA19/COMB_CORR!$N4</f>
        <v>4.1781880603990552E-2</v>
      </c>
      <c r="AS19" s="171">
        <f>AB19/COMB_CORR!$O4</f>
        <v>2.2949096436107149E-2</v>
      </c>
      <c r="AT19" s="171">
        <f>AC19/COMB_CORR!$O4</f>
        <v>0.197271103978197</v>
      </c>
      <c r="AU19" s="171">
        <f>AD19/COMB_CORR!$O4</f>
        <v>4.3996323304770261E-2</v>
      </c>
      <c r="AV19" s="171" t="e">
        <f>AE19/COMB_CORR!$P4</f>
        <v>#DIV/0!</v>
      </c>
      <c r="AW19" s="171" t="e">
        <f>AF19/COMB_CORR!$P4</f>
        <v>#DIV/0!</v>
      </c>
      <c r="AX19" s="171" t="e">
        <f>AG19/COMB_CORR!$P4</f>
        <v>#DIV/0!</v>
      </c>
    </row>
    <row r="20" spans="1:50" ht="15.75" thickBot="1">
      <c r="A20" s="127" t="s">
        <v>13</v>
      </c>
      <c r="B20" s="167">
        <f>DEN!H5</f>
        <v>147</v>
      </c>
      <c r="C20" s="920">
        <f>DEN!$K5*ONSV_2013!V4</f>
        <v>415.20446096654274</v>
      </c>
      <c r="D20" s="927">
        <f>DEN!$K5*ONSV_2013!U4</f>
        <v>94.795539033457246</v>
      </c>
      <c r="E20" s="923">
        <f>DEN!H41</f>
        <v>164</v>
      </c>
      <c r="F20" s="920">
        <f>DEN!$K41*ONSV_2013!V4</f>
        <v>425.7881040892193</v>
      </c>
      <c r="G20" s="927">
        <f>DEN!$K41*ONSV_2013!U4</f>
        <v>97.211895910780669</v>
      </c>
      <c r="H20" s="923">
        <f>DEN!H77</f>
        <v>203</v>
      </c>
      <c r="I20" s="920">
        <f>DEN!$K77*ONSV_2013!V4</f>
        <v>520.22676579925644</v>
      </c>
      <c r="J20" s="927">
        <f>DEN!$K77*ONSV_2013!U4</f>
        <v>118.77323420074349</v>
      </c>
      <c r="K20" s="170">
        <f>DEN!H113</f>
        <v>244</v>
      </c>
      <c r="L20" s="936">
        <f>DEN!$K113*ONSV_2013!V4</f>
        <v>586.1710037174721</v>
      </c>
      <c r="M20" s="937">
        <f>DEN!$K113*ONSV_2013!U4</f>
        <v>133.82899628252787</v>
      </c>
      <c r="N20" s="170">
        <f>DEN!H149</f>
        <v>273</v>
      </c>
      <c r="O20" s="168" t="e">
        <f>DEN!$K149*DIST_DSL_ONI!$K$2</f>
        <v>#DIV/0!</v>
      </c>
      <c r="P20" s="169" t="e">
        <f>DEN!$K149*DIST_DSL_ONI!$K$3</f>
        <v>#DIV/0!</v>
      </c>
      <c r="R20" s="127" t="s">
        <v>13</v>
      </c>
      <c r="S20" s="167">
        <f>B$9*B20/B$17</f>
        <v>1372135.5319148935</v>
      </c>
      <c r="T20" s="167">
        <f t="shared" ref="T20:AD20" si="23">C$9*C20/C$17</f>
        <v>15689746.171003716</v>
      </c>
      <c r="U20" s="167">
        <f t="shared" si="23"/>
        <v>3501203.062545788</v>
      </c>
      <c r="V20" s="167">
        <f t="shared" si="23"/>
        <v>1530817.8723404254</v>
      </c>
      <c r="W20" s="167">
        <f t="shared" si="23"/>
        <v>16089680.877323419</v>
      </c>
      <c r="X20" s="167">
        <f t="shared" si="23"/>
        <v>3590449.4151204848</v>
      </c>
      <c r="Y20" s="167">
        <f t="shared" si="23"/>
        <v>1894853.8297872341</v>
      </c>
      <c r="Z20" s="167">
        <f t="shared" si="23"/>
        <v>19658329.026022304</v>
      </c>
      <c r="AA20" s="167">
        <f t="shared" si="23"/>
        <v>4386801.484248546</v>
      </c>
      <c r="AB20" s="167">
        <f t="shared" si="23"/>
        <v>2277558.2978723403</v>
      </c>
      <c r="AC20" s="167">
        <f t="shared" si="23"/>
        <v>22150229.888475835</v>
      </c>
      <c r="AD20" s="167">
        <f t="shared" si="23"/>
        <v>4942874.9118293477</v>
      </c>
      <c r="AE20" s="167">
        <f t="shared" ref="AE20:AE26" si="24">N$9*N20/N$17</f>
        <v>2548251.7021276597</v>
      </c>
      <c r="AF20" s="167" t="e">
        <f t="shared" ref="AF20:AF26" si="25">O$9*O20/O$17</f>
        <v>#DIV/0!</v>
      </c>
      <c r="AG20" s="167" t="e">
        <f t="shared" ref="AG20:AG26" si="26">P$9*P20/P$17</f>
        <v>#DIV/0!</v>
      </c>
      <c r="AI20" s="127" t="s">
        <v>13</v>
      </c>
      <c r="AJ20" s="171">
        <f>S20/COMB_CORR!$L5</f>
        <v>1.2252423783292001E-2</v>
      </c>
      <c r="AK20" s="171">
        <f>T20/COMB_CORR!$L5</f>
        <v>0.14010089722779953</v>
      </c>
      <c r="AL20" s="171">
        <f>U20/COMB_CORR!$L5</f>
        <v>3.1263838502748983E-2</v>
      </c>
      <c r="AM20" s="171">
        <f>V20/COMB_CORR!$M5</f>
        <v>1.1437550851513578E-2</v>
      </c>
      <c r="AN20" s="171">
        <f>W20/COMB_CORR!$M5</f>
        <v>0.1202145248916248</v>
      </c>
      <c r="AO20" s="171">
        <f>X20/COMB_CORR!$M5</f>
        <v>2.6826148627624218E-2</v>
      </c>
      <c r="AP20" s="171">
        <f>Y20/COMB_CORR!$N5</f>
        <v>1.3728949724683118E-2</v>
      </c>
      <c r="AQ20" s="171">
        <f>Z20/COMB_CORR!$N5</f>
        <v>0.14243220591840786</v>
      </c>
      <c r="AR20" s="171">
        <f>AA20/COMB_CORR!$N5</f>
        <v>3.1784075416612025E-2</v>
      </c>
      <c r="AS20" s="171">
        <f>AB20/COMB_CORR!$O5</f>
        <v>1.2056938069041184E-2</v>
      </c>
      <c r="AT20" s="171">
        <f>AC20/COMB_CORR!$O5</f>
        <v>0.11725888651450335</v>
      </c>
      <c r="AU20" s="171">
        <f>AD20/COMB_CORR!$O5</f>
        <v>2.6166591103559216E-2</v>
      </c>
      <c r="AV20" s="171" t="e">
        <f>AE20/COMB_CORR!$P5</f>
        <v>#DIV/0!</v>
      </c>
      <c r="AW20" s="171" t="e">
        <f>AF20/COMB_CORR!$P5</f>
        <v>#DIV/0!</v>
      </c>
      <c r="AX20" s="171" t="e">
        <f>AG20/COMB_CORR!$P5</f>
        <v>#DIV/0!</v>
      </c>
    </row>
    <row r="21" spans="1:50" ht="15.75" thickBot="1">
      <c r="A21" s="127" t="s">
        <v>14</v>
      </c>
      <c r="B21" s="167">
        <f>DEN!H6</f>
        <v>267</v>
      </c>
      <c r="C21" s="920">
        <f>DEN!$K6*ONSV_2013!V5</f>
        <v>430.11864406779659</v>
      </c>
      <c r="D21" s="927">
        <f>DEN!$K6*ONSV_2013!U5</f>
        <v>97.881355932203391</v>
      </c>
      <c r="E21" s="167">
        <f>DEN!H42</f>
        <v>296</v>
      </c>
      <c r="F21" s="920">
        <f>DEN!$K42*ONSV_2013!V5</f>
        <v>455.3718220338983</v>
      </c>
      <c r="G21" s="927">
        <f>DEN!$K42*ONSV_2013!U5</f>
        <v>103.6281779661017</v>
      </c>
      <c r="H21" s="167">
        <f>DEN!H78</f>
        <v>327</v>
      </c>
      <c r="I21" s="920">
        <f>DEN!$K78*ONSV_2013!V5</f>
        <v>534.38983050847457</v>
      </c>
      <c r="J21" s="927">
        <f>DEN!$K78*ONSV_2013!U5</f>
        <v>121.61016949152543</v>
      </c>
      <c r="K21" s="170">
        <f>DEN!H114</f>
        <v>373</v>
      </c>
      <c r="L21" s="936">
        <f>DEN!$K114*ONSV_2013!V5</f>
        <v>616.66631355932202</v>
      </c>
      <c r="M21" s="937">
        <f>DEN!$K114*ONSV_2013!U5</f>
        <v>140.33368644067798</v>
      </c>
      <c r="N21" s="170">
        <f>DEN!H150</f>
        <v>395</v>
      </c>
      <c r="O21" s="168" t="e">
        <f>DEN!$K150*DIST_DSL_ONI!$K$2</f>
        <v>#DIV/0!</v>
      </c>
      <c r="P21" s="169" t="e">
        <f>DEN!$K150*DIST_DSL_ONI!$K$3</f>
        <v>#DIV/0!</v>
      </c>
      <c r="R21" s="127" t="s">
        <v>14</v>
      </c>
      <c r="S21" s="167">
        <f t="shared" ref="S21:S26" si="27">B$9*B21/B$17</f>
        <v>2492246.1702127657</v>
      </c>
      <c r="T21" s="167">
        <f t="shared" ref="T21:T26" si="28">C$9*C21/C$17</f>
        <v>16253323.322033897</v>
      </c>
      <c r="U21" s="167">
        <f t="shared" ref="U21:U26" si="29">D$9*D21/D$17</f>
        <v>3615175.4254491976</v>
      </c>
      <c r="V21" s="167">
        <f t="shared" ref="V21:V26" si="30">E$9*E21/E$17</f>
        <v>2762939.5744680851</v>
      </c>
      <c r="W21" s="167">
        <f t="shared" ref="W21:W26" si="31">F$9*F21/F$17</f>
        <v>17207590.411016949</v>
      </c>
      <c r="X21" s="167">
        <f t="shared" ref="X21:X26" si="32">G$9*G21/G$17</f>
        <v>3827430.0432312535</v>
      </c>
      <c r="Y21" s="167">
        <f t="shared" ref="Y21:Y26" si="33">H$9*H21/H$17</f>
        <v>3052301.489361702</v>
      </c>
      <c r="Z21" s="167">
        <f t="shared" ref="Z21:Z26" si="34">I$9*I21/I$17</f>
        <v>20193522.915254239</v>
      </c>
      <c r="AA21" s="167">
        <f t="shared" ref="AA21:AA26" si="35">J$9*J21/J$17</f>
        <v>4491581.589194458</v>
      </c>
      <c r="AB21" s="167">
        <f t="shared" ref="AB21:AB26" si="36">K$9*K21/K$17</f>
        <v>3481677.2340425532</v>
      </c>
      <c r="AC21" s="167">
        <f t="shared" ref="AC21:AC26" si="37">L$9*L21/L$17</f>
        <v>23302586.656779662</v>
      </c>
      <c r="AD21" s="167">
        <f t="shared" ref="AD21:AD26" si="38">M$9*M21/M$17</f>
        <v>5183120.8277747035</v>
      </c>
      <c r="AE21" s="167">
        <f t="shared" si="24"/>
        <v>3687030.8510638298</v>
      </c>
      <c r="AF21" s="167" t="e">
        <f t="shared" si="25"/>
        <v>#DIV/0!</v>
      </c>
      <c r="AG21" s="167" t="e">
        <f t="shared" si="26"/>
        <v>#DIV/0!</v>
      </c>
      <c r="AI21" s="127" t="s">
        <v>14</v>
      </c>
      <c r="AJ21" s="171">
        <f>S21/COMB_CORR!$L6</f>
        <v>8.9216482097254721E-3</v>
      </c>
      <c r="AK21" s="171">
        <f>T21/COMB_CORR!$L6</f>
        <v>5.8183029690736222E-2</v>
      </c>
      <c r="AL21" s="171">
        <f>U21/COMB_CORR!$L6</f>
        <v>1.2941467720080339E-2</v>
      </c>
      <c r="AM21" s="171">
        <f>V21/COMB_CORR!$M6</f>
        <v>9.2685165083598656E-3</v>
      </c>
      <c r="AN21" s="171">
        <f>W21/COMB_CORR!$M6</f>
        <v>5.7724330009754181E-2</v>
      </c>
      <c r="AO21" s="171">
        <f>X21/COMB_CORR!$M6</f>
        <v>1.2839440597288806E-2</v>
      </c>
      <c r="AP21" s="171">
        <f>Y21/COMB_CORR!$N6</f>
        <v>8.8187080396722236E-3</v>
      </c>
      <c r="AQ21" s="171">
        <f>Z21/COMB_CORR!$N6</f>
        <v>5.8343116989828588E-2</v>
      </c>
      <c r="AR21" s="171">
        <f>AA21/COMB_CORR!$N6</f>
        <v>1.2977075432923943E-2</v>
      </c>
      <c r="AS21" s="171">
        <f>AB21/COMB_CORR!$O6</f>
        <v>7.9981838350481494E-3</v>
      </c>
      <c r="AT21" s="171">
        <f>AC21/COMB_CORR!$O6</f>
        <v>5.3531203320837717E-2</v>
      </c>
      <c r="AU21" s="171">
        <f>AD21/COMB_CORR!$O6</f>
        <v>1.1906776657661412E-2</v>
      </c>
      <c r="AV21" s="171" t="e">
        <f>AE21/COMB_CORR!$P6</f>
        <v>#DIV/0!</v>
      </c>
      <c r="AW21" s="171" t="e">
        <f>AF21/COMB_CORR!$P6</f>
        <v>#DIV/0!</v>
      </c>
      <c r="AX21" s="171" t="e">
        <f>AG21/COMB_CORR!$P6</f>
        <v>#DIV/0!</v>
      </c>
    </row>
    <row r="22" spans="1:50" ht="15.75" thickBot="1">
      <c r="A22" s="127" t="s">
        <v>15</v>
      </c>
      <c r="B22" s="167">
        <f>DEN!H7</f>
        <v>2258</v>
      </c>
      <c r="C22" s="920">
        <f>DEN!$K7*ONSV_2013!V6</f>
        <v>4665.5308612151221</v>
      </c>
      <c r="D22" s="927">
        <f>DEN!$K7*ONSV_2013!U6</f>
        <v>1064.4691387848773</v>
      </c>
      <c r="E22" s="167">
        <f>DEN!H43</f>
        <v>2439</v>
      </c>
      <c r="F22" s="920">
        <f>DEN!$K43*ONSV_2013!V6</f>
        <v>4899.2145186616735</v>
      </c>
      <c r="G22" s="927">
        <f>DEN!$K43*ONSV_2013!U6</f>
        <v>1117.7854813383258</v>
      </c>
      <c r="H22" s="167">
        <f>DEN!H79</f>
        <v>2630</v>
      </c>
      <c r="I22" s="920">
        <f>DEN!$K79*ONSV_2013!V6</f>
        <v>5370.6529774127303</v>
      </c>
      <c r="J22" s="927">
        <f>DEN!$K79*ONSV_2013!U6</f>
        <v>1225.3470225872691</v>
      </c>
      <c r="K22" s="170">
        <f>DEN!H115</f>
        <v>2968</v>
      </c>
      <c r="L22" s="936">
        <f>DEN!$K115*ONSV_2013!V6</f>
        <v>6340.3994443773399</v>
      </c>
      <c r="M22" s="937">
        <f>DEN!$K115*ONSV_2013!U6</f>
        <v>1446.6005556226596</v>
      </c>
      <c r="N22" s="170">
        <f>DEN!H151</f>
        <v>3136</v>
      </c>
      <c r="O22" s="168" t="e">
        <f>DEN!$K151*DIST_DSL_ONI!$K$2</f>
        <v>#DIV/0!</v>
      </c>
      <c r="P22" s="169" t="e">
        <f>DEN!$K151*DIST_DSL_ONI!$K$3</f>
        <v>#DIV/0!</v>
      </c>
      <c r="R22" s="127" t="s">
        <v>15</v>
      </c>
      <c r="S22" s="167">
        <f t="shared" si="27"/>
        <v>21076748.510638297</v>
      </c>
      <c r="T22" s="167">
        <f t="shared" si="28"/>
        <v>176301080.18359703</v>
      </c>
      <c r="U22" s="167">
        <f t="shared" si="29"/>
        <v>39315379.676080592</v>
      </c>
      <c r="V22" s="167">
        <f t="shared" si="30"/>
        <v>22766248.723404255</v>
      </c>
      <c r="W22" s="167">
        <f t="shared" si="31"/>
        <v>185131518.23118731</v>
      </c>
      <c r="X22" s="167">
        <f t="shared" si="32"/>
        <v>41284579.321287423</v>
      </c>
      <c r="Y22" s="167">
        <f t="shared" si="33"/>
        <v>24549091.4893617</v>
      </c>
      <c r="Z22" s="167">
        <f t="shared" si="34"/>
        <v>202946234.71047226</v>
      </c>
      <c r="AA22" s="167">
        <f t="shared" si="35"/>
        <v>45257285.225729086</v>
      </c>
      <c r="AB22" s="167">
        <f t="shared" si="36"/>
        <v>27704069.787234042</v>
      </c>
      <c r="AC22" s="167">
        <f t="shared" si="37"/>
        <v>239591014.20413092</v>
      </c>
      <c r="AD22" s="167">
        <f t="shared" si="38"/>
        <v>53429120.687197134</v>
      </c>
      <c r="AE22" s="167">
        <f t="shared" si="24"/>
        <v>29272224.680851061</v>
      </c>
      <c r="AF22" s="167" t="e">
        <f t="shared" si="25"/>
        <v>#DIV/0!</v>
      </c>
      <c r="AG22" s="167" t="e">
        <f t="shared" si="26"/>
        <v>#DIV/0!</v>
      </c>
      <c r="AI22" s="127" t="s">
        <v>15</v>
      </c>
      <c r="AJ22" s="171">
        <f>S22/COMB_CORR!$L7</f>
        <v>3.1401792685785683E-2</v>
      </c>
      <c r="AK22" s="171">
        <f>T22/COMB_CORR!$L7</f>
        <v>0.26266717408574958</v>
      </c>
      <c r="AL22" s="171">
        <f>U22/COMB_CORR!$L7</f>
        <v>5.8575135596844789E-2</v>
      </c>
      <c r="AM22" s="171">
        <f>V22/COMB_CORR!$M7</f>
        <v>2.4185520256270982E-2</v>
      </c>
      <c r="AN22" s="171">
        <f>W22/COMB_CORR!$M7</f>
        <v>0.19667280888711372</v>
      </c>
      <c r="AO22" s="171">
        <f>X22/COMB_CORR!$M7</f>
        <v>4.3858302769931183E-2</v>
      </c>
      <c r="AP22" s="171">
        <f>Y22/COMB_CORR!$N7</f>
        <v>2.2064413120933053E-2</v>
      </c>
      <c r="AQ22" s="171">
        <f>Z22/COMB_CORR!$N7</f>
        <v>0.18240551044140219</v>
      </c>
      <c r="AR22" s="171">
        <f>AA22/COMB_CORR!$N7</f>
        <v>4.0676675891860074E-2</v>
      </c>
      <c r="AS22" s="171">
        <f>AB22/COMB_CORR!$O7</f>
        <v>2.5245594581046502E-2</v>
      </c>
      <c r="AT22" s="171">
        <f>AC22/COMB_CORR!$O7</f>
        <v>0.21832956877138787</v>
      </c>
      <c r="AU22" s="171">
        <f>AD22/COMB_CORR!$O7</f>
        <v>4.8687789557631346E-2</v>
      </c>
      <c r="AV22" s="171" t="e">
        <f>AE22/COMB_CORR!$P7</f>
        <v>#DIV/0!</v>
      </c>
      <c r="AW22" s="171" t="e">
        <f>AF22/COMB_CORR!$P7</f>
        <v>#DIV/0!</v>
      </c>
      <c r="AX22" s="171" t="e">
        <f>AG22/COMB_CORR!$P7</f>
        <v>#DIV/0!</v>
      </c>
    </row>
    <row r="23" spans="1:50" ht="15.75" thickBot="1">
      <c r="A23" s="127" t="s">
        <v>16</v>
      </c>
      <c r="B23" s="167">
        <f>DEN!H8</f>
        <v>4216</v>
      </c>
      <c r="C23" s="920">
        <f>DEN!$K8*ONSV_2013!V7</f>
        <v>7181.178222033177</v>
      </c>
      <c r="D23" s="927">
        <f>DEN!$K8*ONSV_2013!U7</f>
        <v>1638.8217779668225</v>
      </c>
      <c r="E23" s="167">
        <f>DEN!H44</f>
        <v>4604</v>
      </c>
      <c r="F23" s="920">
        <f>DEN!$K44*ONSV_2013!V7</f>
        <v>7907.437969658301</v>
      </c>
      <c r="G23" s="927">
        <f>DEN!$K44*ONSV_2013!U7</f>
        <v>1804.5620303416986</v>
      </c>
      <c r="H23" s="167">
        <f>DEN!H80</f>
        <v>5015</v>
      </c>
      <c r="I23" s="920">
        <f>DEN!$K80*ONSV_2013!V7</f>
        <v>9044.0507585424639</v>
      </c>
      <c r="J23" s="927">
        <f>DEN!$K80*ONSV_2013!U7</f>
        <v>2063.9492414575357</v>
      </c>
      <c r="K23" s="170">
        <f>DEN!H116</f>
        <v>5439</v>
      </c>
      <c r="L23" s="936">
        <f>DEN!$K116*ONSV_2013!V7</f>
        <v>10150.538423365942</v>
      </c>
      <c r="M23" s="937">
        <f>DEN!$K116*ONSV_2013!U7</f>
        <v>2316.4615766340562</v>
      </c>
      <c r="N23" s="170">
        <f>DEN!H152</f>
        <v>5744</v>
      </c>
      <c r="O23" s="168" t="e">
        <f>DEN!$K152*DIST_DSL_ONI!$K$2</f>
        <v>#DIV/0!</v>
      </c>
      <c r="P23" s="169" t="e">
        <f>DEN!$K152*DIST_DSL_ONI!$K$3</f>
        <v>#DIV/0!</v>
      </c>
      <c r="R23" s="127" t="s">
        <v>16</v>
      </c>
      <c r="S23" s="167">
        <f t="shared" si="27"/>
        <v>39353220.425531916</v>
      </c>
      <c r="T23" s="167">
        <f t="shared" si="28"/>
        <v>271362362.65418971</v>
      </c>
      <c r="U23" s="167">
        <f t="shared" si="29"/>
        <v>60528669.244225197</v>
      </c>
      <c r="V23" s="167">
        <f t="shared" si="30"/>
        <v>42974911.489361703</v>
      </c>
      <c r="W23" s="167">
        <f t="shared" si="31"/>
        <v>298806265.99744791</v>
      </c>
      <c r="X23" s="167">
        <f t="shared" si="32"/>
        <v>66650162.77776815</v>
      </c>
      <c r="Y23" s="167">
        <f t="shared" si="33"/>
        <v>46811290.425531916</v>
      </c>
      <c r="Z23" s="167">
        <f t="shared" si="34"/>
        <v>341756590.06380266</v>
      </c>
      <c r="AA23" s="167">
        <f t="shared" si="35"/>
        <v>76230437.410981119</v>
      </c>
      <c r="AB23" s="167">
        <f t="shared" si="36"/>
        <v>50769014.680851065</v>
      </c>
      <c r="AC23" s="167">
        <f t="shared" si="37"/>
        <v>383568545.94215226</v>
      </c>
      <c r="AD23" s="167">
        <f t="shared" si="38"/>
        <v>85556793.590448469</v>
      </c>
      <c r="AE23" s="167">
        <f t="shared" si="24"/>
        <v>53615962.55319149</v>
      </c>
      <c r="AF23" s="167" t="e">
        <f t="shared" si="25"/>
        <v>#DIV/0!</v>
      </c>
      <c r="AG23" s="167" t="e">
        <f t="shared" si="26"/>
        <v>#DIV/0!</v>
      </c>
      <c r="AI23" s="127" t="s">
        <v>16</v>
      </c>
      <c r="AJ23" s="171">
        <f>S23/COMB_CORR!$L8</f>
        <v>3.2352120349269875E-2</v>
      </c>
      <c r="AK23" s="171">
        <f>T23/COMB_CORR!$L8</f>
        <v>0.22308588013688335</v>
      </c>
      <c r="AL23" s="171">
        <f>U23/COMB_CORR!$L8</f>
        <v>4.9760369565583155E-2</v>
      </c>
      <c r="AM23" s="171">
        <f>V23/COMB_CORR!$M8</f>
        <v>3.1242720951263528E-2</v>
      </c>
      <c r="AN23" s="171">
        <f>W23/COMB_CORR!$M8</f>
        <v>0.2172318793340218</v>
      </c>
      <c r="AO23" s="171">
        <f>X23/COMB_CORR!$M8</f>
        <v>4.8454606766033158E-2</v>
      </c>
      <c r="AP23" s="171">
        <f>Y23/COMB_CORR!$N8</f>
        <v>3.0567441217292796E-2</v>
      </c>
      <c r="AQ23" s="171">
        <f>Z23/COMB_CORR!$N8</f>
        <v>0.22316463362650429</v>
      </c>
      <c r="AR23" s="171">
        <f>AA23/COMB_CORR!$N8</f>
        <v>4.9777935907055385E-2</v>
      </c>
      <c r="AS23" s="171">
        <f>AB23/COMB_CORR!$O8</f>
        <v>2.9895194610323559E-2</v>
      </c>
      <c r="AT23" s="171">
        <f>AC23/COMB_CORR!$O8</f>
        <v>0.22586328293790023</v>
      </c>
      <c r="AU23" s="171">
        <f>AD23/COMB_CORR!$O8</f>
        <v>5.0379882507084806E-2</v>
      </c>
      <c r="AV23" s="171" t="e">
        <f>AE23/COMB_CORR!$P8</f>
        <v>#DIV/0!</v>
      </c>
      <c r="AW23" s="171" t="e">
        <f>AF23/COMB_CORR!$P8</f>
        <v>#DIV/0!</v>
      </c>
      <c r="AX23" s="171" t="e">
        <f>AG23/COMB_CORR!$P8</f>
        <v>#DIV/0!</v>
      </c>
    </row>
    <row r="24" spans="1:50" ht="15.75" thickBot="1">
      <c r="A24" s="127" t="s">
        <v>17</v>
      </c>
      <c r="B24" s="167">
        <f>DEN!H9</f>
        <v>612</v>
      </c>
      <c r="C24" s="920">
        <f>DEN!$K9*ONSV_2013!V8</f>
        <v>2457.0992046881538</v>
      </c>
      <c r="D24" s="927">
        <f>DEN!$K9*ONSV_2013!U8</f>
        <v>560.90079531184597</v>
      </c>
      <c r="E24" s="167">
        <f>DEN!H45</f>
        <v>698</v>
      </c>
      <c r="F24" s="920">
        <f>DEN!$K45*ONSV_2013!V8</f>
        <v>2786.8292172457095</v>
      </c>
      <c r="G24" s="927">
        <f>DEN!$K45*ONSV_2013!U8</f>
        <v>636.17078275429049</v>
      </c>
      <c r="H24" s="167">
        <f>DEN!H81</f>
        <v>797</v>
      </c>
      <c r="I24" s="920">
        <f>DEN!$K81*ONSV_2013!V8</f>
        <v>3231.3541230640435</v>
      </c>
      <c r="J24" s="927">
        <f>DEN!$K81*ONSV_2013!U8</f>
        <v>737.64587693595638</v>
      </c>
      <c r="K24" s="170">
        <f>DEN!H117</f>
        <v>896</v>
      </c>
      <c r="L24" s="936">
        <f>DEN!$K117*ONSV_2013!V8</f>
        <v>3602.6056927584764</v>
      </c>
      <c r="M24" s="937">
        <f>DEN!$K117*ONSV_2013!U8</f>
        <v>822.39430724152362</v>
      </c>
      <c r="N24" s="170">
        <f>DEN!H153</f>
        <v>972</v>
      </c>
      <c r="O24" s="168" t="e">
        <f>DEN!$K153*DIST_DSL_ONI!$K$2</f>
        <v>#DIV/0!</v>
      </c>
      <c r="P24" s="169" t="e">
        <f>DEN!$K153*DIST_DSL_ONI!$K$3</f>
        <v>#DIV/0!</v>
      </c>
      <c r="R24" s="127" t="s">
        <v>17</v>
      </c>
      <c r="S24" s="167">
        <f t="shared" si="27"/>
        <v>5712564.2553191483</v>
      </c>
      <c r="T24" s="167">
        <f t="shared" si="28"/>
        <v>92848864.746755958</v>
      </c>
      <c r="U24" s="167">
        <f t="shared" si="29"/>
        <v>20716455.672424499</v>
      </c>
      <c r="V24" s="167">
        <f t="shared" si="30"/>
        <v>6515310.2127659572</v>
      </c>
      <c r="W24" s="167">
        <f t="shared" si="31"/>
        <v>105308702.46128087</v>
      </c>
      <c r="X24" s="167">
        <f t="shared" si="32"/>
        <v>23496496.940592796</v>
      </c>
      <c r="Y24" s="167">
        <f t="shared" si="33"/>
        <v>7439401.4893617015</v>
      </c>
      <c r="Z24" s="167">
        <f t="shared" si="34"/>
        <v>122106409.60234408</v>
      </c>
      <c r="AA24" s="167">
        <f t="shared" si="35"/>
        <v>27244404.428049311</v>
      </c>
      <c r="AB24" s="167">
        <f t="shared" si="36"/>
        <v>8363492.7659574468</v>
      </c>
      <c r="AC24" s="167">
        <f t="shared" si="37"/>
        <v>136135263.91795731</v>
      </c>
      <c r="AD24" s="167">
        <f t="shared" si="38"/>
        <v>30374524.967023991</v>
      </c>
      <c r="AE24" s="167">
        <f t="shared" si="24"/>
        <v>9072896.1702127662</v>
      </c>
      <c r="AF24" s="167" t="e">
        <f t="shared" si="25"/>
        <v>#DIV/0!</v>
      </c>
      <c r="AG24" s="167" t="e">
        <f t="shared" si="26"/>
        <v>#DIV/0!</v>
      </c>
      <c r="AI24" s="127" t="s">
        <v>17</v>
      </c>
      <c r="AJ24" s="171">
        <f>S24/COMB_CORR!$L9</f>
        <v>9.2224707636122446E-3</v>
      </c>
      <c r="AK24" s="171">
        <f>T24/COMB_CORR!$L9</f>
        <v>0.1498969468508333</v>
      </c>
      <c r="AL24" s="171">
        <f>U24/COMB_CORR!$L9</f>
        <v>3.3445034178251017E-2</v>
      </c>
      <c r="AM24" s="171">
        <f>V24/COMB_CORR!$M9</f>
        <v>9.7078536949536474E-3</v>
      </c>
      <c r="AN24" s="171">
        <f>W24/COMB_CORR!$M9</f>
        <v>0.15691063708622885</v>
      </c>
      <c r="AO24" s="171">
        <f>X24/COMB_CORR!$M9</f>
        <v>3.5009930025475311E-2</v>
      </c>
      <c r="AP24" s="171">
        <f>Y24/COMB_CORR!$N9</f>
        <v>1.0980656499073239E-2</v>
      </c>
      <c r="AQ24" s="171">
        <f>Z24/COMB_CORR!$N9</f>
        <v>0.18023070029166011</v>
      </c>
      <c r="AR24" s="171">
        <f>AA24/COMB_CORR!$N9</f>
        <v>4.0213106790114563E-2</v>
      </c>
      <c r="AS24" s="171">
        <f>AB24/COMB_CORR!$O9</f>
        <v>1.2591752388418736E-2</v>
      </c>
      <c r="AT24" s="171">
        <f>AC24/COMB_CORR!$O9</f>
        <v>0.20496000684837271</v>
      </c>
      <c r="AU24" s="171">
        <f>AD24/COMB_CORR!$O9</f>
        <v>4.5730714188861273E-2</v>
      </c>
      <c r="AV24" s="171" t="e">
        <f>AE24/COMB_CORR!$P9</f>
        <v>#DIV/0!</v>
      </c>
      <c r="AW24" s="171" t="e">
        <f>AF24/COMB_CORR!$P9</f>
        <v>#DIV/0!</v>
      </c>
      <c r="AX24" s="171" t="e">
        <f>AG24/COMB_CORR!$P9</f>
        <v>#DIV/0!</v>
      </c>
    </row>
    <row r="25" spans="1:50" ht="15.75" thickBot="1">
      <c r="A25" s="127" t="s">
        <v>18</v>
      </c>
      <c r="B25" s="167">
        <f>DEN!H10</f>
        <v>352</v>
      </c>
      <c r="C25" s="920">
        <f>DEN!$K10*ONSV_2013!V9</f>
        <v>469.00763358778624</v>
      </c>
      <c r="D25" s="927">
        <f>DEN!$K10*ONSV_2013!U9</f>
        <v>106.99236641221374</v>
      </c>
      <c r="E25" s="167">
        <f>DEN!H46</f>
        <v>392</v>
      </c>
      <c r="F25" s="920">
        <f>DEN!$K46*ONSV_2013!V9</f>
        <v>490.17811704834605</v>
      </c>
      <c r="G25" s="927">
        <f>DEN!$K46*ONSV_2013!U9</f>
        <v>111.82188295165395</v>
      </c>
      <c r="H25" s="167">
        <f>DEN!H82</f>
        <v>438</v>
      </c>
      <c r="I25" s="920">
        <f>DEN!$K82*ONSV_2013!V9</f>
        <v>550.43256997455467</v>
      </c>
      <c r="J25" s="927">
        <f>DEN!$K82*ONSV_2013!U9</f>
        <v>125.56743002544529</v>
      </c>
      <c r="K25" s="170">
        <f>DEN!H118</f>
        <v>481</v>
      </c>
      <c r="L25" s="936">
        <f>DEN!$K118*ONSV_2013!V9</f>
        <v>596.03053435114498</v>
      </c>
      <c r="M25" s="937">
        <f>DEN!$K118*ONSV_2013!U9</f>
        <v>135.96946564885496</v>
      </c>
      <c r="N25" s="170">
        <f>DEN!H154</f>
        <v>541</v>
      </c>
      <c r="O25" s="168" t="e">
        <f>DEN!$K154*DIST_DSL_ONI!$K$2</f>
        <v>#DIV/0!</v>
      </c>
      <c r="P25" s="169" t="e">
        <f>DEN!$K154*DIST_DSL_ONI!$K$3</f>
        <v>#DIV/0!</v>
      </c>
      <c r="R25" s="127" t="s">
        <v>18</v>
      </c>
      <c r="S25" s="167">
        <f t="shared" si="27"/>
        <v>3285657.8723404254</v>
      </c>
      <c r="T25" s="167">
        <f t="shared" si="28"/>
        <v>17722860.458015267</v>
      </c>
      <c r="U25" s="167">
        <f t="shared" si="29"/>
        <v>3951683.8531742659</v>
      </c>
      <c r="V25" s="167">
        <f t="shared" si="30"/>
        <v>3659028.0851063826</v>
      </c>
      <c r="W25" s="167">
        <f t="shared" si="31"/>
        <v>18522850.687022898</v>
      </c>
      <c r="X25" s="167">
        <f t="shared" si="32"/>
        <v>4130058.4715467156</v>
      </c>
      <c r="Y25" s="167">
        <f t="shared" si="33"/>
        <v>4088403.8297872338</v>
      </c>
      <c r="Z25" s="167">
        <f t="shared" si="34"/>
        <v>20799745.954198472</v>
      </c>
      <c r="AA25" s="167">
        <f t="shared" si="35"/>
        <v>4637740.0776836872</v>
      </c>
      <c r="AB25" s="167">
        <f t="shared" si="36"/>
        <v>4489776.8085106378</v>
      </c>
      <c r="AC25" s="167">
        <f t="shared" si="37"/>
        <v>22522801.832061067</v>
      </c>
      <c r="AD25" s="167">
        <f t="shared" si="38"/>
        <v>5021931.5634089634</v>
      </c>
      <c r="AE25" s="167">
        <f t="shared" si="24"/>
        <v>5049832.1276595742</v>
      </c>
      <c r="AF25" s="167" t="e">
        <f t="shared" si="25"/>
        <v>#DIV/0!</v>
      </c>
      <c r="AG25" s="167" t="e">
        <f t="shared" si="26"/>
        <v>#DIV/0!</v>
      </c>
      <c r="AI25" s="127" t="s">
        <v>18</v>
      </c>
      <c r="AJ25" s="171">
        <f>S25/COMB_CORR!$L10</f>
        <v>6.103169283954759E-2</v>
      </c>
      <c r="AK25" s="171">
        <f>T25/COMB_CORR!$L10</f>
        <v>0.32920535787290323</v>
      </c>
      <c r="AL25" s="171">
        <f>U25/COMB_CORR!$L10</f>
        <v>7.3403246624134014E-2</v>
      </c>
      <c r="AM25" s="171">
        <f>V25/COMB_CORR!$M10</f>
        <v>3.0357661180860876E-2</v>
      </c>
      <c r="AN25" s="171">
        <f>W25/COMB_CORR!$M10</f>
        <v>0.15367753736275808</v>
      </c>
      <c r="AO25" s="171">
        <f>X25/COMB_CORR!$M10</f>
        <v>3.4265633610930338E-2</v>
      </c>
      <c r="AP25" s="171">
        <f>Y25/COMB_CORR!$N10</f>
        <v>6.0368969672549358E-2</v>
      </c>
      <c r="AQ25" s="171">
        <f>Z25/COMB_CORR!$N10</f>
        <v>0.30712700725825437</v>
      </c>
      <c r="AR25" s="171">
        <f>AA25/COMB_CORR!$N10</f>
        <v>6.8480414791467284E-2</v>
      </c>
      <c r="AS25" s="171">
        <f>AB25/COMB_CORR!$O10</f>
        <v>6.7773232677489886E-2</v>
      </c>
      <c r="AT25" s="171">
        <f>AC25/COMB_CORR!$O10</f>
        <v>0.33998195327211073</v>
      </c>
      <c r="AU25" s="171">
        <f>AD25/COMB_CORR!$O10</f>
        <v>7.5806114836752647E-2</v>
      </c>
      <c r="AV25" s="171" t="e">
        <f>AE25/COMB_CORR!$P10</f>
        <v>#DIV/0!</v>
      </c>
      <c r="AW25" s="171" t="e">
        <f>AF25/COMB_CORR!$P10</f>
        <v>#DIV/0!</v>
      </c>
      <c r="AX25" s="171" t="e">
        <f>AG25/COMB_CORR!$P10</f>
        <v>#DIV/0!</v>
      </c>
    </row>
    <row r="26" spans="1:50" ht="15.75" thickBot="1">
      <c r="A26" s="128" t="s">
        <v>19</v>
      </c>
      <c r="B26" s="167">
        <f>DEN!H11</f>
        <v>1156</v>
      </c>
      <c r="C26" s="920">
        <f>DEN!$K11*ONSV_2013!V10</f>
        <v>1926.5222988505748</v>
      </c>
      <c r="D26" s="927">
        <f>DEN!$K11*ONSV_2013!U10</f>
        <v>439.47770114942523</v>
      </c>
      <c r="E26" s="167">
        <f>DEN!H47</f>
        <v>1191</v>
      </c>
      <c r="F26" s="920">
        <f>DEN!$K47*ONSV_2013!V10</f>
        <v>2372.7328735632186</v>
      </c>
      <c r="G26" s="927">
        <f>DEN!$K47*ONSV_2013!U10</f>
        <v>541.26712643678161</v>
      </c>
      <c r="H26" s="167">
        <f>DEN!H83</f>
        <v>1267</v>
      </c>
      <c r="I26" s="920">
        <f>DEN!$K83*ONSV_2013!V10</f>
        <v>2703.3195402298852</v>
      </c>
      <c r="J26" s="927">
        <f>DEN!$K83*ONSV_2013!U10</f>
        <v>616.68045977011491</v>
      </c>
      <c r="K26" s="170">
        <f>DEN!H119</f>
        <v>1317</v>
      </c>
      <c r="L26" s="936">
        <f>DEN!$K119*ONSV_2013!V10</f>
        <v>2989.1222988505747</v>
      </c>
      <c r="M26" s="937">
        <f>DEN!$K119*ONSV_2013!U10</f>
        <v>681.87770114942521</v>
      </c>
      <c r="N26" s="170">
        <f>DEN!H155</f>
        <v>1385</v>
      </c>
      <c r="O26" s="168" t="e">
        <f>DEN!$K155*DIST_DSL_ONI!$K$2</f>
        <v>#DIV/0!</v>
      </c>
      <c r="P26" s="169" t="e">
        <f>DEN!$K155*DIST_DSL_ONI!$K$3</f>
        <v>#DIV/0!</v>
      </c>
      <c r="R26" s="128" t="s">
        <v>19</v>
      </c>
      <c r="S26" s="167">
        <f t="shared" si="27"/>
        <v>10790399.148936169</v>
      </c>
      <c r="T26" s="167">
        <f t="shared" si="28"/>
        <v>72799424.628965512</v>
      </c>
      <c r="U26" s="167">
        <f t="shared" si="29"/>
        <v>16231783.572029475</v>
      </c>
      <c r="V26" s="167">
        <f t="shared" si="30"/>
        <v>11117098.085106382</v>
      </c>
      <c r="W26" s="167">
        <f t="shared" si="31"/>
        <v>89660829.826206908</v>
      </c>
      <c r="X26" s="167">
        <f t="shared" si="32"/>
        <v>19991300.64619353</v>
      </c>
      <c r="Y26" s="167">
        <f t="shared" si="33"/>
        <v>11826501.489361702</v>
      </c>
      <c r="Z26" s="167">
        <f t="shared" si="34"/>
        <v>102153038.7862069</v>
      </c>
      <c r="AA26" s="167">
        <f t="shared" si="35"/>
        <v>22776636.288731132</v>
      </c>
      <c r="AB26" s="167">
        <f t="shared" si="36"/>
        <v>12293214.255319148</v>
      </c>
      <c r="AC26" s="167">
        <f t="shared" si="37"/>
        <v>112952953.42896551</v>
      </c>
      <c r="AD26" s="167">
        <f t="shared" si="38"/>
        <v>25184648.137328912</v>
      </c>
      <c r="AE26" s="167">
        <f t="shared" si="24"/>
        <v>12927943.617021276</v>
      </c>
      <c r="AF26" s="167" t="e">
        <f t="shared" si="25"/>
        <v>#DIV/0!</v>
      </c>
      <c r="AG26" s="167" t="e">
        <f t="shared" si="26"/>
        <v>#DIV/0!</v>
      </c>
      <c r="AI26" s="128" t="s">
        <v>19</v>
      </c>
      <c r="AJ26" s="171">
        <f>S26/COMB_CORR!$L11</f>
        <v>2.3526052057458988E-2</v>
      </c>
      <c r="AK26" s="171">
        <f>T26/COMB_CORR!$L11</f>
        <v>0.15872286371750749</v>
      </c>
      <c r="AL26" s="171">
        <f>U26/COMB_CORR!$L11</f>
        <v>3.5389773819314345E-2</v>
      </c>
      <c r="AM26" s="171">
        <f>V26/COMB_CORR!$M11</f>
        <v>2.0941448217710261E-2</v>
      </c>
      <c r="AN26" s="171">
        <f>W26/COMB_CORR!$M11</f>
        <v>0.16889548069004703</v>
      </c>
      <c r="AO26" s="171">
        <f>X26/COMB_CORR!$M11</f>
        <v>3.765791972707358E-2</v>
      </c>
      <c r="AP26" s="171">
        <f>Y26/COMB_CORR!$N11</f>
        <v>2.1310078702701574E-2</v>
      </c>
      <c r="AQ26" s="171">
        <f>Z26/COMB_CORR!$N11</f>
        <v>0.18406874579201413</v>
      </c>
      <c r="AR26" s="171">
        <f>AA26/COMB_CORR!$N11</f>
        <v>4.1041039256814529E-2</v>
      </c>
      <c r="AS26" s="171">
        <f>AB26/COMB_CORR!$O11</f>
        <v>1.9960626244833659E-2</v>
      </c>
      <c r="AT26" s="171">
        <f>AC26/COMB_CORR!$O11</f>
        <v>0.18340294408113286</v>
      </c>
      <c r="AU26" s="171">
        <f>AD26/COMB_CORR!$O11</f>
        <v>4.0892588230889648E-2</v>
      </c>
      <c r="AV26" s="171" t="e">
        <f>AE26/COMB_CORR!$P11</f>
        <v>#DIV/0!</v>
      </c>
      <c r="AW26" s="171" t="e">
        <f>AF26/COMB_CORR!$P11</f>
        <v>#DIV/0!</v>
      </c>
      <c r="AX26" s="171" t="e">
        <f>AG26/COMB_CORR!$P11</f>
        <v>#DIV/0!</v>
      </c>
    </row>
    <row r="27" spans="1:50" ht="15.75" thickBot="1">
      <c r="A27" s="269" t="s">
        <v>54</v>
      </c>
      <c r="B27" s="282">
        <f t="shared" ref="B27:J27" si="39">SUM(B28:B36)</f>
        <v>44708</v>
      </c>
      <c r="C27" s="282">
        <f t="shared" si="39"/>
        <v>54726.780084869708</v>
      </c>
      <c r="D27" s="282">
        <f t="shared" si="39"/>
        <v>12490.219915130292</v>
      </c>
      <c r="E27" s="282">
        <f t="shared" si="39"/>
        <v>49286</v>
      </c>
      <c r="F27" s="282">
        <f t="shared" si="39"/>
        <v>60100.380649062165</v>
      </c>
      <c r="G27" s="282">
        <f t="shared" si="39"/>
        <v>13716.619350937835</v>
      </c>
      <c r="H27" s="282">
        <f t="shared" si="39"/>
        <v>55759</v>
      </c>
      <c r="I27" s="282">
        <f t="shared" si="39"/>
        <v>66264.543817774116</v>
      </c>
      <c r="J27" s="282">
        <f t="shared" si="39"/>
        <v>15123.456182225895</v>
      </c>
      <c r="K27" s="282">
        <f t="shared" ref="K27:P27" si="40">SUM(K28:K36)</f>
        <v>62167</v>
      </c>
      <c r="L27" s="282">
        <f t="shared" si="40"/>
        <v>72804.826888216412</v>
      </c>
      <c r="M27" s="282">
        <f t="shared" si="40"/>
        <v>16616.173111783592</v>
      </c>
      <c r="N27" s="282">
        <f t="shared" si="40"/>
        <v>68366</v>
      </c>
      <c r="O27" s="282" t="e">
        <f t="shared" si="40"/>
        <v>#DIV/0!</v>
      </c>
      <c r="P27" s="282" t="e">
        <f t="shared" si="40"/>
        <v>#DIV/0!</v>
      </c>
      <c r="R27" s="269" t="s">
        <v>54</v>
      </c>
      <c r="S27" s="282">
        <f>SUM(S28:S36)</f>
        <v>356180074.89361697</v>
      </c>
      <c r="T27" s="282">
        <f t="shared" ref="T27:AD27" si="41">SUM(T28:T36)</f>
        <v>2068015565.8470566</v>
      </c>
      <c r="U27" s="282">
        <f t="shared" si="41"/>
        <v>391359805.48815346</v>
      </c>
      <c r="V27" s="282">
        <f t="shared" si="41"/>
        <v>392652124.25531918</v>
      </c>
      <c r="W27" s="282">
        <f t="shared" si="41"/>
        <v>2271073183.9667616</v>
      </c>
      <c r="X27" s="282">
        <f t="shared" si="41"/>
        <v>429786946.71622807</v>
      </c>
      <c r="Y27" s="282">
        <f t="shared" si="41"/>
        <v>444221275.74468088</v>
      </c>
      <c r="Z27" s="282">
        <f t="shared" si="41"/>
        <v>2504004581.7860484</v>
      </c>
      <c r="AA27" s="282">
        <f t="shared" si="41"/>
        <v>473867786.95663947</v>
      </c>
      <c r="AB27" s="282">
        <f t="shared" si="41"/>
        <v>495272584.6808511</v>
      </c>
      <c r="AC27" s="282">
        <f t="shared" si="41"/>
        <v>2751148798.4519215</v>
      </c>
      <c r="AD27" s="282">
        <f t="shared" si="41"/>
        <v>520639534.0651837</v>
      </c>
      <c r="AE27" s="282">
        <f>SUM(AE28:AE36)</f>
        <v>544658830.6382978</v>
      </c>
      <c r="AF27" s="282" t="e">
        <f>SUM(AF28:AF36)</f>
        <v>#DIV/0!</v>
      </c>
      <c r="AG27" s="282" t="e">
        <f>SUM(AG28:AG36)</f>
        <v>#DIV/0!</v>
      </c>
      <c r="AI27" s="4" t="s">
        <v>54</v>
      </c>
      <c r="AJ27" s="171">
        <f>S27/COMB_CORR!$L12</f>
        <v>6.0409658099401908E-2</v>
      </c>
      <c r="AK27" s="171">
        <f>T27/COMB_CORR!$L12</f>
        <v>0.35074425012228744</v>
      </c>
      <c r="AL27" s="171">
        <f>U27/COMB_CORR!$L12</f>
        <v>6.6376290280833639E-2</v>
      </c>
      <c r="AM27" s="171">
        <f>V27/COMB_CORR!$M12</f>
        <v>6.0172825111245706E-2</v>
      </c>
      <c r="AN27" s="171">
        <f>W27/COMB_CORR!$M12</f>
        <v>0.34803552832637102</v>
      </c>
      <c r="AO27" s="171">
        <f>X27/COMB_CORR!$M12</f>
        <v>6.5863631398656641E-2</v>
      </c>
      <c r="AP27" s="171">
        <f>Y27/COMB_CORR!$N12</f>
        <v>6.4034626171129108E-2</v>
      </c>
      <c r="AQ27" s="171">
        <f>Z27/COMB_CORR!$N12</f>
        <v>0.36095298915314061</v>
      </c>
      <c r="AR27" s="171">
        <f>AA27/COMB_CORR!$N12</f>
        <v>6.8308179389744136E-2</v>
      </c>
      <c r="AS27" s="171">
        <f>AB27/COMB_CORR!$O12</f>
        <v>6.476045954857948E-2</v>
      </c>
      <c r="AT27" s="171">
        <f>AC27/COMB_CORR!$O12</f>
        <v>0.35973253110522346</v>
      </c>
      <c r="AU27" s="171">
        <f>AD27/COMB_CORR!$O12</f>
        <v>6.8077370983387689E-2</v>
      </c>
      <c r="AV27" s="171" t="e">
        <f>AE27/COMB_CORR!$P12</f>
        <v>#DIV/0!</v>
      </c>
      <c r="AW27" s="171" t="e">
        <f>AF27/COMB_CORR!$P12</f>
        <v>#DIV/0!</v>
      </c>
      <c r="AX27" s="171" t="e">
        <f>AG27/COMB_CORR!$P12</f>
        <v>#DIV/0!</v>
      </c>
    </row>
    <row r="28" spans="1:50" ht="15.75" thickBot="1">
      <c r="A28" s="127" t="s">
        <v>21</v>
      </c>
      <c r="B28" s="167">
        <f>DEN!H13</f>
        <v>3770</v>
      </c>
      <c r="C28" s="920">
        <f>DEN!$K13*ONSV_2013!V12</f>
        <v>3200.296470588235</v>
      </c>
      <c r="D28" s="927">
        <f>DEN!$K13*ONSV_2013!U12</f>
        <v>730.70352941176475</v>
      </c>
      <c r="E28" s="167">
        <f>DEN!H49</f>
        <v>4159</v>
      </c>
      <c r="F28" s="920">
        <f>DEN!$K49*ONSV_2013!V12</f>
        <v>3503.1482352941175</v>
      </c>
      <c r="G28" s="927">
        <f>DEN!$K49*ONSV_2013!U12</f>
        <v>799.85176470588237</v>
      </c>
      <c r="H28" s="167">
        <f>DEN!H85</f>
        <v>4629</v>
      </c>
      <c r="I28" s="920">
        <f>DEN!$K85*ONSV_2013!V12</f>
        <v>3927.3035294117644</v>
      </c>
      <c r="J28" s="927">
        <f>DEN!$K85*ONSV_2013!U12</f>
        <v>896.69647058823534</v>
      </c>
      <c r="K28" s="170">
        <f>DEN!H121</f>
        <v>4976</v>
      </c>
      <c r="L28" s="936">
        <f>DEN!$K121*ONSV_2013!V12</f>
        <v>4384.0235294117647</v>
      </c>
      <c r="M28" s="937">
        <f>DEN!$K121*ONSV_2013!U12</f>
        <v>1000.9764705882353</v>
      </c>
      <c r="N28" s="170">
        <f>DEN!H157</f>
        <v>5212</v>
      </c>
      <c r="O28" s="168" t="e">
        <f>DEN!$K157*DIST_DSL_ONI!$K$2</f>
        <v>#DIV/0!</v>
      </c>
      <c r="P28" s="169" t="e">
        <f>DEN!$K157*DIST_DSL_ONI!$K$3</f>
        <v>#DIV/0!</v>
      </c>
      <c r="R28" s="127" t="s">
        <v>21</v>
      </c>
      <c r="S28" s="167">
        <f>B$10*B28/B$17</f>
        <v>30034868.08510638</v>
      </c>
      <c r="T28" s="167">
        <f t="shared" ref="T28:AD28" si="42">C$10*C28/C$17</f>
        <v>120932803.03058822</v>
      </c>
      <c r="U28" s="167">
        <f t="shared" si="42"/>
        <v>22895352.770665161</v>
      </c>
      <c r="V28" s="167">
        <f t="shared" si="42"/>
        <v>33133956.595744681</v>
      </c>
      <c r="W28" s="167">
        <f t="shared" si="42"/>
        <v>132376965.51529412</v>
      </c>
      <c r="X28" s="167">
        <f t="shared" si="42"/>
        <v>25061995.159545198</v>
      </c>
      <c r="Y28" s="167">
        <f t="shared" si="42"/>
        <v>36878356.595744677</v>
      </c>
      <c r="Z28" s="167">
        <f t="shared" si="42"/>
        <v>148404945.76941177</v>
      </c>
      <c r="AA28" s="167">
        <f t="shared" si="42"/>
        <v>28096459.365476653</v>
      </c>
      <c r="AB28" s="167">
        <f t="shared" si="42"/>
        <v>39642839.148936167</v>
      </c>
      <c r="AC28" s="167">
        <f t="shared" si="42"/>
        <v>165663481.12941176</v>
      </c>
      <c r="AD28" s="167">
        <f t="shared" si="42"/>
        <v>31363895.871287685</v>
      </c>
      <c r="AE28" s="167">
        <f t="shared" ref="AE28:AE36" si="43">N$10*N28/N$17</f>
        <v>41523005.957446806</v>
      </c>
      <c r="AF28" s="167" t="e">
        <f t="shared" ref="AF28:AF36" si="44">O$10*O28/O$17</f>
        <v>#DIV/0!</v>
      </c>
      <c r="AG28" s="167" t="e">
        <f t="shared" ref="AG28:AG36" si="45">P$10*P28/P$17</f>
        <v>#DIV/0!</v>
      </c>
      <c r="AI28" s="127" t="s">
        <v>21</v>
      </c>
      <c r="AJ28" s="171">
        <f>S28/COMB_CORR!$L13</f>
        <v>0.12953211793446062</v>
      </c>
      <c r="AK28" s="171">
        <f>T28/COMB_CORR!$L13</f>
        <v>0.52154988861332197</v>
      </c>
      <c r="AL28" s="171">
        <f>U28/COMB_CORR!$L13</f>
        <v>9.8741353777128643E-2</v>
      </c>
      <c r="AM28" s="171">
        <f>V28/COMB_CORR!$M13</f>
        <v>0.12864539768144731</v>
      </c>
      <c r="AN28" s="171">
        <f>W28/COMB_CORR!$M13</f>
        <v>0.51396479992870314</v>
      </c>
      <c r="AO28" s="171">
        <f>X28/COMB_CORR!$M13</f>
        <v>9.7305322552521986E-2</v>
      </c>
      <c r="AP28" s="171">
        <f>Y28/COMB_CORR!$N13</f>
        <v>0.12638144933399698</v>
      </c>
      <c r="AQ28" s="171">
        <f>Z28/COMB_CORR!$N13</f>
        <v>0.50858101786552112</v>
      </c>
      <c r="AR28" s="171">
        <f>AA28/COMB_CORR!$N13</f>
        <v>9.6286049150368619E-2</v>
      </c>
      <c r="AS28" s="171">
        <f>AB28/COMB_CORR!$O13</f>
        <v>0.13661260200142661</v>
      </c>
      <c r="AT28" s="171">
        <f>AC28/COMB_CORR!$O13</f>
        <v>0.57089047352731059</v>
      </c>
      <c r="AU28" s="171">
        <f>AD28/COMB_CORR!$O13</f>
        <v>0.10808265794942171</v>
      </c>
      <c r="AV28" s="171" t="e">
        <f>AE28/COMB_CORR!$P13</f>
        <v>#DIV/0!</v>
      </c>
      <c r="AW28" s="171" t="e">
        <f>AF28/COMB_CORR!$P13</f>
        <v>#DIV/0!</v>
      </c>
      <c r="AX28" s="171" t="e">
        <f>AG28/COMB_CORR!$P13</f>
        <v>#DIV/0!</v>
      </c>
    </row>
    <row r="29" spans="1:50" ht="15.75" thickBot="1">
      <c r="A29" s="127" t="s">
        <v>22</v>
      </c>
      <c r="B29" s="167">
        <f>DEN!H14</f>
        <v>13523</v>
      </c>
      <c r="C29" s="920">
        <f>DEN!$K14*ONSV_2013!V13</f>
        <v>19149.674494514464</v>
      </c>
      <c r="D29" s="927">
        <f>DEN!$K14*ONSV_2013!U13</f>
        <v>4370.3255054855381</v>
      </c>
      <c r="E29" s="167">
        <f>DEN!H50</f>
        <v>15334</v>
      </c>
      <c r="F29" s="920">
        <f>DEN!$K50*ONSV_2013!V13</f>
        <v>21076.040559736455</v>
      </c>
      <c r="G29" s="927">
        <f>DEN!$K50*ONSV_2013!U13</f>
        <v>4809.9594402635475</v>
      </c>
      <c r="H29" s="167">
        <f>DEN!H86</f>
        <v>17758</v>
      </c>
      <c r="I29" s="920">
        <f>DEN!$K86*ONSV_2013!V13</f>
        <v>22921.80212772388</v>
      </c>
      <c r="J29" s="927">
        <f>DEN!$K86*ONSV_2013!U13</f>
        <v>5231.1978722761205</v>
      </c>
      <c r="K29" s="170">
        <f>DEN!H122</f>
        <v>20072</v>
      </c>
      <c r="L29" s="936">
        <f>DEN!$K122*ONSV_2013!V13</f>
        <v>24767.563695711309</v>
      </c>
      <c r="M29" s="937">
        <f>DEN!$K122*ONSV_2013!U13</f>
        <v>5652.4363042886935</v>
      </c>
      <c r="N29" s="170">
        <f>DEN!H158</f>
        <v>22428</v>
      </c>
      <c r="O29" s="168" t="e">
        <f>DEN!$K158*DIST_DSL_ONI!$K$2</f>
        <v>#DIV/0!</v>
      </c>
      <c r="P29" s="169" t="e">
        <f>DEN!$K158*DIST_DSL_ONI!$K$3</f>
        <v>#DIV/0!</v>
      </c>
      <c r="R29" s="127" t="s">
        <v>22</v>
      </c>
      <c r="S29" s="167">
        <f t="shared" ref="S29:S36" si="46">B$10*B29/B$17</f>
        <v>107735151.4893617</v>
      </c>
      <c r="T29" s="167">
        <f t="shared" ref="T29:T36" si="47">C$10*C29/C$17</f>
        <v>723627899.79871261</v>
      </c>
      <c r="U29" s="167">
        <f t="shared" ref="U29:U36" si="48">D$10*D29/D$17</f>
        <v>136936719.3987388</v>
      </c>
      <c r="V29" s="167">
        <f t="shared" ref="V29:V36" si="49">E$10*E29/E$17</f>
        <v>122163041.70212765</v>
      </c>
      <c r="W29" s="167">
        <f t="shared" ref="W29:W36" si="50">F$10*F29/F$17</f>
        <v>796421420.67132127</v>
      </c>
      <c r="X29" s="167">
        <f t="shared" ref="X29:X36" si="51">G$10*G29/G$17</f>
        <v>150711901.29063576</v>
      </c>
      <c r="Y29" s="167">
        <f t="shared" ref="Y29:Y36" si="52">H$10*H29/H$17</f>
        <v>141474585.53191489</v>
      </c>
      <c r="Z29" s="167">
        <f t="shared" ref="Z29:Z36" si="53">I$10*I29/I$17</f>
        <v>866169058.80243003</v>
      </c>
      <c r="AA29" s="167">
        <f t="shared" ref="AA29:AA36" si="54">J$10*J29/J$17</f>
        <v>163910691.37894106</v>
      </c>
      <c r="AB29" s="167">
        <f t="shared" ref="AB29:AB36" si="55">K$10*K29/K$17</f>
        <v>159909780.42553189</v>
      </c>
      <c r="AC29" s="167">
        <f t="shared" ref="AC29:AC36" si="56">L$10*L29/L$17</f>
        <v>935916696.93353891</v>
      </c>
      <c r="AD29" s="167">
        <f t="shared" ref="AD29:AD36" si="57">M$10*M29/M$17</f>
        <v>177109481.46724638</v>
      </c>
      <c r="AE29" s="167">
        <f t="shared" si="43"/>
        <v>178679581.27659574</v>
      </c>
      <c r="AF29" s="167" t="e">
        <f t="shared" si="44"/>
        <v>#DIV/0!</v>
      </c>
      <c r="AG29" s="167" t="e">
        <f t="shared" si="45"/>
        <v>#DIV/0!</v>
      </c>
      <c r="AI29" s="127" t="s">
        <v>22</v>
      </c>
      <c r="AJ29" s="171">
        <f>S29/COMB_CORR!$L14</f>
        <v>5.1238907593663306E-2</v>
      </c>
      <c r="AK29" s="171">
        <f>T29/COMB_CORR!$L14</f>
        <v>0.34415789626140864</v>
      </c>
      <c r="AL29" s="171">
        <f>U29/COMB_CORR!$L14</f>
        <v>6.5127192141593834E-2</v>
      </c>
      <c r="AM29" s="171">
        <f>V29/COMB_CORR!$M14</f>
        <v>5.2843025681379191E-2</v>
      </c>
      <c r="AN29" s="171">
        <f>W29/COMB_CORR!$M14</f>
        <v>0.34450122556994384</v>
      </c>
      <c r="AO29" s="171">
        <f>X29/COMB_CORR!$M14</f>
        <v>6.5192162534799147E-2</v>
      </c>
      <c r="AP29" s="171">
        <f>Y29/COMB_CORR!$N14</f>
        <v>5.7608918146838189E-2</v>
      </c>
      <c r="AQ29" s="171">
        <f>Z29/COMB_CORR!$N14</f>
        <v>0.35270689942128486</v>
      </c>
      <c r="AR29" s="171">
        <f>AA29/COMB_CORR!$N14</f>
        <v>6.6744974495160564E-2</v>
      </c>
      <c r="AS29" s="171">
        <f>AB29/COMB_CORR!$O14</f>
        <v>6.0189228615388633E-2</v>
      </c>
      <c r="AT29" s="171">
        <f>AC29/COMB_CORR!$O14</f>
        <v>0.35227428795654792</v>
      </c>
      <c r="AU29" s="171">
        <f>AD29/COMB_CORR!$O14</f>
        <v>6.6663108670512519E-2</v>
      </c>
      <c r="AV29" s="171" t="e">
        <f>AE29/COMB_CORR!$P14</f>
        <v>#DIV/0!</v>
      </c>
      <c r="AW29" s="171" t="e">
        <f>AF29/COMB_CORR!$P14</f>
        <v>#DIV/0!</v>
      </c>
      <c r="AX29" s="171" t="e">
        <f>AG29/COMB_CORR!$P14</f>
        <v>#DIV/0!</v>
      </c>
    </row>
    <row r="30" spans="1:50" ht="15.75" thickBot="1">
      <c r="A30" s="127" t="s">
        <v>23</v>
      </c>
      <c r="B30" s="167">
        <f>DEN!H15</f>
        <v>6034</v>
      </c>
      <c r="C30" s="920">
        <f>DEN!$K15*ONSV_2013!V14</f>
        <v>7364.5230919912601</v>
      </c>
      <c r="D30" s="927">
        <f>DEN!$K15*ONSV_2013!U14</f>
        <v>1680.4769080087394</v>
      </c>
      <c r="E30" s="167">
        <f>DEN!H51</f>
        <v>6646</v>
      </c>
      <c r="F30" s="920">
        <f>DEN!$K51*ONSV_2013!V14</f>
        <v>8203.9728772696453</v>
      </c>
      <c r="G30" s="927">
        <f>DEN!$K51*ONSV_2013!U14</f>
        <v>1872.0271227303549</v>
      </c>
      <c r="H30" s="167">
        <f>DEN!H87</f>
        <v>7498</v>
      </c>
      <c r="I30" s="920">
        <f>DEN!$K87*ONSV_2013!V14</f>
        <v>9106.1167784223617</v>
      </c>
      <c r="J30" s="927">
        <f>DEN!$K87*ONSV_2013!U14</f>
        <v>2077.8832215776388</v>
      </c>
      <c r="K30" s="170">
        <f>DEN!H123</f>
        <v>8165</v>
      </c>
      <c r="L30" s="936">
        <f>DEN!$K123*ONSV_2013!V14</f>
        <v>9961.0365403450614</v>
      </c>
      <c r="M30" s="937">
        <f>DEN!$K123*ONSV_2013!U14</f>
        <v>2272.9634596549386</v>
      </c>
      <c r="N30" s="170">
        <f>DEN!H159</f>
        <v>8882</v>
      </c>
      <c r="O30" s="168" t="e">
        <f>DEN!$K159*DIST_DSL_ONI!$K$2</f>
        <v>#DIV/0!</v>
      </c>
      <c r="P30" s="169" t="e">
        <f>DEN!$K159*DIST_DSL_ONI!$K$3</f>
        <v>#DIV/0!</v>
      </c>
      <c r="R30" s="127" t="s">
        <v>23</v>
      </c>
      <c r="S30" s="167">
        <f t="shared" si="46"/>
        <v>48071722.55319149</v>
      </c>
      <c r="T30" s="167">
        <f t="shared" si="47"/>
        <v>278290598.60016572</v>
      </c>
      <c r="U30" s="167">
        <f t="shared" si="48"/>
        <v>52654886.808594145</v>
      </c>
      <c r="V30" s="167">
        <f t="shared" si="49"/>
        <v>52947409.361702129</v>
      </c>
      <c r="W30" s="167">
        <f t="shared" si="50"/>
        <v>310011727.08626539</v>
      </c>
      <c r="X30" s="167">
        <f t="shared" si="51"/>
        <v>58656787.11811991</v>
      </c>
      <c r="Y30" s="167">
        <f t="shared" si="52"/>
        <v>59735130.212765954</v>
      </c>
      <c r="Z30" s="167">
        <f t="shared" si="53"/>
        <v>344101940.82302421</v>
      </c>
      <c r="AA30" s="167">
        <f t="shared" si="54"/>
        <v>65106937.984225191</v>
      </c>
      <c r="AB30" s="167">
        <f t="shared" si="55"/>
        <v>65048991.489361703</v>
      </c>
      <c r="AC30" s="167">
        <f t="shared" si="56"/>
        <v>376407648.78655916</v>
      </c>
      <c r="AD30" s="167">
        <f t="shared" si="57"/>
        <v>71219445.57394591</v>
      </c>
      <c r="AE30" s="167">
        <f t="shared" si="43"/>
        <v>70761193.191489354</v>
      </c>
      <c r="AF30" s="167" t="e">
        <f t="shared" si="44"/>
        <v>#DIV/0!</v>
      </c>
      <c r="AG30" s="167" t="e">
        <f t="shared" si="45"/>
        <v>#DIV/0!</v>
      </c>
      <c r="AI30" s="127" t="s">
        <v>23</v>
      </c>
      <c r="AJ30" s="171">
        <f>S30/COMB_CORR!$L15</f>
        <v>7.1026781760258631E-2</v>
      </c>
      <c r="AK30" s="171">
        <f>T30/COMB_CORR!$L15</f>
        <v>0.41117905835045709</v>
      </c>
      <c r="AL30" s="171">
        <f>U30/COMB_CORR!$L15</f>
        <v>7.7798484334047319E-2</v>
      </c>
      <c r="AM30" s="171">
        <f>V30/COMB_CORR!$M15</f>
        <v>6.9003681685268034E-2</v>
      </c>
      <c r="AN30" s="171">
        <f>W30/COMB_CORR!$M15</f>
        <v>0.4040226102173386</v>
      </c>
      <c r="AO30" s="171">
        <f>X30/COMB_CORR!$M15</f>
        <v>7.6444425058252913E-2</v>
      </c>
      <c r="AP30" s="171">
        <f>Y30/COMB_CORR!$N15</f>
        <v>7.3460209651726921E-2</v>
      </c>
      <c r="AQ30" s="171">
        <f>Z30/COMB_CORR!$N15</f>
        <v>0.42316473780822844</v>
      </c>
      <c r="AR30" s="171">
        <f>AA30/COMB_CORR!$N15</f>
        <v>8.0066274185186984E-2</v>
      </c>
      <c r="AS30" s="171">
        <f>AB30/COMB_CORR!$O15</f>
        <v>7.1109123953357653E-2</v>
      </c>
      <c r="AT30" s="171">
        <f>AC30/COMB_CORR!$O15</f>
        <v>0.41147475989589688</v>
      </c>
      <c r="AU30" s="171">
        <f>AD30/COMB_CORR!$O15</f>
        <v>7.7854433516242397E-2</v>
      </c>
      <c r="AV30" s="171" t="e">
        <f>AE30/COMB_CORR!$P15</f>
        <v>#DIV/0!</v>
      </c>
      <c r="AW30" s="171" t="e">
        <f>AF30/COMB_CORR!$P15</f>
        <v>#DIV/0!</v>
      </c>
      <c r="AX30" s="171" t="e">
        <f>AG30/COMB_CORR!$P15</f>
        <v>#DIV/0!</v>
      </c>
    </row>
    <row r="31" spans="1:50" ht="15.75" thickBot="1">
      <c r="A31" s="127" t="s">
        <v>24</v>
      </c>
      <c r="B31" s="167">
        <f>DEN!H16</f>
        <v>2850</v>
      </c>
      <c r="C31" s="920">
        <f>DEN!$K16*ONSV_2013!V15</f>
        <v>3420.9983735028836</v>
      </c>
      <c r="D31" s="927">
        <f>DEN!$K16*ONSV_2013!U15</f>
        <v>781.00162649711672</v>
      </c>
      <c r="E31" s="167">
        <f>DEN!H52</f>
        <v>3161</v>
      </c>
      <c r="F31" s="920">
        <f>DEN!$K52*ONSV_2013!V15</f>
        <v>3679.8935383705457</v>
      </c>
      <c r="G31" s="927">
        <f>DEN!$K52*ONSV_2013!U15</f>
        <v>840.10646162945443</v>
      </c>
      <c r="H31" s="167">
        <f>DEN!H88</f>
        <v>3454</v>
      </c>
      <c r="I31" s="920">
        <f>DEN!$K88*ONSV_2013!V15</f>
        <v>4196.0555966287156</v>
      </c>
      <c r="J31" s="927">
        <f>DEN!$K88*ONSV_2013!U15</f>
        <v>957.94440337128492</v>
      </c>
      <c r="K31" s="170">
        <f>DEN!H124</f>
        <v>3719</v>
      </c>
      <c r="L31" s="936">
        <f>DEN!$K124*ONSV_2013!V15</f>
        <v>4851.4348661836466</v>
      </c>
      <c r="M31" s="937">
        <f>DEN!$K124*ONSV_2013!U15</f>
        <v>1107.5651338163536</v>
      </c>
      <c r="N31" s="170">
        <f>DEN!H160</f>
        <v>3981</v>
      </c>
      <c r="O31" s="168" t="e">
        <f>DEN!$K160*DIST_DSL_ONI!$K$2</f>
        <v>#DIV/0!</v>
      </c>
      <c r="P31" s="169" t="e">
        <f>DEN!$K160*DIST_DSL_ONI!$K$3</f>
        <v>#DIV/0!</v>
      </c>
      <c r="R31" s="127" t="s">
        <v>24</v>
      </c>
      <c r="S31" s="167">
        <f t="shared" si="46"/>
        <v>22705404.255319148</v>
      </c>
      <c r="T31" s="167">
        <f t="shared" si="47"/>
        <v>129272686.53792697</v>
      </c>
      <c r="U31" s="167">
        <f t="shared" si="48"/>
        <v>24471358.127296407</v>
      </c>
      <c r="V31" s="167">
        <f t="shared" si="49"/>
        <v>25183081.702127658</v>
      </c>
      <c r="W31" s="167">
        <f t="shared" si="50"/>
        <v>139055817.02794617</v>
      </c>
      <c r="X31" s="167">
        <f t="shared" si="51"/>
        <v>26323307.647639159</v>
      </c>
      <c r="Y31" s="167">
        <f t="shared" si="52"/>
        <v>27517356.595744681</v>
      </c>
      <c r="Z31" s="167">
        <f t="shared" si="53"/>
        <v>158560548.8854059</v>
      </c>
      <c r="AA31" s="167">
        <f t="shared" si="54"/>
        <v>30015559.207064647</v>
      </c>
      <c r="AB31" s="167">
        <f t="shared" si="55"/>
        <v>29628560.851063829</v>
      </c>
      <c r="AC31" s="167">
        <f t="shared" si="56"/>
        <v>183326020.72334763</v>
      </c>
      <c r="AD31" s="167">
        <f t="shared" si="57"/>
        <v>34703670.414221622</v>
      </c>
      <c r="AE31" s="167">
        <f t="shared" si="43"/>
        <v>31715864.680851061</v>
      </c>
      <c r="AF31" s="167" t="e">
        <f t="shared" si="44"/>
        <v>#DIV/0!</v>
      </c>
      <c r="AG31" s="167" t="e">
        <f t="shared" si="45"/>
        <v>#DIV/0!</v>
      </c>
      <c r="AI31" s="127" t="s">
        <v>24</v>
      </c>
      <c r="AJ31" s="171">
        <f>S31/COMB_CORR!$L16</f>
        <v>3.0894745499972183E-2</v>
      </c>
      <c r="AK31" s="171">
        <f>T31/COMB_CORR!$L16</f>
        <v>0.17589850882092548</v>
      </c>
      <c r="AL31" s="171">
        <f>U31/COMB_CORR!$L16</f>
        <v>3.3297640195258063E-2</v>
      </c>
      <c r="AM31" s="171">
        <f>V31/COMB_CORR!$M16</f>
        <v>3.1277756238031695E-2</v>
      </c>
      <c r="AN31" s="171">
        <f>W31/COMB_CORR!$M16</f>
        <v>0.17270936098789574</v>
      </c>
      <c r="AO31" s="171">
        <f>X31/COMB_CORR!$M16</f>
        <v>3.2693933559053326E-2</v>
      </c>
      <c r="AP31" s="171">
        <f>Y31/COMB_CORR!$N16</f>
        <v>3.1507121122738159E-2</v>
      </c>
      <c r="AQ31" s="171">
        <f>Z31/COMB_CORR!$N16</f>
        <v>0.18155037536537516</v>
      </c>
      <c r="AR31" s="171">
        <f>AA31/COMB_CORR!$N16</f>
        <v>3.4367540218232635E-2</v>
      </c>
      <c r="AS31" s="171">
        <f>AB31/COMB_CORR!$O16</f>
        <v>3.0423614691990002E-2</v>
      </c>
      <c r="AT31" s="171">
        <f>AC31/COMB_CORR!$O16</f>
        <v>0.18824539759252742</v>
      </c>
      <c r="AU31" s="171">
        <f>AD31/COMB_CORR!$O16</f>
        <v>3.56349099231454E-2</v>
      </c>
      <c r="AV31" s="171" t="e">
        <f>AE31/COMB_CORR!$P16</f>
        <v>#DIV/0!</v>
      </c>
      <c r="AW31" s="171" t="e">
        <f>AF31/COMB_CORR!$P16</f>
        <v>#DIV/0!</v>
      </c>
      <c r="AX31" s="171" t="e">
        <f>AG31/COMB_CORR!$P16</f>
        <v>#DIV/0!</v>
      </c>
    </row>
    <row r="32" spans="1:50" ht="15.75" thickBot="1">
      <c r="A32" s="127" t="s">
        <v>25</v>
      </c>
      <c r="B32" s="167">
        <f>DEN!H17</f>
        <v>2405</v>
      </c>
      <c r="C32" s="920">
        <f>DEN!$K17*ONSV_2013!V16</f>
        <v>3123.1645856980704</v>
      </c>
      <c r="D32" s="927">
        <f>DEN!$K17*ONSV_2013!U16</f>
        <v>712.83541430192963</v>
      </c>
      <c r="E32" s="167">
        <f>DEN!H53</f>
        <v>2686</v>
      </c>
      <c r="F32" s="920">
        <f>DEN!$K53*ONSV_2013!V16</f>
        <v>3437.4350575644562</v>
      </c>
      <c r="G32" s="927">
        <f>DEN!$K53*ONSV_2013!U16</f>
        <v>784.56494243554403</v>
      </c>
      <c r="H32" s="167">
        <f>DEN!H89</f>
        <v>3068</v>
      </c>
      <c r="I32" s="920">
        <f>DEN!$K89*ONSV_2013!V16</f>
        <v>3772.0598346035349</v>
      </c>
      <c r="J32" s="927">
        <f>DEN!$K89*ONSV_2013!U16</f>
        <v>860.94016539646498</v>
      </c>
      <c r="K32" s="170">
        <f>DEN!H125</f>
        <v>3440</v>
      </c>
      <c r="L32" s="936">
        <f>DEN!$K125*ONSV_2013!V16</f>
        <v>4211.7128263337117</v>
      </c>
      <c r="M32" s="937">
        <f>DEN!$K125*ONSV_2013!U16</f>
        <v>961.28717366628825</v>
      </c>
      <c r="N32" s="170">
        <f>DEN!H161</f>
        <v>3764</v>
      </c>
      <c r="O32" s="168" t="e">
        <f>DEN!$K161*DIST_DSL_ONI!$K$2</f>
        <v>#DIV/0!</v>
      </c>
      <c r="P32" s="169" t="e">
        <f>DEN!$K161*DIST_DSL_ONI!$K$3</f>
        <v>#DIV/0!</v>
      </c>
      <c r="R32" s="127" t="s">
        <v>25</v>
      </c>
      <c r="S32" s="167">
        <f t="shared" si="46"/>
        <v>19160174.468085106</v>
      </c>
      <c r="T32" s="167">
        <f t="shared" si="47"/>
        <v>118018143.36435868</v>
      </c>
      <c r="U32" s="167">
        <f t="shared" si="48"/>
        <v>22335485.762610797</v>
      </c>
      <c r="V32" s="167">
        <f t="shared" si="49"/>
        <v>21398847.659574468</v>
      </c>
      <c r="W32" s="167">
        <f t="shared" si="50"/>
        <v>129893795.95524567</v>
      </c>
      <c r="X32" s="167">
        <f t="shared" si="51"/>
        <v>24583008.573968399</v>
      </c>
      <c r="Y32" s="167">
        <f t="shared" si="52"/>
        <v>24442168.510638297</v>
      </c>
      <c r="Z32" s="167">
        <f t="shared" si="53"/>
        <v>142538597.02999839</v>
      </c>
      <c r="AA32" s="167">
        <f t="shared" si="54"/>
        <v>26976096.334248126</v>
      </c>
      <c r="AB32" s="167">
        <f t="shared" si="55"/>
        <v>27405821.276595745</v>
      </c>
      <c r="AC32" s="167">
        <f t="shared" si="56"/>
        <v>159152204.28149828</v>
      </c>
      <c r="AD32" s="167">
        <f t="shared" si="57"/>
        <v>30120299.230966013</v>
      </c>
      <c r="AE32" s="167">
        <f t="shared" si="43"/>
        <v>29987067.234042551</v>
      </c>
      <c r="AF32" s="167" t="e">
        <f t="shared" si="44"/>
        <v>#DIV/0!</v>
      </c>
      <c r="AG32" s="167" t="e">
        <f t="shared" si="45"/>
        <v>#DIV/0!</v>
      </c>
      <c r="AI32" s="127" t="s">
        <v>25</v>
      </c>
      <c r="AJ32" s="171">
        <f>S32/COMB_CORR!$L17</f>
        <v>6.1635025426702419E-2</v>
      </c>
      <c r="AK32" s="171">
        <f>T32/COMB_CORR!$L17</f>
        <v>0.37964431269614829</v>
      </c>
      <c r="AL32" s="171">
        <f>U32/COMB_CORR!$L17</f>
        <v>7.1849462289048274E-2</v>
      </c>
      <c r="AM32" s="171">
        <f>V32/COMB_CORR!$M17</f>
        <v>6.3395536283363529E-2</v>
      </c>
      <c r="AN32" s="171">
        <f>W32/COMB_CORR!$M17</f>
        <v>0.38481917276420058</v>
      </c>
      <c r="AO32" s="171">
        <f>X32/COMB_CORR!$M17</f>
        <v>7.2828828766765552E-2</v>
      </c>
      <c r="AP32" s="171">
        <f>Y32/COMB_CORR!$N17</f>
        <v>6.8592348645106049E-2</v>
      </c>
      <c r="AQ32" s="171">
        <f>Z32/COMB_CORR!$N17</f>
        <v>0.40000776275683253</v>
      </c>
      <c r="AR32" s="171">
        <f>AA32/COMB_CORR!$N17</f>
        <v>7.5703340480504422E-2</v>
      </c>
      <c r="AS32" s="171">
        <f>AB32/COMB_CORR!$O17</f>
        <v>7.1336823666840438E-2</v>
      </c>
      <c r="AT32" s="171">
        <f>AC32/COMB_CORR!$O17</f>
        <v>0.41427011503989825</v>
      </c>
      <c r="AU32" s="171">
        <f>AD32/COMB_CORR!$O17</f>
        <v>7.840255737443802E-2</v>
      </c>
      <c r="AV32" s="171" t="e">
        <f>AE32/COMB_CORR!$P17</f>
        <v>#DIV/0!</v>
      </c>
      <c r="AW32" s="171" t="e">
        <f>AF32/COMB_CORR!$P17</f>
        <v>#DIV/0!</v>
      </c>
      <c r="AX32" s="171" t="e">
        <f>AG32/COMB_CORR!$P17</f>
        <v>#DIV/0!</v>
      </c>
    </row>
    <row r="33" spans="1:50" ht="15.75" thickBot="1">
      <c r="A33" s="127" t="s">
        <v>26</v>
      </c>
      <c r="B33" s="167">
        <f>DEN!H18</f>
        <v>9022</v>
      </c>
      <c r="C33" s="920">
        <f>DEN!$K18*ONSV_2013!V17</f>
        <v>9660.4454185520353</v>
      </c>
      <c r="D33" s="927">
        <f>DEN!$K18*ONSV_2013!U17</f>
        <v>2204.5545814479638</v>
      </c>
      <c r="E33" s="167">
        <f>DEN!H54</f>
        <v>9798</v>
      </c>
      <c r="F33" s="920">
        <f>DEN!$K54*ONSV_2013!V17</f>
        <v>10528.379242081448</v>
      </c>
      <c r="G33" s="927">
        <f>DEN!$K54*ONSV_2013!U17</f>
        <v>2402.620757918552</v>
      </c>
      <c r="H33" s="167">
        <f>DEN!H90</f>
        <v>11309</v>
      </c>
      <c r="I33" s="920">
        <f>DEN!$K90*ONSV_2013!V17</f>
        <v>11827.837386877827</v>
      </c>
      <c r="J33" s="927">
        <f>DEN!$K90*ONSV_2013!U17</f>
        <v>2699.1626131221719</v>
      </c>
      <c r="K33" s="170">
        <f>DEN!H126</f>
        <v>12997</v>
      </c>
      <c r="L33" s="936">
        <f>DEN!$K126*ONSV_2013!V17</f>
        <v>13075.186934389139</v>
      </c>
      <c r="M33" s="937">
        <f>DEN!$K126*ONSV_2013!U17</f>
        <v>2983.8130656108597</v>
      </c>
      <c r="N33" s="170">
        <f>DEN!H162</f>
        <v>14577</v>
      </c>
      <c r="O33" s="168" t="e">
        <f>DEN!$K162*DIST_DSL_ONI!$K$2</f>
        <v>#DIV/0!</v>
      </c>
      <c r="P33" s="169" t="e">
        <f>DEN!$K162*DIST_DSL_ONI!$K$3</f>
        <v>#DIV/0!</v>
      </c>
      <c r="R33" s="127" t="s">
        <v>26</v>
      </c>
      <c r="S33" s="167">
        <f t="shared" si="46"/>
        <v>71876546.382978722</v>
      </c>
      <c r="T33" s="167">
        <f t="shared" si="47"/>
        <v>365048911.47624427</v>
      </c>
      <c r="U33" s="167">
        <f t="shared" si="48"/>
        <v>69075969.682355478</v>
      </c>
      <c r="V33" s="167">
        <f t="shared" si="49"/>
        <v>78058789.787234038</v>
      </c>
      <c r="W33" s="167">
        <f t="shared" si="50"/>
        <v>397846394.79977375</v>
      </c>
      <c r="X33" s="167">
        <f t="shared" si="51"/>
        <v>75282036.575013801</v>
      </c>
      <c r="Y33" s="167">
        <f t="shared" si="52"/>
        <v>90096637.446808502</v>
      </c>
      <c r="Z33" s="167">
        <f t="shared" si="53"/>
        <v>446950319.17533928</v>
      </c>
      <c r="AA33" s="167">
        <f t="shared" si="54"/>
        <v>84573671.434941262</v>
      </c>
      <c r="AB33" s="167">
        <f t="shared" si="55"/>
        <v>103544610.21276595</v>
      </c>
      <c r="AC33" s="167">
        <f t="shared" si="56"/>
        <v>494085163.87669683</v>
      </c>
      <c r="AD33" s="167">
        <f t="shared" si="57"/>
        <v>93492709.408255085</v>
      </c>
      <c r="AE33" s="167">
        <f t="shared" si="43"/>
        <v>116132167.65957446</v>
      </c>
      <c r="AF33" s="167" t="e">
        <f t="shared" si="44"/>
        <v>#DIV/0!</v>
      </c>
      <c r="AG33" s="167" t="e">
        <f t="shared" si="45"/>
        <v>#DIV/0!</v>
      </c>
      <c r="AI33" s="127" t="s">
        <v>26</v>
      </c>
      <c r="AJ33" s="171">
        <f>S33/COMB_CORR!$L18</f>
        <v>7.7996610738832448E-2</v>
      </c>
      <c r="AK33" s="171">
        <f>T33/COMB_CORR!$L18</f>
        <v>0.39613169082077376</v>
      </c>
      <c r="AL33" s="171">
        <f>U33/COMB_CORR!$L18</f>
        <v>7.49575736432148E-2</v>
      </c>
      <c r="AM33" s="171">
        <f>V33/COMB_CORR!$M18</f>
        <v>7.4426794254116649E-2</v>
      </c>
      <c r="AN33" s="171">
        <f>W33/COMB_CORR!$M18</f>
        <v>0.37933500956412985</v>
      </c>
      <c r="AO33" s="171">
        <f>X33/COMB_CORR!$M18</f>
        <v>7.1779240524630417E-2</v>
      </c>
      <c r="AP33" s="171">
        <f>Y33/COMB_CORR!$N18</f>
        <v>8.0469897711259397E-2</v>
      </c>
      <c r="AQ33" s="171">
        <f>Z33/COMB_CORR!$N18</f>
        <v>0.39919410407839057</v>
      </c>
      <c r="AR33" s="171">
        <f>AA33/COMB_CORR!$N18</f>
        <v>7.553705534741309E-2</v>
      </c>
      <c r="AS33" s="171">
        <f>AB33/COMB_CORR!$O18</f>
        <v>8.2261561394159161E-2</v>
      </c>
      <c r="AT33" s="171">
        <f>AC33/COMB_CORR!$O18</f>
        <v>0.39252856289351395</v>
      </c>
      <c r="AU33" s="171">
        <f>AD33/COMB_CORR!$O18</f>
        <v>7.4275775813826536E-2</v>
      </c>
      <c r="AV33" s="171" t="e">
        <f>AE33/COMB_CORR!$P18</f>
        <v>#DIV/0!</v>
      </c>
      <c r="AW33" s="171" t="e">
        <f>AF33/COMB_CORR!$P18</f>
        <v>#DIV/0!</v>
      </c>
      <c r="AX33" s="171" t="e">
        <f>AG33/COMB_CORR!$P18</f>
        <v>#DIV/0!</v>
      </c>
    </row>
    <row r="34" spans="1:50" ht="15.75" thickBot="1">
      <c r="A34" s="127" t="s">
        <v>27</v>
      </c>
      <c r="B34" s="167">
        <f>DEN!H19</f>
        <v>1602</v>
      </c>
      <c r="C34" s="920">
        <f>DEN!$K19*ONSV_2013!V18</f>
        <v>2422.9380530973453</v>
      </c>
      <c r="D34" s="927">
        <f>DEN!$K19*ONSV_2013!U18</f>
        <v>553.06194690265488</v>
      </c>
      <c r="E34" s="167">
        <f>DEN!H55</f>
        <v>1738</v>
      </c>
      <c r="F34" s="920">
        <f>DEN!$K55*ONSV_2013!V18</f>
        <v>2622.4070796460178</v>
      </c>
      <c r="G34" s="927">
        <f>DEN!$K55*ONSV_2013!U18</f>
        <v>598.59292035398232</v>
      </c>
      <c r="H34" s="167">
        <f>DEN!H91</f>
        <v>1889</v>
      </c>
      <c r="I34" s="920">
        <f>DEN!$K91*ONSV_2013!V18</f>
        <v>2924.4601769911505</v>
      </c>
      <c r="J34" s="927">
        <f>DEN!$K91*ONSV_2013!U18</f>
        <v>667.53982300884957</v>
      </c>
      <c r="K34" s="170">
        <f>DEN!H127</f>
        <v>2160</v>
      </c>
      <c r="L34" s="936">
        <f>DEN!$K127*ONSV_2013!V18</f>
        <v>3317.6991150442482</v>
      </c>
      <c r="M34" s="937">
        <f>DEN!$K127*ONSV_2013!U18</f>
        <v>757.30088495575228</v>
      </c>
      <c r="N34" s="170">
        <f>DEN!H163</f>
        <v>2444</v>
      </c>
      <c r="O34" s="168" t="e">
        <f>DEN!$K163*DIST_DSL_ONI!$K$2</f>
        <v>#DIV/0!</v>
      </c>
      <c r="P34" s="169" t="e">
        <f>DEN!$K163*DIST_DSL_ONI!$K$3</f>
        <v>#DIV/0!</v>
      </c>
      <c r="R34" s="127" t="s">
        <v>27</v>
      </c>
      <c r="S34" s="167">
        <f t="shared" si="46"/>
        <v>12762827.234042553</v>
      </c>
      <c r="T34" s="167">
        <f t="shared" si="47"/>
        <v>91557983.150442481</v>
      </c>
      <c r="U34" s="167">
        <f t="shared" si="48"/>
        <v>17329255.804417487</v>
      </c>
      <c r="V34" s="167">
        <f t="shared" si="49"/>
        <v>13846313.191489361</v>
      </c>
      <c r="W34" s="167">
        <f t="shared" si="50"/>
        <v>99095518.725663722</v>
      </c>
      <c r="X34" s="167">
        <f t="shared" si="51"/>
        <v>18755891.446918253</v>
      </c>
      <c r="Y34" s="167">
        <f t="shared" si="52"/>
        <v>15049301.276595743</v>
      </c>
      <c r="Z34" s="167">
        <f t="shared" si="53"/>
        <v>110509501.1681416</v>
      </c>
      <c r="AA34" s="167">
        <f t="shared" si="54"/>
        <v>20916225.419847984</v>
      </c>
      <c r="AB34" s="167">
        <f t="shared" si="55"/>
        <v>17208306.382978722</v>
      </c>
      <c r="AC34" s="167">
        <f t="shared" si="56"/>
        <v>125369214.15929204</v>
      </c>
      <c r="AD34" s="167">
        <f t="shared" si="57"/>
        <v>23728735.686492357</v>
      </c>
      <c r="AE34" s="167">
        <f t="shared" si="43"/>
        <v>19470880</v>
      </c>
      <c r="AF34" s="167" t="e">
        <f t="shared" si="44"/>
        <v>#DIV/0!</v>
      </c>
      <c r="AG34" s="167" t="e">
        <f t="shared" si="45"/>
        <v>#DIV/0!</v>
      </c>
      <c r="AI34" s="127" t="s">
        <v>27</v>
      </c>
      <c r="AJ34" s="171">
        <f>S34/COMB_CORR!$L19</f>
        <v>3.9698938735938168E-2</v>
      </c>
      <c r="AK34" s="171">
        <f>T34/COMB_CORR!$L19</f>
        <v>0.28479228757249164</v>
      </c>
      <c r="AL34" s="171">
        <f>U34/COMB_CORR!$L19</f>
        <v>5.3902873705285244E-2</v>
      </c>
      <c r="AM34" s="171">
        <f>V34/COMB_CORR!$M19</f>
        <v>3.8200295959535106E-2</v>
      </c>
      <c r="AN34" s="171">
        <f>W34/COMB_CORR!$M19</f>
        <v>0.27339249742745614</v>
      </c>
      <c r="AO34" s="171">
        <f>X34/COMB_CORR!$M19</f>
        <v>5.1745225920324787E-2</v>
      </c>
      <c r="AP34" s="171">
        <f>Y34/COMB_CORR!$N19</f>
        <v>4.1316905770829089E-2</v>
      </c>
      <c r="AQ34" s="171">
        <f>Z34/COMB_CORR!$N19</f>
        <v>0.3033968529586295</v>
      </c>
      <c r="AR34" s="171">
        <f>AA34/COMB_CORR!$N19</f>
        <v>5.7424175306879488E-2</v>
      </c>
      <c r="AS34" s="171">
        <f>AB34/COMB_CORR!$O19</f>
        <v>4.0366194057391967E-2</v>
      </c>
      <c r="AT34" s="171">
        <f>AC34/COMB_CORR!$O19</f>
        <v>0.29408344522401064</v>
      </c>
      <c r="AU34" s="171">
        <f>AD34/COMB_CORR!$O19</f>
        <v>5.5661418860193067E-2</v>
      </c>
      <c r="AV34" s="171" t="e">
        <f>AE34/COMB_CORR!$P19</f>
        <v>#DIV/0!</v>
      </c>
      <c r="AW34" s="171" t="e">
        <f>AF34/COMB_CORR!$P19</f>
        <v>#DIV/0!</v>
      </c>
      <c r="AX34" s="171" t="e">
        <f>AG34/COMB_CORR!$P19</f>
        <v>#DIV/0!</v>
      </c>
    </row>
    <row r="35" spans="1:50" ht="15.75" thickBot="1">
      <c r="A35" s="127" t="s">
        <v>28</v>
      </c>
      <c r="B35" s="167">
        <f>DEN!H20</f>
        <v>3213</v>
      </c>
      <c r="C35" s="920">
        <f>DEN!$K20*ONSV_2013!V19</f>
        <v>3227.947432128653</v>
      </c>
      <c r="D35" s="927">
        <f>DEN!$K20*ONSV_2013!U19</f>
        <v>737.05256787134704</v>
      </c>
      <c r="E35" s="167">
        <f>DEN!H56</f>
        <v>3356</v>
      </c>
      <c r="F35" s="920">
        <f>DEN!$K56*ONSV_2013!V19</f>
        <v>3564.9891060003461</v>
      </c>
      <c r="G35" s="927">
        <f>DEN!$K56*ONSV_2013!U19</f>
        <v>814.01089399965417</v>
      </c>
      <c r="H35" s="167">
        <f>DEN!H92</f>
        <v>3568</v>
      </c>
      <c r="I35" s="920">
        <f>DEN!$K92*ONSV_2013!V19</f>
        <v>3785.6130036313334</v>
      </c>
      <c r="J35" s="927">
        <f>DEN!$K92*ONSV_2013!U19</f>
        <v>864.3869963686667</v>
      </c>
      <c r="K35" s="170">
        <f>DEN!H128</f>
        <v>3836</v>
      </c>
      <c r="L35" s="936">
        <f>DEN!$K128*ONSV_2013!V19</f>
        <v>4151.9626491440431</v>
      </c>
      <c r="M35" s="937">
        <f>DEN!$K128*ONSV_2013!U19</f>
        <v>948.03735085595713</v>
      </c>
      <c r="N35" s="170">
        <f>DEN!H164</f>
        <v>4101</v>
      </c>
      <c r="O35" s="168" t="e">
        <f>DEN!$K164*DIST_DSL_ONI!$K$2</f>
        <v>#DIV/0!</v>
      </c>
      <c r="P35" s="169" t="e">
        <f>DEN!$K164*DIST_DSL_ONI!$K$3</f>
        <v>#DIV/0!</v>
      </c>
      <c r="R35" s="127" t="s">
        <v>28</v>
      </c>
      <c r="S35" s="167">
        <f t="shared" si="46"/>
        <v>25597355.744680852</v>
      </c>
      <c r="T35" s="167">
        <f t="shared" si="47"/>
        <v>121977677.56527753</v>
      </c>
      <c r="U35" s="167">
        <f t="shared" si="48"/>
        <v>23094289.09632336</v>
      </c>
      <c r="V35" s="167">
        <f t="shared" si="49"/>
        <v>26736609.361702126</v>
      </c>
      <c r="W35" s="167">
        <f t="shared" si="50"/>
        <v>134713808.33754107</v>
      </c>
      <c r="X35" s="167">
        <f t="shared" si="51"/>
        <v>25505647.40297604</v>
      </c>
      <c r="Y35" s="167">
        <f t="shared" si="52"/>
        <v>28425572.765957445</v>
      </c>
      <c r="Z35" s="167">
        <f t="shared" si="53"/>
        <v>143050744.18122083</v>
      </c>
      <c r="AA35" s="167">
        <f t="shared" si="54"/>
        <v>27084096.922548201</v>
      </c>
      <c r="AB35" s="167">
        <f t="shared" si="55"/>
        <v>30560677.44680851</v>
      </c>
      <c r="AC35" s="167">
        <f t="shared" si="56"/>
        <v>156894364.5858551</v>
      </c>
      <c r="AD35" s="167">
        <f t="shared" si="57"/>
        <v>29705138.560214162</v>
      </c>
      <c r="AE35" s="167">
        <f t="shared" si="43"/>
        <v>32671881.702127658</v>
      </c>
      <c r="AF35" s="167" t="e">
        <f t="shared" si="44"/>
        <v>#DIV/0!</v>
      </c>
      <c r="AG35" s="167" t="e">
        <f t="shared" si="45"/>
        <v>#DIV/0!</v>
      </c>
      <c r="AI35" s="127" t="s">
        <v>28</v>
      </c>
      <c r="AJ35" s="171">
        <f>S35/COMB_CORR!$L20</f>
        <v>7.5381154371676112E-2</v>
      </c>
      <c r="AK35" s="171">
        <f>T35/COMB_CORR!$L20</f>
        <v>0.35920968689734328</v>
      </c>
      <c r="AL35" s="171">
        <f>U35/COMB_CORR!$L20</f>
        <v>6.8009922151268401E-2</v>
      </c>
      <c r="AM35" s="171">
        <f>V35/COMB_CORR!$M20</f>
        <v>7.5702754614639101E-2</v>
      </c>
      <c r="AN35" s="171">
        <f>W35/COMB_CORR!$M20</f>
        <v>0.38143229898060449</v>
      </c>
      <c r="AO35" s="171">
        <f>X35/COMB_CORR!$M20</f>
        <v>7.2217375827795652E-2</v>
      </c>
      <c r="AP35" s="171">
        <f>Y35/COMB_CORR!$N20</f>
        <v>7.5839334520899943E-2</v>
      </c>
      <c r="AQ35" s="171">
        <f>Z35/COMB_CORR!$N20</f>
        <v>0.38165891434264893</v>
      </c>
      <c r="AR35" s="171">
        <f>AA35/COMB_CORR!$N20</f>
        <v>7.2260281388789954E-2</v>
      </c>
      <c r="AS35" s="171">
        <f>AB35/COMB_CORR!$O20</f>
        <v>6.8986122347339834E-2</v>
      </c>
      <c r="AT35" s="171">
        <f>AC35/COMB_CORR!$O20</f>
        <v>0.35416537639803719</v>
      </c>
      <c r="AU35" s="171">
        <f>AD35/COMB_CORR!$O20</f>
        <v>6.7054872282408168E-2</v>
      </c>
      <c r="AV35" s="171" t="e">
        <f>AE35/COMB_CORR!$P20</f>
        <v>#DIV/0!</v>
      </c>
      <c r="AW35" s="171" t="e">
        <f>AF35/COMB_CORR!$P20</f>
        <v>#DIV/0!</v>
      </c>
      <c r="AX35" s="171" t="e">
        <f>AG35/COMB_CORR!$P20</f>
        <v>#DIV/0!</v>
      </c>
    </row>
    <row r="36" spans="1:50" ht="15.75" thickBot="1">
      <c r="A36" s="128" t="s">
        <v>29</v>
      </c>
      <c r="B36" s="167">
        <f>DEN!H21</f>
        <v>2289</v>
      </c>
      <c r="C36" s="920">
        <f>DEN!$K21*ONSV_2013!V20</f>
        <v>3156.7921647967628</v>
      </c>
      <c r="D36" s="927">
        <f>DEN!$K21*ONSV_2013!U20</f>
        <v>720.20783520323698</v>
      </c>
      <c r="E36" s="167">
        <f>DEN!H57</f>
        <v>2408</v>
      </c>
      <c r="F36" s="920">
        <f>DEN!$K57*ONSV_2013!V20</f>
        <v>3484.1149530991356</v>
      </c>
      <c r="G36" s="927">
        <f>DEN!$K57*ONSV_2013!U20</f>
        <v>794.88504690086438</v>
      </c>
      <c r="H36" s="167">
        <f>DEN!H93</f>
        <v>2586</v>
      </c>
      <c r="I36" s="920">
        <f>DEN!$K93*ONSV_2013!V20</f>
        <v>3803.2953834835384</v>
      </c>
      <c r="J36" s="927">
        <f>DEN!$K93*ONSV_2013!U20</f>
        <v>867.70461651646121</v>
      </c>
      <c r="K36" s="170">
        <f>DEN!H129</f>
        <v>2802</v>
      </c>
      <c r="L36" s="936">
        <f>DEN!$K129*ONSV_2013!V20</f>
        <v>4084.2067316534853</v>
      </c>
      <c r="M36" s="937">
        <f>DEN!$K129*ONSV_2013!U20</f>
        <v>931.79326834651454</v>
      </c>
      <c r="N36" s="170">
        <f>DEN!H165</f>
        <v>2977</v>
      </c>
      <c r="O36" s="168" t="e">
        <f>DEN!$K165*DIST_DSL_ONI!$K$2</f>
        <v>#DIV/0!</v>
      </c>
      <c r="P36" s="169" t="e">
        <f>DEN!$K165*DIST_DSL_ONI!$K$3</f>
        <v>#DIV/0!</v>
      </c>
      <c r="R36" s="128" t="s">
        <v>29</v>
      </c>
      <c r="S36" s="167">
        <f t="shared" si="46"/>
        <v>18236024.680851065</v>
      </c>
      <c r="T36" s="167">
        <f t="shared" si="47"/>
        <v>119288862.32334007</v>
      </c>
      <c r="U36" s="167">
        <f t="shared" si="48"/>
        <v>22566488.037151799</v>
      </c>
      <c r="V36" s="167">
        <f t="shared" si="49"/>
        <v>19184074.893617019</v>
      </c>
      <c r="W36" s="167">
        <f t="shared" si="50"/>
        <v>131657735.84771013</v>
      </c>
      <c r="X36" s="167">
        <f t="shared" si="51"/>
        <v>24906371.501411546</v>
      </c>
      <c r="Y36" s="167">
        <f t="shared" si="52"/>
        <v>20602166.808510639</v>
      </c>
      <c r="Z36" s="167">
        <f t="shared" si="53"/>
        <v>143718925.95107594</v>
      </c>
      <c r="AA36" s="167">
        <f t="shared" si="54"/>
        <v>27188048.909346417</v>
      </c>
      <c r="AB36" s="167">
        <f t="shared" si="55"/>
        <v>22322997.44680851</v>
      </c>
      <c r="AC36" s="167">
        <f t="shared" si="56"/>
        <v>154334003.9757219</v>
      </c>
      <c r="AD36" s="167">
        <f t="shared" si="57"/>
        <v>29196157.852554407</v>
      </c>
      <c r="AE36" s="167">
        <f t="shared" si="43"/>
        <v>23717188.936170213</v>
      </c>
      <c r="AF36" s="167" t="e">
        <f t="shared" si="44"/>
        <v>#DIV/0!</v>
      </c>
      <c r="AG36" s="167" t="e">
        <f t="shared" si="45"/>
        <v>#DIV/0!</v>
      </c>
      <c r="AI36" s="128" t="s">
        <v>29</v>
      </c>
      <c r="AJ36" s="171">
        <f>S36/COMB_CORR!$L21</f>
        <v>7.112305347178656E-2</v>
      </c>
      <c r="AK36" s="171">
        <f>T36/COMB_CORR!$L21</f>
        <v>0.46524329079903115</v>
      </c>
      <c r="AL36" s="171">
        <f>U36/COMB_CORR!$L21</f>
        <v>8.8012467817184095E-2</v>
      </c>
      <c r="AM36" s="171">
        <f>V36/COMB_CORR!$M21</f>
        <v>6.8127724250041849E-2</v>
      </c>
      <c r="AN36" s="171">
        <f>W36/COMB_CORR!$M21</f>
        <v>0.46755144425556938</v>
      </c>
      <c r="AO36" s="171">
        <f>X36/COMB_CORR!$M21</f>
        <v>8.8449113086075143E-2</v>
      </c>
      <c r="AP36" s="171">
        <f>Y36/COMB_CORR!$N21</f>
        <v>7.1518180050746408E-2</v>
      </c>
      <c r="AQ36" s="171">
        <f>Z36/COMB_CORR!$N21</f>
        <v>0.49890461126753632</v>
      </c>
      <c r="AR36" s="171">
        <f>AA36/COMB_CORR!$N21</f>
        <v>9.4380353057033767E-2</v>
      </c>
      <c r="AS36" s="171">
        <f>AB36/COMB_CORR!$O21</f>
        <v>7.4422883530478712E-2</v>
      </c>
      <c r="AT36" s="171">
        <f>AC36/COMB_CORR!$O21</f>
        <v>0.51453581133297699</v>
      </c>
      <c r="AU36" s="171">
        <f>AD36/COMB_CORR!$O21</f>
        <v>9.7337387623487787E-2</v>
      </c>
      <c r="AV36" s="171" t="e">
        <f>AE36/COMB_CORR!$P21</f>
        <v>#DIV/0!</v>
      </c>
      <c r="AW36" s="171" t="e">
        <f>AF36/COMB_CORR!$P21</f>
        <v>#DIV/0!</v>
      </c>
      <c r="AX36" s="171" t="e">
        <f>AG36/COMB_CORR!$P21</f>
        <v>#DIV/0!</v>
      </c>
    </row>
    <row r="37" spans="1:50" ht="15.75" thickBot="1">
      <c r="A37" s="269" t="s">
        <v>64</v>
      </c>
      <c r="B37" s="282">
        <f t="shared" ref="B37:J37" si="58">SUM(B38:B41)</f>
        <v>138141</v>
      </c>
      <c r="C37" s="282">
        <f t="shared" si="58"/>
        <v>175235.7069292636</v>
      </c>
      <c r="D37" s="282">
        <f t="shared" si="58"/>
        <v>39994.293070736385</v>
      </c>
      <c r="E37" s="282">
        <f t="shared" si="58"/>
        <v>148200</v>
      </c>
      <c r="F37" s="282">
        <f t="shared" si="58"/>
        <v>184155.86024670454</v>
      </c>
      <c r="G37" s="282">
        <f t="shared" si="58"/>
        <v>42030.139753295472</v>
      </c>
      <c r="H37" s="282">
        <f t="shared" si="58"/>
        <v>161094</v>
      </c>
      <c r="I37" s="282">
        <f t="shared" si="58"/>
        <v>195111.45739666343</v>
      </c>
      <c r="J37" s="282">
        <f t="shared" si="58"/>
        <v>44530.542603336566</v>
      </c>
      <c r="K37" s="282">
        <f t="shared" ref="K37:P37" si="59">SUM(K38:K41)</f>
        <v>174126</v>
      </c>
      <c r="L37" s="282">
        <f t="shared" si="59"/>
        <v>207022.89828751457</v>
      </c>
      <c r="M37" s="282">
        <f t="shared" si="59"/>
        <v>47249.101712485426</v>
      </c>
      <c r="N37" s="282">
        <f t="shared" si="59"/>
        <v>184187</v>
      </c>
      <c r="O37" s="282" t="e">
        <f t="shared" si="59"/>
        <v>#DIV/0!</v>
      </c>
      <c r="P37" s="282" t="e">
        <f t="shared" si="59"/>
        <v>#DIV/0!</v>
      </c>
      <c r="R37" s="269" t="s">
        <v>64</v>
      </c>
      <c r="S37" s="282">
        <f>SUM(S38:S41)</f>
        <v>903527496.38297868</v>
      </c>
      <c r="T37" s="282">
        <f t="shared" ref="T37:AD37" si="60">SUM(T38:T41)</f>
        <v>6621806893.4430132</v>
      </c>
      <c r="U37" s="282">
        <f t="shared" si="60"/>
        <v>1008843181.8477283</v>
      </c>
      <c r="V37" s="282">
        <f t="shared" si="60"/>
        <v>967630822.34042549</v>
      </c>
      <c r="W37" s="282">
        <f t="shared" si="60"/>
        <v>6958881647.00247</v>
      </c>
      <c r="X37" s="282">
        <f t="shared" si="60"/>
        <v>1060781620.5166659</v>
      </c>
      <c r="Y37" s="282">
        <f t="shared" si="60"/>
        <v>1051314717.2340425</v>
      </c>
      <c r="Z37" s="282">
        <f t="shared" si="60"/>
        <v>7372871752.1051178</v>
      </c>
      <c r="AA37" s="282">
        <f t="shared" si="60"/>
        <v>1123604655.6551924</v>
      </c>
      <c r="AB37" s="282">
        <f t="shared" si="60"/>
        <v>1136463236.5957446</v>
      </c>
      <c r="AC37" s="282">
        <f t="shared" si="60"/>
        <v>7822981280.4886017</v>
      </c>
      <c r="AD37" s="282">
        <f t="shared" si="60"/>
        <v>1192884190.3539023</v>
      </c>
      <c r="AE37" s="282">
        <f>SUM(AE38:AE41)</f>
        <v>1202031980.4255319</v>
      </c>
      <c r="AF37" s="282" t="e">
        <f>SUM(AF38:AF41)</f>
        <v>#DIV/0!</v>
      </c>
      <c r="AG37" s="282" t="e">
        <f>SUM(AG38:AG41)</f>
        <v>#DIV/0!</v>
      </c>
      <c r="AI37" s="4" t="s">
        <v>64</v>
      </c>
      <c r="AJ37" s="171">
        <f>S37/COMB_CORR!$L22</f>
        <v>5.6002394456682709E-2</v>
      </c>
      <c r="AK37" s="171">
        <f>T37/COMB_CORR!$L22</f>
        <v>0.41043249170293039</v>
      </c>
      <c r="AL37" s="171">
        <f>U37/COMB_CORR!$L22</f>
        <v>6.2530065815311592E-2</v>
      </c>
      <c r="AM37" s="171">
        <f>V37/COMB_CORR!$M22</f>
        <v>5.4668037252268001E-2</v>
      </c>
      <c r="AN37" s="171">
        <f>W37/COMB_CORR!$M22</f>
        <v>0.39315448860166147</v>
      </c>
      <c r="AO37" s="171">
        <f>X37/COMB_CORR!$M22</f>
        <v>5.9930758516623966E-2</v>
      </c>
      <c r="AP37" s="171">
        <f>Y37/COMB_CORR!$N22</f>
        <v>5.6341337446830092E-2</v>
      </c>
      <c r="AQ37" s="171">
        <f>Z37/COMB_CORR!$N22</f>
        <v>0.39512188741202653</v>
      </c>
      <c r="AR37" s="171">
        <f>AA37/COMB_CORR!$N22</f>
        <v>6.0215450257989252E-2</v>
      </c>
      <c r="AS37" s="171">
        <f>AB37/COMB_CORR!$O22</f>
        <v>5.8868090671702053E-2</v>
      </c>
      <c r="AT37" s="171">
        <f>AC37/COMB_CORR!$O22</f>
        <v>0.40522557748750604</v>
      </c>
      <c r="AU37" s="171">
        <f>AD37/COMB_CORR!$O22</f>
        <v>6.179066107667909E-2</v>
      </c>
      <c r="AV37" s="171" t="e">
        <f>AE37/COMB_CORR!$P22</f>
        <v>#DIV/0!</v>
      </c>
      <c r="AW37" s="171" t="e">
        <f>AF37/COMB_CORR!$P22</f>
        <v>#DIV/0!</v>
      </c>
      <c r="AX37" s="171" t="e">
        <f>AG37/COMB_CORR!$P22</f>
        <v>#DIV/0!</v>
      </c>
    </row>
    <row r="38" spans="1:50" ht="15.75" thickBot="1">
      <c r="A38" s="127" t="s">
        <v>31</v>
      </c>
      <c r="B38" s="167">
        <f>DEN!H23</f>
        <v>4470</v>
      </c>
      <c r="C38" s="920">
        <f>DEN!$K23*ONSV_2013!V22</f>
        <v>9436.2526299969941</v>
      </c>
      <c r="D38" s="927">
        <f>DEN!$K23*ONSV_2013!U22</f>
        <v>2153.7473700030059</v>
      </c>
      <c r="E38" s="167">
        <f>DEN!H59</f>
        <v>4950</v>
      </c>
      <c r="F38" s="920">
        <f>DEN!$K59*ONSV_2013!V22</f>
        <v>9682.1325518485137</v>
      </c>
      <c r="G38" s="927">
        <f>DEN!$K59*ONSV_2013!U22</f>
        <v>2209.8674481514877</v>
      </c>
      <c r="H38" s="167">
        <f>DEN!H95</f>
        <v>5447</v>
      </c>
      <c r="I38" s="920">
        <f>DEN!$K95*ONSV_2013!V22</f>
        <v>10246.353697024348</v>
      </c>
      <c r="J38" s="927">
        <f>DEN!$K95*ONSV_2013!U22</f>
        <v>2338.6463029756537</v>
      </c>
      <c r="K38" s="170">
        <f>DEN!H131</f>
        <v>6008</v>
      </c>
      <c r="L38" s="936">
        <f>DEN!$K131*ONSV_2013!V22</f>
        <v>10670.537270814548</v>
      </c>
      <c r="M38" s="937">
        <f>DEN!$K131*ONSV_2013!U22</f>
        <v>2435.4627291854522</v>
      </c>
      <c r="N38" s="170">
        <f>DEN!H167</f>
        <v>6645</v>
      </c>
      <c r="O38" s="168" t="e">
        <f>DEN!$K167*DIST_DSL_ONI!$K$2</f>
        <v>#DIV/0!</v>
      </c>
      <c r="P38" s="169" t="e">
        <f>DEN!$K167*DIST_DSL_ONI!$K$3</f>
        <v>#DIV/0!</v>
      </c>
      <c r="R38" s="127" t="s">
        <v>31</v>
      </c>
      <c r="S38" s="167">
        <f>B11*B38/B$17</f>
        <v>33696191.489361703</v>
      </c>
      <c r="T38" s="167">
        <f t="shared" ref="T38:AD38" si="61">C11*C38/C$17</f>
        <v>356577114.38232642</v>
      </c>
      <c r="U38" s="167">
        <f t="shared" si="61"/>
        <v>63704541.896288268</v>
      </c>
      <c r="V38" s="167">
        <f t="shared" si="61"/>
        <v>37314574.468085103</v>
      </c>
      <c r="W38" s="167">
        <f t="shared" si="61"/>
        <v>365868424.86925167</v>
      </c>
      <c r="X38" s="167">
        <f t="shared" si="61"/>
        <v>65364487.681679033</v>
      </c>
      <c r="Y38" s="167">
        <f t="shared" si="61"/>
        <v>41061108.510638297</v>
      </c>
      <c r="Z38" s="167">
        <f t="shared" si="61"/>
        <v>387189213.50315601</v>
      </c>
      <c r="AA38" s="167">
        <f t="shared" si="61"/>
        <v>69173568.573320776</v>
      </c>
      <c r="AB38" s="167">
        <f t="shared" si="61"/>
        <v>45290093.617021278</v>
      </c>
      <c r="AC38" s="167">
        <f t="shared" si="61"/>
        <v>403218262.38954014</v>
      </c>
      <c r="AD38" s="167">
        <f t="shared" si="61"/>
        <v>72037249.878581002</v>
      </c>
      <c r="AE38" s="167">
        <f t="shared" ref="AE38:AG41" si="62">N11*N38/N$17</f>
        <v>50091989.361702129</v>
      </c>
      <c r="AF38" s="167" t="e">
        <f t="shared" si="62"/>
        <v>#DIV/0!</v>
      </c>
      <c r="AG38" s="167" t="e">
        <f t="shared" si="62"/>
        <v>#DIV/0!</v>
      </c>
      <c r="AI38" s="127" t="s">
        <v>31</v>
      </c>
      <c r="AJ38" s="171">
        <f>S38/COMB_CORR!$L23</f>
        <v>5.1970856544807556E-2</v>
      </c>
      <c r="AK38" s="171">
        <f>T38/COMB_CORR!$L23</f>
        <v>0.54996179804403056</v>
      </c>
      <c r="AL38" s="171">
        <f>U38/COMB_CORR!$L23</f>
        <v>9.8253822221717066E-2</v>
      </c>
      <c r="AM38" s="171">
        <f>V38/COMB_CORR!$M23</f>
        <v>5.0597718372796183E-2</v>
      </c>
      <c r="AN38" s="171">
        <f>W38/COMB_CORR!$M23</f>
        <v>0.49610930278372095</v>
      </c>
      <c r="AO38" s="171">
        <f>X38/COMB_CORR!$M23</f>
        <v>8.8632765787759596E-2</v>
      </c>
      <c r="AP38" s="171">
        <f>Y38/COMB_CORR!$N23</f>
        <v>4.9821882482094279E-2</v>
      </c>
      <c r="AQ38" s="171">
        <f>Z38/COMB_CORR!$N23</f>
        <v>0.46979967646248233</v>
      </c>
      <c r="AR38" s="171">
        <f>AA38/COMB_CORR!$N23</f>
        <v>8.3932400496060156E-2</v>
      </c>
      <c r="AS38" s="171">
        <f>AB38/COMB_CORR!$O23</f>
        <v>5.2250599773489691E-2</v>
      </c>
      <c r="AT38" s="171">
        <f>AC38/COMB_CORR!$O23</f>
        <v>0.46518773459897911</v>
      </c>
      <c r="AU38" s="171">
        <f>AD38/COMB_CORR!$O23</f>
        <v>8.3108450691609798E-2</v>
      </c>
      <c r="AV38" s="171" t="e">
        <f>AE38/COMB_CORR!$P23</f>
        <v>#DIV/0!</v>
      </c>
      <c r="AW38" s="171" t="e">
        <f>AF38/COMB_CORR!$P23</f>
        <v>#DIV/0!</v>
      </c>
      <c r="AX38" s="171" t="e">
        <f>AG38/COMB_CORR!$P23</f>
        <v>#DIV/0!</v>
      </c>
    </row>
    <row r="39" spans="1:50" ht="15.75" thickBot="1">
      <c r="A39" s="127" t="s">
        <v>32</v>
      </c>
      <c r="B39" s="167">
        <f>DEN!H24</f>
        <v>25800</v>
      </c>
      <c r="C39" s="920">
        <f>DEN!$K24*ONSV_2013!V23</f>
        <v>41567.477042227547</v>
      </c>
      <c r="D39" s="927">
        <f>DEN!$K24*ONSV_2013!U23</f>
        <v>9486.5229577724513</v>
      </c>
      <c r="E39" s="167">
        <f>DEN!H60</f>
        <v>28261</v>
      </c>
      <c r="F39" s="920">
        <f>DEN!$K60*ONSV_2013!V23</f>
        <v>44427.714180342984</v>
      </c>
      <c r="G39" s="927">
        <f>DEN!$K60*ONSV_2013!U23</f>
        <v>10139.285819657016</v>
      </c>
      <c r="H39" s="167">
        <f>DEN!H96</f>
        <v>31384</v>
      </c>
      <c r="I39" s="920">
        <f>DEN!$K96*ONSV_2013!V23</f>
        <v>47598.970557501998</v>
      </c>
      <c r="J39" s="927">
        <f>DEN!$K96*ONSV_2013!U23</f>
        <v>10863.029442498002</v>
      </c>
      <c r="K39" s="170">
        <f>DEN!H132</f>
        <v>34662</v>
      </c>
      <c r="L39" s="936">
        <f>DEN!$K132*ONSV_2013!V23</f>
        <v>50723.818304751367</v>
      </c>
      <c r="M39" s="937">
        <f>DEN!$K132*ONSV_2013!U23</f>
        <v>11576.181695248632</v>
      </c>
      <c r="N39" s="170">
        <f>DEN!H168</f>
        <v>37672</v>
      </c>
      <c r="O39" s="168" t="e">
        <f>DEN!$K168*DIST_DSL_ONI!$K$2</f>
        <v>#DIV/0!</v>
      </c>
      <c r="P39" s="169" t="e">
        <f>DEN!$K168*DIST_DSL_ONI!$K$3</f>
        <v>#DIV/0!</v>
      </c>
      <c r="R39" s="127" t="s">
        <v>32</v>
      </c>
      <c r="S39" s="167">
        <f>B12*B39/B$17</f>
        <v>154723148.93617022</v>
      </c>
      <c r="T39" s="167">
        <f t="shared" ref="T39:AD41" si="63">C12*C39/C$17</f>
        <v>1570751822.4716947</v>
      </c>
      <c r="U39" s="167">
        <f t="shared" si="63"/>
        <v>220705229.95645332</v>
      </c>
      <c r="V39" s="167">
        <f t="shared" si="63"/>
        <v>169481818.29787233</v>
      </c>
      <c r="W39" s="167">
        <f t="shared" si="63"/>
        <v>1678834463.4468005</v>
      </c>
      <c r="X39" s="167">
        <f t="shared" si="63"/>
        <v>235891845.55634794</v>
      </c>
      <c r="Y39" s="167">
        <f t="shared" si="63"/>
        <v>188210515.74468085</v>
      </c>
      <c r="Z39" s="167">
        <f t="shared" si="63"/>
        <v>1798669899.4268856</v>
      </c>
      <c r="AA39" s="167">
        <f t="shared" si="63"/>
        <v>252729838.08740103</v>
      </c>
      <c r="AB39" s="167">
        <f t="shared" si="63"/>
        <v>207868751.4893617</v>
      </c>
      <c r="AC39" s="167">
        <f t="shared" si="63"/>
        <v>1916751646.0999448</v>
      </c>
      <c r="AD39" s="167">
        <f t="shared" si="63"/>
        <v>269321420.97165823</v>
      </c>
      <c r="AE39" s="167">
        <f t="shared" si="62"/>
        <v>225919785.53191489</v>
      </c>
      <c r="AF39" s="167" t="e">
        <f t="shared" si="62"/>
        <v>#DIV/0!</v>
      </c>
      <c r="AG39" s="167" t="e">
        <f t="shared" si="62"/>
        <v>#DIV/0!</v>
      </c>
      <c r="AI39" s="127" t="s">
        <v>32</v>
      </c>
      <c r="AJ39" s="171">
        <f>S39/COMB_CORR!$L24</f>
        <v>3.2066742019888982E-2</v>
      </c>
      <c r="AK39" s="171">
        <f>T39/COMB_CORR!$L24</f>
        <v>0.32554206539093622</v>
      </c>
      <c r="AL39" s="171">
        <f>U39/COMB_CORR!$L24</f>
        <v>4.5741685844136633E-2</v>
      </c>
      <c r="AM39" s="171">
        <f>V39/COMB_CORR!$M24</f>
        <v>3.1780042178508675E-2</v>
      </c>
      <c r="AN39" s="171">
        <f>W39/COMB_CORR!$M24</f>
        <v>0.31480326677462306</v>
      </c>
      <c r="AO39" s="171">
        <f>X39/COMB_CORR!$M24</f>
        <v>4.4232784829882271E-2</v>
      </c>
      <c r="AP39" s="171">
        <f>Y39/COMB_CORR!$N24</f>
        <v>3.3197317954018118E-2</v>
      </c>
      <c r="AQ39" s="171">
        <f>Z39/COMB_CORR!$N24</f>
        <v>0.31725653749654342</v>
      </c>
      <c r="AR39" s="171">
        <f>AA39/COMB_CORR!$N24</f>
        <v>4.4577492167528293E-2</v>
      </c>
      <c r="AS39" s="171">
        <f>AB39/COMB_CORR!$O24</f>
        <v>3.5862758167663086E-2</v>
      </c>
      <c r="AT39" s="171">
        <f>AC39/COMB_CORR!$O24</f>
        <v>0.33068943869165657</v>
      </c>
      <c r="AU39" s="171">
        <f>AD39/COMB_CORR!$O24</f>
        <v>4.6464939633662411E-2</v>
      </c>
      <c r="AV39" s="171" t="e">
        <f>AE39/COMB_CORR!$P24</f>
        <v>#DIV/0!</v>
      </c>
      <c r="AW39" s="171" t="e">
        <f>AF39/COMB_CORR!$P24</f>
        <v>#DIV/0!</v>
      </c>
      <c r="AX39" s="171" t="e">
        <f>AG39/COMB_CORR!$P24</f>
        <v>#DIV/0!</v>
      </c>
    </row>
    <row r="40" spans="1:50" ht="15.75" thickBot="1">
      <c r="A40" s="127" t="s">
        <v>33</v>
      </c>
      <c r="B40" s="167">
        <f>DEN!H25</f>
        <v>27552</v>
      </c>
      <c r="C40" s="920">
        <f>DEN!$K25*ONSV_2013!V24</f>
        <v>27335.982130615605</v>
      </c>
      <c r="D40" s="927">
        <f>DEN!$K25*ONSV_2013!U24</f>
        <v>6239.0178693843973</v>
      </c>
      <c r="E40" s="167">
        <f>DEN!H61</f>
        <v>28677</v>
      </c>
      <c r="F40" s="920">
        <f>DEN!$K61*ONSV_2013!V24</f>
        <v>29218.358621635209</v>
      </c>
      <c r="G40" s="927">
        <f>DEN!$K61*ONSV_2013!U24</f>
        <v>6668.6413783647913</v>
      </c>
      <c r="H40" s="167">
        <f>DEN!H97</f>
        <v>30917</v>
      </c>
      <c r="I40" s="920">
        <f>DEN!$K97*ONSV_2013!V24</f>
        <v>30844.269457520226</v>
      </c>
      <c r="J40" s="927">
        <f>DEN!$K97*ONSV_2013!U24</f>
        <v>7039.7305424797769</v>
      </c>
      <c r="K40" s="170">
        <f>DEN!H133</f>
        <v>33416</v>
      </c>
      <c r="L40" s="936">
        <f>DEN!$K133*ONSV_2013!V24</f>
        <v>33222.479548466705</v>
      </c>
      <c r="M40" s="937">
        <f>DEN!$K133*ONSV_2013!U24</f>
        <v>7582.5204515332935</v>
      </c>
      <c r="N40" s="170">
        <f>DEN!H169</f>
        <v>35147</v>
      </c>
      <c r="O40" s="168" t="e">
        <f>DEN!$K169*DIST_DSL_ONI!$K$2</f>
        <v>#DIV/0!</v>
      </c>
      <c r="P40" s="169" t="e">
        <f>DEN!$K169*DIST_DSL_ONI!$K$3</f>
        <v>#DIV/0!</v>
      </c>
      <c r="R40" s="127" t="s">
        <v>33</v>
      </c>
      <c r="S40" s="167">
        <f>B13*B40/B$17</f>
        <v>225897089.36170211</v>
      </c>
      <c r="T40" s="167">
        <f t="shared" si="63"/>
        <v>1032972092.7517024</v>
      </c>
      <c r="U40" s="167">
        <f t="shared" si="63"/>
        <v>201423836.43901372</v>
      </c>
      <c r="V40" s="167">
        <f t="shared" si="63"/>
        <v>235120892.55319148</v>
      </c>
      <c r="W40" s="167">
        <f t="shared" si="63"/>
        <v>1104103335.5943513</v>
      </c>
      <c r="X40" s="167">
        <f t="shared" si="63"/>
        <v>215294034.79633316</v>
      </c>
      <c r="Y40" s="167">
        <f t="shared" si="63"/>
        <v>253486509.57446808</v>
      </c>
      <c r="Z40" s="167">
        <f t="shared" si="63"/>
        <v>1165543254.2607744</v>
      </c>
      <c r="AA40" s="167">
        <f t="shared" si="63"/>
        <v>227274478.61967522</v>
      </c>
      <c r="AB40" s="167">
        <f t="shared" si="63"/>
        <v>273975651.06382978</v>
      </c>
      <c r="AC40" s="167">
        <f t="shared" si="63"/>
        <v>1255411057.17746</v>
      </c>
      <c r="AD40" s="167">
        <f t="shared" si="63"/>
        <v>244798202.40935084</v>
      </c>
      <c r="AE40" s="167">
        <f t="shared" si="62"/>
        <v>288168009.57446808</v>
      </c>
      <c r="AF40" s="167" t="e">
        <f t="shared" si="62"/>
        <v>#DIV/0!</v>
      </c>
      <c r="AG40" s="167" t="e">
        <f t="shared" si="62"/>
        <v>#DIV/0!</v>
      </c>
      <c r="AI40" s="127" t="s">
        <v>33</v>
      </c>
      <c r="AJ40" s="171">
        <f>S40/COMB_CORR!$L25</f>
        <v>0.10179706047041752</v>
      </c>
      <c r="AK40" s="171">
        <f>T40/COMB_CORR!$L25</f>
        <v>0.46549303883118637</v>
      </c>
      <c r="AL40" s="171">
        <f>U40/COMB_CORR!$L25</f>
        <v>9.0768564199313714E-2</v>
      </c>
      <c r="AM40" s="171">
        <f>V40/COMB_CORR!$M25</f>
        <v>9.9109730819832695E-2</v>
      </c>
      <c r="AN40" s="171">
        <f>W40/COMB_CORR!$M25</f>
        <v>0.46540902086478664</v>
      </c>
      <c r="AO40" s="171">
        <f>X40/COMB_CORR!$M25</f>
        <v>9.0752181161242521E-2</v>
      </c>
      <c r="AP40" s="171">
        <f>Y40/COMB_CORR!$N25</f>
        <v>9.9021586591431204E-2</v>
      </c>
      <c r="AQ40" s="171">
        <f>Z40/COMB_CORR!$N25</f>
        <v>0.45530605345266317</v>
      </c>
      <c r="AR40" s="171">
        <f>AA40/COMB_CORR!$N25</f>
        <v>8.8782158476363074E-2</v>
      </c>
      <c r="AS40" s="171">
        <f>AB40/COMB_CORR!$O25</f>
        <v>0.10454474093676751</v>
      </c>
      <c r="AT40" s="171">
        <f>AC40/COMB_CORR!$O25</f>
        <v>0.47904484662103658</v>
      </c>
      <c r="AU40" s="171">
        <f>AD40/COMB_CORR!$O25</f>
        <v>9.3411091654672443E-2</v>
      </c>
      <c r="AV40" s="171" t="e">
        <f>AE40/COMB_CORR!$P25</f>
        <v>#DIV/0!</v>
      </c>
      <c r="AW40" s="171" t="e">
        <f>AF40/COMB_CORR!$P25</f>
        <v>#DIV/0!</v>
      </c>
      <c r="AX40" s="171" t="e">
        <f>AG40/COMB_CORR!$P25</f>
        <v>#DIV/0!</v>
      </c>
    </row>
    <row r="41" spans="1:50" ht="15.75" thickBot="1">
      <c r="A41" s="128" t="s">
        <v>34</v>
      </c>
      <c r="B41" s="167">
        <f>DEN!H26</f>
        <v>80319</v>
      </c>
      <c r="C41" s="920">
        <f>DEN!$K26*ONSV_2013!V25</f>
        <v>96895.99512642347</v>
      </c>
      <c r="D41" s="927">
        <f>DEN!$K26*ONSV_2013!U25</f>
        <v>22115.00487357653</v>
      </c>
      <c r="E41" s="167">
        <f>DEN!H62</f>
        <v>86312</v>
      </c>
      <c r="F41" s="920">
        <f>DEN!$K62*ONSV_2013!V25</f>
        <v>100827.65489287782</v>
      </c>
      <c r="G41" s="927">
        <f>DEN!$K62*ONSV_2013!U25</f>
        <v>23012.345107122175</v>
      </c>
      <c r="H41" s="167">
        <f>DEN!H98</f>
        <v>93346</v>
      </c>
      <c r="I41" s="920">
        <f>DEN!$K98*ONSV_2013!V25</f>
        <v>106421.86368461687</v>
      </c>
      <c r="J41" s="927">
        <f>DEN!$K98*ONSV_2013!U25</f>
        <v>24289.13631538313</v>
      </c>
      <c r="K41" s="170">
        <f>DEN!H134</f>
        <v>100040</v>
      </c>
      <c r="L41" s="936">
        <f>DEN!$K134*ONSV_2013!V25</f>
        <v>112406.06316348196</v>
      </c>
      <c r="M41" s="937">
        <f>DEN!$K134*ONSV_2013!U25</f>
        <v>25654.936836518045</v>
      </c>
      <c r="N41" s="170">
        <f>DEN!H170</f>
        <v>104723</v>
      </c>
      <c r="O41" s="168" t="e">
        <f>DEN!$K170*DIST_DSL_ONI!$K$2</f>
        <v>#DIV/0!</v>
      </c>
      <c r="P41" s="169" t="e">
        <f>DEN!$K170*DIST_DSL_ONI!$K$3</f>
        <v>#DIV/0!</v>
      </c>
      <c r="R41" s="128" t="s">
        <v>34</v>
      </c>
      <c r="S41" s="167">
        <f>B14*B41/B$17</f>
        <v>489211066.59574467</v>
      </c>
      <c r="T41" s="167">
        <f t="shared" si="63"/>
        <v>3661505863.8372898</v>
      </c>
      <c r="U41" s="167">
        <f t="shared" si="63"/>
        <v>523009573.55597299</v>
      </c>
      <c r="V41" s="167">
        <f t="shared" si="63"/>
        <v>525713537.02127659</v>
      </c>
      <c r="W41" s="167">
        <f t="shared" si="63"/>
        <v>3810075423.0920672</v>
      </c>
      <c r="X41" s="167">
        <f t="shared" si="63"/>
        <v>544231252.48230577</v>
      </c>
      <c r="Y41" s="167">
        <f t="shared" si="63"/>
        <v>568556583.40425527</v>
      </c>
      <c r="Z41" s="167">
        <f t="shared" si="63"/>
        <v>4021469384.9143023</v>
      </c>
      <c r="AA41" s="167">
        <f t="shared" si="63"/>
        <v>574426770.37479544</v>
      </c>
      <c r="AB41" s="167">
        <f t="shared" si="63"/>
        <v>609328740.42553186</v>
      </c>
      <c r="AC41" s="167">
        <f t="shared" si="63"/>
        <v>4247600314.8216567</v>
      </c>
      <c r="AD41" s="167">
        <f t="shared" si="63"/>
        <v>606727317.09431219</v>
      </c>
      <c r="AE41" s="167">
        <f t="shared" si="62"/>
        <v>637852195.95744681</v>
      </c>
      <c r="AF41" s="167" t="e">
        <f t="shared" si="62"/>
        <v>#DIV/0!</v>
      </c>
      <c r="AG41" s="167" t="e">
        <f t="shared" si="62"/>
        <v>#DIV/0!</v>
      </c>
      <c r="AI41" s="128" t="s">
        <v>34</v>
      </c>
      <c r="AJ41" s="171">
        <f>S41/COMB_CORR!$L26</f>
        <v>5.7954913930440687E-2</v>
      </c>
      <c r="AK41" s="171">
        <f>T41/COMB_CORR!$L26</f>
        <v>0.43376422097549461</v>
      </c>
      <c r="AL41" s="171">
        <f>U41/COMB_CORR!$L26</f>
        <v>6.1958890323468734E-2</v>
      </c>
      <c r="AM41" s="171">
        <f>V41/COMB_CORR!$M26</f>
        <v>5.6788761689910913E-2</v>
      </c>
      <c r="AN41" s="171">
        <f>W41/COMB_CORR!$M26</f>
        <v>0.41157293846478415</v>
      </c>
      <c r="AO41" s="171">
        <f>X41/COMB_CORR!$M26</f>
        <v>5.8789087069235135E-2</v>
      </c>
      <c r="AP41" s="171">
        <f>Y41/COMB_CORR!$N26</f>
        <v>5.9186290170900491E-2</v>
      </c>
      <c r="AQ41" s="171">
        <f>Z41/COMB_CORR!$N26</f>
        <v>0.4186317789230426</v>
      </c>
      <c r="AR41" s="171">
        <f>AA41/COMB_CORR!$N26</f>
        <v>5.9797371986742905E-2</v>
      </c>
      <c r="AS41" s="171">
        <f>AB41/COMB_CORR!$O26</f>
        <v>6.0801657672367636E-2</v>
      </c>
      <c r="AT41" s="171">
        <f>AC41/COMB_CORR!$O26</f>
        <v>0.42384532869804842</v>
      </c>
      <c r="AU41" s="171">
        <f>AD41/COMB_CORR!$O26</f>
        <v>6.0542075544770521E-2</v>
      </c>
      <c r="AV41" s="171" t="e">
        <f>AE41/COMB_CORR!$P26</f>
        <v>#DIV/0!</v>
      </c>
      <c r="AW41" s="171" t="e">
        <f>AF41/COMB_CORR!$P26</f>
        <v>#DIV/0!</v>
      </c>
      <c r="AX41" s="171" t="e">
        <f>AG41/COMB_CORR!$P26</f>
        <v>#DIV/0!</v>
      </c>
    </row>
    <row r="42" spans="1:50" ht="15.75" thickBot="1">
      <c r="A42" s="269" t="s">
        <v>69</v>
      </c>
      <c r="B42" s="282">
        <f t="shared" ref="B42:J42" si="64">SUM(B43:B45)</f>
        <v>35431</v>
      </c>
      <c r="C42" s="282">
        <f t="shared" si="64"/>
        <v>58949.906671984128</v>
      </c>
      <c r="D42" s="282">
        <f t="shared" si="64"/>
        <v>13454.093328015875</v>
      </c>
      <c r="E42" s="282">
        <f t="shared" si="64"/>
        <v>37606</v>
      </c>
      <c r="F42" s="282">
        <f t="shared" si="64"/>
        <v>61693.695522096008</v>
      </c>
      <c r="G42" s="282">
        <f t="shared" si="64"/>
        <v>14080.30447790399</v>
      </c>
      <c r="H42" s="282">
        <f t="shared" si="64"/>
        <v>40620</v>
      </c>
      <c r="I42" s="282">
        <f t="shared" si="64"/>
        <v>65610.716443501849</v>
      </c>
      <c r="J42" s="282">
        <f t="shared" si="64"/>
        <v>14974.28355649816</v>
      </c>
      <c r="K42" s="282">
        <f t="shared" ref="K42:P42" si="65">SUM(K43:K45)</f>
        <v>43863</v>
      </c>
      <c r="L42" s="282">
        <f t="shared" si="65"/>
        <v>69367.335664163606</v>
      </c>
      <c r="M42" s="282">
        <f t="shared" si="65"/>
        <v>15831.6643358364</v>
      </c>
      <c r="N42" s="282">
        <f t="shared" si="65"/>
        <v>46295</v>
      </c>
      <c r="O42" s="282" t="e">
        <f t="shared" si="65"/>
        <v>#DIV/0!</v>
      </c>
      <c r="P42" s="282" t="e">
        <f t="shared" si="65"/>
        <v>#DIV/0!</v>
      </c>
      <c r="R42" s="269" t="s">
        <v>69</v>
      </c>
      <c r="S42" s="282">
        <f>SUM(S43:S45)</f>
        <v>226652860.85106382</v>
      </c>
      <c r="T42" s="282">
        <f t="shared" ref="T42:AC42" si="66">SUM(T43:T45)</f>
        <v>2227599073.3209362</v>
      </c>
      <c r="U42" s="282">
        <f t="shared" si="66"/>
        <v>335051199.99746591</v>
      </c>
      <c r="V42" s="282">
        <f t="shared" si="66"/>
        <v>240566382.12765956</v>
      </c>
      <c r="W42" s="282">
        <f t="shared" si="66"/>
        <v>2331281366.3889642</v>
      </c>
      <c r="X42" s="282">
        <f t="shared" si="66"/>
        <v>350645918.43047291</v>
      </c>
      <c r="Y42" s="282">
        <f t="shared" si="66"/>
        <v>259847004.25531915</v>
      </c>
      <c r="Z42" s="282">
        <f t="shared" si="66"/>
        <v>2479297752.9670477</v>
      </c>
      <c r="AA42" s="282">
        <f t="shared" si="66"/>
        <v>372908939.48681486</v>
      </c>
      <c r="AB42" s="282">
        <f t="shared" si="66"/>
        <v>280592544.25531912</v>
      </c>
      <c r="AC42" s="282">
        <f t="shared" si="66"/>
        <v>2621252880.0774145</v>
      </c>
      <c r="AD42" s="282">
        <f>SUM(AD43:AD45)</f>
        <v>394260542.4501937</v>
      </c>
      <c r="AE42" s="282">
        <f>SUM(AE43:AE45)</f>
        <v>296150100</v>
      </c>
      <c r="AF42" s="282" t="e">
        <f>SUM(AF43:AF45)</f>
        <v>#DIV/0!</v>
      </c>
      <c r="AG42" s="282" t="e">
        <f>SUM(AG43:AG45)</f>
        <v>#DIV/0!</v>
      </c>
      <c r="AI42" s="4" t="s">
        <v>69</v>
      </c>
      <c r="AJ42" s="171">
        <f>S42/COMB_CORR!$L27</f>
        <v>3.7007597039471395E-2</v>
      </c>
      <c r="AK42" s="171">
        <f>T42/COMB_CORR!$L27</f>
        <v>0.36371960433860179</v>
      </c>
      <c r="AL42" s="171">
        <f>U42/COMB_CORR!$L27</f>
        <v>5.4706742948395309E-2</v>
      </c>
      <c r="AM42" s="171">
        <f>V42/COMB_CORR!$M27</f>
        <v>3.5463688238811256E-2</v>
      </c>
      <c r="AN42" s="171">
        <f>W42/COMB_CORR!$M27</f>
        <v>0.34367160882311137</v>
      </c>
      <c r="AO42" s="171">
        <f>X42/COMB_CORR!$M27</f>
        <v>5.1691335353877668E-2</v>
      </c>
      <c r="AP42" s="171">
        <f>Y42/COMB_CORR!$N27</f>
        <v>3.5852274627437918E-2</v>
      </c>
      <c r="AQ42" s="171">
        <f>Z42/COMB_CORR!$N27</f>
        <v>0.34208000272046529</v>
      </c>
      <c r="AR42" s="171">
        <f>AA42/COMB_CORR!$N27</f>
        <v>5.1451944761969425E-2</v>
      </c>
      <c r="AS42" s="171">
        <f>AB42/COMB_CORR!$O27</f>
        <v>3.7418205933612329E-2</v>
      </c>
      <c r="AT42" s="171">
        <f>AC42/COMB_CORR!$O27</f>
        <v>0.34955518982558209</v>
      </c>
      <c r="AU42" s="171">
        <f>AD42/COMB_CORR!$O27</f>
        <v>5.2576315625390654E-2</v>
      </c>
      <c r="AV42" s="171" t="e">
        <f>AE42/COMB_CORR!$P27</f>
        <v>#DIV/0!</v>
      </c>
      <c r="AW42" s="171" t="e">
        <f>AF42/COMB_CORR!$P27</f>
        <v>#DIV/0!</v>
      </c>
      <c r="AX42" s="171" t="e">
        <f>AG42/COMB_CORR!$P27</f>
        <v>#DIV/0!</v>
      </c>
    </row>
    <row r="43" spans="1:50" ht="15.75" thickBot="1">
      <c r="A43" s="127" t="s">
        <v>36</v>
      </c>
      <c r="B43" s="167">
        <f>DEN!H28</f>
        <v>13277</v>
      </c>
      <c r="C43" s="920">
        <f>DEN!$K28*ONSV_2013!V27</f>
        <v>23740.019209456965</v>
      </c>
      <c r="D43" s="927">
        <f>DEN!$K28*ONSV_2013!U27</f>
        <v>5417.9807905430371</v>
      </c>
      <c r="E43" s="167">
        <f>DEN!H64</f>
        <v>14315</v>
      </c>
      <c r="F43" s="920">
        <f>DEN!$K64*ONSV_2013!V27</f>
        <v>25114.364240857038</v>
      </c>
      <c r="G43" s="927">
        <f>DEN!$K64*ONSV_2013!U27</f>
        <v>5731.6357591429633</v>
      </c>
      <c r="H43" s="167">
        <f>DEN!H100</f>
        <v>15597</v>
      </c>
      <c r="I43" s="920">
        <f>DEN!$K100*ONSV_2013!V27</f>
        <v>26813.56926486886</v>
      </c>
      <c r="J43" s="927">
        <f>DEN!$K100*ONSV_2013!U27</f>
        <v>6119.4307351311418</v>
      </c>
      <c r="K43" s="170">
        <f>DEN!H136</f>
        <v>17055</v>
      </c>
      <c r="L43" s="936">
        <f>DEN!$K136*ONSV_2013!V27</f>
        <v>28283.173993350574</v>
      </c>
      <c r="M43" s="937">
        <f>DEN!$K136*ONSV_2013!U27</f>
        <v>6454.8260066494277</v>
      </c>
      <c r="N43" s="170">
        <f>DEN!H172</f>
        <v>18149</v>
      </c>
      <c r="O43" s="168" t="e">
        <f>DEN!$K172*DIST_DSL_ONI!$K$2</f>
        <v>#DIV/0!</v>
      </c>
      <c r="P43" s="169" t="e">
        <f>DEN!$K172*DIST_DSL_ONI!$K$3</f>
        <v>#DIV/0!</v>
      </c>
      <c r="R43" s="127" t="s">
        <v>36</v>
      </c>
      <c r="S43" s="167">
        <f>B$15*B43/B$17</f>
        <v>84933251.489361703</v>
      </c>
      <c r="T43" s="167">
        <f t="shared" ref="T43:AD43" si="67">C$15*C43/C$17</f>
        <v>897087845.88695967</v>
      </c>
      <c r="U43" s="167">
        <f t="shared" si="67"/>
        <v>134925551.73930648</v>
      </c>
      <c r="V43" s="167">
        <f t="shared" si="67"/>
        <v>91573359.574468076</v>
      </c>
      <c r="W43" s="167">
        <f t="shared" si="67"/>
        <v>949021595.93350565</v>
      </c>
      <c r="X43" s="167">
        <f t="shared" si="67"/>
        <v>142736592.66584289</v>
      </c>
      <c r="Y43" s="167">
        <f t="shared" si="67"/>
        <v>99774340.851063833</v>
      </c>
      <c r="Z43" s="167">
        <f t="shared" si="67"/>
        <v>1013231155.3808645</v>
      </c>
      <c r="AA43" s="167">
        <f t="shared" si="67"/>
        <v>152393963.76399544</v>
      </c>
      <c r="AB43" s="167">
        <f t="shared" si="67"/>
        <v>109101197.87234043</v>
      </c>
      <c r="AC43" s="167">
        <f t="shared" si="67"/>
        <v>1068764578.8607315</v>
      </c>
      <c r="AD43" s="167">
        <f t="shared" si="67"/>
        <v>160746409.77844942</v>
      </c>
      <c r="AE43" s="167">
        <f t="shared" ref="AE43:AG45" si="68">N$15*N43/N$17</f>
        <v>116099539.14893617</v>
      </c>
      <c r="AF43" s="167" t="e">
        <f t="shared" si="68"/>
        <v>#DIV/0!</v>
      </c>
      <c r="AG43" s="167" t="e">
        <f t="shared" si="68"/>
        <v>#DIV/0!</v>
      </c>
      <c r="AI43" s="127" t="s">
        <v>36</v>
      </c>
      <c r="AJ43" s="171">
        <f>S43/COMB_CORR!$L28</f>
        <v>3.0116655196684557E-2</v>
      </c>
      <c r="AK43" s="171">
        <f>T43/COMB_CORR!$L28</f>
        <v>0.3181002123661556</v>
      </c>
      <c r="AL43" s="171">
        <f>U43/COMB_CORR!$L28</f>
        <v>4.7843527095675707E-2</v>
      </c>
      <c r="AM43" s="171">
        <f>V43/COMB_CORR!$M28</f>
        <v>2.956689440857227E-2</v>
      </c>
      <c r="AN43" s="171">
        <f>W43/COMB_CORR!$M28</f>
        <v>0.30641686019614062</v>
      </c>
      <c r="AO43" s="171">
        <f>X43/COMB_CORR!$M28</f>
        <v>4.6086304829281811E-2</v>
      </c>
      <c r="AP43" s="171">
        <f>Y43/COMB_CORR!$N28</f>
        <v>3.011120568226806E-2</v>
      </c>
      <c r="AQ43" s="171">
        <f>Z43/COMB_CORR!$N28</f>
        <v>0.30578615166095596</v>
      </c>
      <c r="AR43" s="171">
        <f>AA43/COMB_CORR!$N28</f>
        <v>4.5991443776948242E-2</v>
      </c>
      <c r="AS43" s="171">
        <f>AB43/COMB_CORR!$O28</f>
        <v>3.1209397744842115E-2</v>
      </c>
      <c r="AT43" s="171">
        <f>AC43/COMB_CORR!$O28</f>
        <v>0.30572990478337914</v>
      </c>
      <c r="AU43" s="171">
        <f>AD43/COMB_CORR!$O28</f>
        <v>4.5982984024622482E-2</v>
      </c>
      <c r="AV43" s="171" t="e">
        <f>AE43/COMB_CORR!$P28</f>
        <v>#DIV/0!</v>
      </c>
      <c r="AW43" s="171" t="e">
        <f>AF43/COMB_CORR!$P28</f>
        <v>#DIV/0!</v>
      </c>
      <c r="AX43" s="171" t="e">
        <f>AG43/COMB_CORR!$P28</f>
        <v>#DIV/0!</v>
      </c>
    </row>
    <row r="44" spans="1:50" ht="15.75" thickBot="1">
      <c r="A44" s="127" t="s">
        <v>37</v>
      </c>
      <c r="B44" s="167">
        <f>DEN!H29</f>
        <v>14359</v>
      </c>
      <c r="C44" s="920">
        <f>DEN!$K29*ONSV_2013!V28</f>
        <v>23551.409707039791</v>
      </c>
      <c r="D44" s="927">
        <f>DEN!$K29*ONSV_2013!U28</f>
        <v>5375.5902929602098</v>
      </c>
      <c r="E44" s="167">
        <f>DEN!H65</f>
        <v>14934</v>
      </c>
      <c r="F44" s="920">
        <f>DEN!$K65*ONSV_2013!V28</f>
        <v>24508.05596851771</v>
      </c>
      <c r="G44" s="927">
        <f>DEN!$K65*ONSV_2013!U28</f>
        <v>5593.9440314822914</v>
      </c>
      <c r="H44" s="167">
        <f>DEN!H101</f>
        <v>16001</v>
      </c>
      <c r="I44" s="920">
        <f>DEN!$K101*ONSV_2013!V28</f>
        <v>26034.619151727155</v>
      </c>
      <c r="J44" s="927">
        <f>DEN!$K101*ONSV_2013!U28</f>
        <v>5942.3808482728473</v>
      </c>
      <c r="K44" s="170">
        <f>DEN!H137</f>
        <v>17065</v>
      </c>
      <c r="L44" s="936">
        <f>DEN!$K137*ONSV_2013!V28</f>
        <v>27785.892435505029</v>
      </c>
      <c r="M44" s="937">
        <f>DEN!$K137*ONSV_2013!U28</f>
        <v>6342.1075644949724</v>
      </c>
      <c r="N44" s="170">
        <f>DEN!H173</f>
        <v>17957</v>
      </c>
      <c r="O44" s="168" t="e">
        <f>DEN!$K173*DIST_DSL_ONI!$K$2</f>
        <v>#DIV/0!</v>
      </c>
      <c r="P44" s="169" t="e">
        <f>DEN!$K173*DIST_DSL_ONI!$K$3</f>
        <v>#DIV/0!</v>
      </c>
      <c r="R44" s="127" t="s">
        <v>37</v>
      </c>
      <c r="S44" s="167">
        <f>B$15*B44/B$17</f>
        <v>91854828.510638297</v>
      </c>
      <c r="T44" s="167">
        <f t="shared" ref="T44:AD45" si="69">C$15*C44/C$17</f>
        <v>889960670.00961959</v>
      </c>
      <c r="U44" s="167">
        <f t="shared" si="69"/>
        <v>133869888.846435</v>
      </c>
      <c r="V44" s="167">
        <f t="shared" si="69"/>
        <v>95533115.744680852</v>
      </c>
      <c r="W44" s="167">
        <f t="shared" si="69"/>
        <v>926110418.93834722</v>
      </c>
      <c r="X44" s="167">
        <f t="shared" si="69"/>
        <v>139307615.51683155</v>
      </c>
      <c r="Y44" s="167">
        <f t="shared" si="69"/>
        <v>102358737.4468085</v>
      </c>
      <c r="Z44" s="167">
        <f t="shared" si="69"/>
        <v>983796188.50546563</v>
      </c>
      <c r="AA44" s="167">
        <f t="shared" si="69"/>
        <v>147984838.92703885</v>
      </c>
      <c r="AB44" s="167">
        <f t="shared" si="69"/>
        <v>109165168.08510637</v>
      </c>
      <c r="AC44" s="167">
        <f t="shared" si="69"/>
        <v>1049973303.3528641</v>
      </c>
      <c r="AD44" s="167">
        <f t="shared" si="69"/>
        <v>157939349.62322861</v>
      </c>
      <c r="AE44" s="167">
        <f t="shared" si="68"/>
        <v>114871311.06382978</v>
      </c>
      <c r="AF44" s="167" t="e">
        <f t="shared" si="68"/>
        <v>#DIV/0!</v>
      </c>
      <c r="AG44" s="167" t="e">
        <f t="shared" si="68"/>
        <v>#DIV/0!</v>
      </c>
      <c r="AI44" s="127" t="s">
        <v>37</v>
      </c>
      <c r="AJ44" s="171">
        <f>S44/COMB_CORR!$L29</f>
        <v>5.3721371483985689E-2</v>
      </c>
      <c r="AK44" s="171">
        <f>T44/COMB_CORR!$L29</f>
        <v>0.52049422479936813</v>
      </c>
      <c r="AL44" s="171">
        <f>U44/COMB_CORR!$L29</f>
        <v>7.8293913840428039E-2</v>
      </c>
      <c r="AM44" s="171">
        <f>V44/COMB_CORR!$M29</f>
        <v>4.8790313196747544E-2</v>
      </c>
      <c r="AN44" s="171">
        <f>W44/COMB_CORR!$M29</f>
        <v>0.47297962641073898</v>
      </c>
      <c r="AO44" s="171">
        <f>X44/COMB_CORR!$M29</f>
        <v>7.114666091204859E-2</v>
      </c>
      <c r="AP44" s="171">
        <f>Y44/COMB_CORR!$N29</f>
        <v>4.8388897891219786E-2</v>
      </c>
      <c r="AQ44" s="171">
        <f>Z44/COMB_CORR!$N29</f>
        <v>0.46507816038763072</v>
      </c>
      <c r="AR44" s="171">
        <f>AA44/COMB_CORR!$N29</f>
        <v>6.9958104592783454E-2</v>
      </c>
      <c r="AS44" s="171">
        <f>AB44/COMB_CORR!$O29</f>
        <v>5.0797313811114214E-2</v>
      </c>
      <c r="AT44" s="171">
        <f>AC44/COMB_CORR!$O29</f>
        <v>0.48857913489517518</v>
      </c>
      <c r="AU44" s="171">
        <f>AD44/COMB_CORR!$O29</f>
        <v>7.349317412015241E-2</v>
      </c>
      <c r="AV44" s="171" t="e">
        <f>AE44/COMB_CORR!$P29</f>
        <v>#DIV/0!</v>
      </c>
      <c r="AW44" s="171" t="e">
        <f>AF44/COMB_CORR!$P29</f>
        <v>#DIV/0!</v>
      </c>
      <c r="AX44" s="171" t="e">
        <f>AG44/COMB_CORR!$P29</f>
        <v>#DIV/0!</v>
      </c>
    </row>
    <row r="45" spans="1:50" ht="15.75" thickBot="1">
      <c r="A45" s="128" t="s">
        <v>38</v>
      </c>
      <c r="B45" s="167">
        <f>DEN!H30</f>
        <v>7795</v>
      </c>
      <c r="C45" s="920">
        <f>DEN!$K30*ONSV_2013!V29</f>
        <v>11658.477755487373</v>
      </c>
      <c r="D45" s="927">
        <f>DEN!$K30*ONSV_2013!U29</f>
        <v>2660.5222445126269</v>
      </c>
      <c r="E45" s="167">
        <f>DEN!H66</f>
        <v>8357</v>
      </c>
      <c r="F45" s="920">
        <f>DEN!$K66*ONSV_2013!V29</f>
        <v>12071.275312721265</v>
      </c>
      <c r="G45" s="927">
        <f>DEN!$K66*ONSV_2013!U29</f>
        <v>2754.724687278735</v>
      </c>
      <c r="H45" s="167">
        <f>DEN!H102</f>
        <v>9022</v>
      </c>
      <c r="I45" s="920">
        <f>DEN!$K102*ONSV_2013!V29</f>
        <v>12762.528026905829</v>
      </c>
      <c r="J45" s="927">
        <f>DEN!$K102*ONSV_2013!U29</f>
        <v>2912.4719730941706</v>
      </c>
      <c r="K45" s="170">
        <f>DEN!H138</f>
        <v>9743</v>
      </c>
      <c r="L45" s="936">
        <f>DEN!$K138*ONSV_2013!V29</f>
        <v>13298.269235308002</v>
      </c>
      <c r="M45" s="937">
        <f>DEN!$K138*ONSV_2013!U29</f>
        <v>3034.7307646919994</v>
      </c>
      <c r="N45" s="170">
        <f>DEN!H174</f>
        <v>10189</v>
      </c>
      <c r="O45" s="168" t="e">
        <f>DEN!$K174*DIST_DSL_ONI!$K$2</f>
        <v>#DIV/0!</v>
      </c>
      <c r="P45" s="169" t="e">
        <f>DEN!$K174*DIST_DSL_ONI!$K$3</f>
        <v>#DIV/0!</v>
      </c>
      <c r="R45" s="128" t="s">
        <v>38</v>
      </c>
      <c r="S45" s="167">
        <f>B$15*B45/B$17</f>
        <v>49864780.851063825</v>
      </c>
      <c r="T45" s="167">
        <f t="shared" si="69"/>
        <v>440550557.42435688</v>
      </c>
      <c r="U45" s="167">
        <f t="shared" si="69"/>
        <v>66255759.411724471</v>
      </c>
      <c r="V45" s="167">
        <f t="shared" si="69"/>
        <v>53459906.808510639</v>
      </c>
      <c r="W45" s="167">
        <f t="shared" si="69"/>
        <v>456149351.51711112</v>
      </c>
      <c r="X45" s="167">
        <f t="shared" si="69"/>
        <v>68601710.247798517</v>
      </c>
      <c r="Y45" s="167">
        <f t="shared" si="69"/>
        <v>57713925.957446806</v>
      </c>
      <c r="Z45" s="167">
        <f t="shared" si="69"/>
        <v>482270409.0807175</v>
      </c>
      <c r="AA45" s="167">
        <f t="shared" si="69"/>
        <v>72530136.79578051</v>
      </c>
      <c r="AB45" s="167">
        <f t="shared" si="69"/>
        <v>62326178.297872335</v>
      </c>
      <c r="AC45" s="167">
        <f t="shared" si="69"/>
        <v>502514997.86381882</v>
      </c>
      <c r="AD45" s="167">
        <f t="shared" si="69"/>
        <v>75574783.048515663</v>
      </c>
      <c r="AE45" s="167">
        <f t="shared" si="68"/>
        <v>65179249.787234038</v>
      </c>
      <c r="AF45" s="167" t="e">
        <f t="shared" si="68"/>
        <v>#DIV/0!</v>
      </c>
      <c r="AG45" s="167" t="e">
        <f t="shared" si="68"/>
        <v>#DIV/0!</v>
      </c>
      <c r="AI45" s="128" t="s">
        <v>38</v>
      </c>
      <c r="AJ45" s="171">
        <f>S45/COMB_CORR!$L30</f>
        <v>3.1272684966597603E-2</v>
      </c>
      <c r="AK45" s="171">
        <f>T45/COMB_CORR!$L30</f>
        <v>0.27629117302932965</v>
      </c>
      <c r="AL45" s="171">
        <f>U45/COMB_CORR!$L30</f>
        <v>4.1552283113289547E-2</v>
      </c>
      <c r="AM45" s="171">
        <f>V45/COMB_CORR!$M30</f>
        <v>3.0932731862693345E-2</v>
      </c>
      <c r="AN45" s="171">
        <f>W45/COMB_CORR!$M30</f>
        <v>0.26393509495557133</v>
      </c>
      <c r="AO45" s="171">
        <f>X45/COMB_CORR!$M30</f>
        <v>3.9694014357681454E-2</v>
      </c>
      <c r="AP45" s="171">
        <f>Y45/COMB_CORR!$N30</f>
        <v>3.1731007744056315E-2</v>
      </c>
      <c r="AQ45" s="171">
        <f>Z45/COMB_CORR!$N30</f>
        <v>0.26515136219553825</v>
      </c>
      <c r="AR45" s="171">
        <f>AA45/COMB_CORR!$N30</f>
        <v>3.9876932545556958E-2</v>
      </c>
      <c r="AS45" s="171">
        <f>AB45/COMB_CORR!$O30</f>
        <v>3.3616967678277918E-2</v>
      </c>
      <c r="AT45" s="171">
        <f>AC45/COMB_CORR!$O30</f>
        <v>0.27104229558728743</v>
      </c>
      <c r="AU45" s="171">
        <f>AD45/COMB_CORR!$O30</f>
        <v>4.0762888218377195E-2</v>
      </c>
      <c r="AV45" s="171" t="e">
        <f>AE45/COMB_CORR!$P30</f>
        <v>#DIV/0!</v>
      </c>
      <c r="AW45" s="171" t="e">
        <f>AF45/COMB_CORR!$P30</f>
        <v>#DIV/0!</v>
      </c>
      <c r="AX45" s="171" t="e">
        <f>AG45/COMB_CORR!$P30</f>
        <v>#DIV/0!</v>
      </c>
    </row>
    <row r="46" spans="1:50" ht="26.25" thickBot="1">
      <c r="A46" s="274" t="s">
        <v>73</v>
      </c>
      <c r="B46" s="282">
        <f t="shared" ref="B46:J46" si="70">SUM(B47:B50)</f>
        <v>13302</v>
      </c>
      <c r="C46" s="282">
        <f t="shared" si="70"/>
        <v>28550.750039626237</v>
      </c>
      <c r="D46" s="282">
        <f t="shared" si="70"/>
        <v>6515.2499603737688</v>
      </c>
      <c r="E46" s="282">
        <f t="shared" si="70"/>
        <v>14098</v>
      </c>
      <c r="F46" s="282">
        <f t="shared" si="70"/>
        <v>30416.89380994179</v>
      </c>
      <c r="G46" s="282">
        <f t="shared" si="70"/>
        <v>6941.1061900582126</v>
      </c>
      <c r="H46" s="282">
        <f t="shared" si="70"/>
        <v>15239</v>
      </c>
      <c r="I46" s="282">
        <f t="shared" si="70"/>
        <v>32368.510253186174</v>
      </c>
      <c r="J46" s="282">
        <f t="shared" si="70"/>
        <v>7386.4897468138261</v>
      </c>
      <c r="K46" s="282">
        <f t="shared" ref="K46:P46" si="71">SUM(K47:K50)</f>
        <v>16480</v>
      </c>
      <c r="L46" s="282">
        <f t="shared" si="71"/>
        <v>34050.632040537464</v>
      </c>
      <c r="M46" s="282">
        <f t="shared" si="71"/>
        <v>7770.3679594625428</v>
      </c>
      <c r="N46" s="282">
        <f t="shared" si="71"/>
        <v>17889</v>
      </c>
      <c r="O46" s="282" t="e">
        <f t="shared" si="71"/>
        <v>#DIV/0!</v>
      </c>
      <c r="P46" s="282" t="e">
        <f t="shared" si="71"/>
        <v>#DIV/0!</v>
      </c>
      <c r="R46" s="274" t="s">
        <v>73</v>
      </c>
      <c r="S46" s="282">
        <f>SUM(S47:S50)</f>
        <v>75606303.829787225</v>
      </c>
      <c r="T46" s="282">
        <f t="shared" ref="T46:AD46" si="72">SUM(T47:T50)</f>
        <v>1078875742.497396</v>
      </c>
      <c r="U46" s="282">
        <f t="shared" si="72"/>
        <v>143218891.94254646</v>
      </c>
      <c r="V46" s="282">
        <f t="shared" si="72"/>
        <v>80130632.340425521</v>
      </c>
      <c r="W46" s="282">
        <f t="shared" si="72"/>
        <v>1149393583.2900803</v>
      </c>
      <c r="X46" s="282">
        <f t="shared" si="72"/>
        <v>152580107.20108396</v>
      </c>
      <c r="Y46" s="282">
        <f t="shared" si="72"/>
        <v>86615882.127659559</v>
      </c>
      <c r="Z46" s="282">
        <f t="shared" si="72"/>
        <v>1223141265.4473991</v>
      </c>
      <c r="AA46" s="282">
        <f t="shared" si="72"/>
        <v>162370574.16335377</v>
      </c>
      <c r="AB46" s="282">
        <f t="shared" si="72"/>
        <v>93669514.893617019</v>
      </c>
      <c r="AC46" s="282">
        <f t="shared" si="72"/>
        <v>1286705283.5478296</v>
      </c>
      <c r="AD46" s="282">
        <f t="shared" si="72"/>
        <v>170809024.3518835</v>
      </c>
      <c r="AE46" s="282">
        <f>SUM(AE47:AE50)</f>
        <v>101678031.06382978</v>
      </c>
      <c r="AF46" s="282" t="e">
        <f>SUM(AF47:AF50)</f>
        <v>#DIV/0!</v>
      </c>
      <c r="AG46" s="282" t="e">
        <f>SUM(AG47:AG50)</f>
        <v>#DIV/0!</v>
      </c>
      <c r="AI46" s="126" t="s">
        <v>73</v>
      </c>
      <c r="AJ46" s="171">
        <f>S46/COMB_CORR!$L31</f>
        <v>2.1573671586798591E-2</v>
      </c>
      <c r="AK46" s="171">
        <f>T46/COMB_CORR!$L31</f>
        <v>0.30784881382380636</v>
      </c>
      <c r="AL46" s="171">
        <f>U46/COMB_CORR!$L31</f>
        <v>4.0866398478487657E-2</v>
      </c>
      <c r="AM46" s="171">
        <f>V46/COMB_CORR!$M31</f>
        <v>2.0804609754585087E-2</v>
      </c>
      <c r="AN46" s="171">
        <f>W46/COMB_CORR!$M31</f>
        <v>0.29842126857534451</v>
      </c>
      <c r="AO46" s="171">
        <f>X46/COMB_CORR!$M31</f>
        <v>3.9614932441134065E-2</v>
      </c>
      <c r="AP46" s="171">
        <f>Y46/COMB_CORR!$N31</f>
        <v>2.0716224454491918E-2</v>
      </c>
      <c r="AQ46" s="171">
        <f>Z46/COMB_CORR!$N31</f>
        <v>0.29254298833109721</v>
      </c>
      <c r="AR46" s="171">
        <f>AA46/COMB_CORR!$N31</f>
        <v>3.8834739963914899E-2</v>
      </c>
      <c r="AS46" s="171">
        <f>AB46/COMB_CORR!$O31</f>
        <v>1.9513255680041149E-2</v>
      </c>
      <c r="AT46" s="171">
        <f>AC46/COMB_CORR!$O31</f>
        <v>0.26804675150975488</v>
      </c>
      <c r="AU46" s="171">
        <f>AD46/COMB_CORR!$O31</f>
        <v>3.5582976685873742E-2</v>
      </c>
      <c r="AV46" s="171" t="e">
        <f>AE46/COMB_CORR!$P31</f>
        <v>#DIV/0!</v>
      </c>
      <c r="AW46" s="171" t="e">
        <f>AF46/COMB_CORR!$P31</f>
        <v>#DIV/0!</v>
      </c>
      <c r="AX46" s="171" t="e">
        <f>AG46/COMB_CORR!$P31</f>
        <v>#DIV/0!</v>
      </c>
    </row>
    <row r="47" spans="1:50" ht="15.75" thickBot="1">
      <c r="A47" s="127" t="s">
        <v>40</v>
      </c>
      <c r="B47" s="167">
        <f>DEN!H32</f>
        <v>4607</v>
      </c>
      <c r="C47" s="920">
        <f>DEN!$K32*ONSV_2013!V31</f>
        <v>6545.4862681744744</v>
      </c>
      <c r="D47" s="927">
        <f>DEN!$K32*ONSV_2013!U31</f>
        <v>1493.5137318255249</v>
      </c>
      <c r="E47" s="167">
        <f>DEN!H68</f>
        <v>4571</v>
      </c>
      <c r="F47" s="920">
        <f>DEN!$K68*ONSV_2013!V31</f>
        <v>7041.3441033925683</v>
      </c>
      <c r="G47" s="927">
        <f>DEN!$K68*ONSV_2013!U31</f>
        <v>1606.6558966074313</v>
      </c>
      <c r="H47" s="167">
        <f>DEN!H104</f>
        <v>4673</v>
      </c>
      <c r="I47" s="920">
        <f>DEN!$K104*ONSV_2013!V31</f>
        <v>7150.4491114701132</v>
      </c>
      <c r="J47" s="927">
        <f>DEN!$K104*ONSV_2013!U31</f>
        <v>1631.5508885298868</v>
      </c>
      <c r="K47" s="170">
        <f>DEN!H140</f>
        <v>4716</v>
      </c>
      <c r="L47" s="936">
        <f>DEN!$K140*ONSV_2013!V31</f>
        <v>7112.9951534733436</v>
      </c>
      <c r="M47" s="937">
        <f>DEN!$K140*ONSV_2013!U31</f>
        <v>1623.0048465266557</v>
      </c>
      <c r="N47" s="170">
        <f>DEN!H176</f>
        <v>4817</v>
      </c>
      <c r="O47" s="168" t="e">
        <f>DEN!$K176*DIST_DSL_ONI!$K$2</f>
        <v>#DIV/0!</v>
      </c>
      <c r="P47" s="169" t="e">
        <f>DEN!$K176*DIST_DSL_ONI!$K$3</f>
        <v>#DIV/0!</v>
      </c>
      <c r="R47" s="127" t="s">
        <v>40</v>
      </c>
      <c r="S47" s="167">
        <f>B$16*B47/B$17</f>
        <v>26185403.829787232</v>
      </c>
      <c r="T47" s="167">
        <f t="shared" ref="T47:AD47" si="73">C$16*C47/C$17</f>
        <v>247340835.10177705</v>
      </c>
      <c r="U47" s="167">
        <f t="shared" si="73"/>
        <v>32830571.823641613</v>
      </c>
      <c r="V47" s="167">
        <f t="shared" si="73"/>
        <v>25980785.957446806</v>
      </c>
      <c r="W47" s="167">
        <f t="shared" si="73"/>
        <v>266078310.97899839</v>
      </c>
      <c r="X47" s="167">
        <f t="shared" si="73"/>
        <v>35317674.478274994</v>
      </c>
      <c r="Y47" s="167">
        <f t="shared" si="73"/>
        <v>26560536.595744681</v>
      </c>
      <c r="Z47" s="167">
        <f t="shared" si="73"/>
        <v>270201171.02423263</v>
      </c>
      <c r="AA47" s="167">
        <f t="shared" si="73"/>
        <v>35864918.740542434</v>
      </c>
      <c r="AB47" s="167">
        <f t="shared" si="73"/>
        <v>26804941.276595745</v>
      </c>
      <c r="AC47" s="167">
        <f t="shared" si="73"/>
        <v>268785860.8594507</v>
      </c>
      <c r="AD47" s="167">
        <f t="shared" si="73"/>
        <v>35677058.769913308</v>
      </c>
      <c r="AE47" s="167">
        <f t="shared" ref="AE47:AG50" si="74">N$16*N47/N$17</f>
        <v>27379008.08510638</v>
      </c>
      <c r="AF47" s="167" t="e">
        <f t="shared" si="74"/>
        <v>#DIV/0!</v>
      </c>
      <c r="AG47" s="167" t="e">
        <f t="shared" si="74"/>
        <v>#DIV/0!</v>
      </c>
      <c r="AI47" s="127" t="s">
        <v>40</v>
      </c>
      <c r="AJ47" s="171">
        <f>S47/COMB_CORR!$L32</f>
        <v>7.8892219103749703E-2</v>
      </c>
      <c r="AK47" s="171">
        <f>T47/COMB_CORR!$L32</f>
        <v>0.74519634995876916</v>
      </c>
      <c r="AL47" s="171">
        <f>U47/COMB_CORR!$L32</f>
        <v>9.8912992995959889E-2</v>
      </c>
      <c r="AM47" s="171">
        <f>V47/COMB_CORR!$M32</f>
        <v>7.5528398319419904E-2</v>
      </c>
      <c r="AN47" s="171">
        <f>W47/COMB_CORR!$M32</f>
        <v>0.77351272931833948</v>
      </c>
      <c r="AO47" s="171">
        <f>X47/COMB_CORR!$M32</f>
        <v>0.10267154311958715</v>
      </c>
      <c r="AP47" s="171">
        <f>Y47/COMB_CORR!$N32</f>
        <v>7.6427304161989007E-2</v>
      </c>
      <c r="AQ47" s="171">
        <f>Z47/COMB_CORR!$N32</f>
        <v>0.77749735997815406</v>
      </c>
      <c r="AR47" s="171">
        <f>AA47/COMB_CORR!$N32</f>
        <v>0.10320043962393467</v>
      </c>
      <c r="AS47" s="171">
        <f>AB47/COMB_CORR!$O32</f>
        <v>7.4988797753433506E-2</v>
      </c>
      <c r="AT47" s="171">
        <f>AC47/COMB_CORR!$O32</f>
        <v>0.75194824532485205</v>
      </c>
      <c r="AU47" s="171">
        <f>AD47/COMB_CORR!$O32</f>
        <v>9.9809199987703406E-2</v>
      </c>
      <c r="AV47" s="171" t="e">
        <f>AE47/COMB_CORR!$P32</f>
        <v>#DIV/0!</v>
      </c>
      <c r="AW47" s="171" t="e">
        <f>AF47/COMB_CORR!$P32</f>
        <v>#DIV/0!</v>
      </c>
      <c r="AX47" s="171" t="e">
        <f>AG47/COMB_CORR!$P32</f>
        <v>#DIV/0!</v>
      </c>
    </row>
    <row r="48" spans="1:50" ht="15.75" thickBot="1">
      <c r="A48" s="127" t="s">
        <v>41</v>
      </c>
      <c r="B48" s="167">
        <f>DEN!H33</f>
        <v>4972</v>
      </c>
      <c r="C48" s="920">
        <f>DEN!$K33*ONSV_2013!V32</f>
        <v>12264.264851881506</v>
      </c>
      <c r="D48" s="927">
        <f>DEN!$K33*ONSV_2013!U32</f>
        <v>2798.7351481184946</v>
      </c>
      <c r="E48" s="167">
        <f>DEN!H69</f>
        <v>5424</v>
      </c>
      <c r="F48" s="920">
        <f>DEN!$K69*ONSV_2013!V32</f>
        <v>12924.579450226849</v>
      </c>
      <c r="G48" s="927">
        <f>DEN!$K69*ONSV_2013!U32</f>
        <v>2949.4205497731518</v>
      </c>
      <c r="H48" s="167">
        <f>DEN!H105</f>
        <v>6014</v>
      </c>
      <c r="I48" s="920">
        <f>DEN!$K105*ONSV_2013!V32</f>
        <v>13601.178009073927</v>
      </c>
      <c r="J48" s="927">
        <f>DEN!$K105*ONSV_2013!U32</f>
        <v>3103.8219909260742</v>
      </c>
      <c r="K48" s="170">
        <f>DEN!H141</f>
        <v>6675</v>
      </c>
      <c r="L48" s="936">
        <f>DEN!$K141*ONSV_2013!V32</f>
        <v>14469.113103816388</v>
      </c>
      <c r="M48" s="937">
        <f>DEN!$K141*ONSV_2013!U32</f>
        <v>3301.8868961836138</v>
      </c>
      <c r="N48" s="170">
        <f>DEN!H177</f>
        <v>7386</v>
      </c>
      <c r="O48" s="168" t="e">
        <f>DEN!$K177*DIST_DSL_ONI!$K$2</f>
        <v>#DIV/0!</v>
      </c>
      <c r="P48" s="169" t="e">
        <f>DEN!$K177*DIST_DSL_ONI!$K$3</f>
        <v>#DIV/0!</v>
      </c>
      <c r="R48" s="127" t="s">
        <v>41</v>
      </c>
      <c r="S48" s="167">
        <f>B$16*B48/B$17</f>
        <v>28260001.702127658</v>
      </c>
      <c r="T48" s="167">
        <f t="shared" ref="T48:AD50" si="75">C$16*C48/C$17</f>
        <v>463442040.2228983</v>
      </c>
      <c r="U48" s="167">
        <f t="shared" si="75"/>
        <v>61522082.681720234</v>
      </c>
      <c r="V48" s="167">
        <f t="shared" si="75"/>
        <v>30829092.765957445</v>
      </c>
      <c r="W48" s="167">
        <f t="shared" si="75"/>
        <v>488394008.26517218</v>
      </c>
      <c r="X48" s="167">
        <f t="shared" si="75"/>
        <v>64834464.614593841</v>
      </c>
      <c r="Y48" s="167">
        <f t="shared" si="75"/>
        <v>34182552.340425529</v>
      </c>
      <c r="Z48" s="167">
        <f t="shared" si="75"/>
        <v>513961314.60688549</v>
      </c>
      <c r="AA48" s="167">
        <f t="shared" si="75"/>
        <v>68228532.908327475</v>
      </c>
      <c r="AB48" s="167">
        <f t="shared" si="75"/>
        <v>37939563.829787232</v>
      </c>
      <c r="AC48" s="167">
        <f t="shared" si="75"/>
        <v>546758845.96701372</v>
      </c>
      <c r="AD48" s="167">
        <f t="shared" si="75"/>
        <v>72582415.942166269</v>
      </c>
      <c r="AE48" s="167">
        <f t="shared" si="74"/>
        <v>41980766.808510639</v>
      </c>
      <c r="AF48" s="167" t="e">
        <f t="shared" si="74"/>
        <v>#DIV/0!</v>
      </c>
      <c r="AG48" s="167" t="e">
        <f t="shared" si="74"/>
        <v>#DIV/0!</v>
      </c>
      <c r="AI48" s="127" t="s">
        <v>41</v>
      </c>
      <c r="AJ48" s="171">
        <f>S48/COMB_CORR!$L33</f>
        <v>1.9690780704673547E-2</v>
      </c>
      <c r="AK48" s="171">
        <f>T48/COMB_CORR!$L33</f>
        <v>0.32291348314634172</v>
      </c>
      <c r="AL48" s="171">
        <f>U48/COMB_CORR!$L33</f>
        <v>4.2866870687036839E-2</v>
      </c>
      <c r="AM48" s="171">
        <f>V48/COMB_CORR!$M33</f>
        <v>1.8907682236082517E-2</v>
      </c>
      <c r="AN48" s="171">
        <f>W48/COMB_CORR!$M33</f>
        <v>0.29953520800590921</v>
      </c>
      <c r="AO48" s="171">
        <f>X48/COMB_CORR!$M33</f>
        <v>3.9763397002487343E-2</v>
      </c>
      <c r="AP48" s="171">
        <f>Y48/COMB_CORR!$N33</f>
        <v>1.9494966719997515E-2</v>
      </c>
      <c r="AQ48" s="171">
        <f>Z48/COMB_CORR!$N33</f>
        <v>0.29312201803543481</v>
      </c>
      <c r="AR48" s="171">
        <f>AA48/COMB_CORR!$N33</f>
        <v>3.8912043932689586E-2</v>
      </c>
      <c r="AS48" s="171">
        <f>AB48/COMB_CORR!$O33</f>
        <v>1.8705618377103984E-2</v>
      </c>
      <c r="AT48" s="171">
        <f>AC48/COMB_CORR!$O33</f>
        <v>0.26957248013839635</v>
      </c>
      <c r="AU48" s="171">
        <f>AD48/COMB_CORR!$O33</f>
        <v>3.5785835061088116E-2</v>
      </c>
      <c r="AV48" s="171" t="e">
        <f>AE48/COMB_CORR!$P33</f>
        <v>#DIV/0!</v>
      </c>
      <c r="AW48" s="171" t="e">
        <f>AF48/COMB_CORR!$P33</f>
        <v>#DIV/0!</v>
      </c>
      <c r="AX48" s="171" t="e">
        <f>AG48/COMB_CORR!$P33</f>
        <v>#DIV/0!</v>
      </c>
    </row>
    <row r="49" spans="1:50" ht="15.75" thickBot="1">
      <c r="A49" s="127" t="s">
        <v>42</v>
      </c>
      <c r="B49" s="167">
        <f>DEN!H34</f>
        <v>1896</v>
      </c>
      <c r="C49" s="920">
        <f>DEN!$K34*ONSV_2013!V33</f>
        <v>5056.749322346308</v>
      </c>
      <c r="D49" s="927">
        <f>DEN!$K34*ONSV_2013!U33</f>
        <v>1154.2506776536918</v>
      </c>
      <c r="E49" s="167">
        <f>DEN!H70</f>
        <v>2058</v>
      </c>
      <c r="F49" s="920">
        <f>DEN!$K70*ONSV_2013!V33</f>
        <v>5480.1126531497348</v>
      </c>
      <c r="G49" s="927">
        <f>DEN!$K70*ONSV_2013!U33</f>
        <v>1250.8873468502657</v>
      </c>
      <c r="H49" s="167">
        <f>DEN!H106</f>
        <v>2250</v>
      </c>
      <c r="I49" s="920">
        <f>DEN!$K106*ONSV_2013!V33</f>
        <v>6216.1135205464598</v>
      </c>
      <c r="J49" s="927">
        <f>DEN!$K106*ONSV_2013!U33</f>
        <v>1418.88647945354</v>
      </c>
      <c r="K49" s="170">
        <f>DEN!H142</f>
        <v>2512</v>
      </c>
      <c r="L49" s="936">
        <f>DEN!$K142*ONSV_2013!V33</f>
        <v>6715.1937547435764</v>
      </c>
      <c r="M49" s="937">
        <f>DEN!$K142*ONSV_2013!U33</f>
        <v>1532.8062452564241</v>
      </c>
      <c r="N49" s="170">
        <f>DEN!H178</f>
        <v>2742</v>
      </c>
      <c r="O49" s="168" t="e">
        <f>DEN!$K178*DIST_DSL_ONI!$K$2</f>
        <v>#DIV/0!</v>
      </c>
      <c r="P49" s="169" t="e">
        <f>DEN!$K178*DIST_DSL_ONI!$K$3</f>
        <v>#DIV/0!</v>
      </c>
      <c r="R49" s="127" t="s">
        <v>42</v>
      </c>
      <c r="S49" s="167">
        <f>B$16*B49/B$17</f>
        <v>10776541.276595743</v>
      </c>
      <c r="T49" s="167">
        <f t="shared" si="75"/>
        <v>191084443.39282227</v>
      </c>
      <c r="U49" s="167">
        <f t="shared" si="75"/>
        <v>25372856.618383918</v>
      </c>
      <c r="V49" s="167">
        <f t="shared" si="75"/>
        <v>11697321.70212766</v>
      </c>
      <c r="W49" s="167">
        <f t="shared" si="75"/>
        <v>207082496.93722215</v>
      </c>
      <c r="X49" s="167">
        <f t="shared" si="75"/>
        <v>27497133.778512664</v>
      </c>
      <c r="Y49" s="167">
        <f t="shared" si="75"/>
        <v>12788617.021276595</v>
      </c>
      <c r="Z49" s="167">
        <f t="shared" si="75"/>
        <v>234894497.71440962</v>
      </c>
      <c r="AA49" s="167">
        <f t="shared" si="75"/>
        <v>31190107.91842879</v>
      </c>
      <c r="AB49" s="167">
        <f t="shared" si="75"/>
        <v>14277780.425531914</v>
      </c>
      <c r="AC49" s="167">
        <f t="shared" si="75"/>
        <v>253753741.60425028</v>
      </c>
      <c r="AD49" s="167">
        <f t="shared" si="75"/>
        <v>33694303.878349788</v>
      </c>
      <c r="AE49" s="167">
        <f t="shared" si="74"/>
        <v>15585061.276595743</v>
      </c>
      <c r="AF49" s="167" t="e">
        <f t="shared" si="74"/>
        <v>#DIV/0!</v>
      </c>
      <c r="AG49" s="167" t="e">
        <f t="shared" si="74"/>
        <v>#DIV/0!</v>
      </c>
      <c r="AI49" s="127" t="s">
        <v>42</v>
      </c>
      <c r="AJ49" s="171">
        <f>S49/COMB_CORR!$L34</f>
        <v>8.8725129088373864E-3</v>
      </c>
      <c r="AK49" s="171">
        <f>T49/COMB_CORR!$L34</f>
        <v>0.15732312874473492</v>
      </c>
      <c r="AL49" s="171">
        <f>U49/COMB_CORR!$L34</f>
        <v>2.0889911902402702E-2</v>
      </c>
      <c r="AM49" s="171">
        <f>V49/COMB_CORR!$M34</f>
        <v>9.0327697828127395E-3</v>
      </c>
      <c r="AN49" s="171">
        <f>W49/COMB_CORR!$M34</f>
        <v>0.15991083843951356</v>
      </c>
      <c r="AO49" s="171">
        <f>X49/COMB_CORR!$M34</f>
        <v>2.12335169907596E-2</v>
      </c>
      <c r="AP49" s="171">
        <f>Y49/COMB_CORR!$N34</f>
        <v>9.0095369713958807E-3</v>
      </c>
      <c r="AQ49" s="171">
        <f>Z49/COMB_CORR!$N34</f>
        <v>0.16548237061243895</v>
      </c>
      <c r="AR49" s="171">
        <f>AA49/COMB_CORR!$N34</f>
        <v>2.1973324399768485E-2</v>
      </c>
      <c r="AS49" s="171">
        <f>AB49/COMB_CORR!$O34</f>
        <v>8.3956814989198571E-3</v>
      </c>
      <c r="AT49" s="171">
        <f>AC49/COMB_CORR!$O34</f>
        <v>0.14921336021240328</v>
      </c>
      <c r="AU49" s="171">
        <f>AD49/COMB_CORR!$O34</f>
        <v>1.9813068646480886E-2</v>
      </c>
      <c r="AV49" s="171" t="e">
        <f>AE49/COMB_CORR!$P34</f>
        <v>#DIV/0!</v>
      </c>
      <c r="AW49" s="171" t="e">
        <f>AF49/COMB_CORR!$P34</f>
        <v>#DIV/0!</v>
      </c>
      <c r="AX49" s="171" t="e">
        <f>AG49/COMB_CORR!$P34</f>
        <v>#DIV/0!</v>
      </c>
    </row>
    <row r="50" spans="1:50" ht="15.75" thickBot="1">
      <c r="A50" s="128" t="s">
        <v>43</v>
      </c>
      <c r="B50" s="167">
        <f>DEN!H35</f>
        <v>1827</v>
      </c>
      <c r="C50" s="920">
        <f>DEN!$K35*ONSV_2013!V34</f>
        <v>4684.249597223944</v>
      </c>
      <c r="D50" s="927">
        <f>DEN!$K35*ONSV_2013!U34</f>
        <v>1068.7504027760565</v>
      </c>
      <c r="E50" s="167">
        <f>DEN!H71</f>
        <v>2045</v>
      </c>
      <c r="F50" s="920">
        <f>DEN!$K71*ONSV_2013!V34</f>
        <v>4970.8576031726361</v>
      </c>
      <c r="G50" s="927">
        <f>DEN!$K71*ONSV_2013!U34</f>
        <v>1134.1423968273639</v>
      </c>
      <c r="H50" s="167">
        <f>DEN!H107</f>
        <v>2302</v>
      </c>
      <c r="I50" s="920">
        <f>DEN!$K107*ONSV_2013!V34</f>
        <v>5400.7696120956753</v>
      </c>
      <c r="J50" s="927">
        <f>DEN!$K107*ONSV_2013!U34</f>
        <v>1232.2303879043252</v>
      </c>
      <c r="K50" s="170">
        <f>DEN!H143</f>
        <v>2577</v>
      </c>
      <c r="L50" s="936">
        <f>DEN!$K143*ONSV_2013!V34</f>
        <v>5753.3300285041523</v>
      </c>
      <c r="M50" s="937">
        <f>DEN!$K143*ONSV_2013!U34</f>
        <v>1312.6699714958481</v>
      </c>
      <c r="N50" s="170">
        <f>DEN!H179</f>
        <v>2944</v>
      </c>
      <c r="O50" s="168" t="e">
        <f>DEN!$K179*DIST_DSL_ONI!$K$2</f>
        <v>#DIV/0!</v>
      </c>
      <c r="P50" s="169" t="e">
        <f>DEN!$K179*DIST_DSL_ONI!$K$3</f>
        <v>#DIV/0!</v>
      </c>
      <c r="R50" s="128" t="s">
        <v>43</v>
      </c>
      <c r="S50" s="167">
        <f>B$16*B50/B$17</f>
        <v>10384357.021276595</v>
      </c>
      <c r="T50" s="167">
        <f t="shared" si="75"/>
        <v>177008423.77989838</v>
      </c>
      <c r="U50" s="167">
        <f t="shared" si="75"/>
        <v>23493380.818800692</v>
      </c>
      <c r="V50" s="167">
        <f t="shared" si="75"/>
        <v>11623431.914893616</v>
      </c>
      <c r="W50" s="167">
        <f t="shared" si="75"/>
        <v>187838767.10868755</v>
      </c>
      <c r="X50" s="167">
        <f t="shared" si="75"/>
        <v>24930834.329702452</v>
      </c>
      <c r="Y50" s="167">
        <f t="shared" si="75"/>
        <v>13084176.170212766</v>
      </c>
      <c r="Z50" s="167">
        <f t="shared" si="75"/>
        <v>204084282.10187137</v>
      </c>
      <c r="AA50" s="167">
        <f t="shared" si="75"/>
        <v>27087014.596055098</v>
      </c>
      <c r="AB50" s="167">
        <f t="shared" si="75"/>
        <v>14647229.361702127</v>
      </c>
      <c r="AC50" s="167">
        <f t="shared" si="75"/>
        <v>217406835.1171149</v>
      </c>
      <c r="AD50" s="167">
        <f t="shared" si="75"/>
        <v>28855245.761454139</v>
      </c>
      <c r="AE50" s="167">
        <f t="shared" si="74"/>
        <v>16733194.893617021</v>
      </c>
      <c r="AF50" s="167" t="e">
        <f t="shared" si="74"/>
        <v>#DIV/0!</v>
      </c>
      <c r="AG50" s="167" t="e">
        <f t="shared" si="74"/>
        <v>#DIV/0!</v>
      </c>
      <c r="AI50" s="128" t="s">
        <v>43</v>
      </c>
      <c r="AJ50" s="171">
        <f>S50/COMB_CORR!$L35</f>
        <v>1.9860611544898741E-2</v>
      </c>
      <c r="AK50" s="171">
        <f>T50/COMB_CORR!$L35</f>
        <v>0.3385376232408468</v>
      </c>
      <c r="AL50" s="171">
        <f>U50/COMB_CORR!$L35</f>
        <v>4.4932287031596616E-2</v>
      </c>
      <c r="AM50" s="171">
        <f>V50/COMB_CORR!$M35</f>
        <v>1.9968093559720554E-2</v>
      </c>
      <c r="AN50" s="171">
        <f>W50/COMB_CORR!$M35</f>
        <v>0.32269144803634031</v>
      </c>
      <c r="AO50" s="171">
        <f>X50/COMB_CORR!$M35</f>
        <v>4.2829108998308087E-2</v>
      </c>
      <c r="AP50" s="171">
        <f>Y50/COMB_CORR!$N35</f>
        <v>1.9804076244860896E-2</v>
      </c>
      <c r="AQ50" s="171">
        <f>Z50/COMB_CORR!$N35</f>
        <v>0.30889989790296729</v>
      </c>
      <c r="AR50" s="171">
        <f>AA50/COMB_CORR!$N35</f>
        <v>4.0998630355281437E-2</v>
      </c>
      <c r="AS50" s="171">
        <f>AB50/COMB_CORR!$O35</f>
        <v>2.0514477463387269E-2</v>
      </c>
      <c r="AT50" s="171">
        <f>AC50/COMB_CORR!$O35</f>
        <v>0.30449360143549487</v>
      </c>
      <c r="AU50" s="171">
        <f>AD50/COMB_CORR!$O35</f>
        <v>4.0413806205671546E-2</v>
      </c>
      <c r="AV50" s="171" t="e">
        <f>AE50/COMB_CORR!$P35</f>
        <v>#DIV/0!</v>
      </c>
      <c r="AW50" s="171" t="e">
        <f>AF50/COMB_CORR!$P35</f>
        <v>#DIV/0!</v>
      </c>
      <c r="AX50" s="171" t="e">
        <f>AG50/COMB_CORR!$P35</f>
        <v>#DIV/0!</v>
      </c>
    </row>
    <row r="51" spans="1:50">
      <c r="A51" s="129"/>
      <c r="B51" s="129"/>
      <c r="C51" s="129"/>
      <c r="D51" s="129"/>
      <c r="E51" s="129"/>
      <c r="F51" s="129"/>
      <c r="G51" s="129"/>
      <c r="H51" s="129"/>
      <c r="I51" s="129"/>
      <c r="J51" s="129"/>
      <c r="K51" s="129"/>
    </row>
  </sheetData>
  <mergeCells count="23">
    <mergeCell ref="B1:C1"/>
    <mergeCell ref="D1:E1"/>
    <mergeCell ref="F1:G1"/>
    <mergeCell ref="H1:I1"/>
    <mergeCell ref="AM6:AO7"/>
    <mergeCell ref="J1:K1"/>
    <mergeCell ref="N6:P7"/>
    <mergeCell ref="AV6:AX7"/>
    <mergeCell ref="A6:A8"/>
    <mergeCell ref="B6:D7"/>
    <mergeCell ref="E6:G7"/>
    <mergeCell ref="H6:J7"/>
    <mergeCell ref="K6:M7"/>
    <mergeCell ref="AP6:AR7"/>
    <mergeCell ref="AS6:AU7"/>
    <mergeCell ref="S6:U7"/>
    <mergeCell ref="V6:X7"/>
    <mergeCell ref="Y6:AA7"/>
    <mergeCell ref="AB6:AD7"/>
    <mergeCell ref="AI6:AI8"/>
    <mergeCell ref="AJ6:AL7"/>
    <mergeCell ref="R6:R8"/>
    <mergeCell ref="AE6:AG7"/>
  </mergeCells>
  <pageMargins left="0.511811024" right="0.511811024" top="0.78740157499999996" bottom="0.78740157499999996" header="0.31496062000000002" footer="0.31496062000000002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FFFF00"/>
  </sheetPr>
  <dimension ref="A1:BS44"/>
  <sheetViews>
    <sheetView workbookViewId="0">
      <pane xSplit="1" topLeftCell="B16" activePane="topRight" state="frozen"/>
      <selection pane="topRight" activeCell="B16" sqref="B16"/>
    </sheetView>
  </sheetViews>
  <sheetFormatPr defaultColWidth="8.85546875" defaultRowHeight="15"/>
  <cols>
    <col min="1" max="1" width="17.7109375" style="45" customWidth="1"/>
    <col min="2" max="10" width="12.85546875" style="45" customWidth="1"/>
    <col min="11" max="11" width="13.42578125" style="45" customWidth="1"/>
    <col min="12" max="12" width="13.85546875" style="45" customWidth="1"/>
    <col min="13" max="13" width="10.42578125" style="46" bestFit="1" customWidth="1"/>
    <col min="14" max="14" width="14.42578125" style="46" customWidth="1"/>
    <col min="15" max="15" width="14.140625" style="46" customWidth="1"/>
    <col min="16" max="16" width="10.42578125" style="46" customWidth="1"/>
    <col min="17" max="18" width="8.85546875" style="1"/>
    <col min="19" max="33" width="12.7109375" style="1" bestFit="1" customWidth="1"/>
    <col min="34" max="35" width="8.85546875" style="1"/>
    <col min="36" max="36" width="17.42578125" style="1" bestFit="1" customWidth="1"/>
    <col min="37" max="37" width="18.42578125" style="1" bestFit="1" customWidth="1"/>
    <col min="38" max="38" width="6.42578125" style="1" bestFit="1" customWidth="1"/>
    <col min="39" max="40" width="12.7109375" style="1" bestFit="1" customWidth="1"/>
    <col min="41" max="41" width="6.42578125" style="1" bestFit="1" customWidth="1"/>
    <col min="42" max="43" width="12.7109375" style="1" bestFit="1" customWidth="1"/>
    <col min="44" max="44" width="6.42578125" style="1" bestFit="1" customWidth="1"/>
    <col min="45" max="46" width="12.7109375" style="1" bestFit="1" customWidth="1"/>
    <col min="47" max="47" width="6.42578125" style="1" bestFit="1" customWidth="1"/>
    <col min="48" max="71" width="8.85546875" style="1"/>
  </cols>
  <sheetData>
    <row r="1" spans="1:50" ht="15.75" thickBot="1">
      <c r="A1" s="175" t="s">
        <v>440</v>
      </c>
      <c r="B1" s="1204">
        <v>2004</v>
      </c>
      <c r="C1" s="1205"/>
      <c r="D1" s="1204">
        <v>2005</v>
      </c>
      <c r="E1" s="1205"/>
      <c r="F1" s="1204">
        <v>2006</v>
      </c>
      <c r="G1" s="1205"/>
      <c r="H1" s="1204">
        <v>2007</v>
      </c>
      <c r="I1" s="1039"/>
      <c r="J1" s="1204">
        <v>2008</v>
      </c>
      <c r="K1" s="1039"/>
    </row>
    <row r="2" spans="1:50">
      <c r="A2" s="15" t="s">
        <v>441</v>
      </c>
      <c r="B2" s="161">
        <f>LEV!B132</f>
        <v>34490</v>
      </c>
      <c r="C2" s="162">
        <f>LEV!C132</f>
        <v>1.4376254379255512E-3</v>
      </c>
      <c r="D2" s="161">
        <f>LEV!D132</f>
        <v>33406</v>
      </c>
      <c r="E2" s="162">
        <f>LEV!E132</f>
        <v>1.3330153292772521E-3</v>
      </c>
      <c r="F2" s="161">
        <f>LEV!F132</f>
        <v>33406</v>
      </c>
      <c r="G2" s="162">
        <f>LEV!G132</f>
        <v>1.3330153292772521E-3</v>
      </c>
      <c r="H2" s="161">
        <f>LEV!H132</f>
        <v>33406</v>
      </c>
      <c r="I2" s="162">
        <f>LEV!I132</f>
        <v>1.3330153292772521E-3</v>
      </c>
      <c r="J2" s="161">
        <f>LEV!J132</f>
        <v>0</v>
      </c>
      <c r="K2" s="162" t="e">
        <f>LEV!K132</f>
        <v>#DIV/0!</v>
      </c>
      <c r="L2" s="214"/>
      <c r="M2" s="214"/>
      <c r="N2" s="214"/>
      <c r="O2" s="214"/>
      <c r="P2" s="214"/>
      <c r="Q2" s="214"/>
      <c r="R2" s="214"/>
      <c r="S2" s="214"/>
      <c r="T2" s="214"/>
      <c r="U2" s="214"/>
    </row>
    <row r="3" spans="1:50">
      <c r="A3" s="24" t="s">
        <v>442</v>
      </c>
      <c r="B3" s="161">
        <f>LEV!B141</f>
        <v>1237178</v>
      </c>
      <c r="C3" s="187">
        <f>LEV!C141</f>
        <v>0.28773013354618115</v>
      </c>
      <c r="D3" s="161">
        <f>LEV!D141</f>
        <v>1283062</v>
      </c>
      <c r="E3" s="187">
        <f>LEV!E141</f>
        <v>0.28078267836224291</v>
      </c>
      <c r="F3" s="161">
        <f>LEV!F141</f>
        <v>1283062</v>
      </c>
      <c r="G3" s="187">
        <f>LEV!G141</f>
        <v>0.28078267836224291</v>
      </c>
      <c r="H3" s="161">
        <f>LEV!H141</f>
        <v>1283062</v>
      </c>
      <c r="I3" s="187">
        <f>LEV!I141</f>
        <v>0.28078267836224291</v>
      </c>
      <c r="J3" s="161">
        <f>LEV!J141</f>
        <v>0</v>
      </c>
      <c r="K3" s="187" t="e">
        <f>LEV!K141</f>
        <v>#DIV/0!</v>
      </c>
      <c r="L3" s="214"/>
      <c r="M3" s="214"/>
      <c r="N3" s="214"/>
      <c r="O3" s="214"/>
      <c r="P3" s="214"/>
      <c r="Q3" s="214"/>
      <c r="R3" s="214"/>
      <c r="S3" s="214"/>
      <c r="T3" s="214"/>
      <c r="U3" s="214"/>
    </row>
    <row r="4" spans="1:50" ht="15.75" thickBot="1">
      <c r="A4" s="39" t="s">
        <v>449</v>
      </c>
      <c r="B4" s="150">
        <f>SUM(B2:B3)</f>
        <v>1271668</v>
      </c>
      <c r="C4" s="159">
        <f t="shared" ref="C4:I4" si="0">SUM(C2:C3)</f>
        <v>0.28916775898410668</v>
      </c>
      <c r="D4" s="150">
        <f t="shared" si="0"/>
        <v>1316468</v>
      </c>
      <c r="E4" s="159">
        <f t="shared" si="0"/>
        <v>0.28211569369152018</v>
      </c>
      <c r="F4" s="150">
        <f t="shared" si="0"/>
        <v>1316468</v>
      </c>
      <c r="G4" s="159">
        <f t="shared" si="0"/>
        <v>0.28211569369152018</v>
      </c>
      <c r="H4" s="150">
        <f t="shared" si="0"/>
        <v>1316468</v>
      </c>
      <c r="I4" s="160">
        <f t="shared" si="0"/>
        <v>0.28211569369152018</v>
      </c>
      <c r="J4" s="150">
        <f>SUM(J2:J3)</f>
        <v>0</v>
      </c>
      <c r="K4" s="160" t="e">
        <f>SUM(K2:K3)</f>
        <v>#DIV/0!</v>
      </c>
    </row>
    <row r="5" spans="1:50" ht="15.75" thickBot="1"/>
    <row r="6" spans="1:50">
      <c r="A6" s="1233" t="s">
        <v>467</v>
      </c>
      <c r="B6" s="1200">
        <v>2004</v>
      </c>
      <c r="C6" s="1285"/>
      <c r="D6" s="1286"/>
      <c r="E6" s="1200">
        <v>2005</v>
      </c>
      <c r="F6" s="1285"/>
      <c r="G6" s="1286"/>
      <c r="H6" s="1200">
        <v>2006</v>
      </c>
      <c r="I6" s="1214"/>
      <c r="J6" s="1201"/>
      <c r="K6" s="1214">
        <v>2007</v>
      </c>
      <c r="L6" s="1214"/>
      <c r="M6" s="1201"/>
      <c r="N6" s="1214">
        <v>2008</v>
      </c>
      <c r="O6" s="1214"/>
      <c r="P6" s="1201"/>
      <c r="R6" s="1233" t="s">
        <v>456</v>
      </c>
      <c r="S6" s="1200">
        <v>2004</v>
      </c>
      <c r="T6" s="1214"/>
      <c r="U6" s="1201"/>
      <c r="V6" s="1200">
        <v>2005</v>
      </c>
      <c r="W6" s="1214"/>
      <c r="X6" s="1201"/>
      <c r="Y6" s="1200">
        <v>2006</v>
      </c>
      <c r="Z6" s="1214"/>
      <c r="AA6" s="1201"/>
      <c r="AB6" s="1214">
        <v>2007</v>
      </c>
      <c r="AC6" s="1214"/>
      <c r="AD6" s="1201"/>
      <c r="AE6" s="1214">
        <v>2008</v>
      </c>
      <c r="AF6" s="1214"/>
      <c r="AG6" s="1201"/>
      <c r="AI6" s="1236" t="s">
        <v>457</v>
      </c>
      <c r="AJ6" s="1200">
        <v>2004</v>
      </c>
      <c r="AK6" s="1214"/>
      <c r="AL6" s="1201"/>
      <c r="AM6" s="1200">
        <v>2005</v>
      </c>
      <c r="AN6" s="1214"/>
      <c r="AO6" s="1201"/>
      <c r="AP6" s="1200">
        <v>2006</v>
      </c>
      <c r="AQ6" s="1214"/>
      <c r="AR6" s="1201"/>
      <c r="AS6" s="1214">
        <v>2007</v>
      </c>
      <c r="AT6" s="1214"/>
      <c r="AU6" s="1201"/>
      <c r="AV6" s="1214">
        <v>2008</v>
      </c>
      <c r="AW6" s="1214"/>
      <c r="AX6" s="1201"/>
    </row>
    <row r="7" spans="1:50" ht="15.75" thickBot="1">
      <c r="A7" s="1234"/>
      <c r="B7" s="1287"/>
      <c r="C7" s="1288"/>
      <c r="D7" s="1289"/>
      <c r="E7" s="1287"/>
      <c r="F7" s="1288"/>
      <c r="G7" s="1289"/>
      <c r="H7" s="1215"/>
      <c r="I7" s="1216"/>
      <c r="J7" s="1217"/>
      <c r="K7" s="1216"/>
      <c r="L7" s="1216"/>
      <c r="M7" s="1217"/>
      <c r="N7" s="1216"/>
      <c r="O7" s="1216"/>
      <c r="P7" s="1217"/>
      <c r="R7" s="1234"/>
      <c r="S7" s="1215"/>
      <c r="T7" s="1216"/>
      <c r="U7" s="1217"/>
      <c r="V7" s="1215"/>
      <c r="W7" s="1216"/>
      <c r="X7" s="1217"/>
      <c r="Y7" s="1215"/>
      <c r="Z7" s="1216"/>
      <c r="AA7" s="1217"/>
      <c r="AB7" s="1216"/>
      <c r="AC7" s="1216"/>
      <c r="AD7" s="1217"/>
      <c r="AE7" s="1216"/>
      <c r="AF7" s="1216"/>
      <c r="AG7" s="1217"/>
      <c r="AI7" s="1237"/>
      <c r="AJ7" s="1215"/>
      <c r="AK7" s="1216"/>
      <c r="AL7" s="1217"/>
      <c r="AM7" s="1215"/>
      <c r="AN7" s="1216"/>
      <c r="AO7" s="1217"/>
      <c r="AP7" s="1215"/>
      <c r="AQ7" s="1216"/>
      <c r="AR7" s="1217"/>
      <c r="AS7" s="1216"/>
      <c r="AT7" s="1216"/>
      <c r="AU7" s="1217"/>
      <c r="AV7" s="1216"/>
      <c r="AW7" s="1216"/>
      <c r="AX7" s="1217"/>
    </row>
    <row r="8" spans="1:50" ht="26.25" thickBot="1">
      <c r="A8" s="1235"/>
      <c r="B8" s="134" t="s">
        <v>78</v>
      </c>
      <c r="C8" s="135" t="s">
        <v>468</v>
      </c>
      <c r="D8" s="136" t="s">
        <v>469</v>
      </c>
      <c r="E8" s="134" t="s">
        <v>78</v>
      </c>
      <c r="F8" s="135" t="s">
        <v>468</v>
      </c>
      <c r="G8" s="136" t="s">
        <v>469</v>
      </c>
      <c r="H8" s="134" t="s">
        <v>78</v>
      </c>
      <c r="I8" s="135" t="s">
        <v>468</v>
      </c>
      <c r="J8" s="136" t="s">
        <v>469</v>
      </c>
      <c r="K8" s="134" t="s">
        <v>78</v>
      </c>
      <c r="L8" s="135" t="s">
        <v>468</v>
      </c>
      <c r="M8" s="136" t="s">
        <v>469</v>
      </c>
      <c r="N8" s="134" t="s">
        <v>78</v>
      </c>
      <c r="O8" s="135" t="s">
        <v>468</v>
      </c>
      <c r="P8" s="136" t="s">
        <v>469</v>
      </c>
      <c r="R8" s="1235"/>
      <c r="S8" s="134" t="s">
        <v>78</v>
      </c>
      <c r="T8" s="135" t="s">
        <v>468</v>
      </c>
      <c r="U8" s="136" t="s">
        <v>469</v>
      </c>
      <c r="V8" s="134" t="s">
        <v>78</v>
      </c>
      <c r="W8" s="135" t="s">
        <v>468</v>
      </c>
      <c r="X8" s="136" t="s">
        <v>469</v>
      </c>
      <c r="Y8" s="134" t="s">
        <v>78</v>
      </c>
      <c r="Z8" s="135" t="s">
        <v>468</v>
      </c>
      <c r="AA8" s="136" t="s">
        <v>469</v>
      </c>
      <c r="AB8" s="134" t="s">
        <v>78</v>
      </c>
      <c r="AC8" s="135" t="s">
        <v>468</v>
      </c>
      <c r="AD8" s="136" t="s">
        <v>469</v>
      </c>
      <c r="AE8" s="134" t="s">
        <v>78</v>
      </c>
      <c r="AF8" s="135" t="s">
        <v>468</v>
      </c>
      <c r="AG8" s="136" t="s">
        <v>469</v>
      </c>
      <c r="AI8" s="1238"/>
      <c r="AJ8" s="134" t="s">
        <v>78</v>
      </c>
      <c r="AK8" s="135" t="s">
        <v>468</v>
      </c>
      <c r="AL8" s="136" t="s">
        <v>469</v>
      </c>
      <c r="AM8" s="134" t="s">
        <v>78</v>
      </c>
      <c r="AN8" s="135" t="s">
        <v>468</v>
      </c>
      <c r="AO8" s="136" t="s">
        <v>469</v>
      </c>
      <c r="AP8" s="134" t="s">
        <v>78</v>
      </c>
      <c r="AQ8" s="135" t="s">
        <v>468</v>
      </c>
      <c r="AR8" s="136" t="s">
        <v>469</v>
      </c>
      <c r="AS8" s="134" t="s">
        <v>78</v>
      </c>
      <c r="AT8" s="135" t="s">
        <v>468</v>
      </c>
      <c r="AU8" s="136" t="s">
        <v>469</v>
      </c>
      <c r="AV8" s="134" t="s">
        <v>78</v>
      </c>
      <c r="AW8" s="135" t="s">
        <v>468</v>
      </c>
      <c r="AX8" s="136" t="s">
        <v>469</v>
      </c>
    </row>
    <row r="9" spans="1:50" ht="15.75" thickBot="1">
      <c r="A9" s="164" t="s">
        <v>470</v>
      </c>
      <c r="B9" s="176">
        <v>15000</v>
      </c>
      <c r="C9" s="176">
        <v>15000</v>
      </c>
      <c r="D9" s="176"/>
      <c r="E9" s="176">
        <f>B9</f>
        <v>15000</v>
      </c>
      <c r="F9" s="176">
        <f t="shared" ref="F9:L9" si="1">C9</f>
        <v>15000</v>
      </c>
      <c r="G9" s="176"/>
      <c r="H9" s="176">
        <f t="shared" si="1"/>
        <v>15000</v>
      </c>
      <c r="I9" s="176">
        <f t="shared" si="1"/>
        <v>15000</v>
      </c>
      <c r="J9" s="176"/>
      <c r="K9" s="176">
        <f t="shared" si="1"/>
        <v>15000</v>
      </c>
      <c r="L9" s="176">
        <f t="shared" si="1"/>
        <v>15000</v>
      </c>
      <c r="M9" s="176"/>
      <c r="N9" s="176">
        <f>K9</f>
        <v>15000</v>
      </c>
      <c r="O9" s="176">
        <f>L9</f>
        <v>15000</v>
      </c>
      <c r="P9" s="176"/>
      <c r="R9" s="164" t="s">
        <v>87</v>
      </c>
      <c r="S9" s="176">
        <f>B9</f>
        <v>15000</v>
      </c>
      <c r="T9" s="176">
        <f t="shared" ref="T9:AC10" si="2">C9</f>
        <v>15000</v>
      </c>
      <c r="U9" s="176"/>
      <c r="V9" s="176">
        <f t="shared" si="2"/>
        <v>15000</v>
      </c>
      <c r="W9" s="176">
        <f t="shared" si="2"/>
        <v>15000</v>
      </c>
      <c r="X9" s="176"/>
      <c r="Y9" s="176">
        <f t="shared" si="2"/>
        <v>15000</v>
      </c>
      <c r="Z9" s="176">
        <f t="shared" si="2"/>
        <v>15000</v>
      </c>
      <c r="AA9" s="176"/>
      <c r="AB9" s="176">
        <f t="shared" si="2"/>
        <v>15000</v>
      </c>
      <c r="AC9" s="176">
        <f t="shared" si="2"/>
        <v>15000</v>
      </c>
      <c r="AD9" s="176"/>
      <c r="AE9" s="176">
        <f>N9</f>
        <v>15000</v>
      </c>
      <c r="AF9" s="176">
        <f>O9</f>
        <v>15000</v>
      </c>
      <c r="AG9" s="176"/>
      <c r="AI9" s="164" t="s">
        <v>87</v>
      </c>
      <c r="AJ9" s="176">
        <f>S9</f>
        <v>15000</v>
      </c>
      <c r="AK9" s="176">
        <f t="shared" ref="AK9:AT9" si="3">T9</f>
        <v>15000</v>
      </c>
      <c r="AL9" s="176"/>
      <c r="AM9" s="176">
        <f t="shared" si="3"/>
        <v>15000</v>
      </c>
      <c r="AN9" s="176">
        <f t="shared" si="3"/>
        <v>15000</v>
      </c>
      <c r="AO9" s="176"/>
      <c r="AP9" s="176">
        <f t="shared" si="3"/>
        <v>15000</v>
      </c>
      <c r="AQ9" s="176">
        <f t="shared" si="3"/>
        <v>15000</v>
      </c>
      <c r="AR9" s="176"/>
      <c r="AS9" s="176">
        <f t="shared" si="3"/>
        <v>15000</v>
      </c>
      <c r="AT9" s="176">
        <f t="shared" si="3"/>
        <v>15000</v>
      </c>
      <c r="AU9" s="176"/>
      <c r="AV9" s="176">
        <f>AE9</f>
        <v>15000</v>
      </c>
      <c r="AW9" s="176">
        <f>AF9</f>
        <v>15000</v>
      </c>
      <c r="AX9" s="176"/>
    </row>
    <row r="10" spans="1:50" ht="15.75" thickBot="1">
      <c r="A10" s="164" t="s">
        <v>448</v>
      </c>
      <c r="B10" s="165">
        <f>TAX!$B15</f>
        <v>10</v>
      </c>
      <c r="C10" s="165">
        <f>TAX!$B16</f>
        <v>9.1000000000000014</v>
      </c>
      <c r="D10" s="165"/>
      <c r="E10" s="165">
        <f>TAX!$C15</f>
        <v>10</v>
      </c>
      <c r="F10" s="165">
        <f>TAX!$C16</f>
        <v>9.1000000000000014</v>
      </c>
      <c r="G10" s="165"/>
      <c r="H10" s="165">
        <f>TAX!$D15</f>
        <v>10</v>
      </c>
      <c r="I10" s="165">
        <f>TAX!$D16</f>
        <v>9.1000000000000014</v>
      </c>
      <c r="J10" s="165"/>
      <c r="K10" s="165">
        <f>TAX!$E15</f>
        <v>10</v>
      </c>
      <c r="L10" s="165">
        <f>TAX!$E16</f>
        <v>9.1000000000000014</v>
      </c>
      <c r="M10" s="166"/>
      <c r="N10" s="165" t="e">
        <f>TAX!$F15</f>
        <v>#DIV/0!</v>
      </c>
      <c r="O10" s="165" t="e">
        <f>TAX!$F16</f>
        <v>#DIV/0!</v>
      </c>
      <c r="P10" s="166"/>
      <c r="R10" s="164" t="s">
        <v>448</v>
      </c>
      <c r="S10" s="165">
        <f>B10</f>
        <v>10</v>
      </c>
      <c r="T10" s="165">
        <f t="shared" si="2"/>
        <v>9.1000000000000014</v>
      </c>
      <c r="U10" s="166"/>
      <c r="V10" s="165">
        <f t="shared" si="2"/>
        <v>10</v>
      </c>
      <c r="W10" s="165">
        <f t="shared" si="2"/>
        <v>9.1000000000000014</v>
      </c>
      <c r="X10" s="166"/>
      <c r="Y10" s="165">
        <f t="shared" si="2"/>
        <v>10</v>
      </c>
      <c r="Z10" s="165">
        <f t="shared" si="2"/>
        <v>9.1000000000000014</v>
      </c>
      <c r="AA10" s="166"/>
      <c r="AB10" s="165">
        <f t="shared" si="2"/>
        <v>10</v>
      </c>
      <c r="AC10" s="165">
        <f t="shared" si="2"/>
        <v>9.1000000000000014</v>
      </c>
      <c r="AD10" s="166"/>
      <c r="AE10" s="165" t="e">
        <f>N10</f>
        <v>#DIV/0!</v>
      </c>
      <c r="AF10" s="165" t="e">
        <f>O10</f>
        <v>#DIV/0!</v>
      </c>
      <c r="AG10" s="166"/>
      <c r="AI10" s="164" t="s">
        <v>448</v>
      </c>
      <c r="AJ10" s="165">
        <f>B10</f>
        <v>10</v>
      </c>
      <c r="AK10" s="165">
        <f t="shared" ref="AK10:AT10" si="4">C10</f>
        <v>9.1000000000000014</v>
      </c>
      <c r="AL10" s="166"/>
      <c r="AM10" s="165">
        <f t="shared" si="4"/>
        <v>10</v>
      </c>
      <c r="AN10" s="165">
        <f t="shared" si="4"/>
        <v>9.1000000000000014</v>
      </c>
      <c r="AO10" s="166"/>
      <c r="AP10" s="165">
        <f t="shared" si="4"/>
        <v>10</v>
      </c>
      <c r="AQ10" s="165">
        <f t="shared" si="4"/>
        <v>9.1000000000000014</v>
      </c>
      <c r="AR10" s="166"/>
      <c r="AS10" s="165">
        <f t="shared" si="4"/>
        <v>10</v>
      </c>
      <c r="AT10" s="165">
        <f t="shared" si="4"/>
        <v>9.1000000000000014</v>
      </c>
      <c r="AU10" s="166"/>
      <c r="AV10" s="165" t="e">
        <f>N10</f>
        <v>#DIV/0!</v>
      </c>
      <c r="AW10" s="165" t="e">
        <f>O10</f>
        <v>#DIV/0!</v>
      </c>
      <c r="AX10" s="166"/>
    </row>
    <row r="11" spans="1:50" ht="15.75" thickBot="1">
      <c r="A11" s="125" t="s">
        <v>11</v>
      </c>
      <c r="B11" s="147">
        <f>B12+B20+B30+B35+B39</f>
        <v>40197.04437643339</v>
      </c>
      <c r="C11" s="147">
        <f t="shared" ref="C11:P11" si="5">C12+C20+C30+C35+C39</f>
        <v>1481271.619373556</v>
      </c>
      <c r="D11" s="147">
        <f t="shared" si="5"/>
        <v>0</v>
      </c>
      <c r="E11" s="147">
        <f t="shared" si="5"/>
        <v>43534.002215589549</v>
      </c>
      <c r="F11" s="147">
        <f t="shared" si="5"/>
        <v>1640029.7677088473</v>
      </c>
      <c r="G11" s="147">
        <f t="shared" si="5"/>
        <v>0</v>
      </c>
      <c r="H11" s="147">
        <f t="shared" si="5"/>
        <v>47201.403873721152</v>
      </c>
      <c r="I11" s="147">
        <f t="shared" si="5"/>
        <v>1834500.7395170229</v>
      </c>
      <c r="J11" s="147">
        <f t="shared" si="5"/>
        <v>0</v>
      </c>
      <c r="K11" s="147">
        <f t="shared" si="5"/>
        <v>50740.700106563796</v>
      </c>
      <c r="L11" s="147">
        <f t="shared" si="5"/>
        <v>2038308.8006865529</v>
      </c>
      <c r="M11" s="147">
        <f t="shared" si="5"/>
        <v>0</v>
      </c>
      <c r="N11" s="147" t="e">
        <f t="shared" si="5"/>
        <v>#DIV/0!</v>
      </c>
      <c r="O11" s="147" t="e">
        <f t="shared" si="5"/>
        <v>#DIV/0!</v>
      </c>
      <c r="P11" s="147">
        <f t="shared" si="5"/>
        <v>0</v>
      </c>
      <c r="R11" s="125" t="s">
        <v>11</v>
      </c>
      <c r="S11" s="147">
        <f>S12+S20+S30+S35+S39</f>
        <v>60295566.564650074</v>
      </c>
      <c r="T11" s="147">
        <f t="shared" ref="T11:AF11" si="6">T12+T20+T30+T35+T39</f>
        <v>2441656515.4509158</v>
      </c>
      <c r="U11" s="177"/>
      <c r="V11" s="147">
        <f t="shared" si="6"/>
        <v>65301003.323384315</v>
      </c>
      <c r="W11" s="147">
        <f t="shared" si="6"/>
        <v>2703345770.9486489</v>
      </c>
      <c r="X11" s="177"/>
      <c r="Y11" s="147">
        <f t="shared" si="6"/>
        <v>70802105.810581744</v>
      </c>
      <c r="Z11" s="147">
        <f t="shared" si="6"/>
        <v>3023902317.8852015</v>
      </c>
      <c r="AA11" s="177"/>
      <c r="AB11" s="147">
        <f t="shared" si="6"/>
        <v>76111050.159845695</v>
      </c>
      <c r="AC11" s="147">
        <f t="shared" si="6"/>
        <v>3359849671.4613504</v>
      </c>
      <c r="AD11" s="282"/>
      <c r="AE11" s="147" t="e">
        <f t="shared" si="6"/>
        <v>#DIV/0!</v>
      </c>
      <c r="AF11" s="147" t="e">
        <f t="shared" si="6"/>
        <v>#DIV/0!</v>
      </c>
      <c r="AG11" s="177"/>
      <c r="AI11" s="125" t="s">
        <v>11</v>
      </c>
      <c r="AJ11" s="171">
        <f>S11/COMB_CORR!$L3</f>
        <v>1.7193059233224994E-3</v>
      </c>
      <c r="AK11" s="171">
        <f>T11/COMB_CORR!$L3</f>
        <v>6.9622938284071109E-2</v>
      </c>
      <c r="AL11" s="177"/>
      <c r="AM11" s="171">
        <f>V11/COMB_CORR!$M3</f>
        <v>1.677314692474911E-3</v>
      </c>
      <c r="AN11" s="171">
        <f>W11/COMB_CORR!$M3</f>
        <v>6.9437854698755103E-2</v>
      </c>
      <c r="AO11" s="177"/>
      <c r="AP11" s="171">
        <f>Y11/COMB_CORR!$N3</f>
        <v>1.7079649229778629E-3</v>
      </c>
      <c r="AQ11" s="171">
        <f>Z11/COMB_CORR!$N3</f>
        <v>7.2945840103635515E-2</v>
      </c>
      <c r="AR11" s="177"/>
      <c r="AS11" s="171">
        <f>AB11/COMB_CORR!$O3</f>
        <v>1.7290779676846656E-3</v>
      </c>
      <c r="AT11" s="171">
        <f>AC11/COMB_CORR!$O3</f>
        <v>7.6328496709158547E-2</v>
      </c>
      <c r="AU11" s="177"/>
      <c r="AV11" s="171" t="e">
        <f>AE11/COMB_CORR!$P3</f>
        <v>#DIV/0!</v>
      </c>
      <c r="AW11" s="171" t="e">
        <f>AF11/COMB_CORR!$P3</f>
        <v>#DIV/0!</v>
      </c>
      <c r="AX11" s="177"/>
    </row>
    <row r="12" spans="1:50" ht="26.25" thickBot="1">
      <c r="A12" s="4" t="s">
        <v>46</v>
      </c>
      <c r="B12" s="215">
        <f>SUM(B13:B19)</f>
        <v>2691.506323988775</v>
      </c>
      <c r="C12" s="215">
        <f t="shared" ref="C12:P12" si="7">SUM(C13:C19)</f>
        <v>127623.46820797569</v>
      </c>
      <c r="D12" s="147">
        <f>SUM(D13:D19)</f>
        <v>0</v>
      </c>
      <c r="E12" s="215">
        <f>SUM(E13:E19)</f>
        <v>3010.9609486888057</v>
      </c>
      <c r="F12" s="215">
        <f>SUM(F13:F19)</f>
        <v>143152.78941253858</v>
      </c>
      <c r="G12" s="147">
        <f>SUM(G13:G19)</f>
        <v>0</v>
      </c>
      <c r="H12" s="215">
        <f>SUM(H13:H19)</f>
        <v>3365.1458764640884</v>
      </c>
      <c r="I12" s="215">
        <f t="shared" si="7"/>
        <v>162024.83835843694</v>
      </c>
      <c r="J12" s="147">
        <f t="shared" si="7"/>
        <v>0</v>
      </c>
      <c r="K12" s="147">
        <f t="shared" si="7"/>
        <v>3683.5259424918404</v>
      </c>
      <c r="L12" s="147">
        <f t="shared" si="7"/>
        <v>180932.56152601773</v>
      </c>
      <c r="M12" s="147">
        <f t="shared" si="7"/>
        <v>0</v>
      </c>
      <c r="N12" s="147" t="e">
        <f t="shared" si="7"/>
        <v>#DIV/0!</v>
      </c>
      <c r="O12" s="147" t="e">
        <f t="shared" si="7"/>
        <v>#DIV/0!</v>
      </c>
      <c r="P12" s="147">
        <f t="shared" si="7"/>
        <v>0</v>
      </c>
      <c r="R12" s="4" t="s">
        <v>46</v>
      </c>
      <c r="S12" s="147">
        <f>SUM(S13:S19)</f>
        <v>4037259.4859831627</v>
      </c>
      <c r="T12" s="147">
        <f t="shared" ref="T12:AF12" si="8">SUM(T13:T19)</f>
        <v>210368354.18897083</v>
      </c>
      <c r="U12" s="177"/>
      <c r="V12" s="147">
        <f t="shared" si="8"/>
        <v>4516441.4230332086</v>
      </c>
      <c r="W12" s="147">
        <f t="shared" si="8"/>
        <v>235966136.39429429</v>
      </c>
      <c r="X12" s="177"/>
      <c r="Y12" s="147">
        <f t="shared" si="8"/>
        <v>5047718.8146961313</v>
      </c>
      <c r="Z12" s="147">
        <f t="shared" si="8"/>
        <v>267073909.38203889</v>
      </c>
      <c r="AA12" s="177"/>
      <c r="AB12" s="147">
        <f t="shared" si="8"/>
        <v>5525288.9137377599</v>
      </c>
      <c r="AC12" s="147">
        <f t="shared" si="8"/>
        <v>298240486.03189731</v>
      </c>
      <c r="AD12" s="282"/>
      <c r="AE12" s="147" t="e">
        <f t="shared" si="8"/>
        <v>#DIV/0!</v>
      </c>
      <c r="AF12" s="147" t="e">
        <f t="shared" si="8"/>
        <v>#DIV/0!</v>
      </c>
      <c r="AG12" s="177"/>
      <c r="AI12" s="4" t="s">
        <v>46</v>
      </c>
      <c r="AJ12" s="171">
        <f>S12/COMB_CORR!$L4</f>
        <v>1.1836531860627997E-3</v>
      </c>
      <c r="AK12" s="171">
        <f>T12/COMB_CORR!$L4</f>
        <v>6.1676286487670498E-2</v>
      </c>
      <c r="AL12" s="177"/>
      <c r="AM12" s="171">
        <f>V12/COMB_CORR!$M4</f>
        <v>1.1093336570612798E-3</v>
      </c>
      <c r="AN12" s="171">
        <f>W12/COMB_CORR!$M4</f>
        <v>5.795828009501864E-2</v>
      </c>
      <c r="AO12" s="177"/>
      <c r="AP12" s="171">
        <f>Y12/COMB_CORR!$N4</f>
        <v>1.1398638789754769E-3</v>
      </c>
      <c r="AQ12" s="171">
        <f>Z12/COMB_CORR!$N4</f>
        <v>6.0309996158072879E-2</v>
      </c>
      <c r="AR12" s="177"/>
      <c r="AS12" s="171">
        <f>AB12/COMB_CORR!$O4</f>
        <v>1.1592775170228174E-3</v>
      </c>
      <c r="AT12" s="171">
        <f>AC12/COMB_CORR!$O4</f>
        <v>6.2574735099027931E-2</v>
      </c>
      <c r="AU12" s="177"/>
      <c r="AV12" s="171" t="e">
        <f>AE12/COMB_CORR!$P4</f>
        <v>#DIV/0!</v>
      </c>
      <c r="AW12" s="171" t="e">
        <f>AF12/COMB_CORR!$P4</f>
        <v>#DIV/0!</v>
      </c>
      <c r="AX12" s="177"/>
    </row>
    <row r="13" spans="1:50" ht="15.75" thickBot="1">
      <c r="A13" s="130" t="s">
        <v>13</v>
      </c>
      <c r="B13" s="920">
        <f>(DEN!$C5)*ONSV_2013!E4</f>
        <v>184.19392574934886</v>
      </c>
      <c r="C13" s="920">
        <f>(DEN!$F5+DEN!$G5+DEN!$L5)*ONSV_2013!K4</f>
        <v>8347.7842250690774</v>
      </c>
      <c r="D13" s="928"/>
      <c r="E13" s="920">
        <f>(DEN!$C41)*ONSV_2013!E4</f>
        <v>209.04349681425566</v>
      </c>
      <c r="F13" s="920">
        <f>(DEN!$F41+DEN!$G41+DEN!$L41)*ONSV_2013!K4</f>
        <v>9356.0634011554885</v>
      </c>
      <c r="G13" s="928"/>
      <c r="H13" s="920">
        <f>(DEN!$C77)*ONSV_2013!E4</f>
        <v>234.6806162539178</v>
      </c>
      <c r="I13" s="920">
        <f>(DEN!$F77+DEN!$G77+DEN!$L77)*ONSV_2013!K4</f>
        <v>10504.271640291383</v>
      </c>
      <c r="J13" s="177"/>
      <c r="K13" s="935">
        <f>(DEN!$C113)*ONSV_2013!E4</f>
        <v>257.33033152341852</v>
      </c>
      <c r="L13" s="935">
        <f>(DEN!$F113+DEN!$G113+DEN!$L113)*ONSV_2013!K4</f>
        <v>11598.87802059784</v>
      </c>
      <c r="M13" s="177"/>
      <c r="N13" s="167" t="e">
        <f>(DEN!$C149)*DIST_DSL_LEV!$K$2</f>
        <v>#DIV/0!</v>
      </c>
      <c r="O13" s="167" t="e">
        <f>(DEN!$F149+DEN!$G149+DEN!$L149)*DIST_DSL_LEV!$K$3</f>
        <v>#DIV/0!</v>
      </c>
      <c r="P13" s="177"/>
      <c r="R13" s="127" t="s">
        <v>13</v>
      </c>
      <c r="S13" s="167">
        <f t="shared" ref="S13:S19" si="9">$B$9*B13/B$10</f>
        <v>276290.8886240233</v>
      </c>
      <c r="T13" s="167">
        <f t="shared" ref="T13:T19" si="10">$C$9*C13/C$10</f>
        <v>13760083.8874765</v>
      </c>
      <c r="U13" s="177"/>
      <c r="V13" s="167">
        <f t="shared" ref="V13:V19" si="11">$E$9*E13/E$10</f>
        <v>313565.24522138352</v>
      </c>
      <c r="W13" s="167">
        <f t="shared" ref="W13:W19" si="12">$F$9*F13/F$10</f>
        <v>15422082.529377175</v>
      </c>
      <c r="X13" s="177"/>
      <c r="Y13" s="167">
        <f t="shared" ref="Y13:Y19" si="13">$H$9*H13/H$10</f>
        <v>352020.92438087671</v>
      </c>
      <c r="Z13" s="167">
        <f t="shared" ref="Z13:Z19" si="14">$I$9*I13/I$10</f>
        <v>17314733.473007772</v>
      </c>
      <c r="AA13" s="177"/>
      <c r="AB13" s="167">
        <f t="shared" ref="AB13:AB19" si="15">$K$9*K13/K$10</f>
        <v>385995.49728512776</v>
      </c>
      <c r="AC13" s="167">
        <f t="shared" ref="AC13:AC19" si="16">$L$9*L13/L$10</f>
        <v>19119029.70428215</v>
      </c>
      <c r="AD13" s="177"/>
      <c r="AE13" s="167" t="e">
        <f>$N$9*N13/N$10</f>
        <v>#DIV/0!</v>
      </c>
      <c r="AF13" s="167" t="e">
        <f>$O$9*O13/O$10</f>
        <v>#DIV/0!</v>
      </c>
      <c r="AG13" s="177"/>
      <c r="AI13" s="127" t="s">
        <v>13</v>
      </c>
      <c r="AJ13" s="171">
        <f>S13/COMB_CORR!$L5</f>
        <v>2.4671273180715452E-3</v>
      </c>
      <c r="AK13" s="171">
        <f>T13/COMB_CORR!$L5</f>
        <v>0.12287006287762771</v>
      </c>
      <c r="AL13" s="177"/>
      <c r="AM13" s="171">
        <f>V13/COMB_CORR!$M5</f>
        <v>2.3428119714879749E-3</v>
      </c>
      <c r="AN13" s="171">
        <f>W13/COMB_CORR!$M5</f>
        <v>0.11522654415858855</v>
      </c>
      <c r="AO13" s="177"/>
      <c r="AP13" s="171">
        <f>Y13/COMB_CORR!$N5</f>
        <v>2.5505279071600996E-3</v>
      </c>
      <c r="AQ13" s="171">
        <f>Z13/COMB_CORR!$N5</f>
        <v>0.12545194864656314</v>
      </c>
      <c r="AR13" s="177"/>
      <c r="AS13" s="171">
        <f>AB13/COMB_CORR!$O5</f>
        <v>2.0433829553531796E-3</v>
      </c>
      <c r="AT13" s="171">
        <f>AC13/COMB_CORR!$O5</f>
        <v>0.10121231904361529</v>
      </c>
      <c r="AU13" s="177"/>
      <c r="AV13" s="171" t="e">
        <f>AE13/COMB_CORR!$P5</f>
        <v>#DIV/0!</v>
      </c>
      <c r="AW13" s="171" t="e">
        <f>AF13/COMB_CORR!$P5</f>
        <v>#DIV/0!</v>
      </c>
      <c r="AX13" s="177"/>
    </row>
    <row r="14" spans="1:50" ht="15.75" thickBot="1">
      <c r="A14" s="127" t="s">
        <v>14</v>
      </c>
      <c r="B14" s="920">
        <f>(DEN!$C6)*ONSV_2013!E5</f>
        <v>103.02295457549457</v>
      </c>
      <c r="C14" s="920">
        <f>(DEN!$F6+DEN!$G6+DEN!$L6)*ONSV_2013!K5</f>
        <v>5223.8007380073805</v>
      </c>
      <c r="D14" s="177"/>
      <c r="E14" s="920">
        <f>(DEN!$C42)*ONSV_2013!E5</f>
        <v>116.38313433493413</v>
      </c>
      <c r="F14" s="920">
        <f>(DEN!$F42+DEN!$G42+DEN!$L42)*ONSV_2013!K5</f>
        <v>5967.5213015766521</v>
      </c>
      <c r="G14" s="177"/>
      <c r="H14" s="920">
        <f>(DEN!$C78)*ONSV_2013!E5</f>
        <v>130.11904657003129</v>
      </c>
      <c r="I14" s="920">
        <f>(DEN!$F78+DEN!$G78+DEN!$L78)*ONSV_2013!K5</f>
        <v>6748.4072458906412</v>
      </c>
      <c r="J14" s="177"/>
      <c r="K14" s="935">
        <f>(DEN!$C114)*ONSV_2013!E5</f>
        <v>137.8239708625222</v>
      </c>
      <c r="L14" s="935">
        <f>(DEN!$F114+DEN!$G114+DEN!$L114)*ONSV_2013!K5</f>
        <v>7456.2012747400204</v>
      </c>
      <c r="M14" s="177"/>
      <c r="N14" s="167" t="e">
        <f>(DEN!$C150)*DIST_DSL_LEV!$K$2</f>
        <v>#DIV/0!</v>
      </c>
      <c r="O14" s="167" t="e">
        <f>(DEN!$F150+DEN!$G150+DEN!$L150)*DIST_DSL_LEV!$K$3</f>
        <v>#DIV/0!</v>
      </c>
      <c r="P14" s="177"/>
      <c r="R14" s="127" t="s">
        <v>14</v>
      </c>
      <c r="S14" s="167">
        <f t="shared" si="9"/>
        <v>154534.43186324186</v>
      </c>
      <c r="T14" s="167">
        <f t="shared" si="10"/>
        <v>8610660.5571550224</v>
      </c>
      <c r="U14" s="177"/>
      <c r="V14" s="167">
        <f t="shared" si="11"/>
        <v>174574.70150240121</v>
      </c>
      <c r="W14" s="167">
        <f t="shared" si="12"/>
        <v>9836573.574027447</v>
      </c>
      <c r="X14" s="177"/>
      <c r="Y14" s="167">
        <f t="shared" si="13"/>
        <v>195178.56985504692</v>
      </c>
      <c r="Z14" s="167">
        <f t="shared" si="14"/>
        <v>11123748.207512043</v>
      </c>
      <c r="AA14" s="177"/>
      <c r="AB14" s="167">
        <f t="shared" si="15"/>
        <v>206735.95629378333</v>
      </c>
      <c r="AC14" s="167">
        <f t="shared" si="16"/>
        <v>12290441.661659373</v>
      </c>
      <c r="AD14" s="177"/>
      <c r="AE14" s="167" t="e">
        <f t="shared" ref="AE14:AE43" si="17">$N$9*N14/N$10</f>
        <v>#DIV/0!</v>
      </c>
      <c r="AF14" s="167" t="e">
        <f t="shared" ref="AF14:AF43" si="18">$O$9*O14/O$10</f>
        <v>#DIV/0!</v>
      </c>
      <c r="AG14" s="177"/>
      <c r="AI14" s="127" t="s">
        <v>14</v>
      </c>
      <c r="AJ14" s="171">
        <f>S14/COMB_CORR!$L6</f>
        <v>5.531964915231201E-4</v>
      </c>
      <c r="AK14" s="171">
        <f>T14/COMB_CORR!$L6</f>
        <v>3.0824115716361011E-2</v>
      </c>
      <c r="AL14" s="177"/>
      <c r="AM14" s="171">
        <f>V14/COMB_CORR!$M6</f>
        <v>5.8562572912167459E-4</v>
      </c>
      <c r="AN14" s="171">
        <f>W14/COMB_CORR!$M6</f>
        <v>3.2997625210142982E-2</v>
      </c>
      <c r="AO14" s="177"/>
      <c r="AP14" s="171">
        <f>Y14/COMB_CORR!$N6</f>
        <v>5.6390983300682121E-4</v>
      </c>
      <c r="AQ14" s="171">
        <f>Z14/COMB_CORR!$N6</f>
        <v>3.2138728133763096E-2</v>
      </c>
      <c r="AR14" s="177"/>
      <c r="AS14" s="171">
        <f>AB14/COMB_CORR!$O6</f>
        <v>4.7491828581487324E-4</v>
      </c>
      <c r="AT14" s="171">
        <f>AC14/COMB_CORR!$O6</f>
        <v>2.8233866960077E-2</v>
      </c>
      <c r="AU14" s="177"/>
      <c r="AV14" s="171" t="e">
        <f>AE14/COMB_CORR!$P6</f>
        <v>#DIV/0!</v>
      </c>
      <c r="AW14" s="171" t="e">
        <f>AF14/COMB_CORR!$P6</f>
        <v>#DIV/0!</v>
      </c>
      <c r="AX14" s="177"/>
    </row>
    <row r="15" spans="1:50" ht="26.25" thickBot="1">
      <c r="A15" s="127" t="s">
        <v>15</v>
      </c>
      <c r="B15" s="920">
        <f>(DEN!$C7)*ONSV_2013!E6</f>
        <v>403.33759908125307</v>
      </c>
      <c r="C15" s="920">
        <f>(DEN!$F7+DEN!$G7+DEN!$L7)*ONSV_2013!K6</f>
        <v>21500.303510223381</v>
      </c>
      <c r="D15" s="177"/>
      <c r="E15" s="920">
        <f>(DEN!$C43)*ONSV_2013!E6</f>
        <v>444.13541417190146</v>
      </c>
      <c r="F15" s="920">
        <f>(DEN!$F43+DEN!$G43+DEN!$L43)*ONSV_2013!K6</f>
        <v>24365.897175274793</v>
      </c>
      <c r="G15" s="177"/>
      <c r="H15" s="920">
        <f>(DEN!$C79)*ONSV_2013!E6</f>
        <v>484.70608179271062</v>
      </c>
      <c r="I15" s="920">
        <f>(DEN!$F79+DEN!$G79+DEN!$L79)*ONSV_2013!K6</f>
        <v>27476.908639640707</v>
      </c>
      <c r="J15" s="177"/>
      <c r="K15" s="935">
        <f>(DEN!$C115)*ONSV_2013!E6</f>
        <v>517.92994843590839</v>
      </c>
      <c r="L15" s="935">
        <f>(DEN!$F115+DEN!$G115+DEN!$L115)*ONSV_2013!K6</f>
        <v>30274.671551826028</v>
      </c>
      <c r="M15" s="177"/>
      <c r="N15" s="167" t="e">
        <f>(DEN!$C151)*DIST_DSL_LEV!$K$2</f>
        <v>#DIV/0!</v>
      </c>
      <c r="O15" s="167" t="e">
        <f>(DEN!$F151+DEN!$G151+DEN!$L151)*DIST_DSL_LEV!$K$3</f>
        <v>#DIV/0!</v>
      </c>
      <c r="P15" s="177"/>
      <c r="R15" s="127" t="s">
        <v>15</v>
      </c>
      <c r="S15" s="167">
        <f t="shared" si="9"/>
        <v>605006.39862187963</v>
      </c>
      <c r="T15" s="167">
        <f t="shared" si="10"/>
        <v>35440060.731137432</v>
      </c>
      <c r="U15" s="177"/>
      <c r="V15" s="167">
        <f t="shared" si="11"/>
        <v>666203.12125785218</v>
      </c>
      <c r="W15" s="167">
        <f t="shared" si="12"/>
        <v>40163566.772430971</v>
      </c>
      <c r="X15" s="177"/>
      <c r="Y15" s="167">
        <f t="shared" si="13"/>
        <v>727059.12268906587</v>
      </c>
      <c r="Z15" s="167">
        <f t="shared" si="14"/>
        <v>45291607.6477594</v>
      </c>
      <c r="AA15" s="177"/>
      <c r="AB15" s="167">
        <f t="shared" si="15"/>
        <v>776894.92265386251</v>
      </c>
      <c r="AC15" s="167">
        <f t="shared" si="16"/>
        <v>49903304.755757183</v>
      </c>
      <c r="AD15" s="177"/>
      <c r="AE15" s="167" t="e">
        <f t="shared" si="17"/>
        <v>#DIV/0!</v>
      </c>
      <c r="AF15" s="167" t="e">
        <f t="shared" si="18"/>
        <v>#DIV/0!</v>
      </c>
      <c r="AG15" s="177"/>
      <c r="AI15" s="127" t="s">
        <v>15</v>
      </c>
      <c r="AJ15" s="171">
        <f>S15/COMB_CORR!$L7</f>
        <v>9.0138597485797515E-4</v>
      </c>
      <c r="AK15" s="171">
        <f>T15/COMB_CORR!$L7</f>
        <v>5.2801381545598228E-2</v>
      </c>
      <c r="AL15" s="177"/>
      <c r="AM15" s="171">
        <f>V15/COMB_CORR!$M7</f>
        <v>7.0773491407078977E-4</v>
      </c>
      <c r="AN15" s="171">
        <f>W15/COMB_CORR!$M7</f>
        <v>4.2667405137330451E-2</v>
      </c>
      <c r="AO15" s="177"/>
      <c r="AP15" s="171">
        <f>Y15/COMB_CORR!$N7</f>
        <v>6.5347154917348065E-4</v>
      </c>
      <c r="AQ15" s="171">
        <f>Z15/COMB_CORR!$N7</f>
        <v>4.0707524450932661E-2</v>
      </c>
      <c r="AR15" s="177"/>
      <c r="AS15" s="171">
        <f>AB15/COMB_CORR!$O7</f>
        <v>7.0795281704172537E-4</v>
      </c>
      <c r="AT15" s="171">
        <f>AC15/COMB_CORR!$O7</f>
        <v>4.5474856574999889E-2</v>
      </c>
      <c r="AU15" s="177"/>
      <c r="AV15" s="171" t="e">
        <f>AE15/COMB_CORR!$P7</f>
        <v>#DIV/0!</v>
      </c>
      <c r="AW15" s="171" t="e">
        <f>AF15/COMB_CORR!$P7</f>
        <v>#DIV/0!</v>
      </c>
      <c r="AX15" s="177"/>
    </row>
    <row r="16" spans="1:50" ht="15.75" thickBot="1">
      <c r="A16" s="127" t="s">
        <v>16</v>
      </c>
      <c r="B16" s="920">
        <f>(DEN!$C8)*ONSV_2013!E7</f>
        <v>1005.0049197510644</v>
      </c>
      <c r="C16" s="920">
        <f>(DEN!$F8+DEN!$G8+DEN!$L8)*ONSV_2013!K7</f>
        <v>40976.876383842704</v>
      </c>
      <c r="D16" s="177"/>
      <c r="E16" s="920">
        <f>(DEN!$C44)*ONSV_2013!E7</f>
        <v>1115.0559165847799</v>
      </c>
      <c r="F16" s="920">
        <f>(DEN!$F44+DEN!$G44+DEN!$L44)*ONSV_2013!K7</f>
        <v>45920.394614233817</v>
      </c>
      <c r="G16" s="177"/>
      <c r="H16" s="920">
        <f>(DEN!$C80)*ONSV_2013!E7</f>
        <v>1238.8521672671689</v>
      </c>
      <c r="I16" s="920">
        <f>(DEN!$F80+DEN!$G80+DEN!$L80)*ONSV_2013!K7</f>
        <v>52266.511134857879</v>
      </c>
      <c r="J16" s="177"/>
      <c r="K16" s="935">
        <f>(DEN!$C116)*ONSV_2013!E7</f>
        <v>1354.3095621792772</v>
      </c>
      <c r="L16" s="935">
        <f>(DEN!$F116+DEN!$G116+DEN!$L116)*ONSV_2013!K7</f>
        <v>59363.929856807015</v>
      </c>
      <c r="M16" s="177"/>
      <c r="N16" s="167" t="e">
        <f>(DEN!$C152)*DIST_DSL_LEV!$K$2</f>
        <v>#DIV/0!</v>
      </c>
      <c r="O16" s="167" t="e">
        <f>(DEN!$F152+DEN!$G152+DEN!$L152)*DIST_DSL_LEV!$K$3</f>
        <v>#DIV/0!</v>
      </c>
      <c r="P16" s="177"/>
      <c r="R16" s="127" t="s">
        <v>16</v>
      </c>
      <c r="S16" s="167">
        <f t="shared" si="9"/>
        <v>1507507.3796265968</v>
      </c>
      <c r="T16" s="167">
        <f t="shared" si="10"/>
        <v>67544301.731608853</v>
      </c>
      <c r="U16" s="177"/>
      <c r="V16" s="167">
        <f t="shared" si="11"/>
        <v>1672583.8748771697</v>
      </c>
      <c r="W16" s="167">
        <f t="shared" si="12"/>
        <v>75692958.155330464</v>
      </c>
      <c r="X16" s="177"/>
      <c r="Y16" s="167">
        <f t="shared" si="13"/>
        <v>1858278.2509007533</v>
      </c>
      <c r="Z16" s="167">
        <f t="shared" si="14"/>
        <v>86153589.782732755</v>
      </c>
      <c r="AA16" s="177"/>
      <c r="AB16" s="167">
        <f t="shared" si="15"/>
        <v>2031464.343268916</v>
      </c>
      <c r="AC16" s="167">
        <f t="shared" si="16"/>
        <v>97852631.632099465</v>
      </c>
      <c r="AD16" s="177"/>
      <c r="AE16" s="167" t="e">
        <f t="shared" si="17"/>
        <v>#DIV/0!</v>
      </c>
      <c r="AF16" s="167" t="e">
        <f t="shared" si="18"/>
        <v>#DIV/0!</v>
      </c>
      <c r="AG16" s="177"/>
      <c r="AI16" s="127" t="s">
        <v>16</v>
      </c>
      <c r="AJ16" s="171">
        <f>S16/COMB_CORR!$L8</f>
        <v>1.2393156048151532E-3</v>
      </c>
      <c r="AK16" s="171">
        <f>T16/COMB_CORR!$L8</f>
        <v>5.5527892124190015E-2</v>
      </c>
      <c r="AL16" s="177"/>
      <c r="AM16" s="171">
        <f>V16/COMB_CORR!$M8</f>
        <v>1.2159669318529325E-3</v>
      </c>
      <c r="AN16" s="171">
        <f>W16/COMB_CORR!$M8</f>
        <v>5.5028710651517418E-2</v>
      </c>
      <c r="AO16" s="177"/>
      <c r="AP16" s="171">
        <f>Y16/COMB_CORR!$N8</f>
        <v>1.2134425409644537E-3</v>
      </c>
      <c r="AQ16" s="171">
        <f>Z16/COMB_CORR!$N8</f>
        <v>5.6257684148482139E-2</v>
      </c>
      <c r="AR16" s="177"/>
      <c r="AS16" s="171">
        <f>AB16/COMB_CORR!$O8</f>
        <v>1.1962221892177823E-3</v>
      </c>
      <c r="AT16" s="171">
        <f>AC16/COMB_CORR!$O8</f>
        <v>5.7620252907474349E-2</v>
      </c>
      <c r="AU16" s="177"/>
      <c r="AV16" s="171" t="e">
        <f>AE16/COMB_CORR!$P8</f>
        <v>#DIV/0!</v>
      </c>
      <c r="AW16" s="171" t="e">
        <f>AF16/COMB_CORR!$P8</f>
        <v>#DIV/0!</v>
      </c>
      <c r="AX16" s="177"/>
    </row>
    <row r="17" spans="1:50" ht="15.75" thickBot="1">
      <c r="A17" s="127" t="s">
        <v>17</v>
      </c>
      <c r="B17" s="920">
        <f>(DEN!$C9)*ONSV_2013!E8</f>
        <v>470.6125350778006</v>
      </c>
      <c r="C17" s="920">
        <f>(DEN!$F9+DEN!$G9+DEN!$L9)*ONSV_2013!K8</f>
        <v>24271.742398620081</v>
      </c>
      <c r="D17" s="177"/>
      <c r="E17" s="920">
        <f>(DEN!$C45)*ONSV_2013!E8</f>
        <v>542.9351775978173</v>
      </c>
      <c r="F17" s="920">
        <f>(DEN!$F45+DEN!$G45+DEN!$L45)*ONSV_2013!K8</f>
        <v>27285.203689924576</v>
      </c>
      <c r="G17" s="177"/>
      <c r="H17" s="920">
        <f>(DEN!$C81)*ONSV_2013!E8</f>
        <v>623.96719052567494</v>
      </c>
      <c r="I17" s="920">
        <f>(DEN!$F81+DEN!$G81+DEN!$L81)*ONSV_2013!K8</f>
        <v>31320.672202117225</v>
      </c>
      <c r="J17" s="177"/>
      <c r="K17" s="935">
        <f>(DEN!$C117)*ONSV_2013!E8</f>
        <v>697.65773680090456</v>
      </c>
      <c r="L17" s="935">
        <f>(DEN!$F117+DEN!$G117+DEN!$L117)*ONSV_2013!K8</f>
        <v>35065.731389725028</v>
      </c>
      <c r="M17" s="177"/>
      <c r="N17" s="167" t="e">
        <f>(DEN!$C153)*DIST_DSL_LEV!$K$2</f>
        <v>#DIV/0!</v>
      </c>
      <c r="O17" s="167" t="e">
        <f>(DEN!$F153+DEN!$G153+DEN!$L153)*DIST_DSL_LEV!$K$3</f>
        <v>#DIV/0!</v>
      </c>
      <c r="P17" s="177"/>
      <c r="R17" s="127" t="s">
        <v>17</v>
      </c>
      <c r="S17" s="167">
        <f t="shared" si="9"/>
        <v>705918.80261670088</v>
      </c>
      <c r="T17" s="167">
        <f t="shared" si="10"/>
        <v>40008366.591131993</v>
      </c>
      <c r="U17" s="177"/>
      <c r="V17" s="167">
        <f t="shared" si="11"/>
        <v>814402.7663967259</v>
      </c>
      <c r="W17" s="167">
        <f t="shared" si="12"/>
        <v>44975610.477897644</v>
      </c>
      <c r="X17" s="177"/>
      <c r="Y17" s="167">
        <f t="shared" si="13"/>
        <v>935950.78578851244</v>
      </c>
      <c r="Z17" s="167">
        <f t="shared" si="14"/>
        <v>51627481.651841573</v>
      </c>
      <c r="AA17" s="177"/>
      <c r="AB17" s="167">
        <f t="shared" si="15"/>
        <v>1046486.6052013568</v>
      </c>
      <c r="AC17" s="167">
        <f t="shared" si="16"/>
        <v>57800656.136909381</v>
      </c>
      <c r="AD17" s="177"/>
      <c r="AE17" s="167" t="e">
        <f t="shared" si="17"/>
        <v>#DIV/0!</v>
      </c>
      <c r="AF17" s="167" t="e">
        <f t="shared" si="18"/>
        <v>#DIV/0!</v>
      </c>
      <c r="AG17" s="177"/>
      <c r="AI17" s="127" t="s">
        <v>17</v>
      </c>
      <c r="AJ17" s="171">
        <f>S17/COMB_CORR!$L9</f>
        <v>1.1396485409428396E-3</v>
      </c>
      <c r="AK17" s="171">
        <f>T17/COMB_CORR!$L9</f>
        <v>6.4590256616025021E-2</v>
      </c>
      <c r="AL17" s="177"/>
      <c r="AM17" s="171">
        <f>V17/COMB_CORR!$M9</f>
        <v>1.2134653066025744E-3</v>
      </c>
      <c r="AN17" s="171">
        <f>W17/COMB_CORR!$M9</f>
        <v>6.7013945936934424E-2</v>
      </c>
      <c r="AO17" s="177"/>
      <c r="AP17" s="171">
        <f>Y17/COMB_CORR!$N9</f>
        <v>1.3814759283361556E-3</v>
      </c>
      <c r="AQ17" s="171">
        <f>Z17/COMB_CORR!$N9</f>
        <v>7.6202856203116245E-2</v>
      </c>
      <c r="AR17" s="177"/>
      <c r="AS17" s="171">
        <f>AB17/COMB_CORR!$O9</f>
        <v>1.5755499023240793E-3</v>
      </c>
      <c r="AT17" s="171">
        <f>AC17/COMB_CORR!$O9</f>
        <v>8.7022440304673279E-2</v>
      </c>
      <c r="AU17" s="177"/>
      <c r="AV17" s="171" t="e">
        <f>AE17/COMB_CORR!$P9</f>
        <v>#DIV/0!</v>
      </c>
      <c r="AW17" s="171" t="e">
        <f>AF17/COMB_CORR!$P9</f>
        <v>#DIV/0!</v>
      </c>
      <c r="AX17" s="177"/>
    </row>
    <row r="18" spans="1:50" ht="15.75" thickBot="1">
      <c r="A18" s="127" t="s">
        <v>18</v>
      </c>
      <c r="B18" s="920">
        <f>(DEN!$C10)*ONSV_2013!E9</f>
        <v>110.17371567946611</v>
      </c>
      <c r="C18" s="920">
        <f>(DEN!$F10+DEN!$G10+DEN!$L10)*ONSV_2013!K9</f>
        <v>6826.4014949279226</v>
      </c>
      <c r="D18" s="177"/>
      <c r="E18" s="920">
        <f>(DEN!$C46)*ONSV_2013!E9</f>
        <v>126.31037111062179</v>
      </c>
      <c r="F18" s="920">
        <f>(DEN!$F46+DEN!$G46+DEN!$L46)*ONSV_2013!K9</f>
        <v>7647.9337960491193</v>
      </c>
      <c r="G18" s="177"/>
      <c r="H18" s="920">
        <f>(DEN!$C82)*ONSV_2013!E9</f>
        <v>143.66161350971393</v>
      </c>
      <c r="I18" s="920">
        <f>(DEN!$F82+DEN!$G82+DEN!$L82)*ONSV_2013!K9</f>
        <v>8708.3408969567536</v>
      </c>
      <c r="J18" s="177"/>
      <c r="K18" s="935">
        <f>(DEN!$C118)*ONSV_2013!E9</f>
        <v>156.56826843273092</v>
      </c>
      <c r="L18" s="935">
        <f>(DEN!$F118+DEN!$G118+DEN!$L118)*ONSV_2013!K9</f>
        <v>9742.1516284036297</v>
      </c>
      <c r="M18" s="177"/>
      <c r="N18" s="167" t="e">
        <f>(DEN!$C154)*DIST_DSL_LEV!$K$2</f>
        <v>#DIV/0!</v>
      </c>
      <c r="O18" s="167" t="e">
        <f>(DEN!$F154+DEN!$G154+DEN!$L154)*DIST_DSL_LEV!$K$3</f>
        <v>#DIV/0!</v>
      </c>
      <c r="P18" s="177"/>
      <c r="R18" s="127" t="s">
        <v>18</v>
      </c>
      <c r="S18" s="167">
        <f t="shared" si="9"/>
        <v>165260.57351919918</v>
      </c>
      <c r="T18" s="167">
        <f t="shared" si="10"/>
        <v>11252310.156474596</v>
      </c>
      <c r="U18" s="177"/>
      <c r="V18" s="167">
        <f t="shared" si="11"/>
        <v>189465.5566659327</v>
      </c>
      <c r="W18" s="167">
        <f t="shared" si="12"/>
        <v>12606484.279201843</v>
      </c>
      <c r="X18" s="177"/>
      <c r="Y18" s="167">
        <f t="shared" si="13"/>
        <v>215492.42026457089</v>
      </c>
      <c r="Z18" s="167">
        <f t="shared" si="14"/>
        <v>14354408.071906734</v>
      </c>
      <c r="AA18" s="177"/>
      <c r="AB18" s="167">
        <f t="shared" si="15"/>
        <v>234852.40264909639</v>
      </c>
      <c r="AC18" s="167">
        <f t="shared" si="16"/>
        <v>16058491.695170816</v>
      </c>
      <c r="AD18" s="177"/>
      <c r="AE18" s="167" t="e">
        <f t="shared" si="17"/>
        <v>#DIV/0!</v>
      </c>
      <c r="AF18" s="167" t="e">
        <f t="shared" si="18"/>
        <v>#DIV/0!</v>
      </c>
      <c r="AG18" s="177"/>
      <c r="AI18" s="127" t="s">
        <v>18</v>
      </c>
      <c r="AJ18" s="171">
        <f>S18/COMB_CORR!$L10</f>
        <v>3.0697452240597183E-3</v>
      </c>
      <c r="AK18" s="171">
        <f>T18/COMB_CORR!$L10</f>
        <v>0.20901370863549412</v>
      </c>
      <c r="AL18" s="177"/>
      <c r="AM18" s="171">
        <f>V18/COMB_CORR!$M10</f>
        <v>1.5719286763934079E-3</v>
      </c>
      <c r="AN18" s="171">
        <f>W18/COMB_CORR!$M10</f>
        <v>0.10459153893560015</v>
      </c>
      <c r="AO18" s="177"/>
      <c r="AP18" s="171">
        <f>Y18/COMB_CORR!$N10</f>
        <v>3.181939926979559E-3</v>
      </c>
      <c r="AQ18" s="171">
        <f>Z18/COMB_CORR!$N10</f>
        <v>0.21195578070022314</v>
      </c>
      <c r="AR18" s="177"/>
      <c r="AS18" s="171">
        <f>AB18/COMB_CORR!$O10</f>
        <v>3.5450997250985154E-3</v>
      </c>
      <c r="AT18" s="171">
        <f>AC18/COMB_CORR!$O10</f>
        <v>0.24240311724256439</v>
      </c>
      <c r="AU18" s="177"/>
      <c r="AV18" s="171" t="e">
        <f>AE18/COMB_CORR!$P10</f>
        <v>#DIV/0!</v>
      </c>
      <c r="AW18" s="171" t="e">
        <f>AF18/COMB_CORR!$P10</f>
        <v>#DIV/0!</v>
      </c>
      <c r="AX18" s="177"/>
    </row>
    <row r="19" spans="1:50" ht="26.25" thickBot="1">
      <c r="A19" s="128" t="s">
        <v>19</v>
      </c>
      <c r="B19" s="920">
        <f>(DEN!$C11)*ONSV_2013!E10</f>
        <v>415.16067407434753</v>
      </c>
      <c r="C19" s="920">
        <f>(DEN!$F11+DEN!$G11+DEN!$L11)*ONSV_2013!K10</f>
        <v>20476.559457285122</v>
      </c>
      <c r="D19" s="177"/>
      <c r="E19" s="920">
        <f>(DEN!$C47)*ONSV_2013!E10</f>
        <v>457.09743807449519</v>
      </c>
      <c r="F19" s="920">
        <f>(DEN!$F47+DEN!$G47+DEN!$L47)*ONSV_2013!K10</f>
        <v>22609.77543432411</v>
      </c>
      <c r="G19" s="177"/>
      <c r="H19" s="920">
        <f>(DEN!$C83)*ONSV_2013!E10</f>
        <v>509.15916054487064</v>
      </c>
      <c r="I19" s="920">
        <f>(DEN!$F83+DEN!$G83+DEN!$L83)*ONSV_2013!K10</f>
        <v>24999.726598682351</v>
      </c>
      <c r="J19" s="177"/>
      <c r="K19" s="935">
        <f>(DEN!$C119)*ONSV_2013!E10</f>
        <v>561.90612425707855</v>
      </c>
      <c r="L19" s="935">
        <f>(DEN!$F119+DEN!$G119+DEN!$L119)*ONSV_2013!K10</f>
        <v>27430.997803918159</v>
      </c>
      <c r="M19" s="177"/>
      <c r="N19" s="167" t="e">
        <f>(DEN!$C155)*DIST_DSL_LEV!$K$2</f>
        <v>#DIV/0!</v>
      </c>
      <c r="O19" s="167" t="e">
        <f>(DEN!$F155+DEN!$G155+DEN!$L155)*DIST_DSL_LEV!$K$3</f>
        <v>#DIV/0!</v>
      </c>
      <c r="P19" s="177"/>
      <c r="R19" s="128" t="s">
        <v>19</v>
      </c>
      <c r="S19" s="167">
        <f t="shared" si="9"/>
        <v>622741.01111152128</v>
      </c>
      <c r="T19" s="167">
        <f t="shared" si="10"/>
        <v>33752570.533986457</v>
      </c>
      <c r="U19" s="177"/>
      <c r="V19" s="167">
        <f t="shared" si="11"/>
        <v>685646.15711174277</v>
      </c>
      <c r="W19" s="167">
        <f t="shared" si="12"/>
        <v>37268860.606028743</v>
      </c>
      <c r="X19" s="177"/>
      <c r="Y19" s="167">
        <f t="shared" si="13"/>
        <v>763738.74081730598</v>
      </c>
      <c r="Z19" s="167">
        <f t="shared" si="14"/>
        <v>41208340.547278598</v>
      </c>
      <c r="AA19" s="177"/>
      <c r="AB19" s="167">
        <f t="shared" si="15"/>
        <v>842859.18638561782</v>
      </c>
      <c r="AC19" s="167">
        <f t="shared" si="16"/>
        <v>45215930.446018934</v>
      </c>
      <c r="AD19" s="177"/>
      <c r="AE19" s="167" t="e">
        <f t="shared" si="17"/>
        <v>#DIV/0!</v>
      </c>
      <c r="AF19" s="167" t="e">
        <f t="shared" si="18"/>
        <v>#DIV/0!</v>
      </c>
      <c r="AG19" s="177"/>
      <c r="AI19" s="128" t="s">
        <v>19</v>
      </c>
      <c r="AJ19" s="171">
        <f>S19/COMB_CORR!$L11</f>
        <v>1.3577474978920226E-3</v>
      </c>
      <c r="AK19" s="171">
        <f>T19/COMB_CORR!$L11</f>
        <v>7.3589931243081858E-2</v>
      </c>
      <c r="AL19" s="177"/>
      <c r="AM19" s="171">
        <f>V19/COMB_CORR!$M11</f>
        <v>1.2915621851050886E-3</v>
      </c>
      <c r="AN19" s="171">
        <f>W19/COMB_CORR!$M11</f>
        <v>7.0203924489953301E-2</v>
      </c>
      <c r="AO19" s="177"/>
      <c r="AP19" s="171">
        <f>Y19/COMB_CORR!$N11</f>
        <v>1.3761747453174674E-3</v>
      </c>
      <c r="AQ19" s="171">
        <f>Z19/COMB_CORR!$N11</f>
        <v>7.4252980144648914E-2</v>
      </c>
      <c r="AR19" s="177"/>
      <c r="AS19" s="171">
        <f>AB19/COMB_CORR!$O11</f>
        <v>1.3685596660928884E-3</v>
      </c>
      <c r="AT19" s="171">
        <f>AC19/COMB_CORR!$O11</f>
        <v>7.3417600084116311E-2</v>
      </c>
      <c r="AU19" s="177"/>
      <c r="AV19" s="171" t="e">
        <f>AE19/COMB_CORR!$P11</f>
        <v>#DIV/0!</v>
      </c>
      <c r="AW19" s="171" t="e">
        <f>AF19/COMB_CORR!$P11</f>
        <v>#DIV/0!</v>
      </c>
      <c r="AX19" s="177"/>
    </row>
    <row r="20" spans="1:50" ht="39" thickBot="1">
      <c r="A20" s="4" t="s">
        <v>54</v>
      </c>
      <c r="B20" s="147">
        <f t="shared" ref="B20:P20" si="19">SUM(B21:B29)</f>
        <v>7098.8144733488489</v>
      </c>
      <c r="C20" s="147">
        <f t="shared" si="19"/>
        <v>281231.54849233397</v>
      </c>
      <c r="D20" s="147">
        <f t="shared" si="19"/>
        <v>0</v>
      </c>
      <c r="E20" s="147">
        <f t="shared" si="19"/>
        <v>7812.3195927374572</v>
      </c>
      <c r="F20" s="147">
        <f t="shared" si="19"/>
        <v>315628.67599533481</v>
      </c>
      <c r="G20" s="147">
        <f t="shared" si="19"/>
        <v>0</v>
      </c>
      <c r="H20" s="147">
        <f t="shared" si="19"/>
        <v>8622.364979001406</v>
      </c>
      <c r="I20" s="147">
        <f t="shared" si="19"/>
        <v>356120.76097126963</v>
      </c>
      <c r="J20" s="147">
        <f t="shared" si="19"/>
        <v>0</v>
      </c>
      <c r="K20" s="147">
        <f t="shared" si="19"/>
        <v>9406.0472814060777</v>
      </c>
      <c r="L20" s="147">
        <f t="shared" si="19"/>
        <v>398409.38827000762</v>
      </c>
      <c r="M20" s="147">
        <f t="shared" si="19"/>
        <v>0</v>
      </c>
      <c r="N20" s="147" t="e">
        <f t="shared" si="19"/>
        <v>#DIV/0!</v>
      </c>
      <c r="O20" s="147" t="e">
        <f t="shared" si="19"/>
        <v>#DIV/0!</v>
      </c>
      <c r="P20" s="147">
        <f t="shared" si="19"/>
        <v>0</v>
      </c>
      <c r="R20" s="4" t="s">
        <v>54</v>
      </c>
      <c r="S20" s="147">
        <f>SUM(S21:S29)</f>
        <v>10648221.710023273</v>
      </c>
      <c r="T20" s="147">
        <f t="shared" ref="T20:AF20" si="20">SUM(T21:T29)</f>
        <v>463568486.52582514</v>
      </c>
      <c r="U20" s="177"/>
      <c r="V20" s="147">
        <f t="shared" si="20"/>
        <v>11718479.389106184</v>
      </c>
      <c r="W20" s="147">
        <f t="shared" si="20"/>
        <v>520267048.34395832</v>
      </c>
      <c r="X20" s="177"/>
      <c r="Y20" s="147">
        <f t="shared" si="20"/>
        <v>12933547.468502106</v>
      </c>
      <c r="Z20" s="147">
        <f t="shared" si="20"/>
        <v>587012243.35923553</v>
      </c>
      <c r="AA20" s="177"/>
      <c r="AB20" s="147">
        <f t="shared" si="20"/>
        <v>14109070.922109116</v>
      </c>
      <c r="AC20" s="147">
        <f t="shared" si="20"/>
        <v>656718771.87363887</v>
      </c>
      <c r="AD20" s="282"/>
      <c r="AE20" s="147" t="e">
        <f t="shared" si="20"/>
        <v>#DIV/0!</v>
      </c>
      <c r="AF20" s="147" t="e">
        <f t="shared" si="20"/>
        <v>#DIV/0!</v>
      </c>
      <c r="AG20" s="177"/>
      <c r="AI20" s="4" t="s">
        <v>54</v>
      </c>
      <c r="AJ20" s="171">
        <f>S20/COMB_CORR!$L12</f>
        <v>1.8059837655468533E-3</v>
      </c>
      <c r="AK20" s="171">
        <f>T20/COMB_CORR!$L12</f>
        <v>7.8623190208061106E-2</v>
      </c>
      <c r="AL20" s="177"/>
      <c r="AM20" s="171">
        <f>V20/COMB_CORR!$M12</f>
        <v>1.7958237515911556E-3</v>
      </c>
      <c r="AN20" s="171">
        <f>W20/COMB_CORR!$M12</f>
        <v>7.9729450516836026E-2</v>
      </c>
      <c r="AO20" s="177"/>
      <c r="AP20" s="171">
        <f>Y20/COMB_CORR!$N12</f>
        <v>1.86437463136749E-3</v>
      </c>
      <c r="AQ20" s="171">
        <f>Z20/COMB_CORR!$N12</f>
        <v>8.4617985706270174E-2</v>
      </c>
      <c r="AR20" s="177"/>
      <c r="AS20" s="171">
        <f>AB20/COMB_CORR!$O12</f>
        <v>1.844862697797158E-3</v>
      </c>
      <c r="AT20" s="171">
        <f>AC20/COMB_CORR!$O12</f>
        <v>8.587071195980113E-2</v>
      </c>
      <c r="AU20" s="177"/>
      <c r="AV20" s="171" t="e">
        <f>AE20/COMB_CORR!$P12</f>
        <v>#DIV/0!</v>
      </c>
      <c r="AW20" s="171" t="e">
        <f>AF20/COMB_CORR!$P12</f>
        <v>#DIV/0!</v>
      </c>
      <c r="AX20" s="177"/>
    </row>
    <row r="21" spans="1:50" ht="15.75" thickBot="1">
      <c r="A21" s="127" t="s">
        <v>21</v>
      </c>
      <c r="B21" s="920">
        <f>(DEN!$C13)*ONSV_2013!E12</f>
        <v>342.23136811285605</v>
      </c>
      <c r="C21" s="920">
        <f>(DEN!$F13+DEN!$G13+DEN!$L13)*ONSV_2013!K12</f>
        <v>13537.658832081413</v>
      </c>
      <c r="D21" s="177"/>
      <c r="E21" s="920">
        <f>(DEN!$C49)*ONSV_2013!E12</f>
        <v>377.13571333510782</v>
      </c>
      <c r="F21" s="920">
        <f>(DEN!$F49+DEN!$G49+DEN!$L49)*ONSV_2013!K12</f>
        <v>14907.979161618608</v>
      </c>
      <c r="G21" s="177"/>
      <c r="H21" s="920">
        <f>(DEN!$C85)*ONSV_2013!E12</f>
        <v>416.88361724780412</v>
      </c>
      <c r="I21" s="920">
        <f>(DEN!$F85+DEN!$G85+DEN!$L85)*ONSV_2013!K12</f>
        <v>16786.783135449477</v>
      </c>
      <c r="J21" s="177"/>
      <c r="K21" s="935">
        <f>(DEN!$C121)*ONSV_2013!E12</f>
        <v>456.37739552834711</v>
      </c>
      <c r="L21" s="935">
        <f>(DEN!$F121+DEN!$G121+DEN!$L121)*ONSV_2013!K12</f>
        <v>18733.097649624422</v>
      </c>
      <c r="M21" s="177"/>
      <c r="N21" s="167" t="e">
        <f>(DEN!$C157)*DIST_DSL_LEV!$K$2</f>
        <v>#DIV/0!</v>
      </c>
      <c r="O21" s="167" t="e">
        <f>(DEN!$F157+DEN!$G157+DEN!$L157)*DIST_DSL_LEV!$K$3</f>
        <v>#DIV/0!</v>
      </c>
      <c r="P21" s="177"/>
      <c r="R21" s="127" t="s">
        <v>21</v>
      </c>
      <c r="S21" s="167">
        <f t="shared" ref="S21:S29" si="21">$B$9*B21/B$10</f>
        <v>513347.05216928403</v>
      </c>
      <c r="T21" s="167">
        <f t="shared" ref="T21:T29" si="22">C$9*C21/$C$10</f>
        <v>22314822.250683643</v>
      </c>
      <c r="U21" s="177"/>
      <c r="V21" s="167">
        <f t="shared" ref="V21:V29" si="23">$E$9*E21/E$10</f>
        <v>565703.57000266179</v>
      </c>
      <c r="W21" s="167">
        <f t="shared" ref="W21:W29" si="24">$F$9*F21/F$10</f>
        <v>24573592.024646055</v>
      </c>
      <c r="X21" s="177"/>
      <c r="Y21" s="167">
        <f t="shared" ref="Y21:Y29" si="25">$H$9*H21/H$10</f>
        <v>625325.42587170622</v>
      </c>
      <c r="Z21" s="167">
        <f t="shared" ref="Z21:Z29" si="26">$I$9*I21/I$10</f>
        <v>27670521.651839793</v>
      </c>
      <c r="AA21" s="177"/>
      <c r="AB21" s="167">
        <f t="shared" ref="AB21:AB29" si="27">$K$9*K21/K$10</f>
        <v>684566.09329252061</v>
      </c>
      <c r="AC21" s="167">
        <f t="shared" ref="AC21:AC29" si="28">$L$9*L21/L$10</f>
        <v>30878732.389490802</v>
      </c>
      <c r="AD21" s="177"/>
      <c r="AE21" s="167" t="e">
        <f t="shared" si="17"/>
        <v>#DIV/0!</v>
      </c>
      <c r="AF21" s="167" t="e">
        <f t="shared" si="18"/>
        <v>#DIV/0!</v>
      </c>
      <c r="AG21" s="177"/>
      <c r="AI21" s="127" t="s">
        <v>21</v>
      </c>
      <c r="AJ21" s="171">
        <f>S21/COMB_CORR!$L13</f>
        <v>2.2139245198107846E-3</v>
      </c>
      <c r="AK21" s="171">
        <f>T21/COMB_CORR!$L13</f>
        <v>9.6237685455172917E-2</v>
      </c>
      <c r="AL21" s="177"/>
      <c r="AM21" s="171">
        <f>V21/COMB_CORR!$M13</f>
        <v>2.1963921067655783E-3</v>
      </c>
      <c r="AN21" s="171">
        <f>W21/COMB_CORR!$M13</f>
        <v>9.5409055943479731E-2</v>
      </c>
      <c r="AO21" s="177"/>
      <c r="AP21" s="171">
        <f>Y21/COMB_CORR!$N13</f>
        <v>2.1429787257977811E-3</v>
      </c>
      <c r="AQ21" s="171">
        <f>Z21/COMB_CORR!$N13</f>
        <v>9.4826368444812265E-2</v>
      </c>
      <c r="AR21" s="177"/>
      <c r="AS21" s="171">
        <f>AB21/COMB_CORR!$O13</f>
        <v>2.3590730950245838E-3</v>
      </c>
      <c r="AT21" s="171">
        <f>AC21/COMB_CORR!$O13</f>
        <v>0.10641074324635678</v>
      </c>
      <c r="AU21" s="177"/>
      <c r="AV21" s="171" t="e">
        <f>AE21/COMB_CORR!$P13</f>
        <v>#DIV/0!</v>
      </c>
      <c r="AW21" s="171" t="e">
        <f>AF21/COMB_CORR!$P13</f>
        <v>#DIV/0!</v>
      </c>
      <c r="AX21" s="177"/>
    </row>
    <row r="22" spans="1:50" ht="15.75" thickBot="1">
      <c r="A22" s="127" t="s">
        <v>22</v>
      </c>
      <c r="B22" s="920">
        <f>(DEN!$C14)*ONSV_2013!E13</f>
        <v>1672.7134092999102</v>
      </c>
      <c r="C22" s="920">
        <f>(DEN!$F14+DEN!$G14+DEN!$L14)*ONSV_2013!K13</f>
        <v>73501.395508707617</v>
      </c>
      <c r="D22" s="177"/>
      <c r="E22" s="920">
        <f>(DEN!$C50)*ONSV_2013!E13</f>
        <v>1840.2530160112087</v>
      </c>
      <c r="F22" s="920">
        <f>(DEN!$F50+DEN!$G50+DEN!$L50)*ONSV_2013!K13</f>
        <v>82463.081404674609</v>
      </c>
      <c r="G22" s="177"/>
      <c r="H22" s="920">
        <f>(DEN!$C86)*ONSV_2013!E13</f>
        <v>2027.3733331280434</v>
      </c>
      <c r="I22" s="920">
        <f>(DEN!$F86+DEN!$G86+DEN!$L86)*ONSV_2013!K13</f>
        <v>93400.444574931258</v>
      </c>
      <c r="J22" s="177"/>
      <c r="K22" s="935">
        <f>(DEN!$C122)*ONSV_2013!E13</f>
        <v>2209.9232626529702</v>
      </c>
      <c r="L22" s="935">
        <f>(DEN!$F122+DEN!$G122+DEN!$L122)*ONSV_2013!K13</f>
        <v>104429.44334326306</v>
      </c>
      <c r="M22" s="177"/>
      <c r="N22" s="167" t="e">
        <f>(DEN!$C158)*DIST_DSL_LEV!$K$2</f>
        <v>#DIV/0!</v>
      </c>
      <c r="O22" s="167" t="e">
        <f>(DEN!$F158+DEN!$G158+DEN!$L158)*DIST_DSL_LEV!$K$3</f>
        <v>#DIV/0!</v>
      </c>
      <c r="P22" s="177"/>
      <c r="R22" s="127" t="s">
        <v>22</v>
      </c>
      <c r="S22" s="167">
        <f t="shared" si="21"/>
        <v>2509070.1139498651</v>
      </c>
      <c r="T22" s="167">
        <f t="shared" si="22"/>
        <v>121156146.44292463</v>
      </c>
      <c r="U22" s="177"/>
      <c r="V22" s="167">
        <f t="shared" si="23"/>
        <v>2760379.5240168134</v>
      </c>
      <c r="W22" s="167">
        <f t="shared" si="24"/>
        <v>135928156.16155154</v>
      </c>
      <c r="X22" s="177"/>
      <c r="Y22" s="167">
        <f t="shared" si="25"/>
        <v>3041059.9996920652</v>
      </c>
      <c r="Z22" s="167">
        <f t="shared" si="26"/>
        <v>153956776.77186468</v>
      </c>
      <c r="AA22" s="177"/>
      <c r="AB22" s="167">
        <f t="shared" si="27"/>
        <v>3314884.8939794553</v>
      </c>
      <c r="AC22" s="167">
        <f t="shared" si="28"/>
        <v>172136445.0713127</v>
      </c>
      <c r="AD22" s="177"/>
      <c r="AE22" s="167" t="e">
        <f t="shared" si="17"/>
        <v>#DIV/0!</v>
      </c>
      <c r="AF22" s="167" t="e">
        <f t="shared" si="18"/>
        <v>#DIV/0!</v>
      </c>
      <c r="AG22" s="177"/>
      <c r="AI22" s="127" t="s">
        <v>22</v>
      </c>
      <c r="AJ22" s="171">
        <f>S22/COMB_CORR!$L14</f>
        <v>1.1933153658524743E-3</v>
      </c>
      <c r="AK22" s="171">
        <f>T22/COMB_CORR!$L14</f>
        <v>5.7621941457114433E-2</v>
      </c>
      <c r="AL22" s="177"/>
      <c r="AM22" s="171">
        <f>V22/COMB_CORR!$M14</f>
        <v>1.1940338423599784E-3</v>
      </c>
      <c r="AN22" s="171">
        <f>W22/COMB_CORR!$M14</f>
        <v>5.87972839148969E-2</v>
      </c>
      <c r="AO22" s="177"/>
      <c r="AP22" s="171">
        <f>Y22/COMB_CORR!$N14</f>
        <v>1.2383296684927399E-3</v>
      </c>
      <c r="AQ22" s="171">
        <f>Z22/COMB_CORR!$N14</f>
        <v>6.269170761557448E-2</v>
      </c>
      <c r="AR22" s="177"/>
      <c r="AS22" s="171">
        <f>AB22/COMB_CORR!$O14</f>
        <v>1.2477058262883554E-3</v>
      </c>
      <c r="AT22" s="171">
        <f>AC22/COMB_CORR!$O14</f>
        <v>6.4791283046395101E-2</v>
      </c>
      <c r="AU22" s="177"/>
      <c r="AV22" s="171" t="e">
        <f>AE22/COMB_CORR!$P14</f>
        <v>#DIV/0!</v>
      </c>
      <c r="AW22" s="171" t="e">
        <f>AF22/COMB_CORR!$P14</f>
        <v>#DIV/0!</v>
      </c>
      <c r="AX22" s="177"/>
    </row>
    <row r="23" spans="1:50" ht="15.75" thickBot="1">
      <c r="A23" s="127" t="s">
        <v>23</v>
      </c>
      <c r="B23" s="920">
        <f>(DEN!$C15)*ONSV_2013!E14</f>
        <v>1581.1627711737437</v>
      </c>
      <c r="C23" s="920">
        <f>(DEN!$F15+DEN!$G15+DEN!$L15)*ONSV_2013!K14</f>
        <v>58513.566540236199</v>
      </c>
      <c r="D23" s="177"/>
      <c r="E23" s="920">
        <f>(DEN!$C51)*ONSV_2013!E14</f>
        <v>1730.8617242869288</v>
      </c>
      <c r="F23" s="920">
        <f>(DEN!$F51+DEN!$G51+DEN!$L51)*ONSV_2013!K14</f>
        <v>65349.470654957739</v>
      </c>
      <c r="G23" s="177"/>
      <c r="H23" s="920">
        <f>(DEN!$C87)*ONSV_2013!E14</f>
        <v>1901.3182766054379</v>
      </c>
      <c r="I23" s="920">
        <f>(DEN!$F87+DEN!$G87+DEN!$L87)*ONSV_2013!K14</f>
        <v>73031.387149258095</v>
      </c>
      <c r="J23" s="177"/>
      <c r="K23" s="935">
        <f>(DEN!$C123)*ONSV_2013!E14</f>
        <v>2070.9859158733216</v>
      </c>
      <c r="L23" s="935">
        <f>(DEN!$F123+DEN!$G123+DEN!$L123)*ONSV_2013!K14</f>
        <v>80788.642619215039</v>
      </c>
      <c r="M23" s="177"/>
      <c r="N23" s="167" t="e">
        <f>(DEN!$C159)*DIST_DSL_LEV!$K$2</f>
        <v>#DIV/0!</v>
      </c>
      <c r="O23" s="167" t="e">
        <f>(DEN!$F159+DEN!$G159+DEN!$L159)*DIST_DSL_LEV!$K$3</f>
        <v>#DIV/0!</v>
      </c>
      <c r="P23" s="177"/>
      <c r="R23" s="127" t="s">
        <v>23</v>
      </c>
      <c r="S23" s="167">
        <f t="shared" si="21"/>
        <v>2371744.1567606153</v>
      </c>
      <c r="T23" s="167">
        <f t="shared" si="22"/>
        <v>96450933.857532188</v>
      </c>
      <c r="U23" s="177"/>
      <c r="V23" s="167">
        <f t="shared" si="23"/>
        <v>2596292.5864303932</v>
      </c>
      <c r="W23" s="167">
        <f t="shared" si="24"/>
        <v>107718907.67300725</v>
      </c>
      <c r="X23" s="177"/>
      <c r="Y23" s="167">
        <f t="shared" si="25"/>
        <v>2851977.4149081567</v>
      </c>
      <c r="Z23" s="167">
        <f t="shared" si="26"/>
        <v>120381407.38888694</v>
      </c>
      <c r="AA23" s="177"/>
      <c r="AB23" s="167">
        <f t="shared" si="27"/>
        <v>3106478.8738099826</v>
      </c>
      <c r="AC23" s="167">
        <f t="shared" si="28"/>
        <v>133168092.22947532</v>
      </c>
      <c r="AD23" s="177"/>
      <c r="AE23" s="167" t="e">
        <f t="shared" si="17"/>
        <v>#DIV/0!</v>
      </c>
      <c r="AF23" s="167" t="e">
        <f t="shared" si="18"/>
        <v>#DIV/0!</v>
      </c>
      <c r="AG23" s="177"/>
      <c r="AI23" s="127" t="s">
        <v>23</v>
      </c>
      <c r="AJ23" s="171">
        <f>S23/COMB_CORR!$L15</f>
        <v>3.5042920383601055E-3</v>
      </c>
      <c r="AK23" s="171">
        <f>T23/COMB_CORR!$L15</f>
        <v>0.14250788334226785</v>
      </c>
      <c r="AL23" s="177"/>
      <c r="AM23" s="171">
        <f>V23/COMB_CORR!$M15</f>
        <v>3.3836168635183392E-3</v>
      </c>
      <c r="AN23" s="171">
        <f>W23/COMB_CORR!$M15</f>
        <v>0.14038460627555086</v>
      </c>
      <c r="AO23" s="177"/>
      <c r="AP23" s="171">
        <f>Y23/COMB_CORR!$N15</f>
        <v>3.5072637838892634E-3</v>
      </c>
      <c r="AQ23" s="171">
        <f>Z23/COMB_CORR!$N15</f>
        <v>0.14804091651695606</v>
      </c>
      <c r="AR23" s="177"/>
      <c r="AS23" s="171">
        <f>AB23/COMB_CORR!$O15</f>
        <v>3.3958864886070887E-3</v>
      </c>
      <c r="AT23" s="171">
        <f>AC23/COMB_CORR!$O15</f>
        <v>0.14557437648401647</v>
      </c>
      <c r="AU23" s="177"/>
      <c r="AV23" s="171" t="e">
        <f>AE23/COMB_CORR!$P15</f>
        <v>#DIV/0!</v>
      </c>
      <c r="AW23" s="171" t="e">
        <f>AF23/COMB_CORR!$P15</f>
        <v>#DIV/0!</v>
      </c>
      <c r="AX23" s="177"/>
    </row>
    <row r="24" spans="1:50" ht="26.25" thickBot="1">
      <c r="A24" s="127" t="s">
        <v>24</v>
      </c>
      <c r="B24" s="920">
        <f>(DEN!$C16)*ONSV_2013!E15</f>
        <v>406.24625663331886</v>
      </c>
      <c r="C24" s="920">
        <f>(DEN!$F16+DEN!$G16+DEN!$L16)*ONSV_2013!K15</f>
        <v>20484.664485703361</v>
      </c>
      <c r="D24" s="177"/>
      <c r="E24" s="920">
        <f>(DEN!$C52)*ONSV_2013!E15</f>
        <v>464.0553075250109</v>
      </c>
      <c r="F24" s="920">
        <f>(DEN!$F52+DEN!$G52+DEN!$L52)*ONSV_2013!K15</f>
        <v>24226.608505756893</v>
      </c>
      <c r="G24" s="177"/>
      <c r="H24" s="920">
        <f>(DEN!$C88)*ONSV_2013!E15</f>
        <v>529.80500739451941</v>
      </c>
      <c r="I24" s="920">
        <f>(DEN!$F88+DEN!$G88+DEN!$L88)*ONSV_2013!K15</f>
        <v>28738.616663126144</v>
      </c>
      <c r="J24" s="177"/>
      <c r="K24" s="935">
        <f>(DEN!$C124)*ONSV_2013!E15</f>
        <v>583.22940408873433</v>
      </c>
      <c r="L24" s="935">
        <f>(DEN!$F124+DEN!$G124+DEN!$L124)*ONSV_2013!K15</f>
        <v>32979.314526065347</v>
      </c>
      <c r="M24" s="177"/>
      <c r="N24" s="167" t="e">
        <f>(DEN!$C160)*DIST_DSL_LEV!$K$2</f>
        <v>#DIV/0!</v>
      </c>
      <c r="O24" s="167" t="e">
        <f>(DEN!$F160+DEN!$G160+DEN!$L160)*DIST_DSL_LEV!$K$3</f>
        <v>#DIV/0!</v>
      </c>
      <c r="P24" s="177"/>
      <c r="R24" s="127" t="s">
        <v>24</v>
      </c>
      <c r="S24" s="167">
        <f t="shared" si="21"/>
        <v>609369.38494997821</v>
      </c>
      <c r="T24" s="167">
        <f t="shared" si="22"/>
        <v>33765930.470939599</v>
      </c>
      <c r="U24" s="177"/>
      <c r="V24" s="167">
        <f t="shared" si="23"/>
        <v>696082.9612875164</v>
      </c>
      <c r="W24" s="167">
        <f t="shared" si="24"/>
        <v>39933970.064434431</v>
      </c>
      <c r="X24" s="177"/>
      <c r="Y24" s="167">
        <f t="shared" si="25"/>
        <v>794707.5110917791</v>
      </c>
      <c r="Z24" s="167">
        <f t="shared" si="26"/>
        <v>47371346.14801012</v>
      </c>
      <c r="AA24" s="177"/>
      <c r="AB24" s="167">
        <f t="shared" si="27"/>
        <v>874844.10613310151</v>
      </c>
      <c r="AC24" s="167">
        <f t="shared" si="28"/>
        <v>54361507.460547261</v>
      </c>
      <c r="AD24" s="177"/>
      <c r="AE24" s="167" t="e">
        <f t="shared" si="17"/>
        <v>#DIV/0!</v>
      </c>
      <c r="AF24" s="167" t="e">
        <f t="shared" si="18"/>
        <v>#DIV/0!</v>
      </c>
      <c r="AG24" s="177"/>
      <c r="AI24" s="127" t="s">
        <v>24</v>
      </c>
      <c r="AJ24" s="171">
        <f>S24/COMB_CORR!$L16</f>
        <v>8.29155554854028E-4</v>
      </c>
      <c r="AK24" s="171">
        <f>T24/COMB_CORR!$L16</f>
        <v>4.5944560895675265E-2</v>
      </c>
      <c r="AL24" s="177"/>
      <c r="AM24" s="171">
        <f>V24/COMB_CORR!$M16</f>
        <v>8.6454523088644612E-4</v>
      </c>
      <c r="AN24" s="171">
        <f>W24/COMB_CORR!$M16</f>
        <v>4.9598575586033471E-2</v>
      </c>
      <c r="AO24" s="177"/>
      <c r="AP24" s="171">
        <f>Y24/COMB_CORR!$N16</f>
        <v>9.0993281720201712E-4</v>
      </c>
      <c r="AQ24" s="171">
        <f>Z24/COMB_CORR!$N16</f>
        <v>5.4239757210666019E-2</v>
      </c>
      <c r="AR24" s="177"/>
      <c r="AS24" s="171">
        <f>AB24/COMB_CORR!$O16</f>
        <v>8.9831970355712474E-4</v>
      </c>
      <c r="AT24" s="171">
        <f>AC24/COMB_CORR!$O16</f>
        <v>5.5820246058155963E-2</v>
      </c>
      <c r="AU24" s="177"/>
      <c r="AV24" s="171" t="e">
        <f>AE24/COMB_CORR!$P16</f>
        <v>#DIV/0!</v>
      </c>
      <c r="AW24" s="171" t="e">
        <f>AF24/COMB_CORR!$P16</f>
        <v>#DIV/0!</v>
      </c>
      <c r="AX24" s="177"/>
    </row>
    <row r="25" spans="1:50" ht="15.75" thickBot="1">
      <c r="A25" s="127" t="s">
        <v>25</v>
      </c>
      <c r="B25" s="920">
        <f>(DEN!$C17)*ONSV_2013!E16</f>
        <v>545.62754951375939</v>
      </c>
      <c r="C25" s="920">
        <f>(DEN!$F17+DEN!$G17+DEN!$L17)*ONSV_2013!K16</f>
        <v>19943.589891553082</v>
      </c>
      <c r="D25" s="177"/>
      <c r="E25" s="920">
        <f>(DEN!$C53)*ONSV_2013!E16</f>
        <v>599.09696796844048</v>
      </c>
      <c r="F25" s="920">
        <f>(DEN!$F53+DEN!$G53+DEN!$L53)*ONSV_2013!K16</f>
        <v>22107.526614267237</v>
      </c>
      <c r="G25" s="177"/>
      <c r="H25" s="920">
        <f>(DEN!$C89)*ONSV_2013!E16</f>
        <v>663.27674449713913</v>
      </c>
      <c r="I25" s="920">
        <f>(DEN!$F89+DEN!$G89+DEN!$L89)*ONSV_2013!K16</f>
        <v>24766.746244154812</v>
      </c>
      <c r="J25" s="177"/>
      <c r="K25" s="935">
        <f>(DEN!$C125)*ONSV_2013!E16</f>
        <v>721.92956640913883</v>
      </c>
      <c r="L25" s="935">
        <f>(DEN!$F125+DEN!$G125+DEN!$L125)*ONSV_2013!K16</f>
        <v>27637.009153318078</v>
      </c>
      <c r="M25" s="177"/>
      <c r="N25" s="167" t="e">
        <f>(DEN!$C161)*DIST_DSL_LEV!$K$2</f>
        <v>#DIV/0!</v>
      </c>
      <c r="O25" s="167" t="e">
        <f>(DEN!$F161+DEN!$G161+DEN!$L161)*DIST_DSL_LEV!$K$3</f>
        <v>#DIV/0!</v>
      </c>
      <c r="P25" s="177"/>
      <c r="R25" s="127" t="s">
        <v>25</v>
      </c>
      <c r="S25" s="167">
        <f t="shared" si="21"/>
        <v>818441.3242706391</v>
      </c>
      <c r="T25" s="167">
        <f t="shared" si="22"/>
        <v>32874049.271790788</v>
      </c>
      <c r="U25" s="177"/>
      <c r="V25" s="167">
        <f t="shared" si="23"/>
        <v>898645.45195266069</v>
      </c>
      <c r="W25" s="167">
        <f t="shared" si="24"/>
        <v>36440977.935605332</v>
      </c>
      <c r="X25" s="177"/>
      <c r="Y25" s="167">
        <f t="shared" si="25"/>
        <v>994915.11674570874</v>
      </c>
      <c r="Z25" s="167">
        <f t="shared" si="26"/>
        <v>40824306.995859571</v>
      </c>
      <c r="AA25" s="177"/>
      <c r="AB25" s="167">
        <f t="shared" si="27"/>
        <v>1082894.3496137082</v>
      </c>
      <c r="AC25" s="167">
        <f t="shared" si="28"/>
        <v>45555509.593381442</v>
      </c>
      <c r="AD25" s="177"/>
      <c r="AE25" s="167" t="e">
        <f t="shared" si="17"/>
        <v>#DIV/0!</v>
      </c>
      <c r="AF25" s="167" t="e">
        <f t="shared" si="18"/>
        <v>#DIV/0!</v>
      </c>
      <c r="AG25" s="177"/>
      <c r="AI25" s="127" t="s">
        <v>25</v>
      </c>
      <c r="AJ25" s="171">
        <f>S25/COMB_CORR!$L17</f>
        <v>2.6327866646365847E-3</v>
      </c>
      <c r="AK25" s="171">
        <f>T25/COMB_CORR!$L17</f>
        <v>0.10575023030821043</v>
      </c>
      <c r="AL25" s="177"/>
      <c r="AM25" s="171">
        <f>V25/COMB_CORR!$M17</f>
        <v>2.66229804807524E-3</v>
      </c>
      <c r="AN25" s="171">
        <f>W25/COMB_CORR!$M17</f>
        <v>0.10795886655533385</v>
      </c>
      <c r="AO25" s="177"/>
      <c r="AP25" s="171">
        <f>Y25/COMB_CORR!$N17</f>
        <v>2.7920421434949796E-3</v>
      </c>
      <c r="AQ25" s="171">
        <f>Z25/COMB_CORR!$N17</f>
        <v>0.11456573901927143</v>
      </c>
      <c r="AR25" s="177"/>
      <c r="AS25" s="171">
        <f>AB25/COMB_CORR!$O17</f>
        <v>2.8187530849214789E-3</v>
      </c>
      <c r="AT25" s="171">
        <f>AC25/COMB_CORR!$O17</f>
        <v>0.11858011194473449</v>
      </c>
      <c r="AU25" s="177"/>
      <c r="AV25" s="171" t="e">
        <f>AE25/COMB_CORR!$P17</f>
        <v>#DIV/0!</v>
      </c>
      <c r="AW25" s="171" t="e">
        <f>AF25/COMB_CORR!$P17</f>
        <v>#DIV/0!</v>
      </c>
      <c r="AX25" s="177"/>
    </row>
    <row r="26" spans="1:50" ht="26.25" thickBot="1">
      <c r="A26" s="127" t="s">
        <v>26</v>
      </c>
      <c r="B26" s="920">
        <f>(DEN!$C18)*ONSV_2013!E17</f>
        <v>1196.8718600450452</v>
      </c>
      <c r="C26" s="920">
        <f>(DEN!$F18+DEN!$G18+DEN!$L18)*ONSV_2013!K17</f>
        <v>43880.606822691785</v>
      </c>
      <c r="D26" s="177"/>
      <c r="E26" s="920">
        <f>(DEN!$C54)*ONSV_2013!E17</f>
        <v>1302.3465661456362</v>
      </c>
      <c r="F26" s="920">
        <f>(DEN!$F54+DEN!$G54+DEN!$L54)*ONSV_2013!K17</f>
        <v>48920.825129882433</v>
      </c>
      <c r="G26" s="177"/>
      <c r="H26" s="920">
        <f>(DEN!$C90)*ONSV_2013!E17</f>
        <v>1428.2327183025225</v>
      </c>
      <c r="I26" s="920">
        <f>(DEN!$F90+DEN!$G90+DEN!$L90)*ONSV_2013!K17</f>
        <v>55060.405886341658</v>
      </c>
      <c r="J26" s="177"/>
      <c r="K26" s="935">
        <f>(DEN!$C126)*ONSV_2013!E17</f>
        <v>1550.4630410016377</v>
      </c>
      <c r="L26" s="935">
        <f>(DEN!$F126+DEN!$G126+DEN!$L126)*ONSV_2013!K17</f>
        <v>61772.336791878988</v>
      </c>
      <c r="M26" s="177"/>
      <c r="N26" s="167" t="e">
        <f>(DEN!$C162)*DIST_DSL_LEV!$K$2</f>
        <v>#DIV/0!</v>
      </c>
      <c r="O26" s="167" t="e">
        <f>(DEN!$F162+DEN!$G162+DEN!$L162)*DIST_DSL_LEV!$K$3</f>
        <v>#DIV/0!</v>
      </c>
      <c r="P26" s="177"/>
      <c r="R26" s="127" t="s">
        <v>26</v>
      </c>
      <c r="S26" s="167">
        <f t="shared" si="21"/>
        <v>1795307.7900675677</v>
      </c>
      <c r="T26" s="167">
        <f t="shared" si="22"/>
        <v>72330670.586854577</v>
      </c>
      <c r="U26" s="177"/>
      <c r="V26" s="167">
        <f t="shared" si="23"/>
        <v>1953519.8492184542</v>
      </c>
      <c r="W26" s="167">
        <f t="shared" si="24"/>
        <v>80638722.741564438</v>
      </c>
      <c r="X26" s="177"/>
      <c r="Y26" s="167">
        <f t="shared" si="25"/>
        <v>2142349.0774537837</v>
      </c>
      <c r="Z26" s="167">
        <f t="shared" si="26"/>
        <v>90758910.801662058</v>
      </c>
      <c r="AA26" s="177"/>
      <c r="AB26" s="167">
        <f t="shared" si="27"/>
        <v>2325694.5615024567</v>
      </c>
      <c r="AC26" s="167">
        <f t="shared" si="28"/>
        <v>101822533.17342688</v>
      </c>
      <c r="AD26" s="177"/>
      <c r="AE26" s="167" t="e">
        <f t="shared" si="17"/>
        <v>#DIV/0!</v>
      </c>
      <c r="AF26" s="167" t="e">
        <f t="shared" si="18"/>
        <v>#DIV/0!</v>
      </c>
      <c r="AG26" s="177"/>
      <c r="AI26" s="127" t="s">
        <v>26</v>
      </c>
      <c r="AJ26" s="171">
        <f>S26/COMB_CORR!$L18</f>
        <v>1.948172664170381E-3</v>
      </c>
      <c r="AK26" s="171">
        <f>T26/COMB_CORR!$L18</f>
        <v>7.8489402206136108E-2</v>
      </c>
      <c r="AL26" s="177"/>
      <c r="AM26" s="171">
        <f>V26/COMB_CORR!$M18</f>
        <v>1.8626245716263086E-3</v>
      </c>
      <c r="AN26" s="171">
        <f>W26/COMB_CORR!$M18</f>
        <v>7.6886685570709504E-2</v>
      </c>
      <c r="AO26" s="177"/>
      <c r="AP26" s="171">
        <f>Y26/COMB_CORR!$N18</f>
        <v>1.9134411228864754E-3</v>
      </c>
      <c r="AQ26" s="171">
        <f>Z26/COMB_CORR!$N18</f>
        <v>8.1061407790128007E-2</v>
      </c>
      <c r="AR26" s="177"/>
      <c r="AS26" s="171">
        <f>AB26/COMB_CORR!$O18</f>
        <v>1.8476603037278058E-3</v>
      </c>
      <c r="AT26" s="171">
        <f>AC26/COMB_CORR!$O18</f>
        <v>8.0893448212739333E-2</v>
      </c>
      <c r="AU26" s="177"/>
      <c r="AV26" s="171" t="e">
        <f>AE26/COMB_CORR!$P18</f>
        <v>#DIV/0!</v>
      </c>
      <c r="AW26" s="171" t="e">
        <f>AF26/COMB_CORR!$P18</f>
        <v>#DIV/0!</v>
      </c>
      <c r="AX26" s="177"/>
    </row>
    <row r="27" spans="1:50" ht="15.75" thickBot="1">
      <c r="A27" s="127" t="s">
        <v>27</v>
      </c>
      <c r="B27" s="920">
        <f>(DEN!$C19)*ONSV_2013!E18</f>
        <v>530.53304487761011</v>
      </c>
      <c r="C27" s="920">
        <f>(DEN!$F19+DEN!$G19+DEN!$L19)*ONSV_2013!K18</f>
        <v>21917.944274549776</v>
      </c>
      <c r="D27" s="177"/>
      <c r="E27" s="920">
        <f>(DEN!$C55)*ONSV_2013!E18</f>
        <v>594.9846608344443</v>
      </c>
      <c r="F27" s="920">
        <f>(DEN!$F55+DEN!$G55+DEN!$L55)*ONSV_2013!K18</f>
        <v>24629.2453278967</v>
      </c>
      <c r="G27" s="177"/>
      <c r="H27" s="920">
        <f>(DEN!$C91)*ONSV_2013!E18</f>
        <v>666.7746574423943</v>
      </c>
      <c r="I27" s="920">
        <f>(DEN!$F91+DEN!$G91+DEN!$L91)*ONSV_2013!K18</f>
        <v>27250.941556235131</v>
      </c>
      <c r="J27" s="177"/>
      <c r="K27" s="935">
        <f>(DEN!$C127)*ONSV_2013!E18</f>
        <v>740.14818130901574</v>
      </c>
      <c r="L27" s="935">
        <f>(DEN!$F127+DEN!$G127+DEN!$L127)*ONSV_2013!K18</f>
        <v>30769.692830445121</v>
      </c>
      <c r="M27" s="177"/>
      <c r="N27" s="167" t="e">
        <f>(DEN!$C163)*DIST_DSL_LEV!$K$2</f>
        <v>#DIV/0!</v>
      </c>
      <c r="O27" s="167" t="e">
        <f>(DEN!$F163+DEN!$G163+DEN!$L163)*DIST_DSL_LEV!$K$3</f>
        <v>#DIV/0!</v>
      </c>
      <c r="P27" s="177"/>
      <c r="R27" s="127" t="s">
        <v>27</v>
      </c>
      <c r="S27" s="167">
        <f t="shared" si="21"/>
        <v>795799.56731641514</v>
      </c>
      <c r="T27" s="167">
        <f t="shared" si="22"/>
        <v>36128479.57343369</v>
      </c>
      <c r="U27" s="177"/>
      <c r="V27" s="167">
        <f t="shared" si="23"/>
        <v>892476.99125166645</v>
      </c>
      <c r="W27" s="167">
        <f t="shared" si="24"/>
        <v>40597657.133895658</v>
      </c>
      <c r="X27" s="177"/>
      <c r="Y27" s="167">
        <f t="shared" si="25"/>
        <v>1000161.9861635914</v>
      </c>
      <c r="Z27" s="167">
        <f t="shared" si="26"/>
        <v>44919134.433354601</v>
      </c>
      <c r="AA27" s="177"/>
      <c r="AB27" s="167">
        <f t="shared" si="27"/>
        <v>1110222.2719635237</v>
      </c>
      <c r="AC27" s="167">
        <f t="shared" si="28"/>
        <v>50719273.896338105</v>
      </c>
      <c r="AD27" s="177"/>
      <c r="AE27" s="167" t="e">
        <f t="shared" si="17"/>
        <v>#DIV/0!</v>
      </c>
      <c r="AF27" s="167" t="e">
        <f t="shared" si="18"/>
        <v>#DIV/0!</v>
      </c>
      <c r="AG27" s="177"/>
      <c r="AI27" s="127" t="s">
        <v>27</v>
      </c>
      <c r="AJ27" s="171">
        <f>S27/COMB_CORR!$L19</f>
        <v>2.4753448189530772E-3</v>
      </c>
      <c r="AK27" s="171">
        <f>T27/COMB_CORR!$L19</f>
        <v>0.11237810172519613</v>
      </c>
      <c r="AL27" s="177"/>
      <c r="AM27" s="171">
        <f>V27/COMB_CORR!$M19</f>
        <v>2.462235595237314E-3</v>
      </c>
      <c r="AN27" s="171">
        <f>W27/COMB_CORR!$M19</f>
        <v>0.11200400397787993</v>
      </c>
      <c r="AO27" s="177"/>
      <c r="AP27" s="171">
        <f>Y27/COMB_CORR!$N19</f>
        <v>2.7458815381782337E-3</v>
      </c>
      <c r="AQ27" s="171">
        <f>Z27/COMB_CORR!$N19</f>
        <v>0.12332264538928403</v>
      </c>
      <c r="AR27" s="177"/>
      <c r="AS27" s="171">
        <f>AB27/COMB_CORR!$O19</f>
        <v>2.6042915949733769E-3</v>
      </c>
      <c r="AT27" s="171">
        <f>AC27/COMB_CORR!$O19</f>
        <v>0.11897417485399327</v>
      </c>
      <c r="AU27" s="177"/>
      <c r="AV27" s="171" t="e">
        <f>AE27/COMB_CORR!$P19</f>
        <v>#DIV/0!</v>
      </c>
      <c r="AW27" s="171" t="e">
        <f>AF27/COMB_CORR!$P19</f>
        <v>#DIV/0!</v>
      </c>
      <c r="AX27" s="177"/>
    </row>
    <row r="28" spans="1:50" ht="39" thickBot="1">
      <c r="A28" s="127" t="s">
        <v>28</v>
      </c>
      <c r="B28" s="920">
        <f>(DEN!$C20)*ONSV_2013!E19</f>
        <v>562.10214406624732</v>
      </c>
      <c r="C28" s="920">
        <f>(DEN!$F20+DEN!$G20+DEN!$L20)*ONSV_2013!K19</f>
        <v>21446.111086125478</v>
      </c>
      <c r="D28" s="177"/>
      <c r="E28" s="920">
        <f>(DEN!$C56)*ONSV_2013!E19</f>
        <v>615.81301444176165</v>
      </c>
      <c r="F28" s="920">
        <f>(DEN!$F56+DEN!$G56+DEN!$L56)*ONSV_2013!K19</f>
        <v>24033.686814292309</v>
      </c>
      <c r="G28" s="177"/>
      <c r="H28" s="920">
        <f>(DEN!$C92)*ONSV_2013!E19</f>
        <v>672.31059640226113</v>
      </c>
      <c r="I28" s="920">
        <f>(DEN!$F92+DEN!$G92+DEN!$L92)*ONSV_2013!K19</f>
        <v>26807.096540541821</v>
      </c>
      <c r="J28" s="177"/>
      <c r="K28" s="935">
        <f>(DEN!$C128)*ONSV_2013!E19</f>
        <v>729.58312381739233</v>
      </c>
      <c r="L28" s="935">
        <f>(DEN!$F128+DEN!$G128+DEN!$L128)*ONSV_2013!K19</f>
        <v>29658.59993135526</v>
      </c>
      <c r="M28" s="177"/>
      <c r="N28" s="167" t="e">
        <f>(DEN!$C164)*DIST_DSL_LEV!$K$2</f>
        <v>#DIV/0!</v>
      </c>
      <c r="O28" s="167" t="e">
        <f>(DEN!$F164+DEN!$G164+DEN!$L164)*DIST_DSL_LEV!$K$3</f>
        <v>#DIV/0!</v>
      </c>
      <c r="P28" s="177"/>
      <c r="R28" s="127" t="s">
        <v>28</v>
      </c>
      <c r="S28" s="167">
        <f t="shared" si="21"/>
        <v>843153.21609937097</v>
      </c>
      <c r="T28" s="167">
        <f t="shared" si="22"/>
        <v>35350732.559547484</v>
      </c>
      <c r="U28" s="177"/>
      <c r="V28" s="167">
        <f t="shared" si="23"/>
        <v>923719.52166264248</v>
      </c>
      <c r="W28" s="167">
        <f t="shared" si="24"/>
        <v>39615967.276305996</v>
      </c>
      <c r="X28" s="177"/>
      <c r="Y28" s="167">
        <f t="shared" si="25"/>
        <v>1008465.8946033918</v>
      </c>
      <c r="Z28" s="167">
        <f t="shared" si="26"/>
        <v>44187521.770123869</v>
      </c>
      <c r="AA28" s="177"/>
      <c r="AB28" s="167">
        <f t="shared" si="27"/>
        <v>1094374.6857260885</v>
      </c>
      <c r="AC28" s="167">
        <f t="shared" si="28"/>
        <v>48887802.084651522</v>
      </c>
      <c r="AD28" s="177"/>
      <c r="AE28" s="167" t="e">
        <f t="shared" si="17"/>
        <v>#DIV/0!</v>
      </c>
      <c r="AF28" s="167" t="e">
        <f t="shared" si="18"/>
        <v>#DIV/0!</v>
      </c>
      <c r="AG28" s="177"/>
      <c r="AI28" s="127" t="s">
        <v>28</v>
      </c>
      <c r="AJ28" s="171">
        <f>S28/COMB_CORR!$L20</f>
        <v>2.4829854839584064E-3</v>
      </c>
      <c r="AK28" s="171">
        <f>T28/COMB_CORR!$L20</f>
        <v>0.10410368378682353</v>
      </c>
      <c r="AL28" s="177"/>
      <c r="AM28" s="171">
        <f>V28/COMB_CORR!$M20</f>
        <v>2.6154442897065619E-3</v>
      </c>
      <c r="AN28" s="171">
        <f>W28/COMB_CORR!$M20</f>
        <v>0.11216971490168184</v>
      </c>
      <c r="AO28" s="177"/>
      <c r="AP28" s="171">
        <f>Y28/COMB_CORR!$N20</f>
        <v>2.6905836854531069E-3</v>
      </c>
      <c r="AQ28" s="171">
        <f>Z28/COMB_CORR!$N20</f>
        <v>0.11789216255256334</v>
      </c>
      <c r="AR28" s="177"/>
      <c r="AS28" s="171">
        <f>AB28/COMB_CORR!$O20</f>
        <v>2.4703858772350522E-3</v>
      </c>
      <c r="AT28" s="171">
        <f>AC28/COMB_CORR!$O20</f>
        <v>0.11035684342319801</v>
      </c>
      <c r="AU28" s="177"/>
      <c r="AV28" s="171" t="e">
        <f>AE28/COMB_CORR!$P20</f>
        <v>#DIV/0!</v>
      </c>
      <c r="AW28" s="171" t="e">
        <f>AF28/COMB_CORR!$P20</f>
        <v>#DIV/0!</v>
      </c>
      <c r="AX28" s="177"/>
    </row>
    <row r="29" spans="1:50" ht="15.75" thickBot="1">
      <c r="A29" s="128" t="s">
        <v>29</v>
      </c>
      <c r="B29" s="920">
        <f>(DEN!$C21)*ONSV_2013!E20</f>
        <v>261.32606962635822</v>
      </c>
      <c r="C29" s="920">
        <f>(DEN!$F21+DEN!$G21+DEN!$L21)*ONSV_2013!K20</f>
        <v>8006.0110506852297</v>
      </c>
      <c r="D29" s="177"/>
      <c r="E29" s="920">
        <f>(DEN!$C57)*ONSV_2013!E20</f>
        <v>287.77262218891752</v>
      </c>
      <c r="F29" s="920">
        <f>(DEN!$F57+DEN!$G57+DEN!$L57)*ONSV_2013!K20</f>
        <v>8990.2523819882535</v>
      </c>
      <c r="G29" s="177"/>
      <c r="H29" s="920">
        <f>(DEN!$C93)*ONSV_2013!E20</f>
        <v>316.39002798128206</v>
      </c>
      <c r="I29" s="920">
        <f>(DEN!$F93+DEN!$G93+DEN!$L93)*ONSV_2013!K20</f>
        <v>10278.339221231237</v>
      </c>
      <c r="J29" s="177"/>
      <c r="K29" s="935">
        <f>(DEN!$C129)*ONSV_2013!E20</f>
        <v>343.40739072552037</v>
      </c>
      <c r="L29" s="935">
        <f>(DEN!$F129+DEN!$G129+DEN!$L129)*ONSV_2013!K20</f>
        <v>11641.251424842289</v>
      </c>
      <c r="M29" s="177"/>
      <c r="N29" s="167" t="e">
        <f>(DEN!$C165)*DIST_DSL_LEV!$K$2</f>
        <v>#DIV/0!</v>
      </c>
      <c r="O29" s="167" t="e">
        <f>(DEN!$F165+DEN!$G165+DEN!$L165)*DIST_DSL_LEV!$K$3</f>
        <v>#DIV/0!</v>
      </c>
      <c r="P29" s="177"/>
      <c r="R29" s="128" t="s">
        <v>29</v>
      </c>
      <c r="S29" s="167">
        <f t="shared" si="21"/>
        <v>391989.10443953733</v>
      </c>
      <c r="T29" s="167">
        <f t="shared" si="22"/>
        <v>13196721.512118509</v>
      </c>
      <c r="U29" s="177"/>
      <c r="V29" s="167">
        <f t="shared" si="23"/>
        <v>431658.93328337633</v>
      </c>
      <c r="W29" s="167">
        <f t="shared" si="24"/>
        <v>14819097.332947668</v>
      </c>
      <c r="X29" s="177"/>
      <c r="Y29" s="167">
        <f t="shared" si="25"/>
        <v>474585.04197192314</v>
      </c>
      <c r="Z29" s="167">
        <f t="shared" si="26"/>
        <v>16942317.397633906</v>
      </c>
      <c r="AA29" s="177"/>
      <c r="AB29" s="167">
        <f t="shared" si="27"/>
        <v>515111.08608828054</v>
      </c>
      <c r="AC29" s="167">
        <f t="shared" si="28"/>
        <v>19188875.975014757</v>
      </c>
      <c r="AD29" s="177"/>
      <c r="AE29" s="167" t="e">
        <f t="shared" si="17"/>
        <v>#DIV/0!</v>
      </c>
      <c r="AF29" s="167" t="e">
        <f t="shared" si="18"/>
        <v>#DIV/0!</v>
      </c>
      <c r="AG29" s="177"/>
      <c r="AI29" s="128" t="s">
        <v>29</v>
      </c>
      <c r="AJ29" s="171">
        <f>S29/COMB_CORR!$L21</f>
        <v>1.5288124754890286E-3</v>
      </c>
      <c r="AK29" s="171">
        <f>T29/COMB_CORR!$L21</f>
        <v>5.1469064458124943E-2</v>
      </c>
      <c r="AL29" s="177"/>
      <c r="AM29" s="171">
        <f>V29/COMB_CORR!$M21</f>
        <v>1.5329350484646913E-3</v>
      </c>
      <c r="AN29" s="171">
        <f>W29/COMB_CORR!$M21</f>
        <v>5.2626534369374436E-2</v>
      </c>
      <c r="AO29" s="177"/>
      <c r="AP29" s="171">
        <f>Y29/COMB_CORR!$N21</f>
        <v>1.647470326622053E-3</v>
      </c>
      <c r="AQ29" s="171">
        <f>Z29/COMB_CORR!$N21</f>
        <v>5.881341110296881E-2</v>
      </c>
      <c r="AR29" s="177"/>
      <c r="AS29" s="171">
        <f>AB29/COMB_CORR!$O21</f>
        <v>1.7173344420503597E-3</v>
      </c>
      <c r="AT29" s="171">
        <f>AC29/COMB_CORR!$O21</f>
        <v>6.3974001931066699E-2</v>
      </c>
      <c r="AU29" s="177"/>
      <c r="AV29" s="171" t="e">
        <f>AE29/COMB_CORR!$P21</f>
        <v>#DIV/0!</v>
      </c>
      <c r="AW29" s="171" t="e">
        <f>AF29/COMB_CORR!$P21</f>
        <v>#DIV/0!</v>
      </c>
      <c r="AX29" s="177"/>
    </row>
    <row r="30" spans="1:50" ht="26.25" thickBot="1">
      <c r="A30" s="4" t="s">
        <v>64</v>
      </c>
      <c r="B30" s="147">
        <f t="shared" ref="B30:P30" si="29">SUM(B31:B34)</f>
        <v>15609.184166827408</v>
      </c>
      <c r="C30" s="147">
        <f t="shared" si="29"/>
        <v>544523.05470254575</v>
      </c>
      <c r="D30" s="147">
        <f t="shared" si="29"/>
        <v>0</v>
      </c>
      <c r="E30" s="147">
        <f t="shared" si="29"/>
        <v>16725.045849255566</v>
      </c>
      <c r="F30" s="147">
        <f t="shared" si="29"/>
        <v>599704.0667859863</v>
      </c>
      <c r="G30" s="147">
        <f t="shared" si="29"/>
        <v>0</v>
      </c>
      <c r="H30" s="147">
        <f t="shared" si="29"/>
        <v>17901.000838333872</v>
      </c>
      <c r="I30" s="147">
        <f t="shared" si="29"/>
        <v>668924.42087521055</v>
      </c>
      <c r="J30" s="147">
        <f t="shared" si="29"/>
        <v>0</v>
      </c>
      <c r="K30" s="147">
        <f t="shared" si="29"/>
        <v>19036.025807252929</v>
      </c>
      <c r="L30" s="147">
        <f t="shared" si="29"/>
        <v>741337.1149486131</v>
      </c>
      <c r="M30" s="147">
        <f t="shared" si="29"/>
        <v>0</v>
      </c>
      <c r="N30" s="147" t="e">
        <f t="shared" si="29"/>
        <v>#DIV/0!</v>
      </c>
      <c r="O30" s="147" t="e">
        <f t="shared" si="29"/>
        <v>#DIV/0!</v>
      </c>
      <c r="P30" s="147">
        <f t="shared" si="29"/>
        <v>0</v>
      </c>
      <c r="R30" s="4" t="s">
        <v>64</v>
      </c>
      <c r="S30" s="147">
        <f>SUM(S31:S34)</f>
        <v>23413776.250241112</v>
      </c>
      <c r="T30" s="147">
        <f t="shared" ref="T30:AF30" si="30">SUM(T31:T34)</f>
        <v>897565474.78441596</v>
      </c>
      <c r="U30" s="177"/>
      <c r="V30" s="147">
        <f t="shared" si="30"/>
        <v>25087568.77388335</v>
      </c>
      <c r="W30" s="147">
        <f t="shared" si="30"/>
        <v>988523187.00986743</v>
      </c>
      <c r="X30" s="177"/>
      <c r="Y30" s="147">
        <f t="shared" si="30"/>
        <v>26851501.257500809</v>
      </c>
      <c r="Z30" s="147">
        <f t="shared" si="30"/>
        <v>1102622671.7723248</v>
      </c>
      <c r="AA30" s="177"/>
      <c r="AB30" s="147">
        <f t="shared" si="30"/>
        <v>28554038.710879393</v>
      </c>
      <c r="AC30" s="147">
        <f t="shared" si="30"/>
        <v>1221984255.4098015</v>
      </c>
      <c r="AD30" s="282"/>
      <c r="AE30" s="147" t="e">
        <f t="shared" si="30"/>
        <v>#DIV/0!</v>
      </c>
      <c r="AF30" s="147" t="e">
        <f t="shared" si="30"/>
        <v>#DIV/0!</v>
      </c>
      <c r="AG30" s="177"/>
      <c r="AI30" s="4" t="s">
        <v>64</v>
      </c>
      <c r="AJ30" s="171">
        <f>S30/COMB_CORR!$L22</f>
        <v>1.4512314661542093E-3</v>
      </c>
      <c r="AK30" s="171">
        <f>T30/COMB_CORR!$L22</f>
        <v>5.5632856742934542E-2</v>
      </c>
      <c r="AL30" s="177"/>
      <c r="AM30" s="171">
        <f>V30/COMB_CORR!$M22</f>
        <v>1.4173671534999765E-3</v>
      </c>
      <c r="AN30" s="171">
        <f>W30/COMB_CORR!$M22</f>
        <v>5.5848388832299832E-2</v>
      </c>
      <c r="AO30" s="177"/>
      <c r="AP30" s="171">
        <f>Y30/COMB_CORR!$N22</f>
        <v>1.4390072435046552E-3</v>
      </c>
      <c r="AQ30" s="171">
        <f>Z30/COMB_CORR!$N22</f>
        <v>5.909099816493877E-2</v>
      </c>
      <c r="AR30" s="177"/>
      <c r="AS30" s="171">
        <f>AB30/COMB_CORR!$O22</f>
        <v>1.4790814922535547E-3</v>
      </c>
      <c r="AT30" s="171">
        <f>AC30/COMB_CORR!$O22</f>
        <v>6.3298026394887325E-2</v>
      </c>
      <c r="AU30" s="177"/>
      <c r="AV30" s="171" t="e">
        <f>AE30/COMB_CORR!$P22</f>
        <v>#DIV/0!</v>
      </c>
      <c r="AW30" s="171" t="e">
        <f>AF30/COMB_CORR!$P22</f>
        <v>#DIV/0!</v>
      </c>
      <c r="AX30" s="177"/>
    </row>
    <row r="31" spans="1:50" ht="26.25" thickBot="1">
      <c r="A31" s="127" t="s">
        <v>31</v>
      </c>
      <c r="B31" s="920">
        <f>(DEN!$C23)*ONSV_2013!E22</f>
        <v>994.18981512986284</v>
      </c>
      <c r="C31" s="920">
        <f>(DEN!$F23+DEN!$G23+DEN!$L23)*ONSV_2013!K22</f>
        <v>38925.663373070107</v>
      </c>
      <c r="D31" s="177"/>
      <c r="E31" s="920">
        <f>(DEN!$C59)*ONSV_2013!E22</f>
        <v>1077.1957506332465</v>
      </c>
      <c r="F31" s="920">
        <f>(DEN!$F59+DEN!$G59+DEN!$L59)*ONSV_2013!K22</f>
        <v>43134.616310169171</v>
      </c>
      <c r="G31" s="177"/>
      <c r="H31" s="920">
        <f>(DEN!$C95)*ONSV_2013!E22</f>
        <v>1148.4467127896867</v>
      </c>
      <c r="I31" s="920">
        <f>(DEN!$F95+DEN!$G95+DEN!$L95)*ONSV_2013!K22</f>
        <v>47366.852533628036</v>
      </c>
      <c r="J31" s="177"/>
      <c r="K31" s="935">
        <f>(DEN!$C131)*ONSV_2013!E22</f>
        <v>1224.1388983403274</v>
      </c>
      <c r="L31" s="935">
        <f>(DEN!$F131+DEN!$G131+DEN!$L131)*ONSV_2013!K22</f>
        <v>52078.059219345683</v>
      </c>
      <c r="M31" s="177"/>
      <c r="N31" s="167" t="e">
        <f>(DEN!$C167)*DIST_DSL_LEV!$K$2</f>
        <v>#DIV/0!</v>
      </c>
      <c r="O31" s="167" t="e">
        <f>(DEN!$F167+DEN!$G167+DEN!$L167)*DIST_DSL_LEV!$K$3</f>
        <v>#DIV/0!</v>
      </c>
      <c r="P31" s="177"/>
      <c r="R31" s="127" t="s">
        <v>31</v>
      </c>
      <c r="S31" s="167">
        <f>$B$9*B31/B$10</f>
        <v>1491284.7226947942</v>
      </c>
      <c r="T31" s="167">
        <f>$C$9*C31/C$10</f>
        <v>64163181.384181485</v>
      </c>
      <c r="U31" s="177"/>
      <c r="V31" s="167">
        <f t="shared" ref="V31:W34" si="31">$E$9*E31/E$10</f>
        <v>1615793.6259498696</v>
      </c>
      <c r="W31" s="167">
        <f t="shared" si="31"/>
        <v>71101015.895883247</v>
      </c>
      <c r="X31" s="177"/>
      <c r="Y31" s="167">
        <f>$H$9*H31/H$10</f>
        <v>1722670.0691845301</v>
      </c>
      <c r="Z31" s="167">
        <f>$I$9*I31/I$10</f>
        <v>78077229.451035216</v>
      </c>
      <c r="AA31" s="177"/>
      <c r="AB31" s="167">
        <f>$K$9*K31/K$10</f>
        <v>1836208.347510491</v>
      </c>
      <c r="AC31" s="167">
        <f>$L$9*L31/L$10</f>
        <v>85842954.757163197</v>
      </c>
      <c r="AD31" s="177"/>
      <c r="AE31" s="167" t="e">
        <f t="shared" si="17"/>
        <v>#DIV/0!</v>
      </c>
      <c r="AF31" s="167" t="e">
        <f t="shared" si="18"/>
        <v>#DIV/0!</v>
      </c>
      <c r="AG31" s="177"/>
      <c r="AI31" s="127" t="s">
        <v>31</v>
      </c>
      <c r="AJ31" s="171">
        <f>S31/COMB_CORR!$L23</f>
        <v>2.3000624392552791E-3</v>
      </c>
      <c r="AK31" s="171">
        <f>T31/COMB_CORR!$L23</f>
        <v>9.896119851492835E-2</v>
      </c>
      <c r="AL31" s="177"/>
      <c r="AM31" s="171">
        <f>V31/COMB_CORR!$M23</f>
        <v>2.1909795837091904E-3</v>
      </c>
      <c r="AN31" s="171">
        <f>W31/COMB_CORR!$M23</f>
        <v>9.6411368201359621E-2</v>
      </c>
      <c r="AO31" s="177"/>
      <c r="AP31" s="171">
        <f>Y31/COMB_CORR!$N23</f>
        <v>2.0902179423650125E-3</v>
      </c>
      <c r="AQ31" s="171">
        <f>Z31/COMB_CORR!$N23</f>
        <v>9.473574122406267E-2</v>
      </c>
      <c r="AR31" s="177"/>
      <c r="AS31" s="171">
        <f>AB31/COMB_CORR!$O23</f>
        <v>2.1184100054598585E-3</v>
      </c>
      <c r="AT31" s="171">
        <f>AC31/COMB_CORR!$O23</f>
        <v>9.9035915233891214E-2</v>
      </c>
      <c r="AU31" s="177"/>
      <c r="AV31" s="171" t="e">
        <f>AE31/COMB_CORR!$P23</f>
        <v>#DIV/0!</v>
      </c>
      <c r="AW31" s="171" t="e">
        <f>AF31/COMB_CORR!$P23</f>
        <v>#DIV/0!</v>
      </c>
      <c r="AX31" s="177"/>
    </row>
    <row r="32" spans="1:50" ht="26.25" thickBot="1">
      <c r="A32" s="127" t="s">
        <v>32</v>
      </c>
      <c r="B32" s="920">
        <f>(DEN!$C24)*ONSV_2013!E23</f>
        <v>3847.831765362052</v>
      </c>
      <c r="C32" s="920">
        <f>(DEN!$F24+DEN!$G24+DEN!$L24)*ONSV_2013!K23</f>
        <v>144608.382198582</v>
      </c>
      <c r="D32" s="177"/>
      <c r="E32" s="920">
        <f>(DEN!$C60)*ONSV_2013!E23</f>
        <v>4185.9607139122254</v>
      </c>
      <c r="F32" s="920">
        <f>(DEN!$F60+DEN!$G60+DEN!$L60)*ONSV_2013!K23</f>
        <v>159542.0920844565</v>
      </c>
      <c r="G32" s="177"/>
      <c r="H32" s="920">
        <f>(DEN!$C96)*ONSV_2013!E23</f>
        <v>4571.2657272509177</v>
      </c>
      <c r="I32" s="920">
        <f>(DEN!$F96+DEN!$G96+DEN!$L96)*ONSV_2013!K23</f>
        <v>179518.07505868369</v>
      </c>
      <c r="J32" s="177"/>
      <c r="K32" s="935">
        <f>(DEN!$C132)*ONSV_2013!E23</f>
        <v>4936.2196658047615</v>
      </c>
      <c r="L32" s="935">
        <f>(DEN!$F132+DEN!$G132+DEN!$L132)*ONSV_2013!K23</f>
        <v>200096.29327794156</v>
      </c>
      <c r="M32" s="177"/>
      <c r="N32" s="167" t="e">
        <f>(DEN!$C168)*DIST_DSL_LEV!$K$2</f>
        <v>#DIV/0!</v>
      </c>
      <c r="O32" s="167" t="e">
        <f>(DEN!$F168+DEN!$G168+DEN!$L168)*DIST_DSL_LEV!$K$3</f>
        <v>#DIV/0!</v>
      </c>
      <c r="P32" s="177"/>
      <c r="R32" s="127" t="s">
        <v>32</v>
      </c>
      <c r="S32" s="167">
        <f>$B$9*B32/B$10</f>
        <v>5771747.6480430784</v>
      </c>
      <c r="T32" s="167">
        <f>$C$9*C32/C$10</f>
        <v>238365465.16249773</v>
      </c>
      <c r="U32" s="177"/>
      <c r="V32" s="167">
        <f t="shared" si="31"/>
        <v>6278941.0708683375</v>
      </c>
      <c r="W32" s="167">
        <f t="shared" si="31"/>
        <v>262981470.46888432</v>
      </c>
      <c r="X32" s="177"/>
      <c r="Y32" s="167">
        <f>$H$9*H32/H$10</f>
        <v>6856898.5908763763</v>
      </c>
      <c r="Z32" s="167">
        <f>$I$9*I32/I$10</f>
        <v>295908914.93189615</v>
      </c>
      <c r="AA32" s="177"/>
      <c r="AB32" s="167">
        <f>$K$9*K32/K$10</f>
        <v>7404329.4987071427</v>
      </c>
      <c r="AC32" s="167">
        <f>$L$9*L32/L$10</f>
        <v>329829054.85374975</v>
      </c>
      <c r="AD32" s="177"/>
      <c r="AE32" s="167" t="e">
        <f t="shared" si="17"/>
        <v>#DIV/0!</v>
      </c>
      <c r="AF32" s="167" t="e">
        <f t="shared" si="18"/>
        <v>#DIV/0!</v>
      </c>
      <c r="AG32" s="177"/>
      <c r="AI32" s="127" t="s">
        <v>32</v>
      </c>
      <c r="AJ32" s="171">
        <f>S32/COMB_CORR!$L24</f>
        <v>1.1962084801547834E-3</v>
      </c>
      <c r="AK32" s="171">
        <f>T32/COMB_CORR!$L24</f>
        <v>4.9401811754554936E-2</v>
      </c>
      <c r="AL32" s="177"/>
      <c r="AM32" s="171">
        <f>V32/COMB_CORR!$M24</f>
        <v>1.1773830023339516E-3</v>
      </c>
      <c r="AN32" s="171">
        <f>W32/COMB_CORR!$M24</f>
        <v>4.9312441343876572E-2</v>
      </c>
      <c r="AO32" s="177"/>
      <c r="AP32" s="171">
        <f>Y32/COMB_CORR!$N24</f>
        <v>1.2094469950264461E-3</v>
      </c>
      <c r="AQ32" s="171">
        <f>Z32/COMB_CORR!$N24</f>
        <v>5.2193589160281988E-2</v>
      </c>
      <c r="AR32" s="177"/>
      <c r="AS32" s="171">
        <f>AB32/COMB_CORR!$O24</f>
        <v>1.2774391355278723E-3</v>
      </c>
      <c r="AT32" s="171">
        <f>AC32/COMB_CORR!$O24</f>
        <v>5.6904077915214082E-2</v>
      </c>
      <c r="AU32" s="177"/>
      <c r="AV32" s="171" t="e">
        <f>AE32/COMB_CORR!$P24</f>
        <v>#DIV/0!</v>
      </c>
      <c r="AW32" s="171" t="e">
        <f>AF32/COMB_CORR!$P24</f>
        <v>#DIV/0!</v>
      </c>
      <c r="AX32" s="177"/>
    </row>
    <row r="33" spans="1:50" ht="26.25" thickBot="1">
      <c r="A33" s="127" t="s">
        <v>33</v>
      </c>
      <c r="B33" s="920">
        <f>(DEN!$C25)*ONSV_2013!E24</f>
        <v>1574.4805873409662</v>
      </c>
      <c r="C33" s="920">
        <f>(DEN!$F25+DEN!$G25+DEN!$L25)*ONSV_2013!K24</f>
        <v>46905.644602906264</v>
      </c>
      <c r="D33" s="177"/>
      <c r="E33" s="920">
        <f>(DEN!$C61)*ONSV_2013!E24</f>
        <v>1676.8427709874688</v>
      </c>
      <c r="F33" s="920">
        <f>(DEN!$F61+DEN!$G61+DEN!$L61)*ONSV_2013!K24</f>
        <v>51741.014135673693</v>
      </c>
      <c r="G33" s="177"/>
      <c r="H33" s="920">
        <f>(DEN!$C97)*ONSV_2013!E24</f>
        <v>1789.222661394803</v>
      </c>
      <c r="I33" s="920">
        <f>(DEN!$F97+DEN!$G97+DEN!$L97)*ONSV_2013!K24</f>
        <v>58055.238157326807</v>
      </c>
      <c r="J33" s="177"/>
      <c r="K33" s="935">
        <f>(DEN!$C133)*ONSV_2013!E24</f>
        <v>1904.2252366449736</v>
      </c>
      <c r="L33" s="935">
        <f>(DEN!$F133+DEN!$G133+DEN!$L133)*ONSV_2013!K24</f>
        <v>64922.42397129703</v>
      </c>
      <c r="M33" s="177"/>
      <c r="N33" s="167" t="e">
        <f>(DEN!$C169)*DIST_DSL_LEV!$K$2</f>
        <v>#DIV/0!</v>
      </c>
      <c r="O33" s="167" t="e">
        <f>(DEN!$F169+DEN!$G169+DEN!$L169)*DIST_DSL_LEV!$K$3</f>
        <v>#DIV/0!</v>
      </c>
      <c r="P33" s="177"/>
      <c r="R33" s="127" t="s">
        <v>33</v>
      </c>
      <c r="S33" s="167">
        <f>$B$9*B33/B$10</f>
        <v>2361720.8810114493</v>
      </c>
      <c r="T33" s="167">
        <f>$C$9*C33/C$10</f>
        <v>77316996.598197132</v>
      </c>
      <c r="U33" s="177"/>
      <c r="V33" s="167">
        <f t="shared" si="31"/>
        <v>2515264.1564812036</v>
      </c>
      <c r="W33" s="167">
        <f t="shared" si="31"/>
        <v>85287385.937923655</v>
      </c>
      <c r="X33" s="177"/>
      <c r="Y33" s="167">
        <f>$H$9*H33/H$10</f>
        <v>2683833.9920922043</v>
      </c>
      <c r="Z33" s="167">
        <f>$I$9*I33/I$10</f>
        <v>95695447.512077138</v>
      </c>
      <c r="AA33" s="177"/>
      <c r="AB33" s="167">
        <f>$K$9*K33/K$10</f>
        <v>2856337.8549674605</v>
      </c>
      <c r="AC33" s="167">
        <f>$L$9*L33/L$10</f>
        <v>107014984.56807202</v>
      </c>
      <c r="AD33" s="177"/>
      <c r="AE33" s="167" t="e">
        <f t="shared" si="17"/>
        <v>#DIV/0!</v>
      </c>
      <c r="AF33" s="167" t="e">
        <f t="shared" si="18"/>
        <v>#DIV/0!</v>
      </c>
      <c r="AG33" s="177"/>
      <c r="AI33" s="127" t="s">
        <v>33</v>
      </c>
      <c r="AJ33" s="171">
        <f>S33/COMB_CORR!$L25</f>
        <v>1.0642733114352807E-3</v>
      </c>
      <c r="AK33" s="171">
        <f>T33/COMB_CORR!$L25</f>
        <v>3.4841719299425832E-2</v>
      </c>
      <c r="AL33" s="177"/>
      <c r="AM33" s="171">
        <f>V33/COMB_CORR!$M25</f>
        <v>1.0602509661417235E-3</v>
      </c>
      <c r="AN33" s="171">
        <f>W33/COMB_CORR!$M25</f>
        <v>3.5950909214596975E-2</v>
      </c>
      <c r="AO33" s="177"/>
      <c r="AP33" s="171">
        <f>Y33/COMB_CORR!$N25</f>
        <v>1.048408850203177E-3</v>
      </c>
      <c r="AQ33" s="171">
        <f>Z33/COMB_CORR!$N25</f>
        <v>3.7382324835078119E-2</v>
      </c>
      <c r="AR33" s="177"/>
      <c r="AS33" s="171">
        <f>AB33/COMB_CORR!$O25</f>
        <v>1.0899329919135229E-3</v>
      </c>
      <c r="AT33" s="171">
        <f>AC33/COMB_CORR!$O25</f>
        <v>4.0835212160568089E-2</v>
      </c>
      <c r="AU33" s="177"/>
      <c r="AV33" s="171" t="e">
        <f>AE33/COMB_CORR!$P25</f>
        <v>#DIV/0!</v>
      </c>
      <c r="AW33" s="171" t="e">
        <f>AF33/COMB_CORR!$P25</f>
        <v>#DIV/0!</v>
      </c>
      <c r="AX33" s="177"/>
    </row>
    <row r="34" spans="1:50" ht="26.25" thickBot="1">
      <c r="A34" s="128" t="s">
        <v>34</v>
      </c>
      <c r="B34" s="920">
        <f>(DEN!$C26)*ONSV_2013!E25</f>
        <v>9192.681998994527</v>
      </c>
      <c r="C34" s="920">
        <f>(DEN!$F26+DEN!$G26+DEN!$L26)*ONSV_2013!K25</f>
        <v>314083.36452798737</v>
      </c>
      <c r="D34" s="177"/>
      <c r="E34" s="920">
        <f>(DEN!$C62)*ONSV_2013!E25</f>
        <v>9785.0466137226267</v>
      </c>
      <c r="F34" s="920">
        <f>(DEN!$F62+DEN!$G62+DEN!$L62)*ONSV_2013!K25</f>
        <v>345286.34425568697</v>
      </c>
      <c r="G34" s="177"/>
      <c r="H34" s="920">
        <f>(DEN!$C98)*ONSV_2013!E25</f>
        <v>10392.065736898463</v>
      </c>
      <c r="I34" s="920">
        <f>(DEN!$F98+DEN!$G98+DEN!$L98)*ONSV_2013!K25</f>
        <v>383984.25512557203</v>
      </c>
      <c r="J34" s="177"/>
      <c r="K34" s="935">
        <f>(DEN!$C134)*ONSV_2013!E25</f>
        <v>10971.442006462867</v>
      </c>
      <c r="L34" s="935">
        <f>(DEN!$F134+DEN!$G134+DEN!$L134)*ONSV_2013!K25</f>
        <v>424240.33848002879</v>
      </c>
      <c r="M34" s="177"/>
      <c r="N34" s="167" t="e">
        <f>(DEN!$C170)*DIST_DSL_LEV!$K$2</f>
        <v>#DIV/0!</v>
      </c>
      <c r="O34" s="167" t="e">
        <f>(DEN!$F170+DEN!$G170+DEN!$L170)*DIST_DSL_LEV!$K$3</f>
        <v>#DIV/0!</v>
      </c>
      <c r="P34" s="177"/>
      <c r="R34" s="128" t="s">
        <v>34</v>
      </c>
      <c r="S34" s="167">
        <f>$B$9*B34/B$10</f>
        <v>13789022.99849179</v>
      </c>
      <c r="T34" s="167">
        <f>$C$9*C34/C$10</f>
        <v>517719831.63953954</v>
      </c>
      <c r="U34" s="177"/>
      <c r="V34" s="167">
        <f t="shared" si="31"/>
        <v>14677569.920583939</v>
      </c>
      <c r="W34" s="167">
        <f t="shared" si="31"/>
        <v>569153314.70717621</v>
      </c>
      <c r="X34" s="177"/>
      <c r="Y34" s="167">
        <f>$H$9*H34/H$10</f>
        <v>15588098.605347697</v>
      </c>
      <c r="Z34" s="167">
        <f>$I$9*I34/I$10</f>
        <v>632941079.87731636</v>
      </c>
      <c r="AA34" s="177"/>
      <c r="AB34" s="167">
        <f>$K$9*K34/K$10</f>
        <v>16457163.009694299</v>
      </c>
      <c r="AC34" s="167">
        <f>$L$9*L34/L$10</f>
        <v>699297261.2308166</v>
      </c>
      <c r="AD34" s="177"/>
      <c r="AE34" s="167" t="e">
        <f t="shared" si="17"/>
        <v>#DIV/0!</v>
      </c>
      <c r="AF34" s="167" t="e">
        <f t="shared" si="18"/>
        <v>#DIV/0!</v>
      </c>
      <c r="AG34" s="177"/>
      <c r="AI34" s="128" t="s">
        <v>34</v>
      </c>
      <c r="AJ34" s="171">
        <f>S34/COMB_CORR!$L26</f>
        <v>1.6335314052141477E-3</v>
      </c>
      <c r="AK34" s="171">
        <f>T34/COMB_CORR!$L26</f>
        <v>6.1332235371416161E-2</v>
      </c>
      <c r="AL34" s="177"/>
      <c r="AM34" s="171">
        <f>V34/COMB_CORR!$M26</f>
        <v>1.5855041989784483E-3</v>
      </c>
      <c r="AN34" s="171">
        <f>W34/COMB_CORR!$M26</f>
        <v>6.1481224427022099E-2</v>
      </c>
      <c r="AO34" s="177"/>
      <c r="AP34" s="171">
        <f>Y34/COMB_CORR!$N26</f>
        <v>1.6227087227529814E-3</v>
      </c>
      <c r="AQ34" s="171">
        <f>Z34/COMB_CORR!$N26</f>
        <v>6.5888665276550171E-2</v>
      </c>
      <c r="AR34" s="177"/>
      <c r="AS34" s="171">
        <f>AB34/COMB_CORR!$O26</f>
        <v>1.6421723204373842E-3</v>
      </c>
      <c r="AT34" s="171">
        <f>AC34/COMB_CORR!$O26</f>
        <v>6.9779135412006185E-2</v>
      </c>
      <c r="AU34" s="177"/>
      <c r="AV34" s="171" t="e">
        <f>AE34/COMB_CORR!$P26</f>
        <v>#DIV/0!</v>
      </c>
      <c r="AW34" s="171" t="e">
        <f>AF34/COMB_CORR!$P26</f>
        <v>#DIV/0!</v>
      </c>
      <c r="AX34" s="177"/>
    </row>
    <row r="35" spans="1:50" ht="26.25" thickBot="1">
      <c r="A35" s="4" t="s">
        <v>69</v>
      </c>
      <c r="B35" s="147">
        <f t="shared" ref="B35:P35" si="32">SUM(B36:B38)</f>
        <v>9557.4941904787884</v>
      </c>
      <c r="C35" s="147">
        <f t="shared" si="32"/>
        <v>309033.16343287344</v>
      </c>
      <c r="D35" s="147">
        <f t="shared" si="32"/>
        <v>0</v>
      </c>
      <c r="E35" s="147">
        <f t="shared" si="32"/>
        <v>10239.156505734412</v>
      </c>
      <c r="F35" s="147">
        <f t="shared" si="32"/>
        <v>339216.17314313777</v>
      </c>
      <c r="G35" s="147">
        <f t="shared" si="32"/>
        <v>0</v>
      </c>
      <c r="H35" s="147">
        <f t="shared" si="32"/>
        <v>10993.921269342678</v>
      </c>
      <c r="I35" s="147">
        <f t="shared" si="32"/>
        <v>377566.22094624711</v>
      </c>
      <c r="J35" s="147">
        <f t="shared" si="32"/>
        <v>0</v>
      </c>
      <c r="K35" s="147">
        <f t="shared" si="32"/>
        <v>11761.020818476096</v>
      </c>
      <c r="L35" s="147">
        <f t="shared" si="32"/>
        <v>419651.64219607133</v>
      </c>
      <c r="M35" s="147">
        <f t="shared" si="32"/>
        <v>0</v>
      </c>
      <c r="N35" s="147" t="e">
        <f t="shared" si="32"/>
        <v>#DIV/0!</v>
      </c>
      <c r="O35" s="147" t="e">
        <f t="shared" si="32"/>
        <v>#DIV/0!</v>
      </c>
      <c r="P35" s="147">
        <f t="shared" si="32"/>
        <v>0</v>
      </c>
      <c r="R35" s="4" t="s">
        <v>69</v>
      </c>
      <c r="S35" s="147">
        <f>SUM(S36:S38)</f>
        <v>14336241.285718182</v>
      </c>
      <c r="T35" s="147">
        <f t="shared" ref="T35:AF35" si="33">SUM(T36:T38)</f>
        <v>509395324.33990121</v>
      </c>
      <c r="U35" s="177"/>
      <c r="V35" s="147">
        <f t="shared" si="33"/>
        <v>15358734.758601621</v>
      </c>
      <c r="W35" s="147">
        <f t="shared" si="33"/>
        <v>559147538.14802921</v>
      </c>
      <c r="X35" s="177"/>
      <c r="Y35" s="147">
        <f t="shared" si="33"/>
        <v>16490881.904014017</v>
      </c>
      <c r="Z35" s="147">
        <f t="shared" si="33"/>
        <v>622361902.65864897</v>
      </c>
      <c r="AA35" s="177"/>
      <c r="AB35" s="147">
        <f t="shared" si="33"/>
        <v>17641531.227714147</v>
      </c>
      <c r="AC35" s="147">
        <f t="shared" si="33"/>
        <v>691733476.14737022</v>
      </c>
      <c r="AD35" s="282"/>
      <c r="AE35" s="147" t="e">
        <f t="shared" si="33"/>
        <v>#DIV/0!</v>
      </c>
      <c r="AF35" s="147" t="e">
        <f t="shared" si="33"/>
        <v>#DIV/0!</v>
      </c>
      <c r="AG35" s="177"/>
      <c r="AI35" s="4" t="s">
        <v>69</v>
      </c>
      <c r="AJ35" s="171">
        <f>S35/COMB_CORR!$L27</f>
        <v>2.3408036349963487E-3</v>
      </c>
      <c r="AK35" s="171">
        <f>T35/COMB_CORR!$L27</f>
        <v>8.3173434591454085E-2</v>
      </c>
      <c r="AL35" s="177"/>
      <c r="AM35" s="171">
        <f>V35/COMB_CORR!$M27</f>
        <v>2.2641458727703776E-3</v>
      </c>
      <c r="AN35" s="171">
        <f>W35/COMB_CORR!$M27</f>
        <v>8.2428117332943862E-2</v>
      </c>
      <c r="AO35" s="177"/>
      <c r="AP35" s="171">
        <f>Y35/COMB_CORR!$N27</f>
        <v>2.2753220825683395E-3</v>
      </c>
      <c r="AQ35" s="171">
        <f>Z35/COMB_CORR!$N27</f>
        <v>8.5870106202372787E-2</v>
      </c>
      <c r="AR35" s="177"/>
      <c r="AS35" s="171">
        <f>AB35/COMB_CORR!$O27</f>
        <v>2.3525730172723473E-3</v>
      </c>
      <c r="AT35" s="171">
        <f>AC35/COMB_CORR!$O27</f>
        <v>9.2245593090683656E-2</v>
      </c>
      <c r="AU35" s="177"/>
      <c r="AV35" s="171" t="e">
        <f>AE35/COMB_CORR!$P27</f>
        <v>#DIV/0!</v>
      </c>
      <c r="AW35" s="171" t="e">
        <f>AF35/COMB_CORR!$P27</f>
        <v>#DIV/0!</v>
      </c>
      <c r="AX35" s="177"/>
    </row>
    <row r="36" spans="1:50" ht="15.75" thickBot="1">
      <c r="A36" s="127" t="s">
        <v>36</v>
      </c>
      <c r="B36" s="920">
        <f>(DEN!$C28)*ONSV_2013!E27</f>
        <v>3766.1966912710409</v>
      </c>
      <c r="C36" s="920">
        <f>(DEN!$F28+DEN!$G28+DEN!$L28)*ONSV_2013!K27</f>
        <v>131248.92910897505</v>
      </c>
      <c r="D36" s="177"/>
      <c r="E36" s="920">
        <f>(DEN!$C64)*ONSV_2013!E27</f>
        <v>4042.1284084843305</v>
      </c>
      <c r="F36" s="920">
        <f>(DEN!$F64+DEN!$G64+DEN!$L64)*ONSV_2013!K27</f>
        <v>143016.68537631282</v>
      </c>
      <c r="G36" s="177"/>
      <c r="H36" s="920">
        <f>(DEN!$C100)*ONSV_2013!E27</f>
        <v>4349.9515248369707</v>
      </c>
      <c r="I36" s="920">
        <f>(DEN!$F100+DEN!$G100+DEN!$L100)*ONSV_2013!K27</f>
        <v>158606.82650119319</v>
      </c>
      <c r="J36" s="177"/>
      <c r="K36" s="935">
        <f>(DEN!$C136)*ONSV_2013!E27</f>
        <v>4650.081390420708</v>
      </c>
      <c r="L36" s="935">
        <f>(DEN!$F136+DEN!$G136+DEN!$L136)*ONSV_2013!K27</f>
        <v>176058.2978916064</v>
      </c>
      <c r="M36" s="177"/>
      <c r="N36" s="167" t="e">
        <f>(DEN!$C172)*DIST_DSL_LEV!$K$2</f>
        <v>#DIV/0!</v>
      </c>
      <c r="O36" s="167" t="e">
        <f>(DEN!$F172+DEN!$G172+DEN!$L172)*DIST_DSL_LEV!$K$3</f>
        <v>#DIV/0!</v>
      </c>
      <c r="P36" s="177"/>
      <c r="R36" s="127" t="s">
        <v>36</v>
      </c>
      <c r="S36" s="167">
        <f>$B$9*B36/B$10</f>
        <v>5649295.0369065609</v>
      </c>
      <c r="T36" s="167">
        <f>$C$9*C36/C$10</f>
        <v>216344388.64116761</v>
      </c>
      <c r="U36" s="177"/>
      <c r="V36" s="167">
        <f>$E$9*E36/E$10</f>
        <v>6063192.6127264956</v>
      </c>
      <c r="W36" s="167">
        <f>$F$9*F36/F$10</f>
        <v>235741789.08183426</v>
      </c>
      <c r="X36" s="177"/>
      <c r="Y36" s="167">
        <f>$H$9*H36/H$10</f>
        <v>6524927.2872554567</v>
      </c>
      <c r="Z36" s="167">
        <f>$I$9*I36/I$10</f>
        <v>261439823.90306568</v>
      </c>
      <c r="AA36" s="177"/>
      <c r="AB36" s="167">
        <f>$K$9*K36/K$10</f>
        <v>6975122.0856310623</v>
      </c>
      <c r="AC36" s="167">
        <f>$L$9*L36/L$10</f>
        <v>290205985.53561491</v>
      </c>
      <c r="AD36" s="177"/>
      <c r="AE36" s="167" t="e">
        <f t="shared" si="17"/>
        <v>#DIV/0!</v>
      </c>
      <c r="AF36" s="167" t="e">
        <f t="shared" si="18"/>
        <v>#DIV/0!</v>
      </c>
      <c r="AG36" s="177"/>
      <c r="AI36" s="127" t="s">
        <v>36</v>
      </c>
      <c r="AJ36" s="171">
        <f>S36/COMB_CORR!$L28</f>
        <v>2.0031950708041223E-3</v>
      </c>
      <c r="AK36" s="171">
        <f>T36/COMB_CORR!$L28</f>
        <v>7.6713998842487155E-2</v>
      </c>
      <c r="AL36" s="177"/>
      <c r="AM36" s="171">
        <f>V36/COMB_CORR!$M28</f>
        <v>1.9576629774463645E-3</v>
      </c>
      <c r="AN36" s="171">
        <f>W36/COMB_CORR!$M28</f>
        <v>7.6115505839908962E-2</v>
      </c>
      <c r="AO36" s="177"/>
      <c r="AP36" s="171">
        <f>Y36/COMB_CORR!$N28</f>
        <v>1.9691779061880672E-3</v>
      </c>
      <c r="AQ36" s="171">
        <f>Z36/COMB_CORR!$N28</f>
        <v>7.8900729826241842E-2</v>
      </c>
      <c r="AR36" s="177"/>
      <c r="AS36" s="171">
        <f>AB36/COMB_CORR!$O28</f>
        <v>1.9952976111592409E-3</v>
      </c>
      <c r="AT36" s="171">
        <f>AC36/COMB_CORR!$O28</f>
        <v>8.3016082381723255E-2</v>
      </c>
      <c r="AU36" s="177"/>
      <c r="AV36" s="171" t="e">
        <f>AE36/COMB_CORR!$P28</f>
        <v>#DIV/0!</v>
      </c>
      <c r="AW36" s="171" t="e">
        <f>AF36/COMB_CORR!$P28</f>
        <v>#DIV/0!</v>
      </c>
      <c r="AX36" s="177"/>
    </row>
    <row r="37" spans="1:50" ht="39" thickBot="1">
      <c r="A37" s="127" t="s">
        <v>37</v>
      </c>
      <c r="B37" s="920">
        <f>(DEN!$C29)*ONSV_2013!E28</f>
        <v>3527.5171224523333</v>
      </c>
      <c r="C37" s="920">
        <f>(DEN!$F29+DEN!$G29+DEN!$L29)*ONSV_2013!K28</f>
        <v>105922.67451035876</v>
      </c>
      <c r="D37" s="177"/>
      <c r="E37" s="920">
        <f>(DEN!$C65)*ONSV_2013!E28</f>
        <v>3751.3640165264951</v>
      </c>
      <c r="F37" s="920">
        <f>(DEN!$F65+DEN!$G65+DEN!$L65)*ONSV_2013!K28</f>
        <v>116042.01392957398</v>
      </c>
      <c r="G37" s="177"/>
      <c r="H37" s="920">
        <f>(DEN!$C101)*ONSV_2013!E28</f>
        <v>4001.9800517245853</v>
      </c>
      <c r="I37" s="920">
        <f>(DEN!$F101+DEN!$G101+DEN!$L101)*ONSV_2013!K28</f>
        <v>128606.67317270806</v>
      </c>
      <c r="J37" s="177"/>
      <c r="K37" s="935">
        <f>(DEN!$C137)*ONSV_2013!E28</f>
        <v>4274.8718458526628</v>
      </c>
      <c r="L37" s="935">
        <f>(DEN!$F137+DEN!$G137+DEN!$L137)*ONSV_2013!K28</f>
        <v>142762.46142517676</v>
      </c>
      <c r="M37" s="177"/>
      <c r="N37" s="167" t="e">
        <f>(DEN!$C173)*DIST_DSL_LEV!$K$2</f>
        <v>#DIV/0!</v>
      </c>
      <c r="O37" s="167" t="e">
        <f>(DEN!$F173+DEN!$G173+DEN!$L173)*DIST_DSL_LEV!$K$3</f>
        <v>#DIV/0!</v>
      </c>
      <c r="P37" s="177"/>
      <c r="R37" s="127" t="s">
        <v>37</v>
      </c>
      <c r="S37" s="167">
        <f>$B$9*B37/B$10</f>
        <v>5291275.6836784994</v>
      </c>
      <c r="T37" s="167">
        <f>$C$9*C37/C$10</f>
        <v>174597815.12696496</v>
      </c>
      <c r="U37" s="177"/>
      <c r="V37" s="167">
        <f>$E$9*E37/E$10</f>
        <v>5627046.0247897422</v>
      </c>
      <c r="W37" s="167">
        <f>$F$9*F37/F$10</f>
        <v>191278044.93885818</v>
      </c>
      <c r="X37" s="177"/>
      <c r="Y37" s="167">
        <f>$H$9*H37/H$10</f>
        <v>6002970.0775868781</v>
      </c>
      <c r="Z37" s="167">
        <f>$I$9*I37/I$10</f>
        <v>211989021.71325502</v>
      </c>
      <c r="AA37" s="177"/>
      <c r="AB37" s="167">
        <f>$K$9*K37/K$10</f>
        <v>6412307.7687789937</v>
      </c>
      <c r="AC37" s="167">
        <f>$L$9*L37/L$10</f>
        <v>235322738.61292869</v>
      </c>
      <c r="AD37" s="177"/>
      <c r="AE37" s="167" t="e">
        <f t="shared" si="17"/>
        <v>#DIV/0!</v>
      </c>
      <c r="AF37" s="167" t="e">
        <f t="shared" si="18"/>
        <v>#DIV/0!</v>
      </c>
      <c r="AG37" s="177"/>
      <c r="AI37" s="127" t="s">
        <v>37</v>
      </c>
      <c r="AJ37" s="171">
        <f>S37/COMB_CORR!$L29</f>
        <v>3.0946069056582222E-3</v>
      </c>
      <c r="AK37" s="171">
        <f>T37/COMB_CORR!$L29</f>
        <v>0.10211367479328129</v>
      </c>
      <c r="AL37" s="177"/>
      <c r="AM37" s="171">
        <f>V37/COMB_CORR!$M29</f>
        <v>2.8738237602942522E-3</v>
      </c>
      <c r="AN37" s="171">
        <f>W37/COMB_CORR!$M29</f>
        <v>9.7688802960957152E-2</v>
      </c>
      <c r="AO37" s="177"/>
      <c r="AP37" s="171">
        <f>Y37/COMB_CORR!$N29</f>
        <v>2.8378340078622773E-3</v>
      </c>
      <c r="AQ37" s="171">
        <f>Z37/COMB_CORR!$N29</f>
        <v>0.10021533463201297</v>
      </c>
      <c r="AR37" s="177"/>
      <c r="AS37" s="171">
        <f>AB37/COMB_CORR!$O29</f>
        <v>2.9838089905213261E-3</v>
      </c>
      <c r="AT37" s="171">
        <f>AC37/COMB_CORR!$O29</f>
        <v>0.10950162226556054</v>
      </c>
      <c r="AU37" s="177"/>
      <c r="AV37" s="171" t="e">
        <f>AE37/COMB_CORR!$P29</f>
        <v>#DIV/0!</v>
      </c>
      <c r="AW37" s="171" t="e">
        <f>AF37/COMB_CORR!$P29</f>
        <v>#DIV/0!</v>
      </c>
      <c r="AX37" s="177"/>
    </row>
    <row r="38" spans="1:50" ht="26.25" thickBot="1">
      <c r="A38" s="128" t="s">
        <v>38</v>
      </c>
      <c r="B38" s="920">
        <f>(DEN!$C30)*ONSV_2013!E29</f>
        <v>2263.7803767554151</v>
      </c>
      <c r="C38" s="920">
        <f>(DEN!$F30+DEN!$G30+DEN!$L30)*ONSV_2013!K29</f>
        <v>71861.559813539629</v>
      </c>
      <c r="D38" s="177"/>
      <c r="E38" s="920">
        <f>(DEN!$C66)*ONSV_2013!E29</f>
        <v>2445.6640807235881</v>
      </c>
      <c r="F38" s="920">
        <f>(DEN!$F66+DEN!$G66+DEN!$L66)*ONSV_2013!K29</f>
        <v>80157.473837250975</v>
      </c>
      <c r="G38" s="177"/>
      <c r="H38" s="920">
        <f>(DEN!$C102)*ONSV_2013!E29</f>
        <v>2641.9896927811214</v>
      </c>
      <c r="I38" s="920">
        <f>(DEN!$F102+DEN!$G102+DEN!$L102)*ONSV_2013!K29</f>
        <v>90352.721272345851</v>
      </c>
      <c r="J38" s="177"/>
      <c r="K38" s="935">
        <f>(DEN!$C138)*ONSV_2013!E29</f>
        <v>2836.067582202727</v>
      </c>
      <c r="L38" s="935">
        <f>(DEN!$F138+DEN!$G138+DEN!$L138)*ONSV_2013!K29</f>
        <v>100830.88287928817</v>
      </c>
      <c r="M38" s="177"/>
      <c r="N38" s="167" t="e">
        <f>(DEN!$C174)*DIST_DSL_LEV!$K$2</f>
        <v>#DIV/0!</v>
      </c>
      <c r="O38" s="167" t="e">
        <f>(DEN!$F174+DEN!$G174+DEN!$L174)*DIST_DSL_LEV!$K$3</f>
        <v>#DIV/0!</v>
      </c>
      <c r="P38" s="177"/>
      <c r="R38" s="128" t="s">
        <v>38</v>
      </c>
      <c r="S38" s="167">
        <f>$B$9*B38/B$10</f>
        <v>3395670.5651331223</v>
      </c>
      <c r="T38" s="167">
        <f>$C$9*C38/C$10</f>
        <v>118453120.57176861</v>
      </c>
      <c r="U38" s="177"/>
      <c r="V38" s="167">
        <f>$E$9*E38/E$10</f>
        <v>3668496.1210853821</v>
      </c>
      <c r="W38" s="167">
        <f>$F$9*F38/F$10</f>
        <v>132127704.12733676</v>
      </c>
      <c r="X38" s="177"/>
      <c r="Y38" s="167">
        <f>$H$9*H38/H$10</f>
        <v>3962984.5391716822</v>
      </c>
      <c r="Z38" s="167">
        <f>$I$9*I38/I$10</f>
        <v>148933057.0423283</v>
      </c>
      <c r="AA38" s="177"/>
      <c r="AB38" s="167">
        <f>$K$9*K38/K$10</f>
        <v>4254101.3733040905</v>
      </c>
      <c r="AC38" s="167">
        <f>$L$9*L38/L$10</f>
        <v>166204751.99882662</v>
      </c>
      <c r="AD38" s="177"/>
      <c r="AE38" s="167" t="e">
        <f t="shared" si="17"/>
        <v>#DIV/0!</v>
      </c>
      <c r="AF38" s="167" t="e">
        <f t="shared" si="18"/>
        <v>#DIV/0!</v>
      </c>
      <c r="AG38" s="177"/>
      <c r="AI38" s="128" t="s">
        <v>38</v>
      </c>
      <c r="AJ38" s="171">
        <f>S38/COMB_CORR!$L30</f>
        <v>2.1295939543167783E-3</v>
      </c>
      <c r="AK38" s="171">
        <f>T38/COMB_CORR!$L30</f>
        <v>7.4287845243228262E-2</v>
      </c>
      <c r="AL38" s="177"/>
      <c r="AM38" s="171">
        <f>V38/COMB_CORR!$M30</f>
        <v>2.1226487965893656E-3</v>
      </c>
      <c r="AN38" s="171">
        <f>W38/COMB_CORR!$M30</f>
        <v>7.6451140441448365E-2</v>
      </c>
      <c r="AO38" s="177"/>
      <c r="AP38" s="171">
        <f>Y38/COMB_CORR!$N30</f>
        <v>2.1788414323910101E-3</v>
      </c>
      <c r="AQ38" s="171">
        <f>Z38/COMB_CORR!$N30</f>
        <v>8.1883114135061413E-2</v>
      </c>
      <c r="AR38" s="177"/>
      <c r="AS38" s="171">
        <f>AB38/COMB_CORR!$O30</f>
        <v>2.2945412709728637E-3</v>
      </c>
      <c r="AT38" s="171">
        <f>AC38/COMB_CORR!$O30</f>
        <v>8.9646115460788461E-2</v>
      </c>
      <c r="AU38" s="177"/>
      <c r="AV38" s="171" t="e">
        <f>AE38/COMB_CORR!$P30</f>
        <v>#DIV/0!</v>
      </c>
      <c r="AW38" s="171" t="e">
        <f>AF38/COMB_CORR!$P30</f>
        <v>#DIV/0!</v>
      </c>
      <c r="AX38" s="177"/>
    </row>
    <row r="39" spans="1:50" ht="39" thickBot="1">
      <c r="A39" s="126" t="s">
        <v>73</v>
      </c>
      <c r="B39" s="147">
        <f t="shared" ref="B39:P39" si="34">SUM(B40:B43)</f>
        <v>5240.0452217895654</v>
      </c>
      <c r="C39" s="147">
        <f t="shared" si="34"/>
        <v>218860.38453782696</v>
      </c>
      <c r="D39" s="147">
        <f t="shared" si="34"/>
        <v>0</v>
      </c>
      <c r="E39" s="147">
        <f t="shared" si="34"/>
        <v>5746.5193191733033</v>
      </c>
      <c r="F39" s="147">
        <f t="shared" si="34"/>
        <v>242328.06237184996</v>
      </c>
      <c r="G39" s="147">
        <f t="shared" si="34"/>
        <v>0</v>
      </c>
      <c r="H39" s="147">
        <f t="shared" si="34"/>
        <v>6318.9709105791117</v>
      </c>
      <c r="I39" s="147">
        <f t="shared" si="34"/>
        <v>269864.49836585845</v>
      </c>
      <c r="J39" s="147">
        <f t="shared" si="34"/>
        <v>0</v>
      </c>
      <c r="K39" s="147">
        <f t="shared" si="34"/>
        <v>6854.0802569368507</v>
      </c>
      <c r="L39" s="147">
        <f t="shared" si="34"/>
        <v>297978.09374584304</v>
      </c>
      <c r="M39" s="147">
        <f t="shared" si="34"/>
        <v>0</v>
      </c>
      <c r="N39" s="147" t="e">
        <f t="shared" si="34"/>
        <v>#DIV/0!</v>
      </c>
      <c r="O39" s="147" t="e">
        <f t="shared" si="34"/>
        <v>#DIV/0!</v>
      </c>
      <c r="P39" s="147">
        <f t="shared" si="34"/>
        <v>0</v>
      </c>
      <c r="R39" s="126" t="s">
        <v>73</v>
      </c>
      <c r="S39" s="147">
        <f>SUM(S40:S43)</f>
        <v>7860067.8326843474</v>
      </c>
      <c r="T39" s="147">
        <f t="shared" ref="T39:AF39" si="35">SUM(T40:T43)</f>
        <v>360758875.61180264</v>
      </c>
      <c r="U39" s="177"/>
      <c r="V39" s="147">
        <f t="shared" si="35"/>
        <v>8619778.9787599556</v>
      </c>
      <c r="W39" s="147">
        <f t="shared" si="35"/>
        <v>399441861.05249989</v>
      </c>
      <c r="X39" s="177"/>
      <c r="Y39" s="147">
        <f t="shared" si="35"/>
        <v>9478456.3658686671</v>
      </c>
      <c r="Z39" s="147">
        <f t="shared" si="35"/>
        <v>444831590.71295345</v>
      </c>
      <c r="AA39" s="177"/>
      <c r="AB39" s="147">
        <f t="shared" si="35"/>
        <v>10281120.385405274</v>
      </c>
      <c r="AC39" s="147">
        <f t="shared" si="35"/>
        <v>491172681.99864233</v>
      </c>
      <c r="AD39" s="282"/>
      <c r="AE39" s="147" t="e">
        <f t="shared" si="35"/>
        <v>#DIV/0!</v>
      </c>
      <c r="AF39" s="147" t="e">
        <f t="shared" si="35"/>
        <v>#DIV/0!</v>
      </c>
      <c r="AG39" s="177"/>
      <c r="AI39" s="126" t="s">
        <v>73</v>
      </c>
      <c r="AJ39" s="171">
        <f>S39/COMB_CORR!$L31</f>
        <v>2.2428093093142957E-3</v>
      </c>
      <c r="AK39" s="171">
        <f>T39/COMB_CORR!$L31</f>
        <v>0.10293974325200995</v>
      </c>
      <c r="AL39" s="177"/>
      <c r="AM39" s="171">
        <f>V39/COMB_CORR!$M31</f>
        <v>2.2379848078823302E-3</v>
      </c>
      <c r="AN39" s="171">
        <f>W39/COMB_CORR!$M31</f>
        <v>0.10370855434582646</v>
      </c>
      <c r="AO39" s="177"/>
      <c r="AP39" s="171">
        <f>Y39/COMB_CORR!$N31</f>
        <v>2.2669956679311934E-3</v>
      </c>
      <c r="AQ39" s="171">
        <f>Z39/COMB_CORR!$N31</f>
        <v>0.10639193241807871</v>
      </c>
      <c r="AR39" s="177"/>
      <c r="AS39" s="171">
        <f>AB39/COMB_CORR!$O31</f>
        <v>2.1417654504300968E-3</v>
      </c>
      <c r="AT39" s="171">
        <f>AC39/COMB_CORR!$O31</f>
        <v>0.10232121024408301</v>
      </c>
      <c r="AU39" s="177"/>
      <c r="AV39" s="171" t="e">
        <f>AE39/COMB_CORR!$P31</f>
        <v>#DIV/0!</v>
      </c>
      <c r="AW39" s="171" t="e">
        <f>AF39/COMB_CORR!$P31</f>
        <v>#DIV/0!</v>
      </c>
      <c r="AX39" s="177"/>
    </row>
    <row r="40" spans="1:50" ht="26.25" thickBot="1">
      <c r="A40" s="127" t="s">
        <v>40</v>
      </c>
      <c r="B40" s="920">
        <f>(DEN!$C32)*ONSV_2013!E31</f>
        <v>905.53089488803437</v>
      </c>
      <c r="C40" s="920">
        <f>(DEN!$F32+DEN!$G32+DEN!$L32)*ONSV_2013!K31</f>
        <v>25728.355733064484</v>
      </c>
      <c r="D40" s="177"/>
      <c r="E40" s="920">
        <f>(DEN!$C68)*ONSV_2013!E31</f>
        <v>968.83608193974123</v>
      </c>
      <c r="F40" s="920">
        <f>(DEN!$F68+DEN!$G68+DEN!$L68)*ONSV_2013!K31</f>
        <v>29223.639303579046</v>
      </c>
      <c r="G40" s="177"/>
      <c r="H40" s="920">
        <f>(DEN!$C104)*ONSV_2013!E31</f>
        <v>1040.5522040759104</v>
      </c>
      <c r="I40" s="920">
        <f>(DEN!$F104+DEN!$G104+DEN!$L104)*ONSV_2013!K31</f>
        <v>33304.756834309199</v>
      </c>
      <c r="J40" s="177"/>
      <c r="K40" s="935">
        <f>(DEN!$C140)*ONSV_2013!E31</f>
        <v>1097.8295180286439</v>
      </c>
      <c r="L40" s="935">
        <f>(DEN!$F140+DEN!$G140+DEN!$L140)*ONSV_2013!K31</f>
        <v>37093.197875063008</v>
      </c>
      <c r="M40" s="177"/>
      <c r="N40" s="167" t="e">
        <f>(DEN!$C176)*DIST_DSL_LEV!$K$2</f>
        <v>#DIV/0!</v>
      </c>
      <c r="O40" s="167" t="e">
        <f>(DEN!$F176+DEN!$G176+DEN!$L176)*DIST_DSL_LEV!$K$3</f>
        <v>#DIV/0!</v>
      </c>
      <c r="P40" s="177"/>
      <c r="R40" s="127" t="s">
        <v>40</v>
      </c>
      <c r="S40" s="167">
        <f>$B$9*B40/B$10</f>
        <v>1358296.3423320516</v>
      </c>
      <c r="T40" s="167">
        <f>$C$9*C40/C$10</f>
        <v>42409377.581974417</v>
      </c>
      <c r="U40" s="177"/>
      <c r="V40" s="167">
        <f t="shared" ref="V40:W43" si="36">$E$9*E40/E$10</f>
        <v>1453254.1229096118</v>
      </c>
      <c r="W40" s="167">
        <f t="shared" si="36"/>
        <v>48170834.016888529</v>
      </c>
      <c r="X40" s="177"/>
      <c r="Y40" s="167">
        <f>$H$9*H40/H$10</f>
        <v>1560828.3061138657</v>
      </c>
      <c r="Z40" s="167">
        <f>$I$9*I40/I$10</f>
        <v>54897950.825784385</v>
      </c>
      <c r="AA40" s="177"/>
      <c r="AB40" s="167">
        <f>$K$9*K40/K$10</f>
        <v>1646744.2770429659</v>
      </c>
      <c r="AC40" s="167">
        <f>$L$9*L40/L$10</f>
        <v>61142633.859993957</v>
      </c>
      <c r="AD40" s="177"/>
      <c r="AE40" s="167" t="e">
        <f t="shared" si="17"/>
        <v>#DIV/0!</v>
      </c>
      <c r="AF40" s="167" t="e">
        <f t="shared" si="18"/>
        <v>#DIV/0!</v>
      </c>
      <c r="AG40" s="177"/>
      <c r="AI40" s="127" t="s">
        <v>40</v>
      </c>
      <c r="AJ40" s="171">
        <f>S40/COMB_CORR!$L32</f>
        <v>4.0923185047535221E-3</v>
      </c>
      <c r="AK40" s="171">
        <f>T40/COMB_CORR!$L32</f>
        <v>0.12777232423067666</v>
      </c>
      <c r="AL40" s="177"/>
      <c r="AM40" s="171">
        <f>V40/COMB_CORR!$M32</f>
        <v>4.2247357887568284E-3</v>
      </c>
      <c r="AN40" s="171">
        <f>W40/COMB_CORR!$M32</f>
        <v>0.14003679276543948</v>
      </c>
      <c r="AO40" s="177"/>
      <c r="AP40" s="171">
        <f>Y40/COMB_CORR!$N32</f>
        <v>4.4912458476128146E-3</v>
      </c>
      <c r="AQ40" s="171">
        <f>Z40/COMB_CORR!$N32</f>
        <v>0.15796753090840571</v>
      </c>
      <c r="AR40" s="177"/>
      <c r="AS40" s="171">
        <f>AB40/COMB_CORR!$O32</f>
        <v>4.6068884191371026E-3</v>
      </c>
      <c r="AT40" s="171">
        <f>AC40/COMB_CORR!$O32</f>
        <v>0.17105102217264115</v>
      </c>
      <c r="AU40" s="177"/>
      <c r="AV40" s="171" t="e">
        <f>AE40/COMB_CORR!$P32</f>
        <v>#DIV/0!</v>
      </c>
      <c r="AW40" s="171" t="e">
        <f>AF40/COMB_CORR!$P32</f>
        <v>#DIV/0!</v>
      </c>
      <c r="AX40" s="177"/>
    </row>
    <row r="41" spans="1:50" ht="15.75" thickBot="1">
      <c r="A41" s="127" t="s">
        <v>41</v>
      </c>
      <c r="B41" s="920">
        <f>(DEN!$C33)*ONSV_2013!E32</f>
        <v>1974.6161233155808</v>
      </c>
      <c r="C41" s="920">
        <f>(DEN!$F33+DEN!$G33+DEN!$L33)*ONSV_2013!K32</f>
        <v>84183.518119092216</v>
      </c>
      <c r="D41" s="177"/>
      <c r="E41" s="920">
        <f>(DEN!$C69)*ONSV_2013!E32</f>
        <v>2166.3506362921403</v>
      </c>
      <c r="F41" s="920">
        <f>(DEN!$F69+DEN!$G69+DEN!$L69)*ONSV_2013!K32</f>
        <v>93482.758721607403</v>
      </c>
      <c r="G41" s="177"/>
      <c r="H41" s="920">
        <f>(DEN!$C105)*ONSV_2013!E32</f>
        <v>2385.3334694680061</v>
      </c>
      <c r="I41" s="920">
        <f>(DEN!$F105+DEN!$G105+DEN!$L105)*ONSV_2013!K32</f>
        <v>104207.95078562546</v>
      </c>
      <c r="J41" s="177"/>
      <c r="K41" s="935">
        <f>(DEN!$C141)*ONSV_2013!E32</f>
        <v>2592.9049962524477</v>
      </c>
      <c r="L41" s="935">
        <f>(DEN!$F141+DEN!$G141+DEN!$L141)*ONSV_2013!K32</f>
        <v>114985.16097693815</v>
      </c>
      <c r="M41" s="177"/>
      <c r="N41" s="167" t="e">
        <f>(DEN!$C177)*DIST_DSL_LEV!$K$2</f>
        <v>#DIV/0!</v>
      </c>
      <c r="O41" s="167" t="e">
        <f>(DEN!$F177+DEN!$G177+DEN!$L177)*DIST_DSL_LEV!$K$3</f>
        <v>#DIV/0!</v>
      </c>
      <c r="P41" s="177"/>
      <c r="R41" s="127" t="s">
        <v>41</v>
      </c>
      <c r="S41" s="167">
        <f>$B$9*B41/B$10</f>
        <v>2961924.1849733712</v>
      </c>
      <c r="T41" s="167">
        <f>$C$9*C41/C$10</f>
        <v>138764040.85564649</v>
      </c>
      <c r="U41" s="177"/>
      <c r="V41" s="167">
        <f t="shared" si="36"/>
        <v>3249525.9544382105</v>
      </c>
      <c r="W41" s="167">
        <f t="shared" si="36"/>
        <v>154092459.43122095</v>
      </c>
      <c r="X41" s="177"/>
      <c r="Y41" s="167">
        <f>$H$9*H41/H$10</f>
        <v>3578000.2042020089</v>
      </c>
      <c r="Z41" s="167">
        <f>$I$9*I41/I$10</f>
        <v>171771347.44883314</v>
      </c>
      <c r="AA41" s="177"/>
      <c r="AB41" s="167">
        <f>$K$9*K41/K$10</f>
        <v>3889357.494378672</v>
      </c>
      <c r="AC41" s="167">
        <f>$L$9*L41/L$10</f>
        <v>189535979.63231561</v>
      </c>
      <c r="AD41" s="177"/>
      <c r="AE41" s="167" t="e">
        <f t="shared" si="17"/>
        <v>#DIV/0!</v>
      </c>
      <c r="AF41" s="167" t="e">
        <f t="shared" si="18"/>
        <v>#DIV/0!</v>
      </c>
      <c r="AG41" s="177"/>
      <c r="AI41" s="127" t="s">
        <v>41</v>
      </c>
      <c r="AJ41" s="171">
        <f>S41/COMB_CORR!$L33</f>
        <v>2.0637861315411224E-3</v>
      </c>
      <c r="AK41" s="171">
        <f>T41/COMB_CORR!$L33</f>
        <v>9.6686912017318771E-2</v>
      </c>
      <c r="AL41" s="177"/>
      <c r="AM41" s="171">
        <f>V41/COMB_CORR!$M33</f>
        <v>1.9929553111035993E-3</v>
      </c>
      <c r="AN41" s="171">
        <f>W41/COMB_CORR!$M33</f>
        <v>9.4505903239526554E-2</v>
      </c>
      <c r="AO41" s="177"/>
      <c r="AP41" s="171">
        <f>Y41/COMB_CORR!$N33</f>
        <v>2.0406022993950061E-3</v>
      </c>
      <c r="AQ41" s="171">
        <f>Z41/COMB_CORR!$N33</f>
        <v>9.7964501556657174E-2</v>
      </c>
      <c r="AR41" s="177"/>
      <c r="AS41" s="171">
        <f>AB41/COMB_CORR!$O33</f>
        <v>1.9175981397249709E-3</v>
      </c>
      <c r="AT41" s="171">
        <f>AC41/COMB_CORR!$O33</f>
        <v>9.3448298974620342E-2</v>
      </c>
      <c r="AU41" s="177"/>
      <c r="AV41" s="171" t="e">
        <f>AE41/COMB_CORR!$P33</f>
        <v>#DIV/0!</v>
      </c>
      <c r="AW41" s="171" t="e">
        <f>AF41/COMB_CORR!$P33</f>
        <v>#DIV/0!</v>
      </c>
      <c r="AX41" s="177"/>
    </row>
    <row r="42" spans="1:50" ht="26.25" thickBot="1">
      <c r="A42" s="127" t="s">
        <v>42</v>
      </c>
      <c r="B42" s="920">
        <f>(DEN!$C34)*ONSV_2013!E33</f>
        <v>1292.8435567322131</v>
      </c>
      <c r="C42" s="920">
        <f>(DEN!$F34+DEN!$G34+DEN!$L34)*ONSV_2013!K33</f>
        <v>64158.453211810149</v>
      </c>
      <c r="D42" s="177"/>
      <c r="E42" s="920">
        <f>(DEN!$C70)*ONSV_2013!E33</f>
        <v>1449.0607052116916</v>
      </c>
      <c r="F42" s="920">
        <f>(DEN!$F70+DEN!$G70+DEN!$L70)*ONSV_2013!K33</f>
        <v>70713.610779670882</v>
      </c>
      <c r="G42" s="177"/>
      <c r="H42" s="920">
        <f>(DEN!$C106)*ONSV_2013!E33</f>
        <v>1616.3868469372503</v>
      </c>
      <c r="I42" s="920">
        <f>(DEN!$F106+DEN!$G106+DEN!$L106)*ONSV_2013!K33</f>
        <v>78454.292383194872</v>
      </c>
      <c r="J42" s="177"/>
      <c r="K42" s="935">
        <f>(DEN!$C142)*ONSV_2013!E33</f>
        <v>1773.642748610429</v>
      </c>
      <c r="L42" s="935">
        <f>(DEN!$F142+DEN!$G142+DEN!$L142)*ONSV_2013!K33</f>
        <v>86765.079322980047</v>
      </c>
      <c r="M42" s="177"/>
      <c r="N42" s="167" t="e">
        <f>(DEN!$C178)*DIST_DSL_LEV!$K$2</f>
        <v>#DIV/0!</v>
      </c>
      <c r="O42" s="167" t="e">
        <f>(DEN!$F178+DEN!$G178+DEN!$L178)*DIST_DSL_LEV!$K$3</f>
        <v>#DIV/0!</v>
      </c>
      <c r="P42" s="177"/>
      <c r="R42" s="127" t="s">
        <v>42</v>
      </c>
      <c r="S42" s="167">
        <f>$B$9*B42/B$10</f>
        <v>1939265.3350983195</v>
      </c>
      <c r="T42" s="167">
        <f>$C$9*C42/C$10</f>
        <v>105755692.10737935</v>
      </c>
      <c r="U42" s="177"/>
      <c r="V42" s="167">
        <f t="shared" si="36"/>
        <v>2173591.0578175373</v>
      </c>
      <c r="W42" s="167">
        <f t="shared" si="36"/>
        <v>116560896.88956738</v>
      </c>
      <c r="X42" s="177"/>
      <c r="Y42" s="167">
        <f>$H$9*H42/H$10</f>
        <v>2424580.2704058755</v>
      </c>
      <c r="Z42" s="167">
        <f>$I$9*I42/I$10</f>
        <v>129320262.17010142</v>
      </c>
      <c r="AA42" s="177"/>
      <c r="AB42" s="167">
        <f>$K$9*K42/K$10</f>
        <v>2660464.1229156433</v>
      </c>
      <c r="AC42" s="167">
        <f>$L$9*L42/L$10</f>
        <v>143019361.52139568</v>
      </c>
      <c r="AD42" s="177"/>
      <c r="AE42" s="167" t="e">
        <f t="shared" si="17"/>
        <v>#DIV/0!</v>
      </c>
      <c r="AF42" s="167" t="e">
        <f t="shared" si="18"/>
        <v>#DIV/0!</v>
      </c>
      <c r="AG42" s="177"/>
      <c r="AI42" s="127" t="s">
        <v>42</v>
      </c>
      <c r="AJ42" s="171">
        <f>S42/COMB_CORR!$L34</f>
        <v>1.5966307071721289E-3</v>
      </c>
      <c r="AK42" s="171">
        <f>T42/COMB_CORR!$L34</f>
        <v>8.7070491294231431E-2</v>
      </c>
      <c r="AL42" s="177"/>
      <c r="AM42" s="171">
        <f>V42/COMB_CORR!$M34</f>
        <v>1.6784652185529809E-3</v>
      </c>
      <c r="AN42" s="171">
        <f>W42/COMB_CORR!$M34</f>
        <v>9.0009300769262973E-2</v>
      </c>
      <c r="AO42" s="177"/>
      <c r="AP42" s="171">
        <f>Y42/COMB_CORR!$N34</f>
        <v>1.7081085116550151E-3</v>
      </c>
      <c r="AQ42" s="171">
        <f>Z42/COMB_CORR!$N34</f>
        <v>9.1105682595210888E-2</v>
      </c>
      <c r="AR42" s="177"/>
      <c r="AS42" s="171">
        <f>AB42/COMB_CORR!$O34</f>
        <v>1.5644174899454495E-3</v>
      </c>
      <c r="AT42" s="171">
        <f>AC42/COMB_CORR!$O34</f>
        <v>8.4098856525717913E-2</v>
      </c>
      <c r="AU42" s="177"/>
      <c r="AV42" s="171" t="e">
        <f>AE42/COMB_CORR!$P34</f>
        <v>#DIV/0!</v>
      </c>
      <c r="AW42" s="171" t="e">
        <f>AF42/COMB_CORR!$P34</f>
        <v>#DIV/0!</v>
      </c>
      <c r="AX42" s="177"/>
    </row>
    <row r="43" spans="1:50" ht="39" thickBot="1">
      <c r="A43" s="128" t="s">
        <v>43</v>
      </c>
      <c r="B43" s="920">
        <f>(DEN!$C35)*ONSV_2013!E34</f>
        <v>1067.0546468537373</v>
      </c>
      <c r="C43" s="920">
        <f>(DEN!$F35+DEN!$G35+DEN!$L35)*ONSV_2013!K34</f>
        <v>44790.057473860121</v>
      </c>
      <c r="D43" s="177"/>
      <c r="E43" s="920">
        <f>(DEN!$C71)*ONSV_2013!E34</f>
        <v>1162.27189572973</v>
      </c>
      <c r="F43" s="920">
        <f>(DEN!$F71+DEN!$G71+DEN!$L71)*ONSV_2013!K34</f>
        <v>48908.053566992618</v>
      </c>
      <c r="G43" s="177"/>
      <c r="H43" s="920">
        <f>(DEN!$C107)*ONSV_2013!E34</f>
        <v>1276.6983900979449</v>
      </c>
      <c r="I43" s="920">
        <f>(DEN!$F107+DEN!$G107+DEN!$L107)*ONSV_2013!K34</f>
        <v>53897.498362728933</v>
      </c>
      <c r="J43" s="177"/>
      <c r="K43" s="935">
        <f>(DEN!$C143)*ONSV_2013!E34</f>
        <v>1389.7029940453292</v>
      </c>
      <c r="L43" s="935">
        <f>(DEN!$F143+DEN!$G143+DEN!$L143)*ONSV_2013!K34</f>
        <v>59134.65557086184</v>
      </c>
      <c r="M43" s="177"/>
      <c r="N43" s="167" t="e">
        <f>(DEN!$C179)*DIST_DSL_LEV!$K$2</f>
        <v>#DIV/0!</v>
      </c>
      <c r="O43" s="167" t="e">
        <f>(DEN!$F179+DEN!$G179+DEN!$L179)*DIST_DSL_LEV!$K$3</f>
        <v>#DIV/0!</v>
      </c>
      <c r="P43" s="177"/>
      <c r="R43" s="128" t="s">
        <v>43</v>
      </c>
      <c r="S43" s="167">
        <f>$B$9*B43/B$10</f>
        <v>1600581.9702806058</v>
      </c>
      <c r="T43" s="167">
        <f>$C$9*C43/C$10</f>
        <v>73829765.066802382</v>
      </c>
      <c r="U43" s="177"/>
      <c r="V43" s="167">
        <f t="shared" si="36"/>
        <v>1743407.8435945951</v>
      </c>
      <c r="W43" s="167">
        <f t="shared" si="36"/>
        <v>80617670.714822978</v>
      </c>
      <c r="X43" s="177"/>
      <c r="Y43" s="167">
        <f>$H$9*H43/H$10</f>
        <v>1915047.5851469175</v>
      </c>
      <c r="Z43" s="167">
        <f>$I$9*I43/I$10</f>
        <v>88842030.268234491</v>
      </c>
      <c r="AA43" s="177"/>
      <c r="AB43" s="167">
        <f>$K$9*K43/K$10</f>
        <v>2084554.4910679937</v>
      </c>
      <c r="AC43" s="167">
        <f>$L$9*L43/L$10</f>
        <v>97474706.984937087</v>
      </c>
      <c r="AD43" s="177"/>
      <c r="AE43" s="167" t="e">
        <f t="shared" si="17"/>
        <v>#DIV/0!</v>
      </c>
      <c r="AF43" s="167" t="e">
        <f t="shared" si="18"/>
        <v>#DIV/0!</v>
      </c>
      <c r="AG43" s="177"/>
      <c r="AI43" s="128" t="s">
        <v>43</v>
      </c>
      <c r="AJ43" s="171">
        <f>S43/COMB_CORR!$L35</f>
        <v>3.06119451520975E-3</v>
      </c>
      <c r="AK43" s="171">
        <f>T43/COMB_CORR!$L35</f>
        <v>0.14120318489036673</v>
      </c>
      <c r="AL43" s="177"/>
      <c r="AM43" s="171">
        <f>V43/COMB_CORR!$M35</f>
        <v>2.995030313640905E-3</v>
      </c>
      <c r="AN43" s="171">
        <f>W43/COMB_CORR!$M35</f>
        <v>0.13849448279880619</v>
      </c>
      <c r="AO43" s="177"/>
      <c r="AP43" s="171">
        <f>Y43/COMB_CORR!$N35</f>
        <v>2.8985965868548506E-3</v>
      </c>
      <c r="AQ43" s="171">
        <f>Z43/COMB_CORR!$N35</f>
        <v>0.13447039525391416</v>
      </c>
      <c r="AR43" s="177"/>
      <c r="AS43" s="171">
        <f>AB43/COMB_CORR!$O35</f>
        <v>2.9195655418648814E-3</v>
      </c>
      <c r="AT43" s="171">
        <f>AC43/COMB_CORR!$O35</f>
        <v>0.13652019984893543</v>
      </c>
      <c r="AU43" s="177"/>
      <c r="AV43" s="171" t="e">
        <f>AE43/COMB_CORR!$P35</f>
        <v>#DIV/0!</v>
      </c>
      <c r="AW43" s="171" t="e">
        <f>AF43/COMB_CORR!$P35</f>
        <v>#DIV/0!</v>
      </c>
      <c r="AX43" s="177"/>
    </row>
    <row r="44" spans="1:50">
      <c r="A44" s="129"/>
      <c r="B44" s="129"/>
      <c r="C44" s="129"/>
      <c r="D44" s="129"/>
      <c r="E44" s="129"/>
      <c r="F44" s="129"/>
      <c r="G44" s="129"/>
      <c r="H44" s="129"/>
      <c r="I44" s="129"/>
      <c r="J44" s="129"/>
      <c r="K44" s="129"/>
    </row>
  </sheetData>
  <mergeCells count="23">
    <mergeCell ref="B1:C1"/>
    <mergeCell ref="D1:E1"/>
    <mergeCell ref="F1:G1"/>
    <mergeCell ref="H1:I1"/>
    <mergeCell ref="AP6:AR7"/>
    <mergeCell ref="R6:R8"/>
    <mergeCell ref="S6:U7"/>
    <mergeCell ref="J1:K1"/>
    <mergeCell ref="N6:P7"/>
    <mergeCell ref="AV6:AX7"/>
    <mergeCell ref="A6:A8"/>
    <mergeCell ref="B6:D7"/>
    <mergeCell ref="E6:G7"/>
    <mergeCell ref="H6:J7"/>
    <mergeCell ref="K6:M7"/>
    <mergeCell ref="AS6:AU7"/>
    <mergeCell ref="V6:X7"/>
    <mergeCell ref="Y6:AA7"/>
    <mergeCell ref="AB6:AD7"/>
    <mergeCell ref="AI6:AI8"/>
    <mergeCell ref="AJ6:AL7"/>
    <mergeCell ref="AM6:AO7"/>
    <mergeCell ref="AE6:AG7"/>
  </mergeCells>
  <pageMargins left="0.511811024" right="0.511811024" top="0.78740157499999996" bottom="0.78740157499999996" header="0.31496062000000002" footer="0.31496062000000002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FFFF00"/>
  </sheetPr>
  <dimension ref="A1:DF36"/>
  <sheetViews>
    <sheetView topLeftCell="BY9" workbookViewId="0">
      <selection activeCell="CS38" sqref="CS38"/>
    </sheetView>
  </sheetViews>
  <sheetFormatPr defaultColWidth="8.85546875" defaultRowHeight="15"/>
  <cols>
    <col min="1" max="1" width="11.28515625" customWidth="1"/>
    <col min="2" max="2" width="13.7109375" customWidth="1"/>
    <col min="5" max="5" width="8.140625" bestFit="1" customWidth="1"/>
    <col min="9" max="10" width="13" customWidth="1"/>
    <col min="11" max="11" width="13.7109375" customWidth="1"/>
    <col min="14" max="14" width="8.140625" bestFit="1" customWidth="1"/>
    <col min="18" max="19" width="13" customWidth="1"/>
    <col min="20" max="20" width="13.7109375" customWidth="1"/>
    <col min="23" max="23" width="8.140625" bestFit="1" customWidth="1"/>
    <col min="27" max="28" width="13" customWidth="1"/>
    <col min="29" max="29" width="13.7109375" customWidth="1"/>
    <col min="32" max="32" width="8.140625" bestFit="1" customWidth="1"/>
    <col min="36" max="37" width="13" customWidth="1"/>
    <col min="38" max="38" width="13.7109375" customWidth="1"/>
    <col min="41" max="41" width="8.140625" bestFit="1" customWidth="1"/>
    <col min="45" max="46" width="13" customWidth="1"/>
    <col min="47" max="47" width="8.85546875" style="1"/>
    <col min="48" max="48" width="14.7109375" bestFit="1" customWidth="1"/>
    <col min="49" max="49" width="13.7109375" customWidth="1"/>
    <col min="52" max="52" width="8.140625" bestFit="1" customWidth="1"/>
    <col min="56" max="57" width="13" customWidth="1"/>
    <col min="58" max="58" width="13.7109375" customWidth="1"/>
    <col min="61" max="61" width="8.140625" bestFit="1" customWidth="1"/>
    <col min="65" max="66" width="13" customWidth="1"/>
    <col min="67" max="67" width="13.7109375" customWidth="1"/>
    <col min="70" max="70" width="8.140625" bestFit="1" customWidth="1"/>
    <col min="74" max="75" width="13" customWidth="1"/>
    <col min="76" max="76" width="13.7109375" customWidth="1"/>
    <col min="79" max="79" width="8.140625" bestFit="1" customWidth="1"/>
    <col min="83" max="84" width="13" customWidth="1"/>
    <col min="85" max="85" width="13.7109375" customWidth="1"/>
    <col min="88" max="88" width="8.140625" bestFit="1" customWidth="1"/>
    <col min="92" max="93" width="13" customWidth="1"/>
    <col min="94" max="110" width="8.85546875" style="1"/>
  </cols>
  <sheetData>
    <row r="1" spans="1:93" ht="15.75" customHeight="1" thickBot="1">
      <c r="A1" s="1170" t="s">
        <v>406</v>
      </c>
      <c r="B1" s="1239">
        <v>2004</v>
      </c>
      <c r="C1" s="1240"/>
      <c r="D1" s="1240"/>
      <c r="E1" s="1240"/>
      <c r="F1" s="1240"/>
      <c r="G1" s="1240"/>
      <c r="H1" s="1240"/>
      <c r="I1" s="1240"/>
      <c r="J1" s="1241"/>
      <c r="K1" s="1186">
        <v>2005</v>
      </c>
      <c r="L1" s="1187"/>
      <c r="M1" s="1187"/>
      <c r="N1" s="1187"/>
      <c r="O1" s="1187"/>
      <c r="P1" s="1187"/>
      <c r="Q1" s="1187"/>
      <c r="R1" s="1187"/>
      <c r="S1" s="1188"/>
      <c r="T1" s="1239">
        <v>2006</v>
      </c>
      <c r="U1" s="1240"/>
      <c r="V1" s="1240"/>
      <c r="W1" s="1240"/>
      <c r="X1" s="1240"/>
      <c r="Y1" s="1240"/>
      <c r="Z1" s="1240"/>
      <c r="AA1" s="1240"/>
      <c r="AB1" s="1241"/>
      <c r="AC1" s="1186">
        <v>2007</v>
      </c>
      <c r="AD1" s="1187"/>
      <c r="AE1" s="1187"/>
      <c r="AF1" s="1187"/>
      <c r="AG1" s="1187"/>
      <c r="AH1" s="1187"/>
      <c r="AI1" s="1187"/>
      <c r="AJ1" s="1187"/>
      <c r="AK1" s="1188"/>
      <c r="AL1" s="1239">
        <v>2008</v>
      </c>
      <c r="AM1" s="1240"/>
      <c r="AN1" s="1240"/>
      <c r="AO1" s="1240"/>
      <c r="AP1" s="1240"/>
      <c r="AQ1" s="1240"/>
      <c r="AR1" s="1240"/>
      <c r="AS1" s="1240"/>
      <c r="AT1" s="1241"/>
      <c r="AV1" s="1242" t="s">
        <v>451</v>
      </c>
      <c r="AW1" s="1239">
        <v>2004</v>
      </c>
      <c r="AX1" s="1240"/>
      <c r="AY1" s="1240"/>
      <c r="AZ1" s="1240"/>
      <c r="BA1" s="1240"/>
      <c r="BB1" s="1240"/>
      <c r="BC1" s="1240"/>
      <c r="BD1" s="1240"/>
      <c r="BE1" s="1241"/>
      <c r="BF1" s="1186">
        <v>2005</v>
      </c>
      <c r="BG1" s="1187"/>
      <c r="BH1" s="1187"/>
      <c r="BI1" s="1187"/>
      <c r="BJ1" s="1187"/>
      <c r="BK1" s="1187"/>
      <c r="BL1" s="1187"/>
      <c r="BM1" s="1187"/>
      <c r="BN1" s="1188"/>
      <c r="BO1" s="1239">
        <v>2006</v>
      </c>
      <c r="BP1" s="1240"/>
      <c r="BQ1" s="1240"/>
      <c r="BR1" s="1240"/>
      <c r="BS1" s="1240"/>
      <c r="BT1" s="1240"/>
      <c r="BU1" s="1240"/>
      <c r="BV1" s="1240"/>
      <c r="BW1" s="1241"/>
      <c r="BX1" s="1186">
        <v>2007</v>
      </c>
      <c r="BY1" s="1187"/>
      <c r="BZ1" s="1187"/>
      <c r="CA1" s="1187"/>
      <c r="CB1" s="1187"/>
      <c r="CC1" s="1187"/>
      <c r="CD1" s="1187"/>
      <c r="CE1" s="1187"/>
      <c r="CF1" s="1188"/>
      <c r="CG1" s="1239">
        <v>2008</v>
      </c>
      <c r="CH1" s="1240"/>
      <c r="CI1" s="1240"/>
      <c r="CJ1" s="1240"/>
      <c r="CK1" s="1240"/>
      <c r="CL1" s="1240"/>
      <c r="CM1" s="1240"/>
      <c r="CN1" s="1240"/>
      <c r="CO1" s="1241"/>
    </row>
    <row r="2" spans="1:93" ht="26.25" customHeight="1" thickBot="1">
      <c r="A2" s="1171"/>
      <c r="B2" s="1239" t="s">
        <v>7</v>
      </c>
      <c r="C2" s="1240"/>
      <c r="D2" s="1241"/>
      <c r="E2" s="1239" t="s">
        <v>8</v>
      </c>
      <c r="F2" s="1240"/>
      <c r="G2" s="1241"/>
      <c r="H2" s="1239" t="s">
        <v>83</v>
      </c>
      <c r="I2" s="1240"/>
      <c r="J2" s="1202" t="s">
        <v>96</v>
      </c>
      <c r="K2" s="1239" t="s">
        <v>7</v>
      </c>
      <c r="L2" s="1240"/>
      <c r="M2" s="1241"/>
      <c r="N2" s="1239" t="s">
        <v>8</v>
      </c>
      <c r="O2" s="1240"/>
      <c r="P2" s="1241"/>
      <c r="Q2" s="1239" t="s">
        <v>83</v>
      </c>
      <c r="R2" s="1240"/>
      <c r="S2" s="1202" t="s">
        <v>96</v>
      </c>
      <c r="T2" s="1239" t="s">
        <v>7</v>
      </c>
      <c r="U2" s="1240"/>
      <c r="V2" s="1241"/>
      <c r="W2" s="1239" t="s">
        <v>8</v>
      </c>
      <c r="X2" s="1240"/>
      <c r="Y2" s="1241"/>
      <c r="Z2" s="1239" t="s">
        <v>83</v>
      </c>
      <c r="AA2" s="1240"/>
      <c r="AB2" s="1202" t="s">
        <v>96</v>
      </c>
      <c r="AC2" s="1239" t="s">
        <v>7</v>
      </c>
      <c r="AD2" s="1240"/>
      <c r="AE2" s="1241"/>
      <c r="AF2" s="1239" t="s">
        <v>8</v>
      </c>
      <c r="AG2" s="1240"/>
      <c r="AH2" s="1241"/>
      <c r="AI2" s="1239" t="s">
        <v>83</v>
      </c>
      <c r="AJ2" s="1240"/>
      <c r="AK2" s="1202" t="s">
        <v>96</v>
      </c>
      <c r="AL2" s="1239" t="s">
        <v>7</v>
      </c>
      <c r="AM2" s="1240"/>
      <c r="AN2" s="1241"/>
      <c r="AO2" s="1239" t="s">
        <v>8</v>
      </c>
      <c r="AP2" s="1240"/>
      <c r="AQ2" s="1241"/>
      <c r="AR2" s="1239" t="s">
        <v>83</v>
      </c>
      <c r="AS2" s="1240"/>
      <c r="AT2" s="1202" t="s">
        <v>96</v>
      </c>
      <c r="AV2" s="1243"/>
      <c r="AW2" s="1239" t="s">
        <v>7</v>
      </c>
      <c r="AX2" s="1240"/>
      <c r="AY2" s="1241"/>
      <c r="AZ2" s="1239" t="s">
        <v>8</v>
      </c>
      <c r="BA2" s="1240"/>
      <c r="BB2" s="1241"/>
      <c r="BC2" s="1239" t="s">
        <v>83</v>
      </c>
      <c r="BD2" s="1240"/>
      <c r="BE2" s="1202" t="s">
        <v>96</v>
      </c>
      <c r="BF2" s="1239" t="s">
        <v>7</v>
      </c>
      <c r="BG2" s="1240"/>
      <c r="BH2" s="1241"/>
      <c r="BI2" s="1239" t="s">
        <v>8</v>
      </c>
      <c r="BJ2" s="1240"/>
      <c r="BK2" s="1241"/>
      <c r="BL2" s="1239" t="s">
        <v>83</v>
      </c>
      <c r="BM2" s="1240"/>
      <c r="BN2" s="1202" t="s">
        <v>96</v>
      </c>
      <c r="BO2" s="1239" t="s">
        <v>7</v>
      </c>
      <c r="BP2" s="1240"/>
      <c r="BQ2" s="1241"/>
      <c r="BR2" s="1239" t="s">
        <v>8</v>
      </c>
      <c r="BS2" s="1240"/>
      <c r="BT2" s="1241"/>
      <c r="BU2" s="1239" t="s">
        <v>83</v>
      </c>
      <c r="BV2" s="1240"/>
      <c r="BW2" s="1202" t="s">
        <v>96</v>
      </c>
      <c r="BX2" s="1239" t="s">
        <v>7</v>
      </c>
      <c r="BY2" s="1240"/>
      <c r="BZ2" s="1241"/>
      <c r="CA2" s="1239" t="s">
        <v>8</v>
      </c>
      <c r="CB2" s="1240"/>
      <c r="CC2" s="1241"/>
      <c r="CD2" s="1239" t="s">
        <v>83</v>
      </c>
      <c r="CE2" s="1240"/>
      <c r="CF2" s="1202" t="s">
        <v>96</v>
      </c>
      <c r="CG2" s="1239" t="s">
        <v>7</v>
      </c>
      <c r="CH2" s="1240"/>
      <c r="CI2" s="1241"/>
      <c r="CJ2" s="1239" t="s">
        <v>8</v>
      </c>
      <c r="CK2" s="1240"/>
      <c r="CL2" s="1241"/>
      <c r="CM2" s="1239" t="s">
        <v>83</v>
      </c>
      <c r="CN2" s="1240"/>
      <c r="CO2" s="1202" t="s">
        <v>96</v>
      </c>
    </row>
    <row r="3" spans="1:93" ht="15.75" thickBot="1">
      <c r="A3" s="1172"/>
      <c r="B3" s="134" t="s">
        <v>458</v>
      </c>
      <c r="C3" s="134" t="s">
        <v>459</v>
      </c>
      <c r="D3" s="134" t="s">
        <v>460</v>
      </c>
      <c r="E3" s="134" t="s">
        <v>464</v>
      </c>
      <c r="F3" s="134" t="s">
        <v>471</v>
      </c>
      <c r="G3" s="134" t="s">
        <v>466</v>
      </c>
      <c r="H3" s="134" t="s">
        <v>428</v>
      </c>
      <c r="I3" s="156" t="s">
        <v>468</v>
      </c>
      <c r="J3" s="1203"/>
      <c r="K3" s="134" t="s">
        <v>458</v>
      </c>
      <c r="L3" s="134" t="s">
        <v>459</v>
      </c>
      <c r="M3" s="134" t="s">
        <v>460</v>
      </c>
      <c r="N3" s="134" t="s">
        <v>464</v>
      </c>
      <c r="O3" s="134" t="s">
        <v>471</v>
      </c>
      <c r="P3" s="134" t="s">
        <v>466</v>
      </c>
      <c r="Q3" s="134" t="s">
        <v>428</v>
      </c>
      <c r="R3" s="156" t="s">
        <v>468</v>
      </c>
      <c r="S3" s="1203"/>
      <c r="T3" s="134" t="s">
        <v>458</v>
      </c>
      <c r="U3" s="134" t="s">
        <v>459</v>
      </c>
      <c r="V3" s="134" t="s">
        <v>460</v>
      </c>
      <c r="W3" s="134" t="s">
        <v>464</v>
      </c>
      <c r="X3" s="134" t="s">
        <v>471</v>
      </c>
      <c r="Y3" s="134" t="s">
        <v>466</v>
      </c>
      <c r="Z3" s="134" t="s">
        <v>428</v>
      </c>
      <c r="AA3" s="156" t="s">
        <v>468</v>
      </c>
      <c r="AB3" s="1203"/>
      <c r="AC3" s="134" t="s">
        <v>458</v>
      </c>
      <c r="AD3" s="134" t="s">
        <v>459</v>
      </c>
      <c r="AE3" s="134" t="s">
        <v>460</v>
      </c>
      <c r="AF3" s="134" t="s">
        <v>464</v>
      </c>
      <c r="AG3" s="134" t="s">
        <v>471</v>
      </c>
      <c r="AH3" s="134" t="s">
        <v>466</v>
      </c>
      <c r="AI3" s="134" t="s">
        <v>428</v>
      </c>
      <c r="AJ3" s="156" t="s">
        <v>468</v>
      </c>
      <c r="AK3" s="1203"/>
      <c r="AL3" s="134" t="s">
        <v>458</v>
      </c>
      <c r="AM3" s="134" t="s">
        <v>459</v>
      </c>
      <c r="AN3" s="134" t="s">
        <v>460</v>
      </c>
      <c r="AO3" s="134" t="s">
        <v>464</v>
      </c>
      <c r="AP3" s="134" t="s">
        <v>471</v>
      </c>
      <c r="AQ3" s="134" t="s">
        <v>466</v>
      </c>
      <c r="AR3" s="134" t="s">
        <v>428</v>
      </c>
      <c r="AS3" s="156" t="s">
        <v>468</v>
      </c>
      <c r="AT3" s="1203"/>
      <c r="AV3" s="1244"/>
      <c r="AW3" s="134" t="s">
        <v>458</v>
      </c>
      <c r="AX3" s="134" t="s">
        <v>459</v>
      </c>
      <c r="AY3" s="134" t="s">
        <v>460</v>
      </c>
      <c r="AZ3" s="134" t="s">
        <v>464</v>
      </c>
      <c r="BA3" s="134" t="s">
        <v>471</v>
      </c>
      <c r="BB3" s="134" t="s">
        <v>466</v>
      </c>
      <c r="BC3" s="134" t="s">
        <v>428</v>
      </c>
      <c r="BD3" s="156" t="s">
        <v>468</v>
      </c>
      <c r="BE3" s="1203"/>
      <c r="BF3" s="134" t="s">
        <v>458</v>
      </c>
      <c r="BG3" s="134" t="s">
        <v>459</v>
      </c>
      <c r="BH3" s="134" t="s">
        <v>460</v>
      </c>
      <c r="BI3" s="134" t="s">
        <v>464</v>
      </c>
      <c r="BJ3" s="134" t="s">
        <v>471</v>
      </c>
      <c r="BK3" s="134" t="s">
        <v>466</v>
      </c>
      <c r="BL3" s="134" t="s">
        <v>428</v>
      </c>
      <c r="BM3" s="156" t="s">
        <v>468</v>
      </c>
      <c r="BN3" s="1203"/>
      <c r="BO3" s="134" t="s">
        <v>458</v>
      </c>
      <c r="BP3" s="134" t="s">
        <v>459</v>
      </c>
      <c r="BQ3" s="134" t="s">
        <v>460</v>
      </c>
      <c r="BR3" s="134" t="s">
        <v>464</v>
      </c>
      <c r="BS3" s="134" t="s">
        <v>471</v>
      </c>
      <c r="BT3" s="134" t="s">
        <v>466</v>
      </c>
      <c r="BU3" s="134" t="s">
        <v>428</v>
      </c>
      <c r="BV3" s="156" t="s">
        <v>468</v>
      </c>
      <c r="BW3" s="1203"/>
      <c r="BX3" s="134" t="s">
        <v>458</v>
      </c>
      <c r="BY3" s="134" t="s">
        <v>459</v>
      </c>
      <c r="BZ3" s="134" t="s">
        <v>460</v>
      </c>
      <c r="CA3" s="134" t="s">
        <v>464</v>
      </c>
      <c r="CB3" s="134" t="s">
        <v>471</v>
      </c>
      <c r="CC3" s="134" t="s">
        <v>466</v>
      </c>
      <c r="CD3" s="134" t="s">
        <v>428</v>
      </c>
      <c r="CE3" s="156" t="s">
        <v>468</v>
      </c>
      <c r="CF3" s="1203"/>
      <c r="CG3" s="134" t="s">
        <v>458</v>
      </c>
      <c r="CH3" s="134" t="s">
        <v>459</v>
      </c>
      <c r="CI3" s="134" t="s">
        <v>460</v>
      </c>
      <c r="CJ3" s="134" t="s">
        <v>464</v>
      </c>
      <c r="CK3" s="134" t="s">
        <v>471</v>
      </c>
      <c r="CL3" s="134" t="s">
        <v>466</v>
      </c>
      <c r="CM3" s="134" t="s">
        <v>428</v>
      </c>
      <c r="CN3" s="156" t="s">
        <v>468</v>
      </c>
      <c r="CO3" s="1203"/>
    </row>
    <row r="4" spans="1:93" s="273" customFormat="1" ht="15.75" thickBot="1">
      <c r="A4" s="164" t="s">
        <v>11</v>
      </c>
      <c r="B4" s="429">
        <f>DIST_DSL_CAM!AJ18</f>
        <v>0.13984878865081019</v>
      </c>
      <c r="C4" s="429">
        <f>DIST_DSL_CAM!AK18</f>
        <v>0.16334851789341168</v>
      </c>
      <c r="D4" s="429">
        <f>DIST_DSL_CAM!AL18</f>
        <v>0.17641893945672737</v>
      </c>
      <c r="E4" s="429">
        <f>DIST_DSL_ONI!AJ18</f>
        <v>4.6936502533627175E-2</v>
      </c>
      <c r="F4" s="429">
        <f>DIST_DSL_ONI!AK18</f>
        <v>0.36097457283670165</v>
      </c>
      <c r="G4" s="429">
        <f>DIST_DSL_ONI!AL18</f>
        <v>5.7780153118136689E-2</v>
      </c>
      <c r="H4" s="429">
        <f>DIST_DSL_LEV!AJ11</f>
        <v>1.7193059233224994E-3</v>
      </c>
      <c r="I4" s="429">
        <f>DIST_DSL_LEV!AK11</f>
        <v>6.9622938284071109E-2</v>
      </c>
      <c r="J4" s="429">
        <f>SUM(B4:I4)</f>
        <v>1.0166497186968082</v>
      </c>
      <c r="K4" s="429">
        <f>DIST_DSL_CAM!AM18</f>
        <v>0.13280839110730541</v>
      </c>
      <c r="L4" s="429">
        <f>DIST_DSL_CAM!AN18</f>
        <v>0.15512506740680479</v>
      </c>
      <c r="M4" s="429">
        <f>DIST_DSL_CAM!AO18</f>
        <v>0.17534832356359448</v>
      </c>
      <c r="N4" s="429">
        <f>DIST_DSL_ONI!AM18</f>
        <v>4.5523273312853905E-2</v>
      </c>
      <c r="O4" s="429">
        <f>DIST_DSL_ONI!AN18</f>
        <v>0.34525328560140706</v>
      </c>
      <c r="P4" s="429">
        <f>DIST_DSL_ONI!AO18</f>
        <v>5.5398440404018374E-2</v>
      </c>
      <c r="Q4" s="429">
        <f>DIST_DSL_LEV!AM11</f>
        <v>1.677314692474911E-3</v>
      </c>
      <c r="R4" s="429">
        <f>DIST_DSL_LEV!AN11</f>
        <v>6.9437854698755103E-2</v>
      </c>
      <c r="S4" s="429">
        <f>SUM(K4:R4)</f>
        <v>0.98057195078721415</v>
      </c>
      <c r="T4" s="429">
        <f>DIST_DSL_CAM!AP18</f>
        <v>0.13256562106209169</v>
      </c>
      <c r="U4" s="429">
        <f>DIST_DSL_CAM!AQ18</f>
        <v>0.15484149736518499</v>
      </c>
      <c r="V4" s="429">
        <f>DIST_DSL_CAM!AR18</f>
        <v>0.18466032846111369</v>
      </c>
      <c r="W4" s="429">
        <f>DIST_DSL_ONI!AP18</f>
        <v>4.6838838618309196E-2</v>
      </c>
      <c r="X4" s="429">
        <f>DIST_DSL_ONI!AQ18</f>
        <v>0.34758776464948221</v>
      </c>
      <c r="Y4" s="429">
        <f>DIST_DSL_ONI!AR18</f>
        <v>5.5911918175520069E-2</v>
      </c>
      <c r="Z4" s="429">
        <f>DIST_DSL_LEV!AP11</f>
        <v>1.7079649229778629E-3</v>
      </c>
      <c r="AA4" s="429">
        <f>DIST_DSL_LEV!AQ11</f>
        <v>7.2945840103635515E-2</v>
      </c>
      <c r="AB4" s="429">
        <f>SUM(T4:AA4)</f>
        <v>0.99705977335831519</v>
      </c>
      <c r="AC4" s="429">
        <f>DIST_DSL_CAM!AS18</f>
        <v>0.13208672724952655</v>
      </c>
      <c r="AD4" s="429">
        <f>DIST_DSL_CAM!AT18</f>
        <v>0.15428212481708276</v>
      </c>
      <c r="AE4" s="429">
        <f>DIST_DSL_CAM!AU18</f>
        <v>0.18977739558392934</v>
      </c>
      <c r="AF4" s="429">
        <f>DIST_DSL_ONI!AS18</f>
        <v>4.8056769817497534E-2</v>
      </c>
      <c r="AG4" s="429">
        <f>DIST_DSL_ONI!AT18</f>
        <v>0.35036146799687057</v>
      </c>
      <c r="AH4" s="429">
        <f>DIST_DSL_ONI!AU18</f>
        <v>5.6528467545750589E-2</v>
      </c>
      <c r="AI4" s="429">
        <f>DIST_DSL_LEV!AS11</f>
        <v>1.7290779676846656E-3</v>
      </c>
      <c r="AJ4" s="429">
        <f>DIST_DSL_LEV!AT11</f>
        <v>7.6328496709158547E-2</v>
      </c>
      <c r="AK4" s="430">
        <f>SUM(AC4:AJ4)</f>
        <v>1.0091505276875006</v>
      </c>
      <c r="AL4" s="429" t="e">
        <f>DIST_DSL_CAM!AV18</f>
        <v>#DIV/0!</v>
      </c>
      <c r="AM4" s="429" t="e">
        <f>DIST_DSL_CAM!AW18</f>
        <v>#DIV/0!</v>
      </c>
      <c r="AN4" s="429" t="e">
        <f>DIST_DSL_CAM!AX18</f>
        <v>#DIV/0!</v>
      </c>
      <c r="AO4" s="429" t="e">
        <f>DIST_DSL_ONI!AV18</f>
        <v>#DIV/0!</v>
      </c>
      <c r="AP4" s="429" t="e">
        <f>DIST_DSL_ONI!AW18</f>
        <v>#DIV/0!</v>
      </c>
      <c r="AQ4" s="429" t="e">
        <f>DIST_DSL_ONI!AX18</f>
        <v>#DIV/0!</v>
      </c>
      <c r="AR4" s="429" t="e">
        <f>DIST_DSL_LEV!AV11</f>
        <v>#DIV/0!</v>
      </c>
      <c r="AS4" s="429" t="e">
        <f>DIST_DSL_LEV!AW11</f>
        <v>#DIV/0!</v>
      </c>
      <c r="AT4" s="430" t="e">
        <f>SUM(AL4:AS4)</f>
        <v>#DIV/0!</v>
      </c>
      <c r="AV4" s="164" t="s">
        <v>11</v>
      </c>
      <c r="AW4" s="429">
        <f>B4/$J4</f>
        <v>0.1375584786764858</v>
      </c>
      <c r="AX4" s="429">
        <f t="shared" ref="AX4:BD4" si="0">C4/$J4</f>
        <v>0.16067335178413256</v>
      </c>
      <c r="AY4" s="429">
        <f t="shared" si="0"/>
        <v>0.17352971845885118</v>
      </c>
      <c r="AZ4" s="429">
        <f t="shared" si="0"/>
        <v>4.6167821296200916E-2</v>
      </c>
      <c r="BA4" s="429">
        <f t="shared" si="0"/>
        <v>0.35506287583437951</v>
      </c>
      <c r="BB4" s="429">
        <f t="shared" si="0"/>
        <v>5.6833884921742898E-2</v>
      </c>
      <c r="BC4" s="429">
        <f t="shared" si="0"/>
        <v>1.691148771994341E-3</v>
      </c>
      <c r="BD4" s="429">
        <f t="shared" si="0"/>
        <v>6.8482720256212951E-2</v>
      </c>
      <c r="BE4" s="429">
        <f>SUM(AW4:BD4)</f>
        <v>1.0000000000000002</v>
      </c>
      <c r="BF4" s="429">
        <f>K4/$S4</f>
        <v>0.13543972066576587</v>
      </c>
      <c r="BG4" s="429">
        <f t="shared" ref="BG4:BM4" si="1">L4/$S4</f>
        <v>0.15819855675278968</v>
      </c>
      <c r="BH4" s="429">
        <f t="shared" si="1"/>
        <v>0.17882249581259477</v>
      </c>
      <c r="BI4" s="429">
        <f t="shared" si="1"/>
        <v>4.6425224866270459E-2</v>
      </c>
      <c r="BJ4" s="429">
        <f t="shared" si="1"/>
        <v>0.35209378090433224</v>
      </c>
      <c r="BK4" s="429">
        <f t="shared" si="1"/>
        <v>5.6496048412912371E-2</v>
      </c>
      <c r="BL4" s="429">
        <f t="shared" si="1"/>
        <v>1.7105472893940562E-3</v>
      </c>
      <c r="BM4" s="429">
        <f t="shared" si="1"/>
        <v>7.0813625295940416E-2</v>
      </c>
      <c r="BN4" s="429">
        <f>SUM(BF4:BM4)</f>
        <v>0.99999999999999978</v>
      </c>
      <c r="BO4" s="429">
        <f>T4/$AB4</f>
        <v>0.13295654343328053</v>
      </c>
      <c r="BP4" s="429">
        <f t="shared" ref="BP4:BV4" si="2">U4/$AB4</f>
        <v>0.15529810900267793</v>
      </c>
      <c r="BQ4" s="429">
        <f t="shared" si="2"/>
        <v>0.1852048727621789</v>
      </c>
      <c r="BR4" s="429">
        <f t="shared" si="2"/>
        <v>4.6976961532151432E-2</v>
      </c>
      <c r="BS4" s="429">
        <f t="shared" si="2"/>
        <v>0.34861276518932327</v>
      </c>
      <c r="BT4" s="429">
        <f t="shared" si="2"/>
        <v>5.6076796667060905E-2</v>
      </c>
      <c r="BU4" s="429">
        <f t="shared" si="2"/>
        <v>1.7130015357304646E-3</v>
      </c>
      <c r="BV4" s="429">
        <f t="shared" si="2"/>
        <v>7.3160949877596596E-2</v>
      </c>
      <c r="BW4" s="429">
        <f>SUM(BO4:BV4)</f>
        <v>1.0000000000000002</v>
      </c>
      <c r="BX4" s="429">
        <f>AC4/$AK4</f>
        <v>0.13088902361494806</v>
      </c>
      <c r="BY4" s="429">
        <f t="shared" ref="BY4:CE4" si="3">AD4/$AK4</f>
        <v>0.15288316319927511</v>
      </c>
      <c r="BZ4" s="429">
        <f t="shared" si="3"/>
        <v>0.18805657865413802</v>
      </c>
      <c r="CA4" s="429">
        <f t="shared" si="3"/>
        <v>4.7621012424797618E-2</v>
      </c>
      <c r="CB4" s="429">
        <f t="shared" si="3"/>
        <v>0.34718454619424777</v>
      </c>
      <c r="CC4" s="429">
        <f t="shared" si="3"/>
        <v>5.6015892569850116E-2</v>
      </c>
      <c r="CD4" s="429">
        <f t="shared" si="3"/>
        <v>1.7133994584999136E-3</v>
      </c>
      <c r="CE4" s="429">
        <f t="shared" si="3"/>
        <v>7.5636383884243361E-2</v>
      </c>
      <c r="CF4" s="430">
        <f>SUM(BX4:CE4)</f>
        <v>0.99999999999999989</v>
      </c>
      <c r="CG4" s="429" t="e">
        <f>AL4/$AT4</f>
        <v>#DIV/0!</v>
      </c>
      <c r="CH4" s="429" t="e">
        <f t="shared" ref="CH4:CN4" si="4">AM4/$AT4</f>
        <v>#DIV/0!</v>
      </c>
      <c r="CI4" s="429" t="e">
        <f t="shared" si="4"/>
        <v>#DIV/0!</v>
      </c>
      <c r="CJ4" s="429" t="e">
        <f t="shared" si="4"/>
        <v>#DIV/0!</v>
      </c>
      <c r="CK4" s="429" t="e">
        <f t="shared" si="4"/>
        <v>#DIV/0!</v>
      </c>
      <c r="CL4" s="429" t="e">
        <f t="shared" si="4"/>
        <v>#DIV/0!</v>
      </c>
      <c r="CM4" s="429" t="e">
        <f t="shared" si="4"/>
        <v>#DIV/0!</v>
      </c>
      <c r="CN4" s="429" t="e">
        <f t="shared" si="4"/>
        <v>#DIV/0!</v>
      </c>
      <c r="CO4" s="430" t="e">
        <f>SUM(CG4:CN4)</f>
        <v>#DIV/0!</v>
      </c>
    </row>
    <row r="5" spans="1:93" s="273" customFormat="1" ht="26.25" thickBot="1">
      <c r="A5" s="269" t="s">
        <v>46</v>
      </c>
      <c r="B5" s="429">
        <f>DIST_DSL_CAM!AJ19</f>
        <v>0.15810179624163334</v>
      </c>
      <c r="C5" s="429">
        <f>DIST_DSL_CAM!AK19</f>
        <v>0.18466511895483165</v>
      </c>
      <c r="D5" s="429">
        <f>DIST_DSL_CAM!AL19</f>
        <v>0.13990205744078707</v>
      </c>
      <c r="E5" s="429">
        <f>DIST_DSL_ONI!AJ19</f>
        <v>2.4651642517958233E-2</v>
      </c>
      <c r="F5" s="429">
        <f>DIST_DSL_ONI!AK19</f>
        <v>0.19437334281684118</v>
      </c>
      <c r="G5" s="429">
        <f>DIST_DSL_ONI!AL19</f>
        <v>4.3350043656182051E-2</v>
      </c>
      <c r="H5" s="429">
        <f>DIST_DSL_LEV!AJ12</f>
        <v>1.1836531860627997E-3</v>
      </c>
      <c r="I5" s="429">
        <f>DIST_DSL_LEV!AK12</f>
        <v>6.1676286487670498E-2</v>
      </c>
      <c r="J5" s="429">
        <f t="shared" ref="J5:J36" si="5">SUM(B5:I5)</f>
        <v>0.80790394130196685</v>
      </c>
      <c r="K5" s="429">
        <f>DIST_DSL_CAM!AM19</f>
        <v>0.14162071424462516</v>
      </c>
      <c r="L5" s="429">
        <f>DIST_DSL_CAM!AN19</f>
        <v>0.16541501570108627</v>
      </c>
      <c r="M5" s="429">
        <f>DIST_DSL_CAM!AO19</f>
        <v>0.12781023898480096</v>
      </c>
      <c r="N5" s="429">
        <f>DIST_DSL_ONI!AM19</f>
        <v>2.2431686548490374E-2</v>
      </c>
      <c r="O5" s="429">
        <f>DIST_DSL_ONI!AN19</f>
        <v>0.17948213332796314</v>
      </c>
      <c r="P5" s="429">
        <f>DIST_DSL_ONI!AO19</f>
        <v>4.002900048797188E-2</v>
      </c>
      <c r="Q5" s="429">
        <f>DIST_DSL_LEV!AM12</f>
        <v>1.1093336570612798E-3</v>
      </c>
      <c r="R5" s="429">
        <f>DIST_DSL_LEV!AN12</f>
        <v>5.795828009501864E-2</v>
      </c>
      <c r="S5" s="429">
        <f t="shared" ref="S5:S36" si="6">SUM(K5:R5)</f>
        <v>0.73585640304701772</v>
      </c>
      <c r="T5" s="429">
        <f>DIST_DSL_CAM!AP19</f>
        <v>0.13993062421023514</v>
      </c>
      <c r="U5" s="429">
        <f>DIST_DSL_CAM!AQ19</f>
        <v>0.16344101833938024</v>
      </c>
      <c r="V5" s="429">
        <f>DIST_DSL_CAM!AR19</f>
        <v>0.13053894439245461</v>
      </c>
      <c r="W5" s="429">
        <f>DIST_DSL_ONI!AP19</f>
        <v>2.250540101509842E-2</v>
      </c>
      <c r="X5" s="429">
        <f>DIST_DSL_ONI!AQ19</f>
        <v>0.18734143478103055</v>
      </c>
      <c r="Y5" s="429">
        <f>DIST_DSL_ONI!AR19</f>
        <v>4.1781880603990552E-2</v>
      </c>
      <c r="Z5" s="429">
        <f>DIST_DSL_LEV!AP12</f>
        <v>1.1398638789754769E-3</v>
      </c>
      <c r="AA5" s="429">
        <f>DIST_DSL_LEV!AQ12</f>
        <v>6.0309996158072879E-2</v>
      </c>
      <c r="AB5" s="429">
        <f t="shared" ref="AB5:AB36" si="7">SUM(T5:AA5)</f>
        <v>0.74698916337923782</v>
      </c>
      <c r="AC5" s="429">
        <f>DIST_DSL_CAM!AS19</f>
        <v>0.13921425753331257</v>
      </c>
      <c r="AD5" s="429">
        <f>DIST_DSL_CAM!AT19</f>
        <v>0.16260427905340122</v>
      </c>
      <c r="AE5" s="429">
        <f>DIST_DSL_CAM!AU19</f>
        <v>0.13306057619171749</v>
      </c>
      <c r="AF5" s="429">
        <f>DIST_DSL_ONI!AS19</f>
        <v>2.2949096436107149E-2</v>
      </c>
      <c r="AG5" s="429">
        <f>DIST_DSL_ONI!AT19</f>
        <v>0.197271103978197</v>
      </c>
      <c r="AH5" s="429">
        <f>DIST_DSL_ONI!AU19</f>
        <v>4.3996323304770261E-2</v>
      </c>
      <c r="AI5" s="429">
        <f>DIST_DSL_LEV!AS12</f>
        <v>1.1592775170228174E-3</v>
      </c>
      <c r="AJ5" s="429">
        <f>DIST_DSL_LEV!AT12</f>
        <v>6.2574735099027931E-2</v>
      </c>
      <c r="AK5" s="430">
        <f t="shared" ref="AK5:AK36" si="8">SUM(AC5:AJ5)</f>
        <v>0.76282964911355633</v>
      </c>
      <c r="AL5" s="429" t="e">
        <f>DIST_DSL_CAM!AV19</f>
        <v>#DIV/0!</v>
      </c>
      <c r="AM5" s="429" t="e">
        <f>DIST_DSL_CAM!AW19</f>
        <v>#DIV/0!</v>
      </c>
      <c r="AN5" s="429" t="e">
        <f>DIST_DSL_CAM!AX19</f>
        <v>#DIV/0!</v>
      </c>
      <c r="AO5" s="429" t="e">
        <f>DIST_DSL_ONI!AV19</f>
        <v>#DIV/0!</v>
      </c>
      <c r="AP5" s="429" t="e">
        <f>DIST_DSL_ONI!AW19</f>
        <v>#DIV/0!</v>
      </c>
      <c r="AQ5" s="429" t="e">
        <f>DIST_DSL_ONI!AX19</f>
        <v>#DIV/0!</v>
      </c>
      <c r="AR5" s="429" t="e">
        <f>DIST_DSL_LEV!AV12</f>
        <v>#DIV/0!</v>
      </c>
      <c r="AS5" s="429" t="e">
        <f>DIST_DSL_LEV!AW12</f>
        <v>#DIV/0!</v>
      </c>
      <c r="AT5" s="430" t="e">
        <f t="shared" ref="AT5:AT36" si="9">SUM(AL5:AS5)</f>
        <v>#DIV/0!</v>
      </c>
      <c r="AV5" s="269" t="s">
        <v>46</v>
      </c>
      <c r="AW5" s="429">
        <f t="shared" ref="AW5:AW36" si="10">B5/$J5</f>
        <v>0.19569380486849278</v>
      </c>
      <c r="AX5" s="429">
        <f t="shared" ref="AX5:AX36" si="11">C5/$J5</f>
        <v>0.22857311310703229</v>
      </c>
      <c r="AY5" s="429">
        <f t="shared" ref="AY5:AY36" si="12">D5/$J5</f>
        <v>0.17316669753501854</v>
      </c>
      <c r="AZ5" s="429">
        <f t="shared" ref="AZ5:AZ36" si="13">E5/$J5</f>
        <v>3.0513086095645486E-2</v>
      </c>
      <c r="BA5" s="429">
        <f t="shared" ref="BA5:BA36" si="14">F5/$J5</f>
        <v>0.24058967023183647</v>
      </c>
      <c r="BB5" s="429">
        <f t="shared" ref="BB5:BB36" si="15">G5/$J5</f>
        <v>5.3657423166325768E-2</v>
      </c>
      <c r="BC5" s="429">
        <f t="shared" ref="BC5:BC36" si="16">H5/$J5</f>
        <v>1.4650914861924044E-3</v>
      </c>
      <c r="BD5" s="429">
        <f t="shared" ref="BD5:BD36" si="17">I5/$J5</f>
        <v>7.6341113509456215E-2</v>
      </c>
      <c r="BE5" s="429">
        <f t="shared" ref="BE5:BE36" si="18">SUM(AW5:BD5)</f>
        <v>1.0000000000000002</v>
      </c>
      <c r="BF5" s="429">
        <f t="shared" ref="BF5:BF36" si="19">K5/$S5</f>
        <v>0.19245699793900722</v>
      </c>
      <c r="BG5" s="429">
        <f t="shared" ref="BG5:BG36" si="20">L5/$S5</f>
        <v>0.22479252068221392</v>
      </c>
      <c r="BH5" s="429">
        <f t="shared" ref="BH5:BH36" si="21">M5/$S5</f>
        <v>0.1736891035473323</v>
      </c>
      <c r="BI5" s="429">
        <f t="shared" ref="BI5:BI36" si="22">N5/$S5</f>
        <v>3.0483782509203899E-2</v>
      </c>
      <c r="BJ5" s="429">
        <f t="shared" ref="BJ5:BJ36" si="23">O5/$S5</f>
        <v>0.24390918198818076</v>
      </c>
      <c r="BK5" s="429">
        <f t="shared" ref="BK5:BK36" si="24">P5/$S5</f>
        <v>5.4397842190705537E-2</v>
      </c>
      <c r="BL5" s="429">
        <f t="shared" ref="BL5:BL36" si="25">Q5/$S5</f>
        <v>1.5075409447655491E-3</v>
      </c>
      <c r="BM5" s="429">
        <f t="shared" ref="BM5:BM36" si="26">R5/$S5</f>
        <v>7.8763030198590767E-2</v>
      </c>
      <c r="BN5" s="429">
        <f t="shared" ref="BN5:BN36" si="27">SUM(BF5:BM5)</f>
        <v>1</v>
      </c>
      <c r="BO5" s="429">
        <f t="shared" ref="BO5:BO36" si="28">T5/$AB5</f>
        <v>0.18732617696515896</v>
      </c>
      <c r="BP5" s="429">
        <f t="shared" ref="BP5:BP36" si="29">U5/$AB5</f>
        <v>0.21879971805749357</v>
      </c>
      <c r="BQ5" s="429">
        <f t="shared" ref="BQ5:BQ36" si="30">V5/$AB5</f>
        <v>0.17475346469809697</v>
      </c>
      <c r="BR5" s="429">
        <f t="shared" ref="BR5:BR36" si="31">W5/$AB5</f>
        <v>3.0128149266969603E-2</v>
      </c>
      <c r="BS5" s="429">
        <f t="shared" ref="BS5:BS36" si="32">X5/$AB5</f>
        <v>0.25079538494713</v>
      </c>
      <c r="BT5" s="429">
        <f t="shared" ref="BT5:BT36" si="33">Y5/$AB5</f>
        <v>5.5933717184031451E-2</v>
      </c>
      <c r="BU5" s="429">
        <f t="shared" ref="BU5:BU36" si="34">Z5/$AB5</f>
        <v>1.5259443307302453E-3</v>
      </c>
      <c r="BV5" s="429">
        <f t="shared" ref="BV5:BV36" si="35">AA5/$AB5</f>
        <v>8.0737444550389267E-2</v>
      </c>
      <c r="BW5" s="429">
        <f t="shared" ref="BW5:BW36" si="36">SUM(BO5:BV5)</f>
        <v>1</v>
      </c>
      <c r="BX5" s="429">
        <f t="shared" ref="BX5:BX36" si="37">AC5/$AK5</f>
        <v>0.18249717705006097</v>
      </c>
      <c r="BY5" s="429">
        <f t="shared" ref="BY5:BY36" si="38">AD5/$AK5</f>
        <v>0.21315935902905056</v>
      </c>
      <c r="BZ5" s="429">
        <f t="shared" ref="BZ5:BZ36" si="39">AE5/$AK5</f>
        <v>0.17443026283304547</v>
      </c>
      <c r="CA5" s="429">
        <f t="shared" ref="CA5:CA36" si="40">AF5/$AK5</f>
        <v>3.0084169464014765E-2</v>
      </c>
      <c r="CB5" s="429">
        <f t="shared" ref="CB5:CB36" si="41">AG5/$AK5</f>
        <v>0.25860440034998017</v>
      </c>
      <c r="CC5" s="429">
        <f t="shared" ref="CC5:CC36" si="42">AH5/$AK5</f>
        <v>5.7675161624742878E-2</v>
      </c>
      <c r="CD5" s="429">
        <f t="shared" ref="CD5:CD36" si="43">AI5/$AK5</f>
        <v>1.5197069468523567E-3</v>
      </c>
      <c r="CE5" s="429">
        <f t="shared" ref="CE5:CE36" si="44">AJ5/$AK5</f>
        <v>8.2029762702252984E-2</v>
      </c>
      <c r="CF5" s="430">
        <f t="shared" ref="CF5:CF36" si="45">SUM(BX5:CE5)</f>
        <v>1</v>
      </c>
      <c r="CG5" s="429" t="e">
        <f t="shared" ref="CG5:CG36" si="46">AL5/$AT5</f>
        <v>#DIV/0!</v>
      </c>
      <c r="CH5" s="429" t="e">
        <f t="shared" ref="CH5:CH36" si="47">AM5/$AT5</f>
        <v>#DIV/0!</v>
      </c>
      <c r="CI5" s="429" t="e">
        <f t="shared" ref="CI5:CI36" si="48">AN5/$AT5</f>
        <v>#DIV/0!</v>
      </c>
      <c r="CJ5" s="429" t="e">
        <f t="shared" ref="CJ5:CJ36" si="49">AO5/$AT5</f>
        <v>#DIV/0!</v>
      </c>
      <c r="CK5" s="429" t="e">
        <f t="shared" ref="CK5:CK36" si="50">AP5/$AT5</f>
        <v>#DIV/0!</v>
      </c>
      <c r="CL5" s="429" t="e">
        <f t="shared" ref="CL5:CL36" si="51">AQ5/$AT5</f>
        <v>#DIV/0!</v>
      </c>
      <c r="CM5" s="429" t="e">
        <f t="shared" ref="CM5:CM36" si="52">AR5/$AT5</f>
        <v>#DIV/0!</v>
      </c>
      <c r="CN5" s="429" t="e">
        <f t="shared" ref="CN5:CN36" si="53">AS5/$AT5</f>
        <v>#DIV/0!</v>
      </c>
      <c r="CO5" s="430" t="e">
        <f t="shared" ref="CO5:CO36" si="54">SUM(CG5:CN5)</f>
        <v>#DIV/0!</v>
      </c>
    </row>
    <row r="6" spans="1:93" ht="15.75" thickBot="1">
      <c r="A6" s="127" t="s">
        <v>13</v>
      </c>
      <c r="B6" s="188">
        <f>DIST_DSL_CAM!AJ20</f>
        <v>0.22129413627007224</v>
      </c>
      <c r="C6" s="188">
        <f>DIST_DSL_CAM!AK20</f>
        <v>0.25845839686473315</v>
      </c>
      <c r="D6" s="188">
        <f>DIST_DSL_CAM!AL20</f>
        <v>0.12221168320971255</v>
      </c>
      <c r="E6" s="188">
        <f>DIST_DSL_ONI!AJ20</f>
        <v>1.2252423783292001E-2</v>
      </c>
      <c r="F6" s="188">
        <f>DIST_DSL_ONI!AK20</f>
        <v>0.14010089722779953</v>
      </c>
      <c r="G6" s="188">
        <f>DIST_DSL_ONI!AL20</f>
        <v>3.1263838502748983E-2</v>
      </c>
      <c r="H6" s="188">
        <f>DIST_DSL_LEV!AJ13</f>
        <v>2.4671273180715452E-3</v>
      </c>
      <c r="I6" s="188">
        <f>DIST_DSL_LEV!AK13</f>
        <v>0.12287006287762771</v>
      </c>
      <c r="J6" s="188">
        <f t="shared" si="5"/>
        <v>0.91091856605405763</v>
      </c>
      <c r="K6" s="188">
        <f>DIST_DSL_CAM!AM20</f>
        <v>0.20090072394438388</v>
      </c>
      <c r="L6" s="188">
        <f>DIST_DSL_CAM!AN20</f>
        <v>0.23464010350577025</v>
      </c>
      <c r="M6" s="188">
        <f>DIST_DSL_CAM!AO20</f>
        <v>0.11452894583021304</v>
      </c>
      <c r="N6" s="188">
        <f>DIST_DSL_ONI!AM20</f>
        <v>1.1437550851513578E-2</v>
      </c>
      <c r="O6" s="188">
        <f>DIST_DSL_ONI!AN20</f>
        <v>0.1202145248916248</v>
      </c>
      <c r="P6" s="188">
        <f>DIST_DSL_ONI!AO20</f>
        <v>2.6826148627624218E-2</v>
      </c>
      <c r="Q6" s="188">
        <f>DIST_DSL_LEV!AM13</f>
        <v>2.3428119714879749E-3</v>
      </c>
      <c r="R6" s="188">
        <f>DIST_DSL_LEV!AN13</f>
        <v>0.11522654415858855</v>
      </c>
      <c r="S6" s="188">
        <f t="shared" si="6"/>
        <v>0.82611735378120621</v>
      </c>
      <c r="T6" s="188">
        <f>DIST_DSL_CAM!AP20</f>
        <v>0.21496970628277343</v>
      </c>
      <c r="U6" s="188">
        <f>DIST_DSL_CAM!AQ20</f>
        <v>0.25107183858012694</v>
      </c>
      <c r="V6" s="188">
        <f>DIST_DSL_CAM!AR20</f>
        <v>0.13004509272309747</v>
      </c>
      <c r="W6" s="188">
        <f>DIST_DSL_ONI!AP20</f>
        <v>1.3728949724683118E-2</v>
      </c>
      <c r="X6" s="188">
        <f>DIST_DSL_ONI!AQ20</f>
        <v>0.14243220591840786</v>
      </c>
      <c r="Y6" s="188">
        <f>DIST_DSL_ONI!AR20</f>
        <v>3.1784075416612025E-2</v>
      </c>
      <c r="Z6" s="188">
        <f>DIST_DSL_LEV!AP13</f>
        <v>2.5505279071600996E-3</v>
      </c>
      <c r="AA6" s="188">
        <f>DIST_DSL_LEV!AQ13</f>
        <v>0.12545194864656314</v>
      </c>
      <c r="AB6" s="188">
        <f t="shared" si="7"/>
        <v>0.91203434519942417</v>
      </c>
      <c r="AC6" s="188">
        <f>DIST_DSL_CAM!AS20</f>
        <v>0.16943653797163066</v>
      </c>
      <c r="AD6" s="188">
        <f>DIST_DSL_CAM!AT20</f>
        <v>0.19789180460259947</v>
      </c>
      <c r="AE6" s="188">
        <f>DIST_DSL_CAM!AU20</f>
        <v>0.10412504335667749</v>
      </c>
      <c r="AF6" s="188">
        <f>DIST_DSL_ONI!AS20</f>
        <v>1.2056938069041184E-2</v>
      </c>
      <c r="AG6" s="188">
        <f>DIST_DSL_ONI!AT20</f>
        <v>0.11725888651450335</v>
      </c>
      <c r="AH6" s="188">
        <f>DIST_DSL_ONI!AU20</f>
        <v>2.6166591103559216E-2</v>
      </c>
      <c r="AI6" s="188">
        <f>DIST_DSL_LEV!AS13</f>
        <v>2.0433829553531796E-3</v>
      </c>
      <c r="AJ6" s="188">
        <f>DIST_DSL_LEV!AT13</f>
        <v>0.10121231904361529</v>
      </c>
      <c r="AK6" s="189">
        <f t="shared" si="8"/>
        <v>0.73019150361697993</v>
      </c>
      <c r="AL6" s="188" t="e">
        <f>DIST_DSL_CAM!AV20</f>
        <v>#DIV/0!</v>
      </c>
      <c r="AM6" s="188" t="e">
        <f>DIST_DSL_CAM!AW20</f>
        <v>#DIV/0!</v>
      </c>
      <c r="AN6" s="188" t="e">
        <f>DIST_DSL_CAM!AX20</f>
        <v>#DIV/0!</v>
      </c>
      <c r="AO6" s="188" t="e">
        <f>DIST_DSL_ONI!AV20</f>
        <v>#DIV/0!</v>
      </c>
      <c r="AP6" s="188" t="e">
        <f>DIST_DSL_ONI!AW20</f>
        <v>#DIV/0!</v>
      </c>
      <c r="AQ6" s="188" t="e">
        <f>DIST_DSL_ONI!AX20</f>
        <v>#DIV/0!</v>
      </c>
      <c r="AR6" s="188" t="e">
        <f>DIST_DSL_LEV!AV13</f>
        <v>#DIV/0!</v>
      </c>
      <c r="AS6" s="188" t="e">
        <f>DIST_DSL_LEV!AW13</f>
        <v>#DIV/0!</v>
      </c>
      <c r="AT6" s="189" t="e">
        <f t="shared" si="9"/>
        <v>#DIV/0!</v>
      </c>
      <c r="AV6" s="127" t="s">
        <v>13</v>
      </c>
      <c r="AW6" s="188">
        <f t="shared" si="10"/>
        <v>0.24293514757162141</v>
      </c>
      <c r="AX6" s="188">
        <f t="shared" si="11"/>
        <v>0.28373381166697526</v>
      </c>
      <c r="AY6" s="188">
        <f t="shared" si="12"/>
        <v>0.13416312694021873</v>
      </c>
      <c r="AZ6" s="188">
        <f t="shared" si="13"/>
        <v>1.3450624720898368E-2</v>
      </c>
      <c r="BA6" s="188">
        <f t="shared" si="14"/>
        <v>0.15380178036626532</v>
      </c>
      <c r="BB6" s="188">
        <f t="shared" si="15"/>
        <v>3.4321222190232162E-2</v>
      </c>
      <c r="BC6" s="188">
        <f t="shared" si="16"/>
        <v>2.7083950311373233E-3</v>
      </c>
      <c r="BD6" s="188">
        <f t="shared" si="17"/>
        <v>0.13488589151265151</v>
      </c>
      <c r="BE6" s="188">
        <f t="shared" si="18"/>
        <v>1</v>
      </c>
      <c r="BF6" s="188">
        <f t="shared" si="19"/>
        <v>0.24318666473333958</v>
      </c>
      <c r="BG6" s="188">
        <f t="shared" si="20"/>
        <v>0.28402756876102825</v>
      </c>
      <c r="BH6" s="188">
        <f t="shared" si="21"/>
        <v>0.13863520153160414</v>
      </c>
      <c r="BI6" s="188">
        <f t="shared" si="22"/>
        <v>1.3844946845823996E-2</v>
      </c>
      <c r="BJ6" s="188">
        <f t="shared" si="23"/>
        <v>0.1455174913605109</v>
      </c>
      <c r="BK6" s="188">
        <f t="shared" si="24"/>
        <v>3.2472563982391553E-2</v>
      </c>
      <c r="BL6" s="188">
        <f t="shared" si="25"/>
        <v>2.8359311915731275E-3</v>
      </c>
      <c r="BM6" s="188">
        <f t="shared" si="26"/>
        <v>0.13947963159372853</v>
      </c>
      <c r="BN6" s="188">
        <f t="shared" si="27"/>
        <v>1</v>
      </c>
      <c r="BO6" s="188">
        <f t="shared" si="28"/>
        <v>0.23570352083151919</v>
      </c>
      <c r="BP6" s="188">
        <f t="shared" si="29"/>
        <v>0.27528770150122789</v>
      </c>
      <c r="BQ6" s="188">
        <f t="shared" si="30"/>
        <v>0.14258793367552622</v>
      </c>
      <c r="BR6" s="188">
        <f t="shared" si="31"/>
        <v>1.5053106055650968E-2</v>
      </c>
      <c r="BS6" s="188">
        <f t="shared" si="32"/>
        <v>0.1561697831535761</v>
      </c>
      <c r="BT6" s="188">
        <f t="shared" si="33"/>
        <v>3.4849647476446914E-2</v>
      </c>
      <c r="BU6" s="188">
        <f t="shared" si="34"/>
        <v>2.7965261621835137E-3</v>
      </c>
      <c r="BV6" s="188">
        <f t="shared" si="35"/>
        <v>0.1375517811438691</v>
      </c>
      <c r="BW6" s="188">
        <f t="shared" si="36"/>
        <v>1</v>
      </c>
      <c r="BX6" s="188">
        <f t="shared" si="37"/>
        <v>0.23204397357724962</v>
      </c>
      <c r="BY6" s="188">
        <f t="shared" si="38"/>
        <v>0.27101356784124281</v>
      </c>
      <c r="BZ6" s="188">
        <f t="shared" si="39"/>
        <v>0.14259963700056419</v>
      </c>
      <c r="CA6" s="188">
        <f t="shared" si="40"/>
        <v>1.6512021859084271E-2</v>
      </c>
      <c r="CB6" s="188">
        <f t="shared" si="41"/>
        <v>0.16058648441356171</v>
      </c>
      <c r="CC6" s="188">
        <f t="shared" si="42"/>
        <v>3.5835244554262624E-2</v>
      </c>
      <c r="CD6" s="188">
        <f t="shared" si="43"/>
        <v>2.7984206132656273E-3</v>
      </c>
      <c r="CE6" s="188">
        <f t="shared" si="44"/>
        <v>0.13861065014076904</v>
      </c>
      <c r="CF6" s="189">
        <f t="shared" si="45"/>
        <v>0.99999999999999989</v>
      </c>
      <c r="CG6" s="188" t="e">
        <f t="shared" si="46"/>
        <v>#DIV/0!</v>
      </c>
      <c r="CH6" s="188" t="e">
        <f t="shared" si="47"/>
        <v>#DIV/0!</v>
      </c>
      <c r="CI6" s="188" t="e">
        <f t="shared" si="48"/>
        <v>#DIV/0!</v>
      </c>
      <c r="CJ6" s="188" t="e">
        <f t="shared" si="49"/>
        <v>#DIV/0!</v>
      </c>
      <c r="CK6" s="188" t="e">
        <f t="shared" si="50"/>
        <v>#DIV/0!</v>
      </c>
      <c r="CL6" s="188" t="e">
        <f t="shared" si="51"/>
        <v>#DIV/0!</v>
      </c>
      <c r="CM6" s="188" t="e">
        <f t="shared" si="52"/>
        <v>#DIV/0!</v>
      </c>
      <c r="CN6" s="188" t="e">
        <f t="shared" si="53"/>
        <v>#DIV/0!</v>
      </c>
      <c r="CO6" s="189" t="e">
        <f t="shared" si="54"/>
        <v>#DIV/0!</v>
      </c>
    </row>
    <row r="7" spans="1:93" ht="15.75" thickBot="1">
      <c r="A7" s="127" t="s">
        <v>14</v>
      </c>
      <c r="B7" s="188">
        <f>DIST_DSL_CAM!AJ21</f>
        <v>5.6437230701614334E-2</v>
      </c>
      <c r="C7" s="188">
        <f>DIST_DSL_CAM!AK21</f>
        <v>6.5905153139112799E-2</v>
      </c>
      <c r="D7" s="188">
        <f>DIST_DSL_CAM!AL21</f>
        <v>2.5756785580140325E-2</v>
      </c>
      <c r="E7" s="188">
        <f>DIST_DSL_ONI!AJ21</f>
        <v>8.9216482097254721E-3</v>
      </c>
      <c r="F7" s="188">
        <f>DIST_DSL_ONI!AK21</f>
        <v>5.8183029690736222E-2</v>
      </c>
      <c r="G7" s="188">
        <f>DIST_DSL_ONI!AL21</f>
        <v>1.2941467720080339E-2</v>
      </c>
      <c r="H7" s="188">
        <f>DIST_DSL_LEV!AJ14</f>
        <v>5.531964915231201E-4</v>
      </c>
      <c r="I7" s="188">
        <f>DIST_DSL_LEV!AK14</f>
        <v>3.0824115716361011E-2</v>
      </c>
      <c r="J7" s="188">
        <f t="shared" si="5"/>
        <v>0.25952262724929365</v>
      </c>
      <c r="K7" s="188">
        <f>DIST_DSL_CAM!AM21</f>
        <v>5.596030015762981E-2</v>
      </c>
      <c r="L7" s="188">
        <f>DIST_DSL_CAM!AN21</f>
        <v>6.5348212620464682E-2</v>
      </c>
      <c r="M7" s="188">
        <f>DIST_DSL_CAM!AO21</f>
        <v>2.4661323057912625E-2</v>
      </c>
      <c r="N7" s="188">
        <f>DIST_DSL_ONI!AM21</f>
        <v>9.2685165083598656E-3</v>
      </c>
      <c r="O7" s="188">
        <f>DIST_DSL_ONI!AN21</f>
        <v>5.7724330009754181E-2</v>
      </c>
      <c r="P7" s="188">
        <f>DIST_DSL_ONI!AO21</f>
        <v>1.2839440597288806E-2</v>
      </c>
      <c r="Q7" s="188">
        <f>DIST_DSL_LEV!AM14</f>
        <v>5.8562572912167459E-4</v>
      </c>
      <c r="R7" s="188">
        <f>DIST_DSL_LEV!AN14</f>
        <v>3.2997625210142982E-2</v>
      </c>
      <c r="S7" s="188">
        <f t="shared" si="6"/>
        <v>0.25938537389067462</v>
      </c>
      <c r="T7" s="188">
        <f>DIST_DSL_CAM!AP21</f>
        <v>5.0320626561958418E-2</v>
      </c>
      <c r="U7" s="188">
        <f>DIST_DSL_CAM!AQ21</f>
        <v>5.876242612178903E-2</v>
      </c>
      <c r="V7" s="188">
        <f>DIST_DSL_CAM!AR21</f>
        <v>2.5194287531268716E-2</v>
      </c>
      <c r="W7" s="188">
        <f>DIST_DSL_ONI!AP21</f>
        <v>8.8187080396722236E-3</v>
      </c>
      <c r="X7" s="188">
        <f>DIST_DSL_ONI!AQ21</f>
        <v>5.8343116989828588E-2</v>
      </c>
      <c r="Y7" s="188">
        <f>DIST_DSL_ONI!AR21</f>
        <v>1.2977075432923943E-2</v>
      </c>
      <c r="Z7" s="188">
        <f>DIST_DSL_LEV!AP14</f>
        <v>5.6390983300682121E-4</v>
      </c>
      <c r="AA7" s="188">
        <f>DIST_DSL_LEV!AQ14</f>
        <v>3.2138728133763096E-2</v>
      </c>
      <c r="AB7" s="188">
        <f t="shared" si="7"/>
        <v>0.24711887864421084</v>
      </c>
      <c r="AC7" s="188">
        <f>DIST_DSL_CAM!AS21</f>
        <v>4.229116031203535E-2</v>
      </c>
      <c r="AD7" s="188">
        <f>DIST_DSL_CAM!AT21</f>
        <v>4.9385934819011837E-2</v>
      </c>
      <c r="AE7" s="188">
        <f>DIST_DSL_CAM!AU21</f>
        <v>1.9852482883942861E-2</v>
      </c>
      <c r="AF7" s="188">
        <f>DIST_DSL_ONI!AS21</f>
        <v>7.9981838350481494E-3</v>
      </c>
      <c r="AG7" s="188">
        <f>DIST_DSL_ONI!AT21</f>
        <v>5.3531203320837717E-2</v>
      </c>
      <c r="AH7" s="188">
        <f>DIST_DSL_ONI!AU21</f>
        <v>1.1906776657661412E-2</v>
      </c>
      <c r="AI7" s="188">
        <f>DIST_DSL_LEV!AS14</f>
        <v>4.7491828581487324E-4</v>
      </c>
      <c r="AJ7" s="188">
        <f>DIST_DSL_LEV!AT14</f>
        <v>2.8233866960077E-2</v>
      </c>
      <c r="AK7" s="189">
        <f t="shared" si="8"/>
        <v>0.21367452707442919</v>
      </c>
      <c r="AL7" s="188" t="e">
        <f>DIST_DSL_CAM!AV21</f>
        <v>#DIV/0!</v>
      </c>
      <c r="AM7" s="188" t="e">
        <f>DIST_DSL_CAM!AW21</f>
        <v>#DIV/0!</v>
      </c>
      <c r="AN7" s="188" t="e">
        <f>DIST_DSL_CAM!AX21</f>
        <v>#DIV/0!</v>
      </c>
      <c r="AO7" s="188" t="e">
        <f>DIST_DSL_ONI!AV21</f>
        <v>#DIV/0!</v>
      </c>
      <c r="AP7" s="188" t="e">
        <f>DIST_DSL_ONI!AW21</f>
        <v>#DIV/0!</v>
      </c>
      <c r="AQ7" s="188" t="e">
        <f>DIST_DSL_ONI!AX21</f>
        <v>#DIV/0!</v>
      </c>
      <c r="AR7" s="188" t="e">
        <f>DIST_DSL_LEV!AV14</f>
        <v>#DIV/0!</v>
      </c>
      <c r="AS7" s="188" t="e">
        <f>DIST_DSL_LEV!AW14</f>
        <v>#DIV/0!</v>
      </c>
      <c r="AT7" s="189" t="e">
        <f t="shared" si="9"/>
        <v>#DIV/0!</v>
      </c>
      <c r="AV7" s="127" t="s">
        <v>14</v>
      </c>
      <c r="AW7" s="188">
        <f t="shared" si="10"/>
        <v>0.21746554934264578</v>
      </c>
      <c r="AX7" s="188">
        <f t="shared" si="11"/>
        <v>0.25394761850882958</v>
      </c>
      <c r="AY7" s="188">
        <f t="shared" si="12"/>
        <v>9.9246781882331728E-2</v>
      </c>
      <c r="AZ7" s="188">
        <f t="shared" si="13"/>
        <v>3.4377149708628173E-2</v>
      </c>
      <c r="BA7" s="188">
        <f t="shared" si="14"/>
        <v>0.22419251187237116</v>
      </c>
      <c r="BB7" s="188">
        <f t="shared" si="15"/>
        <v>4.9866433063075283E-2</v>
      </c>
      <c r="BC7" s="188">
        <f t="shared" si="16"/>
        <v>2.1315925219565833E-3</v>
      </c>
      <c r="BD7" s="188">
        <f t="shared" si="17"/>
        <v>0.11877236310016165</v>
      </c>
      <c r="BE7" s="188">
        <f t="shared" si="18"/>
        <v>0.99999999999999978</v>
      </c>
      <c r="BF7" s="188">
        <f t="shared" si="19"/>
        <v>0.21574192607026438</v>
      </c>
      <c r="BG7" s="188">
        <f t="shared" si="20"/>
        <v>0.25193483981100473</v>
      </c>
      <c r="BH7" s="188">
        <f t="shared" si="21"/>
        <v>9.5075997108097721E-2</v>
      </c>
      <c r="BI7" s="188">
        <f t="shared" si="22"/>
        <v>3.5732610398712561E-2</v>
      </c>
      <c r="BJ7" s="188">
        <f t="shared" si="23"/>
        <v>0.22254273301502248</v>
      </c>
      <c r="BK7" s="188">
        <f t="shared" si="24"/>
        <v>4.9499477957073844E-2</v>
      </c>
      <c r="BL7" s="188">
        <f t="shared" si="25"/>
        <v>2.2577438362754534E-3</v>
      </c>
      <c r="BM7" s="188">
        <f t="shared" si="26"/>
        <v>0.12721467180354887</v>
      </c>
      <c r="BN7" s="188">
        <f t="shared" si="27"/>
        <v>1</v>
      </c>
      <c r="BO7" s="188">
        <f t="shared" si="28"/>
        <v>0.20362922832135172</v>
      </c>
      <c r="BP7" s="188">
        <f t="shared" si="29"/>
        <v>0.23779011318027293</v>
      </c>
      <c r="BQ7" s="188">
        <f t="shared" si="30"/>
        <v>0.10195209556426552</v>
      </c>
      <c r="BR7" s="188">
        <f t="shared" si="31"/>
        <v>3.5686096052454777E-2</v>
      </c>
      <c r="BS7" s="188">
        <f t="shared" si="32"/>
        <v>0.23609332200729202</v>
      </c>
      <c r="BT7" s="188">
        <f t="shared" si="33"/>
        <v>5.2513492712985617E-2</v>
      </c>
      <c r="BU7" s="188">
        <f t="shared" si="34"/>
        <v>2.2819374873366506E-3</v>
      </c>
      <c r="BV7" s="188">
        <f t="shared" si="35"/>
        <v>0.13005371467404075</v>
      </c>
      <c r="BW7" s="188">
        <f t="shared" si="36"/>
        <v>1</v>
      </c>
      <c r="BX7" s="188">
        <f t="shared" si="37"/>
        <v>0.19792326624550843</v>
      </c>
      <c r="BY7" s="188">
        <f t="shared" si="38"/>
        <v>0.23112691763117485</v>
      </c>
      <c r="BZ7" s="188">
        <f t="shared" si="39"/>
        <v>9.2909918443519715E-2</v>
      </c>
      <c r="CA7" s="188">
        <f t="shared" si="40"/>
        <v>3.7431620626740145E-2</v>
      </c>
      <c r="CB7" s="188">
        <f t="shared" si="41"/>
        <v>0.25052683655731789</v>
      </c>
      <c r="CC7" s="188">
        <f t="shared" si="42"/>
        <v>5.5723893814979303E-2</v>
      </c>
      <c r="CD7" s="188">
        <f t="shared" si="43"/>
        <v>2.2226247195551068E-3</v>
      </c>
      <c r="CE7" s="188">
        <f t="shared" si="44"/>
        <v>0.1321349219612046</v>
      </c>
      <c r="CF7" s="189">
        <f t="shared" si="45"/>
        <v>1</v>
      </c>
      <c r="CG7" s="188" t="e">
        <f t="shared" si="46"/>
        <v>#DIV/0!</v>
      </c>
      <c r="CH7" s="188" t="e">
        <f t="shared" si="47"/>
        <v>#DIV/0!</v>
      </c>
      <c r="CI7" s="188" t="e">
        <f t="shared" si="48"/>
        <v>#DIV/0!</v>
      </c>
      <c r="CJ7" s="188" t="e">
        <f t="shared" si="49"/>
        <v>#DIV/0!</v>
      </c>
      <c r="CK7" s="188" t="e">
        <f t="shared" si="50"/>
        <v>#DIV/0!</v>
      </c>
      <c r="CL7" s="188" t="e">
        <f t="shared" si="51"/>
        <v>#DIV/0!</v>
      </c>
      <c r="CM7" s="188" t="e">
        <f t="shared" si="52"/>
        <v>#DIV/0!</v>
      </c>
      <c r="CN7" s="188" t="e">
        <f t="shared" si="53"/>
        <v>#DIV/0!</v>
      </c>
      <c r="CO7" s="189" t="e">
        <f t="shared" si="54"/>
        <v>#DIV/0!</v>
      </c>
    </row>
    <row r="8" spans="1:93" ht="15.75" thickBot="1">
      <c r="A8" s="127" t="s">
        <v>15</v>
      </c>
      <c r="B8" s="188">
        <f>DIST_DSL_CAM!AJ22</f>
        <v>0.12071562564253019</v>
      </c>
      <c r="C8" s="188">
        <f>DIST_DSL_CAM!AK22</f>
        <v>0.14100979914804335</v>
      </c>
      <c r="D8" s="188">
        <f>DIST_DSL_CAM!AL22</f>
        <v>0.10906272767732006</v>
      </c>
      <c r="E8" s="188">
        <f>DIST_DSL_ONI!AJ22</f>
        <v>3.1401792685785683E-2</v>
      </c>
      <c r="F8" s="188">
        <f>DIST_DSL_ONI!AK22</f>
        <v>0.26266717408574958</v>
      </c>
      <c r="G8" s="188">
        <f>DIST_DSL_ONI!AL22</f>
        <v>5.8575135596844789E-2</v>
      </c>
      <c r="H8" s="188">
        <f>DIST_DSL_LEV!AJ15</f>
        <v>9.0138597485797515E-4</v>
      </c>
      <c r="I8" s="188">
        <f>DIST_DSL_LEV!AK15</f>
        <v>5.2801381545598228E-2</v>
      </c>
      <c r="J8" s="188">
        <f t="shared" si="5"/>
        <v>0.77713502235672982</v>
      </c>
      <c r="K8" s="188">
        <f>DIST_DSL_CAM!AM22</f>
        <v>9.2175679075894898E-2</v>
      </c>
      <c r="L8" s="188">
        <f>DIST_DSL_CAM!AN22</f>
        <v>0.10767184383665353</v>
      </c>
      <c r="M8" s="188">
        <f>DIST_DSL_CAM!AO22</f>
        <v>8.2667864022626339E-2</v>
      </c>
      <c r="N8" s="188">
        <f>DIST_DSL_ONI!AM22</f>
        <v>2.4185520256270982E-2</v>
      </c>
      <c r="O8" s="188">
        <f>DIST_DSL_ONI!AN22</f>
        <v>0.19667280888711372</v>
      </c>
      <c r="P8" s="188">
        <f>DIST_DSL_ONI!AO22</f>
        <v>4.3858302769931183E-2</v>
      </c>
      <c r="Q8" s="188">
        <f>DIST_DSL_LEV!AM15</f>
        <v>7.0773491407078977E-4</v>
      </c>
      <c r="R8" s="188">
        <f>DIST_DSL_LEV!AN15</f>
        <v>4.2667405137330451E-2</v>
      </c>
      <c r="S8" s="188">
        <f t="shared" si="6"/>
        <v>0.5906071588998919</v>
      </c>
      <c r="T8" s="188">
        <f>DIST_DSL_CAM!AP22</f>
        <v>8.3653972196585408E-2</v>
      </c>
      <c r="U8" s="188">
        <f>DIST_DSL_CAM!AQ22</f>
        <v>9.77175055390722E-2</v>
      </c>
      <c r="V8" s="188">
        <f>DIST_DSL_CAM!AR22</f>
        <v>7.9043487514795521E-2</v>
      </c>
      <c r="W8" s="188">
        <f>DIST_DSL_ONI!AP22</f>
        <v>2.2064413120933053E-2</v>
      </c>
      <c r="X8" s="188">
        <f>DIST_DSL_ONI!AQ22</f>
        <v>0.18240551044140219</v>
      </c>
      <c r="Y8" s="188">
        <f>DIST_DSL_ONI!AR22</f>
        <v>4.0676675891860074E-2</v>
      </c>
      <c r="Z8" s="188">
        <f>DIST_DSL_LEV!AP15</f>
        <v>6.5347154917348065E-4</v>
      </c>
      <c r="AA8" s="188">
        <f>DIST_DSL_LEV!AQ15</f>
        <v>4.0707524450932661E-2</v>
      </c>
      <c r="AB8" s="188">
        <f t="shared" si="7"/>
        <v>0.54692256070475453</v>
      </c>
      <c r="AC8" s="188">
        <f>DIST_DSL_CAM!AS22</f>
        <v>9.0267858425747916E-2</v>
      </c>
      <c r="AD8" s="188">
        <f>DIST_DSL_CAM!AT22</f>
        <v>0.10544328887323599</v>
      </c>
      <c r="AE8" s="188">
        <f>DIST_DSL_CAM!AU22</f>
        <v>8.8264836276192582E-2</v>
      </c>
      <c r="AF8" s="188">
        <f>DIST_DSL_ONI!AS22</f>
        <v>2.5245594581046502E-2</v>
      </c>
      <c r="AG8" s="188">
        <f>DIST_DSL_ONI!AT22</f>
        <v>0.21832956877138787</v>
      </c>
      <c r="AH8" s="188">
        <f>DIST_DSL_ONI!AU22</f>
        <v>4.8687789557631346E-2</v>
      </c>
      <c r="AI8" s="188">
        <f>DIST_DSL_LEV!AS15</f>
        <v>7.0795281704172537E-4</v>
      </c>
      <c r="AJ8" s="188">
        <f>DIST_DSL_LEV!AT15</f>
        <v>4.5474856574999889E-2</v>
      </c>
      <c r="AK8" s="189">
        <f t="shared" si="8"/>
        <v>0.62242174587728383</v>
      </c>
      <c r="AL8" s="188" t="e">
        <f>DIST_DSL_CAM!AV22</f>
        <v>#DIV/0!</v>
      </c>
      <c r="AM8" s="188" t="e">
        <f>DIST_DSL_CAM!AW22</f>
        <v>#DIV/0!</v>
      </c>
      <c r="AN8" s="188" t="e">
        <f>DIST_DSL_CAM!AX22</f>
        <v>#DIV/0!</v>
      </c>
      <c r="AO8" s="188" t="e">
        <f>DIST_DSL_ONI!AV22</f>
        <v>#DIV/0!</v>
      </c>
      <c r="AP8" s="188" t="e">
        <f>DIST_DSL_ONI!AW22</f>
        <v>#DIV/0!</v>
      </c>
      <c r="AQ8" s="188" t="e">
        <f>DIST_DSL_ONI!AX22</f>
        <v>#DIV/0!</v>
      </c>
      <c r="AR8" s="188" t="e">
        <f>DIST_DSL_LEV!AV15</f>
        <v>#DIV/0!</v>
      </c>
      <c r="AS8" s="188" t="e">
        <f>DIST_DSL_LEV!AW15</f>
        <v>#DIV/0!</v>
      </c>
      <c r="AT8" s="189" t="e">
        <f t="shared" si="9"/>
        <v>#DIV/0!</v>
      </c>
      <c r="AV8" s="127" t="s">
        <v>15</v>
      </c>
      <c r="AW8" s="188">
        <f t="shared" si="10"/>
        <v>0.15533417253085507</v>
      </c>
      <c r="AX8" s="188">
        <f t="shared" si="11"/>
        <v>0.1814482620026811</v>
      </c>
      <c r="AY8" s="188">
        <f t="shared" si="12"/>
        <v>0.14033948353862347</v>
      </c>
      <c r="AZ8" s="188">
        <f t="shared" si="13"/>
        <v>4.0407125895004711E-2</v>
      </c>
      <c r="BA8" s="188">
        <f t="shared" si="14"/>
        <v>0.33799425650537335</v>
      </c>
      <c r="BB8" s="188">
        <f t="shared" si="15"/>
        <v>7.5373177004956715E-2</v>
      </c>
      <c r="BC8" s="188">
        <f t="shared" si="16"/>
        <v>1.1598833522190823E-3</v>
      </c>
      <c r="BD8" s="188">
        <f t="shared" si="17"/>
        <v>6.7943639170286563E-2</v>
      </c>
      <c r="BE8" s="188">
        <f t="shared" si="18"/>
        <v>1</v>
      </c>
      <c r="BF8" s="188">
        <f t="shared" si="19"/>
        <v>0.15606935623264043</v>
      </c>
      <c r="BG8" s="188">
        <f t="shared" si="20"/>
        <v>0.1823070415150588</v>
      </c>
      <c r="BH8" s="188">
        <f t="shared" si="21"/>
        <v>0.13997098202569971</v>
      </c>
      <c r="BI8" s="188">
        <f t="shared" si="22"/>
        <v>4.0950265996302353E-2</v>
      </c>
      <c r="BJ8" s="188">
        <f t="shared" si="23"/>
        <v>0.33300105818807019</v>
      </c>
      <c r="BK8" s="188">
        <f t="shared" si="24"/>
        <v>7.4259687017043385E-2</v>
      </c>
      <c r="BL8" s="188">
        <f t="shared" si="25"/>
        <v>1.1983175337547019E-3</v>
      </c>
      <c r="BM8" s="188">
        <f t="shared" si="26"/>
        <v>7.2243291491430411E-2</v>
      </c>
      <c r="BN8" s="188">
        <f t="shared" si="27"/>
        <v>0.99999999999999978</v>
      </c>
      <c r="BO8" s="188">
        <f t="shared" si="28"/>
        <v>0.15295396132277009</v>
      </c>
      <c r="BP8" s="188">
        <f t="shared" si="29"/>
        <v>0.17866790028400947</v>
      </c>
      <c r="BQ8" s="188">
        <f t="shared" si="30"/>
        <v>0.14452409389172302</v>
      </c>
      <c r="BR8" s="188">
        <f t="shared" si="31"/>
        <v>4.034284687854392E-2</v>
      </c>
      <c r="BS8" s="188">
        <f t="shared" si="32"/>
        <v>0.33351249984341064</v>
      </c>
      <c r="BT8" s="188">
        <f t="shared" si="33"/>
        <v>7.4373739198918473E-2</v>
      </c>
      <c r="BU8" s="188">
        <f t="shared" si="34"/>
        <v>1.1948154933148652E-3</v>
      </c>
      <c r="BV8" s="188">
        <f t="shared" si="35"/>
        <v>7.4430143087309622E-2</v>
      </c>
      <c r="BW8" s="188">
        <f t="shared" si="36"/>
        <v>1</v>
      </c>
      <c r="BX8" s="188">
        <f t="shared" si="37"/>
        <v>0.14502683915472492</v>
      </c>
      <c r="BY8" s="188">
        <f t="shared" si="38"/>
        <v>0.1694081056320052</v>
      </c>
      <c r="BZ8" s="188">
        <f t="shared" si="39"/>
        <v>0.14180872834349012</v>
      </c>
      <c r="CA8" s="188">
        <f t="shared" si="40"/>
        <v>4.0560270826437199E-2</v>
      </c>
      <c r="CB8" s="188">
        <f t="shared" si="41"/>
        <v>0.3507743266001403</v>
      </c>
      <c r="CC8" s="188">
        <f t="shared" si="42"/>
        <v>7.8223149946355819E-2</v>
      </c>
      <c r="CD8" s="188">
        <f t="shared" si="43"/>
        <v>1.1374165856687546E-3</v>
      </c>
      <c r="CE8" s="188">
        <f t="shared" si="44"/>
        <v>7.3061162911177716E-2</v>
      </c>
      <c r="CF8" s="189">
        <f t="shared" si="45"/>
        <v>1.0000000000000002</v>
      </c>
      <c r="CG8" s="188" t="e">
        <f t="shared" si="46"/>
        <v>#DIV/0!</v>
      </c>
      <c r="CH8" s="188" t="e">
        <f t="shared" si="47"/>
        <v>#DIV/0!</v>
      </c>
      <c r="CI8" s="188" t="e">
        <f t="shared" si="48"/>
        <v>#DIV/0!</v>
      </c>
      <c r="CJ8" s="188" t="e">
        <f t="shared" si="49"/>
        <v>#DIV/0!</v>
      </c>
      <c r="CK8" s="188" t="e">
        <f t="shared" si="50"/>
        <v>#DIV/0!</v>
      </c>
      <c r="CL8" s="188" t="e">
        <f t="shared" si="51"/>
        <v>#DIV/0!</v>
      </c>
      <c r="CM8" s="188" t="e">
        <f t="shared" si="52"/>
        <v>#DIV/0!</v>
      </c>
      <c r="CN8" s="188" t="e">
        <f t="shared" si="53"/>
        <v>#DIV/0!</v>
      </c>
      <c r="CO8" s="189" t="e">
        <f t="shared" si="54"/>
        <v>#DIV/0!</v>
      </c>
    </row>
    <row r="9" spans="1:93" ht="15.75" thickBot="1">
      <c r="A9" s="127" t="s">
        <v>16</v>
      </c>
      <c r="B9" s="188">
        <f>DIST_DSL_CAM!AJ23</f>
        <v>0.16277744538294472</v>
      </c>
      <c r="C9" s="188">
        <f>DIST_DSL_CAM!AK23</f>
        <v>0.19012570283594168</v>
      </c>
      <c r="D9" s="188">
        <f>DIST_DSL_CAM!AL23</f>
        <v>0.10801434366578821</v>
      </c>
      <c r="E9" s="188">
        <f>DIST_DSL_ONI!AJ23</f>
        <v>3.2352120349269875E-2</v>
      </c>
      <c r="F9" s="188">
        <f>DIST_DSL_ONI!AK23</f>
        <v>0.22308588013688335</v>
      </c>
      <c r="G9" s="188">
        <f>DIST_DSL_ONI!AL23</f>
        <v>4.9760369565583155E-2</v>
      </c>
      <c r="H9" s="188">
        <f>DIST_DSL_LEV!AJ16</f>
        <v>1.2393156048151532E-3</v>
      </c>
      <c r="I9" s="188">
        <f>DIST_DSL_LEV!AK16</f>
        <v>5.5527892124190015E-2</v>
      </c>
      <c r="J9" s="188">
        <f t="shared" si="5"/>
        <v>0.82288306966541613</v>
      </c>
      <c r="K9" s="188">
        <f>DIST_DSL_CAM!AM23</f>
        <v>0.15441570608176464</v>
      </c>
      <c r="L9" s="188">
        <f>DIST_DSL_CAM!AN23</f>
        <v>0.18035910674624556</v>
      </c>
      <c r="M9" s="188">
        <f>DIST_DSL_CAM!AO23</f>
        <v>0.10808505647993696</v>
      </c>
      <c r="N9" s="188">
        <f>DIST_DSL_ONI!AM23</f>
        <v>3.1242720951263528E-2</v>
      </c>
      <c r="O9" s="188">
        <f>DIST_DSL_ONI!AN23</f>
        <v>0.2172318793340218</v>
      </c>
      <c r="P9" s="188">
        <f>DIST_DSL_ONI!AO23</f>
        <v>4.8454606766033158E-2</v>
      </c>
      <c r="Q9" s="188">
        <f>DIST_DSL_LEV!AM16</f>
        <v>1.2159669318529325E-3</v>
      </c>
      <c r="R9" s="188">
        <f>DIST_DSL_LEV!AN16</f>
        <v>5.5028710651517418E-2</v>
      </c>
      <c r="S9" s="188">
        <f t="shared" si="6"/>
        <v>0.79603375394263598</v>
      </c>
      <c r="T9" s="188">
        <f>DIST_DSL_CAM!AP23</f>
        <v>0.14887248064801081</v>
      </c>
      <c r="U9" s="188">
        <f>DIST_DSL_CAM!AQ23</f>
        <v>0.17388456336530536</v>
      </c>
      <c r="V9" s="188">
        <f>DIST_DSL_CAM!AR23</f>
        <v>0.11089653689490321</v>
      </c>
      <c r="W9" s="188">
        <f>DIST_DSL_ONI!AP23</f>
        <v>3.0567441217292796E-2</v>
      </c>
      <c r="X9" s="188">
        <f>DIST_DSL_ONI!AQ23</f>
        <v>0.22316463362650429</v>
      </c>
      <c r="Y9" s="188">
        <f>DIST_DSL_ONI!AR23</f>
        <v>4.9777935907055385E-2</v>
      </c>
      <c r="Z9" s="188">
        <f>DIST_DSL_LEV!AP16</f>
        <v>1.2134425409644537E-3</v>
      </c>
      <c r="AA9" s="188">
        <f>DIST_DSL_LEV!AQ16</f>
        <v>5.6257684148482139E-2</v>
      </c>
      <c r="AB9" s="188">
        <f t="shared" si="7"/>
        <v>0.7946347183485184</v>
      </c>
      <c r="AC9" s="188">
        <f>DIST_DSL_CAM!AS23</f>
        <v>0.14561108611935347</v>
      </c>
      <c r="AD9" s="188">
        <f>DIST_DSL_CAM!AT23</f>
        <v>0.17007522156412705</v>
      </c>
      <c r="AE9" s="188">
        <f>DIST_DSL_CAM!AU23</f>
        <v>0.11262115975102339</v>
      </c>
      <c r="AF9" s="188">
        <f>DIST_DSL_ONI!AS23</f>
        <v>2.9895194610323559E-2</v>
      </c>
      <c r="AG9" s="188">
        <f>DIST_DSL_ONI!AT23</f>
        <v>0.22586328293790023</v>
      </c>
      <c r="AH9" s="188">
        <f>DIST_DSL_ONI!AU23</f>
        <v>5.0379882507084806E-2</v>
      </c>
      <c r="AI9" s="188">
        <f>DIST_DSL_LEV!AS16</f>
        <v>1.1962221892177823E-3</v>
      </c>
      <c r="AJ9" s="188">
        <f>DIST_DSL_LEV!AT16</f>
        <v>5.7620252907474349E-2</v>
      </c>
      <c r="AK9" s="189">
        <f t="shared" si="8"/>
        <v>0.79326230258650454</v>
      </c>
      <c r="AL9" s="188" t="e">
        <f>DIST_DSL_CAM!AV23</f>
        <v>#DIV/0!</v>
      </c>
      <c r="AM9" s="188" t="e">
        <f>DIST_DSL_CAM!AW23</f>
        <v>#DIV/0!</v>
      </c>
      <c r="AN9" s="188" t="e">
        <f>DIST_DSL_CAM!AX23</f>
        <v>#DIV/0!</v>
      </c>
      <c r="AO9" s="188" t="e">
        <f>DIST_DSL_ONI!AV23</f>
        <v>#DIV/0!</v>
      </c>
      <c r="AP9" s="188" t="e">
        <f>DIST_DSL_ONI!AW23</f>
        <v>#DIV/0!</v>
      </c>
      <c r="AQ9" s="188" t="e">
        <f>DIST_DSL_ONI!AX23</f>
        <v>#DIV/0!</v>
      </c>
      <c r="AR9" s="188" t="e">
        <f>DIST_DSL_LEV!AV16</f>
        <v>#DIV/0!</v>
      </c>
      <c r="AS9" s="188" t="e">
        <f>DIST_DSL_LEV!AW16</f>
        <v>#DIV/0!</v>
      </c>
      <c r="AT9" s="189" t="e">
        <f t="shared" si="9"/>
        <v>#DIV/0!</v>
      </c>
      <c r="AV9" s="127" t="s">
        <v>16</v>
      </c>
      <c r="AW9" s="188">
        <f t="shared" si="10"/>
        <v>0.19781357933288135</v>
      </c>
      <c r="AX9" s="188">
        <f t="shared" si="11"/>
        <v>0.23104826170897733</v>
      </c>
      <c r="AY9" s="188">
        <f t="shared" si="12"/>
        <v>0.131263295658406</v>
      </c>
      <c r="AZ9" s="188">
        <f t="shared" si="13"/>
        <v>3.9315574158579093E-2</v>
      </c>
      <c r="BA9" s="188">
        <f t="shared" si="14"/>
        <v>0.27110277068598576</v>
      </c>
      <c r="BB9" s="188">
        <f t="shared" si="15"/>
        <v>6.0470766017601624E-2</v>
      </c>
      <c r="BC9" s="188">
        <f t="shared" si="16"/>
        <v>1.5060652606682726E-3</v>
      </c>
      <c r="BD9" s="188">
        <f t="shared" si="17"/>
        <v>6.7479687176900643E-2</v>
      </c>
      <c r="BE9" s="188">
        <f t="shared" si="18"/>
        <v>1</v>
      </c>
      <c r="BF9" s="188">
        <f t="shared" si="19"/>
        <v>0.1939813548319613</v>
      </c>
      <c r="BG9" s="188">
        <f t="shared" si="20"/>
        <v>0.22657218472577817</v>
      </c>
      <c r="BH9" s="188">
        <f t="shared" si="21"/>
        <v>0.13577948917945737</v>
      </c>
      <c r="BI9" s="188">
        <f t="shared" si="22"/>
        <v>3.9247985147015448E-2</v>
      </c>
      <c r="BJ9" s="188">
        <f t="shared" si="23"/>
        <v>0.2728927991534339</v>
      </c>
      <c r="BK9" s="188">
        <f t="shared" si="24"/>
        <v>6.0870040404750109E-2</v>
      </c>
      <c r="BL9" s="188">
        <f t="shared" si="25"/>
        <v>1.5275318739066408E-3</v>
      </c>
      <c r="BM9" s="188">
        <f t="shared" si="26"/>
        <v>6.912861468369709E-2</v>
      </c>
      <c r="BN9" s="188">
        <f t="shared" si="27"/>
        <v>1</v>
      </c>
      <c r="BO9" s="188">
        <f t="shared" si="28"/>
        <v>0.1873470630095436</v>
      </c>
      <c r="BP9" s="188">
        <f t="shared" si="29"/>
        <v>0.21882326476583852</v>
      </c>
      <c r="BQ9" s="188">
        <f t="shared" si="30"/>
        <v>0.13955662184680076</v>
      </c>
      <c r="BR9" s="188">
        <f t="shared" si="31"/>
        <v>3.8467286303348051E-2</v>
      </c>
      <c r="BS9" s="188">
        <f t="shared" si="32"/>
        <v>0.28083926925607428</v>
      </c>
      <c r="BT9" s="188">
        <f t="shared" si="33"/>
        <v>6.2642538461581923E-2</v>
      </c>
      <c r="BU9" s="188">
        <f t="shared" si="34"/>
        <v>1.5270444557045526E-3</v>
      </c>
      <c r="BV9" s="188">
        <f t="shared" si="35"/>
        <v>7.07969119011084E-2</v>
      </c>
      <c r="BW9" s="188">
        <f t="shared" si="36"/>
        <v>1</v>
      </c>
      <c r="BX9" s="188">
        <f t="shared" si="37"/>
        <v>0.1835598208115716</v>
      </c>
      <c r="BY9" s="188">
        <f t="shared" si="38"/>
        <v>0.21439972756751605</v>
      </c>
      <c r="BZ9" s="188">
        <f t="shared" si="39"/>
        <v>0.14197215647814318</v>
      </c>
      <c r="CA9" s="188">
        <f t="shared" si="40"/>
        <v>3.7686392650763227E-2</v>
      </c>
      <c r="CB9" s="188">
        <f t="shared" si="41"/>
        <v>0.28472711006366025</v>
      </c>
      <c r="CC9" s="188">
        <f t="shared" si="42"/>
        <v>6.3509739896647779E-2</v>
      </c>
      <c r="CD9" s="188">
        <f t="shared" si="43"/>
        <v>1.5079781118015946E-3</v>
      </c>
      <c r="CE9" s="188">
        <f t="shared" si="44"/>
        <v>7.2637074419896447E-2</v>
      </c>
      <c r="CF9" s="189">
        <f t="shared" si="45"/>
        <v>1.0000000000000002</v>
      </c>
      <c r="CG9" s="188" t="e">
        <f t="shared" si="46"/>
        <v>#DIV/0!</v>
      </c>
      <c r="CH9" s="188" t="e">
        <f t="shared" si="47"/>
        <v>#DIV/0!</v>
      </c>
      <c r="CI9" s="188" t="e">
        <f t="shared" si="48"/>
        <v>#DIV/0!</v>
      </c>
      <c r="CJ9" s="188" t="e">
        <f t="shared" si="49"/>
        <v>#DIV/0!</v>
      </c>
      <c r="CK9" s="188" t="e">
        <f t="shared" si="50"/>
        <v>#DIV/0!</v>
      </c>
      <c r="CL9" s="188" t="e">
        <f t="shared" si="51"/>
        <v>#DIV/0!</v>
      </c>
      <c r="CM9" s="188" t="e">
        <f t="shared" si="52"/>
        <v>#DIV/0!</v>
      </c>
      <c r="CN9" s="188" t="e">
        <f t="shared" si="53"/>
        <v>#DIV/0!</v>
      </c>
      <c r="CO9" s="189" t="e">
        <f t="shared" si="54"/>
        <v>#DIV/0!</v>
      </c>
    </row>
    <row r="10" spans="1:93" ht="15.75" thickBot="1">
      <c r="A10" s="127" t="s">
        <v>17</v>
      </c>
      <c r="B10" s="188">
        <f>DIST_DSL_CAM!AJ24</f>
        <v>0.17639365063967941</v>
      </c>
      <c r="C10" s="188">
        <f>DIST_DSL_CAM!AK24</f>
        <v>0.20604321197937045</v>
      </c>
      <c r="D10" s="188">
        <f>DIST_DSL_CAM!AL24</f>
        <v>0.22890942324615038</v>
      </c>
      <c r="E10" s="188">
        <f>DIST_DSL_ONI!AJ24</f>
        <v>9.2224707636122446E-3</v>
      </c>
      <c r="F10" s="188">
        <f>DIST_DSL_ONI!AK24</f>
        <v>0.1498969468508333</v>
      </c>
      <c r="G10" s="188">
        <f>DIST_DSL_ONI!AL24</f>
        <v>3.3445034178251017E-2</v>
      </c>
      <c r="H10" s="188">
        <f>DIST_DSL_LEV!AJ17</f>
        <v>1.1396485409428396E-3</v>
      </c>
      <c r="I10" s="188">
        <f>DIST_DSL_LEV!AK17</f>
        <v>6.4590256616025021E-2</v>
      </c>
      <c r="J10" s="188">
        <f t="shared" si="5"/>
        <v>0.86964064281486475</v>
      </c>
      <c r="K10" s="188">
        <f>DIST_DSL_CAM!AM24</f>
        <v>0.17517364857628029</v>
      </c>
      <c r="L10" s="188">
        <f>DIST_DSL_CAM!AN24</f>
        <v>0.20461814286348884</v>
      </c>
      <c r="M10" s="188">
        <f>DIST_DSL_CAM!AO24</f>
        <v>0.22653434896106539</v>
      </c>
      <c r="N10" s="188">
        <f>DIST_DSL_ONI!AM24</f>
        <v>9.7078536949536474E-3</v>
      </c>
      <c r="O10" s="188">
        <f>DIST_DSL_ONI!AN24</f>
        <v>0.15691063708622885</v>
      </c>
      <c r="P10" s="188">
        <f>DIST_DSL_ONI!AO24</f>
        <v>3.5009930025475311E-2</v>
      </c>
      <c r="Q10" s="188">
        <f>DIST_DSL_LEV!AM17</f>
        <v>1.2134653066025744E-3</v>
      </c>
      <c r="R10" s="188">
        <f>DIST_DSL_LEV!AN17</f>
        <v>6.7013945936934424E-2</v>
      </c>
      <c r="S10" s="188">
        <f t="shared" si="6"/>
        <v>0.87618197245102936</v>
      </c>
      <c r="T10" s="188">
        <f>DIST_DSL_CAM!AP24</f>
        <v>0.18870036639162527</v>
      </c>
      <c r="U10" s="188">
        <f>DIST_DSL_CAM!AQ24</f>
        <v>0.22041853236790168</v>
      </c>
      <c r="V10" s="188">
        <f>DIST_DSL_CAM!AR24</f>
        <v>0.24460816145648984</v>
      </c>
      <c r="W10" s="188">
        <f>DIST_DSL_ONI!AP24</f>
        <v>1.0980656499073239E-2</v>
      </c>
      <c r="X10" s="188">
        <f>DIST_DSL_ONI!AQ24</f>
        <v>0.18023070029166011</v>
      </c>
      <c r="Y10" s="188">
        <f>DIST_DSL_ONI!AR24</f>
        <v>4.0213106790114563E-2</v>
      </c>
      <c r="Z10" s="188">
        <f>DIST_DSL_LEV!AP17</f>
        <v>1.3814759283361556E-3</v>
      </c>
      <c r="AA10" s="188">
        <f>DIST_DSL_LEV!AQ17</f>
        <v>7.6202856203116245E-2</v>
      </c>
      <c r="AB10" s="188">
        <f t="shared" si="7"/>
        <v>0.96273585592831712</v>
      </c>
      <c r="AC10" s="188">
        <f>DIST_DSL_CAM!AS24</f>
        <v>0.20550082025266767</v>
      </c>
      <c r="AD10" s="188">
        <f>DIST_DSL_CAM!AT24</f>
        <v>0.24004293190658724</v>
      </c>
      <c r="AE10" s="188">
        <f>DIST_DSL_CAM!AU24</f>
        <v>0.26693141422495231</v>
      </c>
      <c r="AF10" s="188">
        <f>DIST_DSL_ONI!AS24</f>
        <v>1.2591752388418736E-2</v>
      </c>
      <c r="AG10" s="188">
        <f>DIST_DSL_ONI!AT24</f>
        <v>0.20496000684837271</v>
      </c>
      <c r="AH10" s="188">
        <f>DIST_DSL_ONI!AU24</f>
        <v>4.5730714188861273E-2</v>
      </c>
      <c r="AI10" s="188">
        <f>DIST_DSL_LEV!AS17</f>
        <v>1.5755499023240793E-3</v>
      </c>
      <c r="AJ10" s="188">
        <f>DIST_DSL_LEV!AT17</f>
        <v>8.7022440304673279E-2</v>
      </c>
      <c r="AK10" s="189">
        <f t="shared" si="8"/>
        <v>1.0643556300168573</v>
      </c>
      <c r="AL10" s="188" t="e">
        <f>DIST_DSL_CAM!AV24</f>
        <v>#DIV/0!</v>
      </c>
      <c r="AM10" s="188" t="e">
        <f>DIST_DSL_CAM!AW24</f>
        <v>#DIV/0!</v>
      </c>
      <c r="AN10" s="188" t="e">
        <f>DIST_DSL_CAM!AX24</f>
        <v>#DIV/0!</v>
      </c>
      <c r="AO10" s="188" t="e">
        <f>DIST_DSL_ONI!AV24</f>
        <v>#DIV/0!</v>
      </c>
      <c r="AP10" s="188" t="e">
        <f>DIST_DSL_ONI!AW24</f>
        <v>#DIV/0!</v>
      </c>
      <c r="AQ10" s="188" t="e">
        <f>DIST_DSL_ONI!AX24</f>
        <v>#DIV/0!</v>
      </c>
      <c r="AR10" s="188" t="e">
        <f>DIST_DSL_LEV!AV17</f>
        <v>#DIV/0!</v>
      </c>
      <c r="AS10" s="188" t="e">
        <f>DIST_DSL_LEV!AW17</f>
        <v>#DIV/0!</v>
      </c>
      <c r="AT10" s="189" t="e">
        <f t="shared" si="9"/>
        <v>#DIV/0!</v>
      </c>
      <c r="AV10" s="127" t="s">
        <v>17</v>
      </c>
      <c r="AW10" s="188">
        <f t="shared" si="10"/>
        <v>0.20283510447341332</v>
      </c>
      <c r="AX10" s="188">
        <f t="shared" si="11"/>
        <v>0.23692914272319077</v>
      </c>
      <c r="AY10" s="188">
        <f t="shared" si="12"/>
        <v>0.2632230049704361</v>
      </c>
      <c r="AZ10" s="188">
        <f t="shared" si="13"/>
        <v>1.0604921515352392E-2</v>
      </c>
      <c r="BA10" s="188">
        <f t="shared" si="14"/>
        <v>0.17236653793645706</v>
      </c>
      <c r="BB10" s="188">
        <f t="shared" si="15"/>
        <v>3.8458453448076753E-2</v>
      </c>
      <c r="BC10" s="188">
        <f t="shared" si="16"/>
        <v>1.3104821518621871E-3</v>
      </c>
      <c r="BD10" s="188">
        <f t="shared" si="17"/>
        <v>7.4272352781211318E-2</v>
      </c>
      <c r="BE10" s="188">
        <f t="shared" si="18"/>
        <v>0.99999999999999989</v>
      </c>
      <c r="BF10" s="188">
        <f t="shared" si="19"/>
        <v>0.19992838712060002</v>
      </c>
      <c r="BG10" s="188">
        <f t="shared" si="20"/>
        <v>0.23353384262300048</v>
      </c>
      <c r="BH10" s="188">
        <f t="shared" si="21"/>
        <v>0.25854714669300799</v>
      </c>
      <c r="BI10" s="188">
        <f t="shared" si="22"/>
        <v>1.1079723162754559E-2</v>
      </c>
      <c r="BJ10" s="188">
        <f t="shared" si="23"/>
        <v>0.17908453040558162</v>
      </c>
      <c r="BK10" s="188">
        <f t="shared" si="24"/>
        <v>3.9957373155645529E-2</v>
      </c>
      <c r="BL10" s="188">
        <f t="shared" si="25"/>
        <v>1.3849466717604671E-3</v>
      </c>
      <c r="BM10" s="188">
        <f t="shared" si="26"/>
        <v>7.6484050167649281E-2</v>
      </c>
      <c r="BN10" s="188">
        <f t="shared" si="27"/>
        <v>0.99999999999999978</v>
      </c>
      <c r="BO10" s="188">
        <f t="shared" si="28"/>
        <v>0.19600429882158188</v>
      </c>
      <c r="BP10" s="188">
        <f t="shared" si="29"/>
        <v>0.22895016427466838</v>
      </c>
      <c r="BQ10" s="188">
        <f t="shared" si="30"/>
        <v>0.25407608945926985</v>
      </c>
      <c r="BR10" s="188">
        <f t="shared" si="31"/>
        <v>1.1405679378675631E-2</v>
      </c>
      <c r="BS10" s="188">
        <f t="shared" si="32"/>
        <v>0.1872068015144952</v>
      </c>
      <c r="BT10" s="188">
        <f t="shared" si="33"/>
        <v>4.1769615769986161E-2</v>
      </c>
      <c r="BU10" s="188">
        <f t="shared" si="34"/>
        <v>1.4349480387889665E-3</v>
      </c>
      <c r="BV10" s="188">
        <f t="shared" si="35"/>
        <v>7.9152402742533892E-2</v>
      </c>
      <c r="BW10" s="188">
        <f t="shared" si="36"/>
        <v>1</v>
      </c>
      <c r="BX10" s="188">
        <f t="shared" si="37"/>
        <v>0.1930753354021465</v>
      </c>
      <c r="BY10" s="188">
        <f t="shared" si="38"/>
        <v>0.22552887882294137</v>
      </c>
      <c r="BZ10" s="188">
        <f t="shared" si="39"/>
        <v>0.25079156505304967</v>
      </c>
      <c r="CA10" s="188">
        <f t="shared" si="40"/>
        <v>1.183039957069547E-2</v>
      </c>
      <c r="CB10" s="188">
        <f t="shared" si="41"/>
        <v>0.19256722195862913</v>
      </c>
      <c r="CC10" s="188">
        <f t="shared" si="42"/>
        <v>4.2965633759213535E-2</v>
      </c>
      <c r="CD10" s="188">
        <f t="shared" si="43"/>
        <v>1.4802852147257639E-3</v>
      </c>
      <c r="CE10" s="188">
        <f t="shared" si="44"/>
        <v>8.1760680218598572E-2</v>
      </c>
      <c r="CF10" s="189">
        <f t="shared" si="45"/>
        <v>1</v>
      </c>
      <c r="CG10" s="188" t="e">
        <f t="shared" si="46"/>
        <v>#DIV/0!</v>
      </c>
      <c r="CH10" s="188" t="e">
        <f t="shared" si="47"/>
        <v>#DIV/0!</v>
      </c>
      <c r="CI10" s="188" t="e">
        <f t="shared" si="48"/>
        <v>#DIV/0!</v>
      </c>
      <c r="CJ10" s="188" t="e">
        <f t="shared" si="49"/>
        <v>#DIV/0!</v>
      </c>
      <c r="CK10" s="188" t="e">
        <f t="shared" si="50"/>
        <v>#DIV/0!</v>
      </c>
      <c r="CL10" s="188" t="e">
        <f t="shared" si="51"/>
        <v>#DIV/0!</v>
      </c>
      <c r="CM10" s="188" t="e">
        <f t="shared" si="52"/>
        <v>#DIV/0!</v>
      </c>
      <c r="CN10" s="188" t="e">
        <f t="shared" si="53"/>
        <v>#DIV/0!</v>
      </c>
      <c r="CO10" s="189" t="e">
        <f t="shared" si="54"/>
        <v>#DIV/0!</v>
      </c>
    </row>
    <row r="11" spans="1:93" ht="15.75" thickBot="1">
      <c r="A11" s="127" t="s">
        <v>18</v>
      </c>
      <c r="B11" s="188">
        <f>DIST_DSL_CAM!AJ25</f>
        <v>0.29062636963357452</v>
      </c>
      <c r="C11" s="188">
        <f>DIST_DSL_CAM!AK25</f>
        <v>0.33932639241009338</v>
      </c>
      <c r="D11" s="188">
        <f>DIST_DSL_CAM!AL25</f>
        <v>0.18594851928091202</v>
      </c>
      <c r="E11" s="188">
        <f>DIST_DSL_ONI!AJ25</f>
        <v>6.103169283954759E-2</v>
      </c>
      <c r="F11" s="188">
        <f>DIST_DSL_ONI!AK25</f>
        <v>0.32920535787290323</v>
      </c>
      <c r="G11" s="188">
        <f>DIST_DSL_ONI!AL25</f>
        <v>7.3403246624134014E-2</v>
      </c>
      <c r="H11" s="188">
        <f>DIST_DSL_LEV!AJ18</f>
        <v>3.0697452240597183E-3</v>
      </c>
      <c r="I11" s="188">
        <f>DIST_DSL_LEV!AK18</f>
        <v>0.20901370863549412</v>
      </c>
      <c r="J11" s="188">
        <f t="shared" si="5"/>
        <v>1.4916250325207188</v>
      </c>
      <c r="K11" s="188">
        <f>DIST_DSL_CAM!AM25</f>
        <v>0.13882089016805227</v>
      </c>
      <c r="L11" s="188">
        <f>DIST_DSL_CAM!AN25</f>
        <v>0.16208299305831858</v>
      </c>
      <c r="M11" s="188">
        <f>DIST_DSL_CAM!AO25</f>
        <v>9.6355985637936667E-2</v>
      </c>
      <c r="N11" s="188">
        <f>DIST_DSL_ONI!AM25</f>
        <v>3.0357661180860876E-2</v>
      </c>
      <c r="O11" s="188">
        <f>DIST_DSL_ONI!AN25</f>
        <v>0.15367753736275808</v>
      </c>
      <c r="P11" s="188">
        <f>DIST_DSL_ONI!AO25</f>
        <v>3.4265633610930338E-2</v>
      </c>
      <c r="Q11" s="188">
        <f>DIST_DSL_LEV!AM18</f>
        <v>1.5719286763934079E-3</v>
      </c>
      <c r="R11" s="188">
        <f>DIST_DSL_LEV!AN18</f>
        <v>0.10459153893560015</v>
      </c>
      <c r="S11" s="188">
        <f t="shared" si="6"/>
        <v>0.72172416863085043</v>
      </c>
      <c r="T11" s="188">
        <f>DIST_DSL_CAM!AP25</f>
        <v>0.26456267719635862</v>
      </c>
      <c r="U11" s="188">
        <f>DIST_DSL_CAM!AQ25</f>
        <v>0.30889522837374861</v>
      </c>
      <c r="V11" s="188">
        <f>DIST_DSL_CAM!AR25</f>
        <v>0.19978172487308288</v>
      </c>
      <c r="W11" s="188">
        <f>DIST_DSL_ONI!AP25</f>
        <v>6.0368969672549358E-2</v>
      </c>
      <c r="X11" s="188">
        <f>DIST_DSL_ONI!AQ25</f>
        <v>0.30712700725825437</v>
      </c>
      <c r="Y11" s="188">
        <f>DIST_DSL_ONI!AR25</f>
        <v>6.8480414791467284E-2</v>
      </c>
      <c r="Z11" s="188">
        <f>DIST_DSL_LEV!AP18</f>
        <v>3.181939926979559E-3</v>
      </c>
      <c r="AA11" s="188">
        <f>DIST_DSL_LEV!AQ18</f>
        <v>0.21195578070022314</v>
      </c>
      <c r="AB11" s="188">
        <f t="shared" si="7"/>
        <v>1.4243537427926638</v>
      </c>
      <c r="AC11" s="188">
        <f>DIST_DSL_CAM!AS25</f>
        <v>0.29182451185055192</v>
      </c>
      <c r="AD11" s="188">
        <f>DIST_DSL_CAM!AT25</f>
        <v>0.34072530633725617</v>
      </c>
      <c r="AE11" s="188">
        <f>DIST_DSL_CAM!AU25</f>
        <v>0.22961630958545587</v>
      </c>
      <c r="AF11" s="188">
        <f>DIST_DSL_ONI!AS25</f>
        <v>6.7773232677489886E-2</v>
      </c>
      <c r="AG11" s="188">
        <f>DIST_DSL_ONI!AT25</f>
        <v>0.33998195327211073</v>
      </c>
      <c r="AH11" s="188">
        <f>DIST_DSL_ONI!AU25</f>
        <v>7.5806114836752647E-2</v>
      </c>
      <c r="AI11" s="188">
        <f>DIST_DSL_LEV!AS18</f>
        <v>3.5450997250985154E-3</v>
      </c>
      <c r="AJ11" s="188">
        <f>DIST_DSL_LEV!AT18</f>
        <v>0.24240311724256439</v>
      </c>
      <c r="AK11" s="189">
        <f t="shared" si="8"/>
        <v>1.5916756455272802</v>
      </c>
      <c r="AL11" s="188" t="e">
        <f>DIST_DSL_CAM!AV25</f>
        <v>#DIV/0!</v>
      </c>
      <c r="AM11" s="188" t="e">
        <f>DIST_DSL_CAM!AW25</f>
        <v>#DIV/0!</v>
      </c>
      <c r="AN11" s="188" t="e">
        <f>DIST_DSL_CAM!AX25</f>
        <v>#DIV/0!</v>
      </c>
      <c r="AO11" s="188" t="e">
        <f>DIST_DSL_ONI!AV25</f>
        <v>#DIV/0!</v>
      </c>
      <c r="AP11" s="188" t="e">
        <f>DIST_DSL_ONI!AW25</f>
        <v>#DIV/0!</v>
      </c>
      <c r="AQ11" s="188" t="e">
        <f>DIST_DSL_ONI!AX25</f>
        <v>#DIV/0!</v>
      </c>
      <c r="AR11" s="188" t="e">
        <f>DIST_DSL_LEV!AV18</f>
        <v>#DIV/0!</v>
      </c>
      <c r="AS11" s="188" t="e">
        <f>DIST_DSL_LEV!AW18</f>
        <v>#DIV/0!</v>
      </c>
      <c r="AT11" s="189" t="e">
        <f t="shared" si="9"/>
        <v>#DIV/0!</v>
      </c>
      <c r="AV11" s="127" t="s">
        <v>18</v>
      </c>
      <c r="AW11" s="188">
        <f t="shared" si="10"/>
        <v>0.19483875860037078</v>
      </c>
      <c r="AX11" s="188">
        <f t="shared" si="11"/>
        <v>0.22748772983291973</v>
      </c>
      <c r="AY11" s="188">
        <f t="shared" si="12"/>
        <v>0.12466170466895084</v>
      </c>
      <c r="AZ11" s="188">
        <f t="shared" si="13"/>
        <v>4.09162433647344E-2</v>
      </c>
      <c r="BA11" s="188">
        <f t="shared" si="14"/>
        <v>0.22070248936260764</v>
      </c>
      <c r="BB11" s="188">
        <f t="shared" si="15"/>
        <v>4.921025393365034E-2</v>
      </c>
      <c r="BC11" s="188">
        <f t="shared" si="16"/>
        <v>2.057987199954744E-3</v>
      </c>
      <c r="BD11" s="188">
        <f t="shared" si="17"/>
        <v>0.14012483303681142</v>
      </c>
      <c r="BE11" s="188">
        <f t="shared" si="18"/>
        <v>0.99999999999999989</v>
      </c>
      <c r="BF11" s="188">
        <f t="shared" si="19"/>
        <v>0.19234618459764616</v>
      </c>
      <c r="BG11" s="188">
        <f t="shared" si="20"/>
        <v>0.22457747724563351</v>
      </c>
      <c r="BH11" s="188">
        <f t="shared" si="21"/>
        <v>0.13350804895550214</v>
      </c>
      <c r="BI11" s="188">
        <f t="shared" si="22"/>
        <v>4.2062691676864571E-2</v>
      </c>
      <c r="BJ11" s="188">
        <f t="shared" si="23"/>
        <v>0.21293112250112481</v>
      </c>
      <c r="BK11" s="188">
        <f t="shared" si="24"/>
        <v>4.7477464522123577E-2</v>
      </c>
      <c r="BL11" s="188">
        <f t="shared" si="25"/>
        <v>2.1780186180759904E-3</v>
      </c>
      <c r="BM11" s="188">
        <f t="shared" si="26"/>
        <v>0.14491899188302912</v>
      </c>
      <c r="BN11" s="188">
        <f t="shared" si="27"/>
        <v>0.99999999999999989</v>
      </c>
      <c r="BO11" s="188">
        <f t="shared" si="28"/>
        <v>0.18574225576691569</v>
      </c>
      <c r="BP11" s="188">
        <f t="shared" si="29"/>
        <v>0.21686693346844596</v>
      </c>
      <c r="BQ11" s="188">
        <f t="shared" si="30"/>
        <v>0.14026131211013648</v>
      </c>
      <c r="BR11" s="188">
        <f t="shared" si="31"/>
        <v>4.238341070680008E-2</v>
      </c>
      <c r="BS11" s="188">
        <f t="shared" si="32"/>
        <v>0.21562551354418799</v>
      </c>
      <c r="BT11" s="188">
        <f t="shared" si="33"/>
        <v>4.8078235577350983E-2</v>
      </c>
      <c r="BU11" s="188">
        <f t="shared" si="34"/>
        <v>2.2339534284094892E-3</v>
      </c>
      <c r="BV11" s="188">
        <f t="shared" si="35"/>
        <v>0.14880838539775335</v>
      </c>
      <c r="BW11" s="188">
        <f t="shared" si="36"/>
        <v>1.0000000000000002</v>
      </c>
      <c r="BX11" s="188">
        <f t="shared" si="37"/>
        <v>0.18334420877180546</v>
      </c>
      <c r="BY11" s="188">
        <f t="shared" si="38"/>
        <v>0.21406704770203533</v>
      </c>
      <c r="BZ11" s="188">
        <f t="shared" si="39"/>
        <v>0.14426074196127442</v>
      </c>
      <c r="CA11" s="188">
        <f t="shared" si="40"/>
        <v>4.2579801272914747E-2</v>
      </c>
      <c r="CB11" s="188">
        <f t="shared" si="41"/>
        <v>0.2136000222328486</v>
      </c>
      <c r="CC11" s="188">
        <f t="shared" si="42"/>
        <v>4.7626609761714407E-2</v>
      </c>
      <c r="CD11" s="188">
        <f t="shared" si="43"/>
        <v>2.2272752209663402E-3</v>
      </c>
      <c r="CE11" s="188">
        <f t="shared" si="44"/>
        <v>0.1522942930764406</v>
      </c>
      <c r="CF11" s="189">
        <f t="shared" si="45"/>
        <v>0.99999999999999989</v>
      </c>
      <c r="CG11" s="188" t="e">
        <f t="shared" si="46"/>
        <v>#DIV/0!</v>
      </c>
      <c r="CH11" s="188" t="e">
        <f t="shared" si="47"/>
        <v>#DIV/0!</v>
      </c>
      <c r="CI11" s="188" t="e">
        <f t="shared" si="48"/>
        <v>#DIV/0!</v>
      </c>
      <c r="CJ11" s="188" t="e">
        <f t="shared" si="49"/>
        <v>#DIV/0!</v>
      </c>
      <c r="CK11" s="188" t="e">
        <f t="shared" si="50"/>
        <v>#DIV/0!</v>
      </c>
      <c r="CL11" s="188" t="e">
        <f t="shared" si="51"/>
        <v>#DIV/0!</v>
      </c>
      <c r="CM11" s="188" t="e">
        <f t="shared" si="52"/>
        <v>#DIV/0!</v>
      </c>
      <c r="CN11" s="188" t="e">
        <f t="shared" si="53"/>
        <v>#DIV/0!</v>
      </c>
      <c r="CO11" s="189" t="e">
        <f t="shared" si="54"/>
        <v>#DIV/0!</v>
      </c>
    </row>
    <row r="12" spans="1:93" ht="15.75" thickBot="1">
      <c r="A12" s="128" t="s">
        <v>19</v>
      </c>
      <c r="B12" s="188">
        <f>DIST_DSL_CAM!AJ26</f>
        <v>0.2066437586841384</v>
      </c>
      <c r="C12" s="188">
        <f>DIST_DSL_CAM!AK26</f>
        <v>0.24135696190125006</v>
      </c>
      <c r="D12" s="188">
        <f>DIST_DSL_CAM!AL26</f>
        <v>0.21783222647527453</v>
      </c>
      <c r="E12" s="188">
        <f>DIST_DSL_ONI!AJ26</f>
        <v>2.3526052057458988E-2</v>
      </c>
      <c r="F12" s="188">
        <f>DIST_DSL_ONI!AK26</f>
        <v>0.15872286371750749</v>
      </c>
      <c r="G12" s="188">
        <f>DIST_DSL_ONI!AL26</f>
        <v>3.5389773819314345E-2</v>
      </c>
      <c r="H12" s="188">
        <f>DIST_DSL_LEV!AJ19</f>
        <v>1.3577474978920226E-3</v>
      </c>
      <c r="I12" s="188">
        <f>DIST_DSL_LEV!AK19</f>
        <v>7.3589931243081858E-2</v>
      </c>
      <c r="J12" s="188">
        <f t="shared" si="5"/>
        <v>0.95841931539591763</v>
      </c>
      <c r="K12" s="188">
        <f>DIST_DSL_CAM!AM26</f>
        <v>0.18751507582901833</v>
      </c>
      <c r="L12" s="188">
        <f>DIST_DSL_CAM!AN26</f>
        <v>0.2190149332405088</v>
      </c>
      <c r="M12" s="188">
        <f>DIST_DSL_CAM!AO26</f>
        <v>0.20256651245191112</v>
      </c>
      <c r="N12" s="188">
        <f>DIST_DSL_ONI!AM26</f>
        <v>2.0941448217710261E-2</v>
      </c>
      <c r="O12" s="188">
        <f>DIST_DSL_ONI!AN26</f>
        <v>0.16889548069004703</v>
      </c>
      <c r="P12" s="188">
        <f>DIST_DSL_ONI!AO26</f>
        <v>3.765791972707358E-2</v>
      </c>
      <c r="Q12" s="188">
        <f>DIST_DSL_LEV!AM19</f>
        <v>1.2915621851050886E-3</v>
      </c>
      <c r="R12" s="188">
        <f>DIST_DSL_LEV!AN19</f>
        <v>7.0203924489953301E-2</v>
      </c>
      <c r="S12" s="188">
        <f t="shared" si="6"/>
        <v>0.90808685683132739</v>
      </c>
      <c r="T12" s="188">
        <f>DIST_DSL_CAM!AP26</f>
        <v>0.19055832943254905</v>
      </c>
      <c r="U12" s="188">
        <f>DIST_DSL_CAM!AQ26</f>
        <v>0.22256941003051883</v>
      </c>
      <c r="V12" s="188">
        <f>DIST_DSL_CAM!AR26</f>
        <v>0.20609825542128871</v>
      </c>
      <c r="W12" s="188">
        <f>DIST_DSL_ONI!AP26</f>
        <v>2.1310078702701574E-2</v>
      </c>
      <c r="X12" s="188">
        <f>DIST_DSL_ONI!AQ26</f>
        <v>0.18406874579201413</v>
      </c>
      <c r="Y12" s="188">
        <f>DIST_DSL_ONI!AR26</f>
        <v>4.1041039256814529E-2</v>
      </c>
      <c r="Z12" s="188">
        <f>DIST_DSL_LEV!AP19</f>
        <v>1.3761747453174674E-3</v>
      </c>
      <c r="AA12" s="188">
        <f>DIST_DSL_LEV!AQ19</f>
        <v>7.4252980144648914E-2</v>
      </c>
      <c r="AB12" s="188">
        <f t="shared" si="7"/>
        <v>0.9412750135258533</v>
      </c>
      <c r="AC12" s="188">
        <f>DIST_DSL_CAM!AS26</f>
        <v>0.18012247791415584</v>
      </c>
      <c r="AD12" s="188">
        <f>DIST_DSL_CAM!AT26</f>
        <v>0.21038048434812287</v>
      </c>
      <c r="AE12" s="188">
        <f>DIST_DSL_CAM!AU26</f>
        <v>0.2033692714489308</v>
      </c>
      <c r="AF12" s="188">
        <f>DIST_DSL_ONI!AS26</f>
        <v>1.9960626244833659E-2</v>
      </c>
      <c r="AG12" s="188">
        <f>DIST_DSL_ONI!AT26</f>
        <v>0.18340294408113286</v>
      </c>
      <c r="AH12" s="188">
        <f>DIST_DSL_ONI!AU26</f>
        <v>4.0892588230889648E-2</v>
      </c>
      <c r="AI12" s="188">
        <f>DIST_DSL_LEV!AS19</f>
        <v>1.3685596660928884E-3</v>
      </c>
      <c r="AJ12" s="188">
        <f>DIST_DSL_LEV!AT19</f>
        <v>7.3417600084116311E-2</v>
      </c>
      <c r="AK12" s="189">
        <f t="shared" si="8"/>
        <v>0.91291455201827476</v>
      </c>
      <c r="AL12" s="188" t="e">
        <f>DIST_DSL_CAM!AV26</f>
        <v>#DIV/0!</v>
      </c>
      <c r="AM12" s="188" t="e">
        <f>DIST_DSL_CAM!AW26</f>
        <v>#DIV/0!</v>
      </c>
      <c r="AN12" s="188" t="e">
        <f>DIST_DSL_CAM!AX26</f>
        <v>#DIV/0!</v>
      </c>
      <c r="AO12" s="188" t="e">
        <f>DIST_DSL_ONI!AV26</f>
        <v>#DIV/0!</v>
      </c>
      <c r="AP12" s="188" t="e">
        <f>DIST_DSL_ONI!AW26</f>
        <v>#DIV/0!</v>
      </c>
      <c r="AQ12" s="188" t="e">
        <f>DIST_DSL_ONI!AX26</f>
        <v>#DIV/0!</v>
      </c>
      <c r="AR12" s="188" t="e">
        <f>DIST_DSL_LEV!AV19</f>
        <v>#DIV/0!</v>
      </c>
      <c r="AS12" s="188" t="e">
        <f>DIST_DSL_LEV!AW19</f>
        <v>#DIV/0!</v>
      </c>
      <c r="AT12" s="189" t="e">
        <f t="shared" si="9"/>
        <v>#DIV/0!</v>
      </c>
      <c r="AV12" s="128" t="s">
        <v>19</v>
      </c>
      <c r="AW12" s="188">
        <f t="shared" si="10"/>
        <v>0.21560892540941229</v>
      </c>
      <c r="AX12" s="188">
        <f t="shared" si="11"/>
        <v>0.2518281487279363</v>
      </c>
      <c r="AY12" s="188">
        <f t="shared" si="12"/>
        <v>0.22728280093696698</v>
      </c>
      <c r="AZ12" s="188">
        <f t="shared" si="13"/>
        <v>2.4546721544046208E-2</v>
      </c>
      <c r="BA12" s="188">
        <f t="shared" si="14"/>
        <v>0.16560899928434766</v>
      </c>
      <c r="BB12" s="188">
        <f t="shared" si="15"/>
        <v>3.6925146698128707E-2</v>
      </c>
      <c r="BC12" s="188">
        <f t="shared" si="16"/>
        <v>1.4166528951173576E-3</v>
      </c>
      <c r="BD12" s="188">
        <f t="shared" si="17"/>
        <v>7.6782604504044533E-2</v>
      </c>
      <c r="BE12" s="188">
        <f t="shared" si="18"/>
        <v>1.0000000000000002</v>
      </c>
      <c r="BF12" s="188">
        <f t="shared" si="19"/>
        <v>0.20649464797159631</v>
      </c>
      <c r="BG12" s="188">
        <f t="shared" si="20"/>
        <v>0.2411828027164033</v>
      </c>
      <c r="BH12" s="188">
        <f t="shared" si="21"/>
        <v>0.22306953451429243</v>
      </c>
      <c r="BI12" s="188">
        <f t="shared" si="22"/>
        <v>2.306106300313961E-2</v>
      </c>
      <c r="BJ12" s="188">
        <f t="shared" si="23"/>
        <v>0.18599044730081202</v>
      </c>
      <c r="BK12" s="188">
        <f t="shared" si="24"/>
        <v>4.1469513013850781E-2</v>
      </c>
      <c r="BL12" s="188">
        <f t="shared" si="25"/>
        <v>1.4222892616372156E-3</v>
      </c>
      <c r="BM12" s="188">
        <f t="shared" si="26"/>
        <v>7.7309702218268453E-2</v>
      </c>
      <c r="BN12" s="188">
        <f t="shared" si="27"/>
        <v>1.0000000000000002</v>
      </c>
      <c r="BO12" s="188">
        <f t="shared" si="28"/>
        <v>0.202447028439383</v>
      </c>
      <c r="BP12" s="188">
        <f t="shared" si="29"/>
        <v>0.23645524085124955</v>
      </c>
      <c r="BQ12" s="188">
        <f t="shared" si="30"/>
        <v>0.21895647123286563</v>
      </c>
      <c r="BR12" s="188">
        <f t="shared" si="31"/>
        <v>2.2639588214370746E-2</v>
      </c>
      <c r="BS12" s="188">
        <f t="shared" si="32"/>
        <v>0.19555256768425677</v>
      </c>
      <c r="BT12" s="188">
        <f t="shared" si="33"/>
        <v>4.3601539047639117E-2</v>
      </c>
      <c r="BU12" s="188">
        <f t="shared" si="34"/>
        <v>1.4620325893519206E-3</v>
      </c>
      <c r="BV12" s="188">
        <f t="shared" si="35"/>
        <v>7.8885531940883144E-2</v>
      </c>
      <c r="BW12" s="188">
        <f t="shared" si="36"/>
        <v>0.99999999999999989</v>
      </c>
      <c r="BX12" s="188">
        <f t="shared" si="37"/>
        <v>0.19730486003968326</v>
      </c>
      <c r="BY12" s="188">
        <f t="shared" si="38"/>
        <v>0.23044926152509337</v>
      </c>
      <c r="BZ12" s="188">
        <f t="shared" si="39"/>
        <v>0.22276922960568576</v>
      </c>
      <c r="CA12" s="188">
        <f t="shared" si="40"/>
        <v>2.1864725675261321E-2</v>
      </c>
      <c r="CB12" s="188">
        <f t="shared" si="41"/>
        <v>0.20089825896154792</v>
      </c>
      <c r="CC12" s="188">
        <f t="shared" si="42"/>
        <v>4.4793445498797414E-2</v>
      </c>
      <c r="CD12" s="188">
        <f t="shared" si="43"/>
        <v>1.4991103636887721E-3</v>
      </c>
      <c r="CE12" s="188">
        <f t="shared" si="44"/>
        <v>8.0421108330242325E-2</v>
      </c>
      <c r="CF12" s="189">
        <f t="shared" si="45"/>
        <v>1.0000000000000002</v>
      </c>
      <c r="CG12" s="188" t="e">
        <f t="shared" si="46"/>
        <v>#DIV/0!</v>
      </c>
      <c r="CH12" s="188" t="e">
        <f t="shared" si="47"/>
        <v>#DIV/0!</v>
      </c>
      <c r="CI12" s="188" t="e">
        <f t="shared" si="48"/>
        <v>#DIV/0!</v>
      </c>
      <c r="CJ12" s="188" t="e">
        <f t="shared" si="49"/>
        <v>#DIV/0!</v>
      </c>
      <c r="CK12" s="188" t="e">
        <f t="shared" si="50"/>
        <v>#DIV/0!</v>
      </c>
      <c r="CL12" s="188" t="e">
        <f t="shared" si="51"/>
        <v>#DIV/0!</v>
      </c>
      <c r="CM12" s="188" t="e">
        <f t="shared" si="52"/>
        <v>#DIV/0!</v>
      </c>
      <c r="CN12" s="188" t="e">
        <f t="shared" si="53"/>
        <v>#DIV/0!</v>
      </c>
      <c r="CO12" s="189" t="e">
        <f t="shared" si="54"/>
        <v>#DIV/0!</v>
      </c>
    </row>
    <row r="13" spans="1:93" s="273" customFormat="1" ht="26.25" thickBot="1">
      <c r="A13" s="269" t="s">
        <v>54</v>
      </c>
      <c r="B13" s="429">
        <f>DIST_DSL_CAM!AJ27</f>
        <v>0.11017985552640609</v>
      </c>
      <c r="C13" s="429">
        <f>DIST_DSL_CAM!AK27</f>
        <v>0.12869498677663141</v>
      </c>
      <c r="D13" s="429">
        <f>DIST_DSL_CAM!AL27</f>
        <v>7.555014455533221E-2</v>
      </c>
      <c r="E13" s="429">
        <f>DIST_DSL_ONI!AJ27</f>
        <v>6.0409658099401908E-2</v>
      </c>
      <c r="F13" s="429">
        <f>DIST_DSL_ONI!AK27</f>
        <v>0.35074425012228744</v>
      </c>
      <c r="G13" s="429">
        <f>DIST_DSL_ONI!AL27</f>
        <v>6.6376290280833639E-2</v>
      </c>
      <c r="H13" s="429">
        <f>DIST_DSL_LEV!AJ20</f>
        <v>1.8059837655468533E-3</v>
      </c>
      <c r="I13" s="429">
        <f>DIST_DSL_LEV!AK20</f>
        <v>7.8623190208061106E-2</v>
      </c>
      <c r="J13" s="429">
        <f t="shared" si="5"/>
        <v>0.87238435933450054</v>
      </c>
      <c r="K13" s="429">
        <f>DIST_DSL_CAM!AM27</f>
        <v>0.10722992661900174</v>
      </c>
      <c r="L13" s="429">
        <f>DIST_DSL_CAM!AN27</f>
        <v>0.12524931164317576</v>
      </c>
      <c r="M13" s="429">
        <f>DIST_DSL_CAM!AO27</f>
        <v>7.7112536114094965E-2</v>
      </c>
      <c r="N13" s="429">
        <f>DIST_DSL_ONI!AM27</f>
        <v>6.0172825111245706E-2</v>
      </c>
      <c r="O13" s="429">
        <f>DIST_DSL_ONI!AN27</f>
        <v>0.34803552832637102</v>
      </c>
      <c r="P13" s="429">
        <f>DIST_DSL_ONI!AO27</f>
        <v>6.5863631398656641E-2</v>
      </c>
      <c r="Q13" s="429">
        <f>DIST_DSL_LEV!AM20</f>
        <v>1.7958237515911556E-3</v>
      </c>
      <c r="R13" s="429">
        <f>DIST_DSL_LEV!AN20</f>
        <v>7.9729450516836026E-2</v>
      </c>
      <c r="S13" s="429">
        <f t="shared" si="6"/>
        <v>0.86518903348097309</v>
      </c>
      <c r="T13" s="429">
        <f>DIST_DSL_CAM!AP27</f>
        <v>0.10992662284276741</v>
      </c>
      <c r="U13" s="429">
        <f>DIST_DSL_CAM!AQ27</f>
        <v>0.12839914293362603</v>
      </c>
      <c r="V13" s="429">
        <f>DIST_DSL_CAM!AR27</f>
        <v>8.4513149471309917E-2</v>
      </c>
      <c r="W13" s="429">
        <f>DIST_DSL_ONI!AP27</f>
        <v>6.4034626171129108E-2</v>
      </c>
      <c r="X13" s="429">
        <f>DIST_DSL_ONI!AQ27</f>
        <v>0.36095298915314061</v>
      </c>
      <c r="Y13" s="429">
        <f>DIST_DSL_ONI!AR27</f>
        <v>6.8308179389744136E-2</v>
      </c>
      <c r="Z13" s="429">
        <f>DIST_DSL_LEV!AP20</f>
        <v>1.86437463136749E-3</v>
      </c>
      <c r="AA13" s="429">
        <f>DIST_DSL_LEV!AQ20</f>
        <v>8.4617985706270174E-2</v>
      </c>
      <c r="AB13" s="429">
        <f t="shared" si="7"/>
        <v>0.9026170702993549</v>
      </c>
      <c r="AC13" s="429">
        <f>DIST_DSL_CAM!AS27</f>
        <v>0.10797897151103091</v>
      </c>
      <c r="AD13" s="429">
        <f>DIST_DSL_CAM!AT27</f>
        <v>0.12612418006031118</v>
      </c>
      <c r="AE13" s="429">
        <f>DIST_DSL_CAM!AU27</f>
        <v>8.6870384546717416E-2</v>
      </c>
      <c r="AF13" s="429">
        <f>DIST_DSL_ONI!AS27</f>
        <v>6.476045954857948E-2</v>
      </c>
      <c r="AG13" s="429">
        <f>DIST_DSL_ONI!AT27</f>
        <v>0.35973253110522346</v>
      </c>
      <c r="AH13" s="429">
        <f>DIST_DSL_ONI!AU27</f>
        <v>6.8077370983387689E-2</v>
      </c>
      <c r="AI13" s="429">
        <f>DIST_DSL_LEV!AS20</f>
        <v>1.844862697797158E-3</v>
      </c>
      <c r="AJ13" s="429">
        <f>DIST_DSL_LEV!AT20</f>
        <v>8.587071195980113E-2</v>
      </c>
      <c r="AK13" s="430">
        <f t="shared" si="8"/>
        <v>0.90125947241284854</v>
      </c>
      <c r="AL13" s="429" t="e">
        <f>DIST_DSL_CAM!AV27</f>
        <v>#DIV/0!</v>
      </c>
      <c r="AM13" s="429" t="e">
        <f>DIST_DSL_CAM!AW27</f>
        <v>#DIV/0!</v>
      </c>
      <c r="AN13" s="429" t="e">
        <f>DIST_DSL_CAM!AX27</f>
        <v>#DIV/0!</v>
      </c>
      <c r="AO13" s="429" t="e">
        <f>DIST_DSL_ONI!AV27</f>
        <v>#DIV/0!</v>
      </c>
      <c r="AP13" s="429" t="e">
        <f>DIST_DSL_ONI!AW27</f>
        <v>#DIV/0!</v>
      </c>
      <c r="AQ13" s="429" t="e">
        <f>DIST_DSL_ONI!AX27</f>
        <v>#DIV/0!</v>
      </c>
      <c r="AR13" s="429" t="e">
        <f>DIST_DSL_LEV!AV20</f>
        <v>#DIV/0!</v>
      </c>
      <c r="AS13" s="429" t="e">
        <f>DIST_DSL_LEV!AW20</f>
        <v>#DIV/0!</v>
      </c>
      <c r="AT13" s="430" t="e">
        <f t="shared" si="9"/>
        <v>#DIV/0!</v>
      </c>
      <c r="AV13" s="269" t="s">
        <v>54</v>
      </c>
      <c r="AW13" s="429">
        <f t="shared" si="10"/>
        <v>0.12629737609057656</v>
      </c>
      <c r="AX13" s="429">
        <f t="shared" si="11"/>
        <v>0.14752096985645929</v>
      </c>
      <c r="AY13" s="429">
        <f t="shared" si="12"/>
        <v>8.6601901727084762E-2</v>
      </c>
      <c r="AZ13" s="429">
        <f t="shared" si="13"/>
        <v>6.9246608393444251E-2</v>
      </c>
      <c r="BA13" s="429">
        <f t="shared" si="14"/>
        <v>0.40205242834689642</v>
      </c>
      <c r="BB13" s="429">
        <f t="shared" si="15"/>
        <v>7.6086061803617017E-2</v>
      </c>
      <c r="BC13" s="429">
        <f t="shared" si="16"/>
        <v>2.0701698124488961E-3</v>
      </c>
      <c r="BD13" s="429">
        <f t="shared" si="17"/>
        <v>9.0124483969472924E-2</v>
      </c>
      <c r="BE13" s="429">
        <f t="shared" si="18"/>
        <v>1</v>
      </c>
      <c r="BF13" s="429">
        <f t="shared" si="19"/>
        <v>0.12393814816119014</v>
      </c>
      <c r="BG13" s="429">
        <f t="shared" si="20"/>
        <v>0.14476525567973486</v>
      </c>
      <c r="BH13" s="429">
        <f t="shared" si="21"/>
        <v>8.9127962942205735E-2</v>
      </c>
      <c r="BI13" s="429">
        <f t="shared" si="22"/>
        <v>6.9548760770982432E-2</v>
      </c>
      <c r="BJ13" s="429">
        <f t="shared" si="23"/>
        <v>0.40226530256179543</v>
      </c>
      <c r="BK13" s="429">
        <f t="shared" si="24"/>
        <v>7.6126290151486406E-2</v>
      </c>
      <c r="BL13" s="429">
        <f t="shared" si="25"/>
        <v>2.0756432202635503E-3</v>
      </c>
      <c r="BM13" s="429">
        <f t="shared" si="26"/>
        <v>9.2152636512341332E-2</v>
      </c>
      <c r="BN13" s="429">
        <f t="shared" si="27"/>
        <v>0.99999999999999989</v>
      </c>
      <c r="BO13" s="429">
        <f t="shared" si="28"/>
        <v>0.12178655429850226</v>
      </c>
      <c r="BP13" s="429">
        <f t="shared" si="29"/>
        <v>0.14225206586337014</v>
      </c>
      <c r="BQ13" s="429">
        <f t="shared" si="30"/>
        <v>9.3631233279557802E-2</v>
      </c>
      <c r="BR13" s="429">
        <f t="shared" si="31"/>
        <v>7.0943291765900113E-2</v>
      </c>
      <c r="BS13" s="429">
        <f t="shared" si="32"/>
        <v>0.39989603679158181</v>
      </c>
      <c r="BT13" s="429">
        <f t="shared" si="33"/>
        <v>7.567791662425527E-2</v>
      </c>
      <c r="BU13" s="429">
        <f t="shared" si="34"/>
        <v>2.0655211304049081E-3</v>
      </c>
      <c r="BV13" s="429">
        <f t="shared" si="35"/>
        <v>9.3747380246427689E-2</v>
      </c>
      <c r="BW13" s="429">
        <f t="shared" si="36"/>
        <v>1</v>
      </c>
      <c r="BX13" s="429">
        <f t="shared" si="37"/>
        <v>0.1198089726834715</v>
      </c>
      <c r="BY13" s="429">
        <f t="shared" si="38"/>
        <v>0.13994214088274931</v>
      </c>
      <c r="BZ13" s="429">
        <f t="shared" si="39"/>
        <v>9.6387763131241602E-2</v>
      </c>
      <c r="CA13" s="429">
        <f t="shared" si="40"/>
        <v>7.1855510572557998E-2</v>
      </c>
      <c r="CB13" s="429">
        <f t="shared" si="41"/>
        <v>0.39914424437853491</v>
      </c>
      <c r="CC13" s="429">
        <f t="shared" si="42"/>
        <v>7.5535817450141415E-2</v>
      </c>
      <c r="CD13" s="429">
        <f t="shared" si="43"/>
        <v>2.0469828659421445E-3</v>
      </c>
      <c r="CE13" s="429">
        <f t="shared" si="44"/>
        <v>9.5278568035360972E-2</v>
      </c>
      <c r="CF13" s="430">
        <f t="shared" si="45"/>
        <v>0.99999999999999989</v>
      </c>
      <c r="CG13" s="429" t="e">
        <f t="shared" si="46"/>
        <v>#DIV/0!</v>
      </c>
      <c r="CH13" s="429" t="e">
        <f t="shared" si="47"/>
        <v>#DIV/0!</v>
      </c>
      <c r="CI13" s="429" t="e">
        <f t="shared" si="48"/>
        <v>#DIV/0!</v>
      </c>
      <c r="CJ13" s="429" t="e">
        <f t="shared" si="49"/>
        <v>#DIV/0!</v>
      </c>
      <c r="CK13" s="429" t="e">
        <f t="shared" si="50"/>
        <v>#DIV/0!</v>
      </c>
      <c r="CL13" s="429" t="e">
        <f t="shared" si="51"/>
        <v>#DIV/0!</v>
      </c>
      <c r="CM13" s="429" t="e">
        <f t="shared" si="52"/>
        <v>#DIV/0!</v>
      </c>
      <c r="CN13" s="429" t="e">
        <f t="shared" si="53"/>
        <v>#DIV/0!</v>
      </c>
      <c r="CO13" s="430" t="e">
        <f t="shared" si="54"/>
        <v>#DIV/0!</v>
      </c>
    </row>
    <row r="14" spans="1:93" ht="15.75" thickBot="1">
      <c r="A14" s="127" t="s">
        <v>21</v>
      </c>
      <c r="B14" s="188">
        <f>DIST_DSL_CAM!AJ28</f>
        <v>0.13327162542103752</v>
      </c>
      <c r="C14" s="188">
        <f>DIST_DSL_CAM!AK28</f>
        <v>0.15565765286386646</v>
      </c>
      <c r="D14" s="188">
        <f>DIST_DSL_CAM!AL28</f>
        <v>9.1293748140273676E-2</v>
      </c>
      <c r="E14" s="188">
        <f>DIST_DSL_ONI!AJ28</f>
        <v>0.12953211793446062</v>
      </c>
      <c r="F14" s="188">
        <f>DIST_DSL_ONI!AK28</f>
        <v>0.52154988861332197</v>
      </c>
      <c r="G14" s="188">
        <f>DIST_DSL_ONI!AL28</f>
        <v>9.8741353777128643E-2</v>
      </c>
      <c r="H14" s="188">
        <f>DIST_DSL_LEV!AJ21</f>
        <v>2.2139245198107846E-3</v>
      </c>
      <c r="I14" s="188">
        <f>DIST_DSL_LEV!AK21</f>
        <v>9.6237685455172917E-2</v>
      </c>
      <c r="J14" s="188">
        <f t="shared" si="5"/>
        <v>1.2284979967250726</v>
      </c>
      <c r="K14" s="188">
        <f>DIST_DSL_CAM!AM28</f>
        <v>0.13010708055955156</v>
      </c>
      <c r="L14" s="188">
        <f>DIST_DSL_CAM!AN28</f>
        <v>0.15196155008155912</v>
      </c>
      <c r="M14" s="188">
        <f>DIST_DSL_CAM!AO28</f>
        <v>8.9269191054054023E-2</v>
      </c>
      <c r="N14" s="188">
        <f>DIST_DSL_ONI!AM28</f>
        <v>0.12864539768144731</v>
      </c>
      <c r="O14" s="188">
        <f>DIST_DSL_ONI!AN28</f>
        <v>0.51396479992870314</v>
      </c>
      <c r="P14" s="188">
        <f>DIST_DSL_ONI!AO28</f>
        <v>9.7305322552521986E-2</v>
      </c>
      <c r="Q14" s="188">
        <f>DIST_DSL_LEV!AM21</f>
        <v>2.1963921067655783E-3</v>
      </c>
      <c r="R14" s="188">
        <f>DIST_DSL_LEV!AN21</f>
        <v>9.5409055943479731E-2</v>
      </c>
      <c r="S14" s="188">
        <f t="shared" si="6"/>
        <v>1.2088587899080825</v>
      </c>
      <c r="T14" s="188">
        <f>DIST_DSL_CAM!AP28</f>
        <v>0.12636193825300659</v>
      </c>
      <c r="U14" s="188">
        <f>DIST_DSL_CAM!AQ28</f>
        <v>0.1475873251913303</v>
      </c>
      <c r="V14" s="188">
        <f>DIST_DSL_CAM!AR28</f>
        <v>8.9619653563201035E-2</v>
      </c>
      <c r="W14" s="188">
        <f>DIST_DSL_ONI!AP28</f>
        <v>0.12638144933399698</v>
      </c>
      <c r="X14" s="188">
        <f>DIST_DSL_ONI!AQ28</f>
        <v>0.50858101786552112</v>
      </c>
      <c r="Y14" s="188">
        <f>DIST_DSL_ONI!AR28</f>
        <v>9.6286049150368619E-2</v>
      </c>
      <c r="Z14" s="188">
        <f>DIST_DSL_LEV!AP21</f>
        <v>2.1429787257977811E-3</v>
      </c>
      <c r="AA14" s="188">
        <f>DIST_DSL_LEV!AQ21</f>
        <v>9.4826368444812265E-2</v>
      </c>
      <c r="AB14" s="188">
        <f t="shared" si="7"/>
        <v>1.1917867805280347</v>
      </c>
      <c r="AC14" s="188">
        <f>DIST_DSL_CAM!AS28</f>
        <v>0.13821209556349173</v>
      </c>
      <c r="AD14" s="188">
        <f>DIST_DSL_CAM!AT28</f>
        <v>0.16142798832716485</v>
      </c>
      <c r="AE14" s="188">
        <f>DIST_DSL_CAM!AU28</f>
        <v>9.9602518065446774E-2</v>
      </c>
      <c r="AF14" s="188">
        <f>DIST_DSL_ONI!AS28</f>
        <v>0.13661260200142661</v>
      </c>
      <c r="AG14" s="188">
        <f>DIST_DSL_ONI!AT28</f>
        <v>0.57089047352731059</v>
      </c>
      <c r="AH14" s="188">
        <f>DIST_DSL_ONI!AU28</f>
        <v>0.10808265794942171</v>
      </c>
      <c r="AI14" s="188">
        <f>DIST_DSL_LEV!AS21</f>
        <v>2.3590730950245838E-3</v>
      </c>
      <c r="AJ14" s="188">
        <f>DIST_DSL_LEV!AT21</f>
        <v>0.10641074324635678</v>
      </c>
      <c r="AK14" s="189">
        <f t="shared" si="8"/>
        <v>1.3235981517756434</v>
      </c>
      <c r="AL14" s="188" t="e">
        <f>DIST_DSL_CAM!AV28</f>
        <v>#DIV/0!</v>
      </c>
      <c r="AM14" s="188" t="e">
        <f>DIST_DSL_CAM!AW28</f>
        <v>#DIV/0!</v>
      </c>
      <c r="AN14" s="188" t="e">
        <f>DIST_DSL_CAM!AX28</f>
        <v>#DIV/0!</v>
      </c>
      <c r="AO14" s="188" t="e">
        <f>DIST_DSL_ONI!AV28</f>
        <v>#DIV/0!</v>
      </c>
      <c r="AP14" s="188" t="e">
        <f>DIST_DSL_ONI!AW28</f>
        <v>#DIV/0!</v>
      </c>
      <c r="AQ14" s="188" t="e">
        <f>DIST_DSL_ONI!AX28</f>
        <v>#DIV/0!</v>
      </c>
      <c r="AR14" s="188" t="e">
        <f>DIST_DSL_LEV!AV21</f>
        <v>#DIV/0!</v>
      </c>
      <c r="AS14" s="188" t="e">
        <f>DIST_DSL_LEV!AW21</f>
        <v>#DIV/0!</v>
      </c>
      <c r="AT14" s="189" t="e">
        <f t="shared" si="9"/>
        <v>#DIV/0!</v>
      </c>
      <c r="AV14" s="127" t="s">
        <v>21</v>
      </c>
      <c r="AW14" s="188">
        <f t="shared" si="10"/>
        <v>0.10848338847626347</v>
      </c>
      <c r="AX14" s="188">
        <f t="shared" si="11"/>
        <v>0.1267056627514398</v>
      </c>
      <c r="AY14" s="188">
        <f t="shared" si="12"/>
        <v>7.4313306479655936E-2</v>
      </c>
      <c r="AZ14" s="188">
        <f t="shared" si="13"/>
        <v>0.10543942137452976</v>
      </c>
      <c r="BA14" s="188">
        <f t="shared" si="14"/>
        <v>0.42454272616127053</v>
      </c>
      <c r="BB14" s="188">
        <f t="shared" si="15"/>
        <v>8.0375673416117191E-2</v>
      </c>
      <c r="BC14" s="188">
        <f t="shared" si="16"/>
        <v>1.8021392999521854E-3</v>
      </c>
      <c r="BD14" s="188">
        <f t="shared" si="17"/>
        <v>7.8337682040771031E-2</v>
      </c>
      <c r="BE14" s="188">
        <f t="shared" si="18"/>
        <v>1</v>
      </c>
      <c r="BF14" s="188">
        <f t="shared" si="19"/>
        <v>0.10762802210293268</v>
      </c>
      <c r="BG14" s="188">
        <f t="shared" si="20"/>
        <v>0.1257066179690961</v>
      </c>
      <c r="BH14" s="188">
        <f t="shared" si="21"/>
        <v>7.3845838570476663E-2</v>
      </c>
      <c r="BI14" s="188">
        <f t="shared" si="22"/>
        <v>0.10641887932272806</v>
      </c>
      <c r="BJ14" s="188">
        <f t="shared" si="23"/>
        <v>0.42516529161175498</v>
      </c>
      <c r="BK14" s="188">
        <f t="shared" si="24"/>
        <v>8.0493539332183492E-2</v>
      </c>
      <c r="BL14" s="188">
        <f t="shared" si="25"/>
        <v>1.816913708285634E-3</v>
      </c>
      <c r="BM14" s="188">
        <f t="shared" si="26"/>
        <v>7.8924897382542353E-2</v>
      </c>
      <c r="BN14" s="188">
        <f t="shared" si="27"/>
        <v>1</v>
      </c>
      <c r="BO14" s="188">
        <f t="shared" si="28"/>
        <v>0.1060273031364054</v>
      </c>
      <c r="BP14" s="188">
        <f t="shared" si="29"/>
        <v>0.12383702152321245</v>
      </c>
      <c r="BQ14" s="188">
        <f t="shared" si="30"/>
        <v>7.5197724146171541E-2</v>
      </c>
      <c r="BR14" s="188">
        <f t="shared" si="31"/>
        <v>0.10604367442136105</v>
      </c>
      <c r="BS14" s="188">
        <f t="shared" si="32"/>
        <v>0.42673826071488102</v>
      </c>
      <c r="BT14" s="188">
        <f t="shared" si="33"/>
        <v>8.0791338453769387E-2</v>
      </c>
      <c r="BU14" s="188">
        <f t="shared" si="34"/>
        <v>1.7981225843504574E-3</v>
      </c>
      <c r="BV14" s="188">
        <f t="shared" si="35"/>
        <v>7.9566555019848745E-2</v>
      </c>
      <c r="BW14" s="188">
        <f t="shared" si="36"/>
        <v>1</v>
      </c>
      <c r="BX14" s="188">
        <f t="shared" si="37"/>
        <v>0.10442149331961245</v>
      </c>
      <c r="BY14" s="188">
        <f t="shared" si="38"/>
        <v>0.12196147910195004</v>
      </c>
      <c r="BZ14" s="188">
        <f t="shared" si="39"/>
        <v>7.525132755121125E-2</v>
      </c>
      <c r="CA14" s="188">
        <f t="shared" si="40"/>
        <v>0.10321304983552375</v>
      </c>
      <c r="CB14" s="188">
        <f t="shared" si="41"/>
        <v>0.43131706761712024</v>
      </c>
      <c r="CC14" s="188">
        <f t="shared" si="42"/>
        <v>8.1658211598758912E-2</v>
      </c>
      <c r="CD14" s="188">
        <f t="shared" si="43"/>
        <v>1.7823182148296462E-3</v>
      </c>
      <c r="CE14" s="188">
        <f t="shared" si="44"/>
        <v>8.0395052760993832E-2</v>
      </c>
      <c r="CF14" s="189">
        <f t="shared" si="45"/>
        <v>1.0000000000000002</v>
      </c>
      <c r="CG14" s="188" t="e">
        <f t="shared" si="46"/>
        <v>#DIV/0!</v>
      </c>
      <c r="CH14" s="188" t="e">
        <f t="shared" si="47"/>
        <v>#DIV/0!</v>
      </c>
      <c r="CI14" s="188" t="e">
        <f t="shared" si="48"/>
        <v>#DIV/0!</v>
      </c>
      <c r="CJ14" s="188" t="e">
        <f t="shared" si="49"/>
        <v>#DIV/0!</v>
      </c>
      <c r="CK14" s="188" t="e">
        <f t="shared" si="50"/>
        <v>#DIV/0!</v>
      </c>
      <c r="CL14" s="188" t="e">
        <f t="shared" si="51"/>
        <v>#DIV/0!</v>
      </c>
      <c r="CM14" s="188" t="e">
        <f t="shared" si="52"/>
        <v>#DIV/0!</v>
      </c>
      <c r="CN14" s="188" t="e">
        <f t="shared" si="53"/>
        <v>#DIV/0!</v>
      </c>
      <c r="CO14" s="189" t="e">
        <f t="shared" si="54"/>
        <v>#DIV/0!</v>
      </c>
    </row>
    <row r="15" spans="1:93" ht="15.75" thickBot="1">
      <c r="A15" s="127" t="s">
        <v>22</v>
      </c>
      <c r="B15" s="188">
        <f>DIST_DSL_CAM!AJ29</f>
        <v>8.1444784468104922E-2</v>
      </c>
      <c r="C15" s="188">
        <f>DIST_DSL_CAM!AK29</f>
        <v>9.5130989491627849E-2</v>
      </c>
      <c r="D15" s="188">
        <f>DIST_DSL_CAM!AL29</f>
        <v>7.5205973483986568E-2</v>
      </c>
      <c r="E15" s="188">
        <f>DIST_DSL_ONI!AJ29</f>
        <v>5.1238907593663306E-2</v>
      </c>
      <c r="F15" s="188">
        <f>DIST_DSL_ONI!AK29</f>
        <v>0.34415789626140864</v>
      </c>
      <c r="G15" s="188">
        <f>DIST_DSL_ONI!AL29</f>
        <v>6.5127192141593834E-2</v>
      </c>
      <c r="H15" s="188">
        <f>DIST_DSL_LEV!AJ22</f>
        <v>1.1933153658524743E-3</v>
      </c>
      <c r="I15" s="188">
        <f>DIST_DSL_LEV!AK22</f>
        <v>5.7621941457114433E-2</v>
      </c>
      <c r="J15" s="188">
        <f t="shared" si="5"/>
        <v>0.77112100026335195</v>
      </c>
      <c r="K15" s="188">
        <f>DIST_DSL_CAM!AM29</f>
        <v>8.0219866941246651E-2</v>
      </c>
      <c r="L15" s="188">
        <f>DIST_DSL_CAM!AN29</f>
        <v>9.3700233463029137E-2</v>
      </c>
      <c r="M15" s="188">
        <f>DIST_DSL_CAM!AO29</f>
        <v>7.9050159314392993E-2</v>
      </c>
      <c r="N15" s="188">
        <f>DIST_DSL_ONI!AM29</f>
        <v>5.2843025681379191E-2</v>
      </c>
      <c r="O15" s="188">
        <f>DIST_DSL_ONI!AN29</f>
        <v>0.34450122556994384</v>
      </c>
      <c r="P15" s="188">
        <f>DIST_DSL_ONI!AO29</f>
        <v>6.5192162534799147E-2</v>
      </c>
      <c r="Q15" s="188">
        <f>DIST_DSL_LEV!AM22</f>
        <v>1.1940338423599784E-3</v>
      </c>
      <c r="R15" s="188">
        <f>DIST_DSL_LEV!AN22</f>
        <v>5.87972839148969E-2</v>
      </c>
      <c r="S15" s="188">
        <f t="shared" si="6"/>
        <v>0.77549799126204788</v>
      </c>
      <c r="T15" s="188">
        <f>DIST_DSL_CAM!AP29</f>
        <v>8.3297254279597083E-2</v>
      </c>
      <c r="U15" s="188">
        <f>DIST_DSL_CAM!AQ29</f>
        <v>9.7294753412442592E-2</v>
      </c>
      <c r="V15" s="188">
        <f>DIST_DSL_CAM!AR29</f>
        <v>8.7889494996169243E-2</v>
      </c>
      <c r="W15" s="188">
        <f>DIST_DSL_ONI!AP29</f>
        <v>5.7608918146838189E-2</v>
      </c>
      <c r="X15" s="188">
        <f>DIST_DSL_ONI!AQ29</f>
        <v>0.35270689942128486</v>
      </c>
      <c r="Y15" s="188">
        <f>DIST_DSL_ONI!AR29</f>
        <v>6.6744974495160564E-2</v>
      </c>
      <c r="Z15" s="188">
        <f>DIST_DSL_LEV!AP22</f>
        <v>1.2383296684927399E-3</v>
      </c>
      <c r="AA15" s="188">
        <f>DIST_DSL_LEV!AQ22</f>
        <v>6.269170761557448E-2</v>
      </c>
      <c r="AB15" s="188">
        <f t="shared" si="7"/>
        <v>0.80947233203555979</v>
      </c>
      <c r="AC15" s="188">
        <f>DIST_DSL_CAM!AS29</f>
        <v>8.30689888022621E-2</v>
      </c>
      <c r="AD15" s="188">
        <f>DIST_DSL_CAM!AT29</f>
        <v>9.702812957805626E-2</v>
      </c>
      <c r="AE15" s="188">
        <f>DIST_DSL_CAM!AU29</f>
        <v>9.1849210256833597E-2</v>
      </c>
      <c r="AF15" s="188">
        <f>DIST_DSL_ONI!AS29</f>
        <v>6.0189228615388633E-2</v>
      </c>
      <c r="AG15" s="188">
        <f>DIST_DSL_ONI!AT29</f>
        <v>0.35227428795654792</v>
      </c>
      <c r="AH15" s="188">
        <f>DIST_DSL_ONI!AU29</f>
        <v>6.6663108670512519E-2</v>
      </c>
      <c r="AI15" s="188">
        <f>DIST_DSL_LEV!AS22</f>
        <v>1.2477058262883554E-3</v>
      </c>
      <c r="AJ15" s="188">
        <f>DIST_DSL_LEV!AT22</f>
        <v>6.4791283046395101E-2</v>
      </c>
      <c r="AK15" s="189">
        <f t="shared" si="8"/>
        <v>0.81711194275228449</v>
      </c>
      <c r="AL15" s="188" t="e">
        <f>DIST_DSL_CAM!AV29</f>
        <v>#DIV/0!</v>
      </c>
      <c r="AM15" s="188" t="e">
        <f>DIST_DSL_CAM!AW29</f>
        <v>#DIV/0!</v>
      </c>
      <c r="AN15" s="188" t="e">
        <f>DIST_DSL_CAM!AX29</f>
        <v>#DIV/0!</v>
      </c>
      <c r="AO15" s="188" t="e">
        <f>DIST_DSL_ONI!AV29</f>
        <v>#DIV/0!</v>
      </c>
      <c r="AP15" s="188" t="e">
        <f>DIST_DSL_ONI!AW29</f>
        <v>#DIV/0!</v>
      </c>
      <c r="AQ15" s="188" t="e">
        <f>DIST_DSL_ONI!AX29</f>
        <v>#DIV/0!</v>
      </c>
      <c r="AR15" s="188" t="e">
        <f>DIST_DSL_LEV!AV22</f>
        <v>#DIV/0!</v>
      </c>
      <c r="AS15" s="188" t="e">
        <f>DIST_DSL_LEV!AW22</f>
        <v>#DIV/0!</v>
      </c>
      <c r="AT15" s="189" t="e">
        <f t="shared" si="9"/>
        <v>#DIV/0!</v>
      </c>
      <c r="AV15" s="127" t="s">
        <v>22</v>
      </c>
      <c r="AW15" s="188">
        <f t="shared" si="10"/>
        <v>0.1056186829826837</v>
      </c>
      <c r="AX15" s="188">
        <f t="shared" si="11"/>
        <v>0.12336713623301515</v>
      </c>
      <c r="AY15" s="188">
        <f t="shared" si="12"/>
        <v>9.7528109671896304E-2</v>
      </c>
      <c r="AZ15" s="188">
        <f t="shared" si="13"/>
        <v>6.6447298901423091E-2</v>
      </c>
      <c r="BA15" s="188">
        <f t="shared" si="14"/>
        <v>0.4463085509846994</v>
      </c>
      <c r="BB15" s="188">
        <f t="shared" si="15"/>
        <v>8.4457811574774527E-2</v>
      </c>
      <c r="BC15" s="188">
        <f t="shared" si="16"/>
        <v>1.5475072854259386E-3</v>
      </c>
      <c r="BD15" s="188">
        <f t="shared" si="17"/>
        <v>7.4724902366081952E-2</v>
      </c>
      <c r="BE15" s="188">
        <f t="shared" si="18"/>
        <v>1</v>
      </c>
      <c r="BF15" s="188">
        <f t="shared" si="19"/>
        <v>0.10344303640386816</v>
      </c>
      <c r="BG15" s="188">
        <f t="shared" si="20"/>
        <v>0.12082588803426954</v>
      </c>
      <c r="BH15" s="188">
        <f t="shared" si="21"/>
        <v>0.10193470544745901</v>
      </c>
      <c r="BI15" s="188">
        <f t="shared" si="22"/>
        <v>6.8140764098411508E-2</v>
      </c>
      <c r="BJ15" s="188">
        <f t="shared" si="23"/>
        <v>0.44423226036898106</v>
      </c>
      <c r="BK15" s="188">
        <f t="shared" si="24"/>
        <v>8.4064901868675657E-2</v>
      </c>
      <c r="BL15" s="188">
        <f t="shared" si="25"/>
        <v>1.5396994651356915E-3</v>
      </c>
      <c r="BM15" s="188">
        <f t="shared" si="26"/>
        <v>7.5818744313199335E-2</v>
      </c>
      <c r="BN15" s="188">
        <f t="shared" si="27"/>
        <v>1</v>
      </c>
      <c r="BO15" s="188">
        <f t="shared" si="28"/>
        <v>0.10290315182253551</v>
      </c>
      <c r="BP15" s="188">
        <f t="shared" si="29"/>
        <v>0.12019527976673139</v>
      </c>
      <c r="BQ15" s="188">
        <f t="shared" si="30"/>
        <v>0.10857628051987364</v>
      </c>
      <c r="BR15" s="188">
        <f t="shared" si="31"/>
        <v>7.1168483303154395E-2</v>
      </c>
      <c r="BS15" s="188">
        <f t="shared" si="32"/>
        <v>0.43572446575702178</v>
      </c>
      <c r="BT15" s="188">
        <f t="shared" si="33"/>
        <v>8.2454917671266975E-2</v>
      </c>
      <c r="BU15" s="188">
        <f t="shared" si="34"/>
        <v>1.5297986348449283E-3</v>
      </c>
      <c r="BV15" s="188">
        <f t="shared" si="35"/>
        <v>7.7447622524571297E-2</v>
      </c>
      <c r="BW15" s="188">
        <f t="shared" si="36"/>
        <v>0.99999999999999989</v>
      </c>
      <c r="BX15" s="188">
        <f t="shared" si="37"/>
        <v>0.10166169952486581</v>
      </c>
      <c r="BY15" s="188">
        <f t="shared" si="38"/>
        <v>0.11874521041907142</v>
      </c>
      <c r="BZ15" s="188">
        <f t="shared" si="39"/>
        <v>0.11240713230485555</v>
      </c>
      <c r="CA15" s="188">
        <f t="shared" si="40"/>
        <v>7.3660933669201789E-2</v>
      </c>
      <c r="CB15" s="188">
        <f t="shared" si="41"/>
        <v>0.43112120815414801</v>
      </c>
      <c r="CC15" s="188">
        <f t="shared" si="42"/>
        <v>8.158381389699268E-2</v>
      </c>
      <c r="CD15" s="188">
        <f t="shared" si="43"/>
        <v>1.5269704932786789E-3</v>
      </c>
      <c r="CE15" s="188">
        <f t="shared" si="44"/>
        <v>7.9293031537586045E-2</v>
      </c>
      <c r="CF15" s="189">
        <f t="shared" si="45"/>
        <v>1</v>
      </c>
      <c r="CG15" s="188" t="e">
        <f t="shared" si="46"/>
        <v>#DIV/0!</v>
      </c>
      <c r="CH15" s="188" t="e">
        <f t="shared" si="47"/>
        <v>#DIV/0!</v>
      </c>
      <c r="CI15" s="188" t="e">
        <f t="shared" si="48"/>
        <v>#DIV/0!</v>
      </c>
      <c r="CJ15" s="188" t="e">
        <f t="shared" si="49"/>
        <v>#DIV/0!</v>
      </c>
      <c r="CK15" s="188" t="e">
        <f t="shared" si="50"/>
        <v>#DIV/0!</v>
      </c>
      <c r="CL15" s="188" t="e">
        <f t="shared" si="51"/>
        <v>#DIV/0!</v>
      </c>
      <c r="CM15" s="188" t="e">
        <f t="shared" si="52"/>
        <v>#DIV/0!</v>
      </c>
      <c r="CN15" s="188" t="e">
        <f t="shared" si="53"/>
        <v>#DIV/0!</v>
      </c>
      <c r="CO15" s="189" t="e">
        <f t="shared" si="54"/>
        <v>#DIV/0!</v>
      </c>
    </row>
    <row r="16" spans="1:93" ht="15.75" thickBot="1">
      <c r="A16" s="127" t="s">
        <v>23</v>
      </c>
      <c r="B16" s="188">
        <f>DIST_DSL_CAM!AJ30</f>
        <v>0.14942826600952333</v>
      </c>
      <c r="C16" s="188">
        <f>DIST_DSL_CAM!AK30</f>
        <v>0.17453638421934098</v>
      </c>
      <c r="D16" s="188">
        <f>DIST_DSL_CAM!AL30</f>
        <v>9.9580390905511143E-2</v>
      </c>
      <c r="E16" s="188">
        <f>DIST_DSL_ONI!AJ30</f>
        <v>7.1026781760258631E-2</v>
      </c>
      <c r="F16" s="188">
        <f>DIST_DSL_ONI!AK30</f>
        <v>0.41117905835045709</v>
      </c>
      <c r="G16" s="188">
        <f>DIST_DSL_ONI!AL30</f>
        <v>7.7798484334047319E-2</v>
      </c>
      <c r="H16" s="188">
        <f>DIST_DSL_LEV!AJ23</f>
        <v>3.5042920383601055E-3</v>
      </c>
      <c r="I16" s="188">
        <f>DIST_DSL_LEV!AK23</f>
        <v>0.14250788334226785</v>
      </c>
      <c r="J16" s="188">
        <f t="shared" si="5"/>
        <v>1.1295615409597666</v>
      </c>
      <c r="K16" s="188">
        <f>DIST_DSL_CAM!AM30</f>
        <v>0.14223127086432455</v>
      </c>
      <c r="L16" s="188">
        <f>DIST_DSL_CAM!AN30</f>
        <v>0.16613009307087048</v>
      </c>
      <c r="M16" s="188">
        <f>DIST_DSL_CAM!AO30</f>
        <v>9.8148853825963528E-2</v>
      </c>
      <c r="N16" s="188">
        <f>DIST_DSL_ONI!AM30</f>
        <v>6.9003681685268034E-2</v>
      </c>
      <c r="O16" s="188">
        <f>DIST_DSL_ONI!AN30</f>
        <v>0.4040226102173386</v>
      </c>
      <c r="P16" s="188">
        <f>DIST_DSL_ONI!AO30</f>
        <v>7.6444425058252913E-2</v>
      </c>
      <c r="Q16" s="188">
        <f>DIST_DSL_LEV!AM23</f>
        <v>3.3836168635183392E-3</v>
      </c>
      <c r="R16" s="188">
        <f>DIST_DSL_LEV!AN23</f>
        <v>0.14038460627555086</v>
      </c>
      <c r="S16" s="188">
        <f t="shared" si="6"/>
        <v>1.0997491578610874</v>
      </c>
      <c r="T16" s="188">
        <f>DIST_DSL_CAM!AP30</f>
        <v>0.14535722352149785</v>
      </c>
      <c r="U16" s="188">
        <f>DIST_DSL_CAM!AQ30</f>
        <v>0.16978129299839356</v>
      </c>
      <c r="V16" s="188">
        <f>DIST_DSL_CAM!AR30</f>
        <v>0.1049099535905291</v>
      </c>
      <c r="W16" s="188">
        <f>DIST_DSL_ONI!AP30</f>
        <v>7.3460209651726921E-2</v>
      </c>
      <c r="X16" s="188">
        <f>DIST_DSL_ONI!AQ30</f>
        <v>0.42316473780822844</v>
      </c>
      <c r="Y16" s="188">
        <f>DIST_DSL_ONI!AR30</f>
        <v>8.0066274185186984E-2</v>
      </c>
      <c r="Z16" s="188">
        <f>DIST_DSL_LEV!AP23</f>
        <v>3.5072637838892634E-3</v>
      </c>
      <c r="AA16" s="188">
        <f>DIST_DSL_LEV!AQ23</f>
        <v>0.14804091651695606</v>
      </c>
      <c r="AB16" s="188">
        <f t="shared" si="7"/>
        <v>1.1482878720564083</v>
      </c>
      <c r="AC16" s="188">
        <f>DIST_DSL_CAM!AS30</f>
        <v>0.13861160423284699</v>
      </c>
      <c r="AD16" s="188">
        <f>DIST_DSL_CAM!AT30</f>
        <v>0.16190222144518202</v>
      </c>
      <c r="AE16" s="188">
        <f>DIST_DSL_CAM!AU30</f>
        <v>0.10530739594404862</v>
      </c>
      <c r="AF16" s="188">
        <f>DIST_DSL_ONI!AS30</f>
        <v>7.1109123953357653E-2</v>
      </c>
      <c r="AG16" s="188">
        <f>DIST_DSL_ONI!AT30</f>
        <v>0.41147475989589688</v>
      </c>
      <c r="AH16" s="188">
        <f>DIST_DSL_ONI!AU30</f>
        <v>7.7854433516242397E-2</v>
      </c>
      <c r="AI16" s="188">
        <f>DIST_DSL_LEV!AS23</f>
        <v>3.3958864886070887E-3</v>
      </c>
      <c r="AJ16" s="188">
        <f>DIST_DSL_LEV!AT23</f>
        <v>0.14557437648401647</v>
      </c>
      <c r="AK16" s="189">
        <f t="shared" si="8"/>
        <v>1.1152298019601981</v>
      </c>
      <c r="AL16" s="188" t="e">
        <f>DIST_DSL_CAM!AV30</f>
        <v>#DIV/0!</v>
      </c>
      <c r="AM16" s="188" t="e">
        <f>DIST_DSL_CAM!AW30</f>
        <v>#DIV/0!</v>
      </c>
      <c r="AN16" s="188" t="e">
        <f>DIST_DSL_CAM!AX30</f>
        <v>#DIV/0!</v>
      </c>
      <c r="AO16" s="188" t="e">
        <f>DIST_DSL_ONI!AV30</f>
        <v>#DIV/0!</v>
      </c>
      <c r="AP16" s="188" t="e">
        <f>DIST_DSL_ONI!AW30</f>
        <v>#DIV/0!</v>
      </c>
      <c r="AQ16" s="188" t="e">
        <f>DIST_DSL_ONI!AX30</f>
        <v>#DIV/0!</v>
      </c>
      <c r="AR16" s="188" t="e">
        <f>DIST_DSL_LEV!AV23</f>
        <v>#DIV/0!</v>
      </c>
      <c r="AS16" s="188" t="e">
        <f>DIST_DSL_LEV!AW23</f>
        <v>#DIV/0!</v>
      </c>
      <c r="AT16" s="189" t="e">
        <f t="shared" si="9"/>
        <v>#DIV/0!</v>
      </c>
      <c r="AV16" s="127" t="s">
        <v>23</v>
      </c>
      <c r="AW16" s="188">
        <f t="shared" si="10"/>
        <v>0.13228873380600142</v>
      </c>
      <c r="AX16" s="188">
        <f t="shared" si="11"/>
        <v>0.15451693235858649</v>
      </c>
      <c r="AY16" s="188">
        <f t="shared" si="12"/>
        <v>8.8158446702159859E-2</v>
      </c>
      <c r="AZ16" s="188">
        <f t="shared" si="13"/>
        <v>6.2879957562921765E-2</v>
      </c>
      <c r="BA16" s="188">
        <f t="shared" si="14"/>
        <v>0.36401651741886165</v>
      </c>
      <c r="BB16" s="188">
        <f t="shared" si="15"/>
        <v>6.8874940862401757E-2</v>
      </c>
      <c r="BC16" s="188">
        <f t="shared" si="16"/>
        <v>3.1023471597506555E-3</v>
      </c>
      <c r="BD16" s="188">
        <f t="shared" si="17"/>
        <v>0.12616212412931629</v>
      </c>
      <c r="BE16" s="188">
        <f t="shared" si="18"/>
        <v>0.99999999999999989</v>
      </c>
      <c r="BF16" s="188">
        <f t="shared" si="19"/>
        <v>0.12933064767328534</v>
      </c>
      <c r="BG16" s="188">
        <f t="shared" si="20"/>
        <v>0.15106180521563525</v>
      </c>
      <c r="BH16" s="188">
        <f t="shared" si="21"/>
        <v>8.9246582390528184E-2</v>
      </c>
      <c r="BI16" s="188">
        <f t="shared" si="22"/>
        <v>6.274492796109428E-2</v>
      </c>
      <c r="BJ16" s="188">
        <f t="shared" si="23"/>
        <v>0.36737705805851767</v>
      </c>
      <c r="BK16" s="188">
        <f t="shared" si="24"/>
        <v>6.9510782992487488E-2</v>
      </c>
      <c r="BL16" s="188">
        <f t="shared" si="25"/>
        <v>3.0767169397966786E-3</v>
      </c>
      <c r="BM16" s="188">
        <f t="shared" si="26"/>
        <v>0.12765147876865504</v>
      </c>
      <c r="BN16" s="188">
        <f t="shared" si="27"/>
        <v>0.99999999999999989</v>
      </c>
      <c r="BO16" s="188">
        <f t="shared" si="28"/>
        <v>0.12658604785330116</v>
      </c>
      <c r="BP16" s="188">
        <f t="shared" si="29"/>
        <v>0.14785603604289679</v>
      </c>
      <c r="BQ16" s="188">
        <f t="shared" si="30"/>
        <v>9.1362067077005171E-2</v>
      </c>
      <c r="BR16" s="188">
        <f t="shared" si="31"/>
        <v>6.3973687643474719E-2</v>
      </c>
      <c r="BS16" s="188">
        <f t="shared" si="32"/>
        <v>0.36851798935262203</v>
      </c>
      <c r="BT16" s="188">
        <f t="shared" si="33"/>
        <v>6.9726656645602736E-2</v>
      </c>
      <c r="BU16" s="188">
        <f t="shared" si="34"/>
        <v>3.0543419200346421E-3</v>
      </c>
      <c r="BV16" s="188">
        <f t="shared" si="35"/>
        <v>0.12892317346506271</v>
      </c>
      <c r="BW16" s="188">
        <f t="shared" si="36"/>
        <v>1</v>
      </c>
      <c r="BX16" s="188">
        <f t="shared" si="37"/>
        <v>0.12428972395573945</v>
      </c>
      <c r="BY16" s="188">
        <f t="shared" si="38"/>
        <v>0.14517386565586077</v>
      </c>
      <c r="BZ16" s="188">
        <f t="shared" si="39"/>
        <v>9.4426633648915861E-2</v>
      </c>
      <c r="CA16" s="188">
        <f t="shared" si="40"/>
        <v>6.3761857716115353E-2</v>
      </c>
      <c r="CB16" s="188">
        <f t="shared" si="41"/>
        <v>0.3689596163702431</v>
      </c>
      <c r="CC16" s="188">
        <f t="shared" si="42"/>
        <v>6.9810216136082931E-2</v>
      </c>
      <c r="CD16" s="188">
        <f t="shared" si="43"/>
        <v>3.0450105284473791E-3</v>
      </c>
      <c r="CE16" s="188">
        <f t="shared" si="44"/>
        <v>0.13053307598859518</v>
      </c>
      <c r="CF16" s="189">
        <f t="shared" si="45"/>
        <v>1</v>
      </c>
      <c r="CG16" s="188" t="e">
        <f t="shared" si="46"/>
        <v>#DIV/0!</v>
      </c>
      <c r="CH16" s="188" t="e">
        <f t="shared" si="47"/>
        <v>#DIV/0!</v>
      </c>
      <c r="CI16" s="188" t="e">
        <f t="shared" si="48"/>
        <v>#DIV/0!</v>
      </c>
      <c r="CJ16" s="188" t="e">
        <f t="shared" si="49"/>
        <v>#DIV/0!</v>
      </c>
      <c r="CK16" s="188" t="e">
        <f t="shared" si="50"/>
        <v>#DIV/0!</v>
      </c>
      <c r="CL16" s="188" t="e">
        <f t="shared" si="51"/>
        <v>#DIV/0!</v>
      </c>
      <c r="CM16" s="188" t="e">
        <f t="shared" si="52"/>
        <v>#DIV/0!</v>
      </c>
      <c r="CN16" s="188" t="e">
        <f t="shared" si="53"/>
        <v>#DIV/0!</v>
      </c>
      <c r="CO16" s="189" t="e">
        <f t="shared" si="54"/>
        <v>#DIV/0!</v>
      </c>
    </row>
    <row r="17" spans="1:93" ht="15.75" thickBot="1">
      <c r="A17" s="127" t="s">
        <v>24</v>
      </c>
      <c r="B17" s="188">
        <f>DIST_DSL_CAM!AJ31</f>
        <v>6.4812521560653841E-2</v>
      </c>
      <c r="C17" s="188">
        <f>DIST_DSL_CAM!AK31</f>
        <v>7.5702001643050604E-2</v>
      </c>
      <c r="D17" s="188">
        <f>DIST_DSL_CAM!AL31</f>
        <v>2.2444543485979917E-2</v>
      </c>
      <c r="E17" s="188">
        <f>DIST_DSL_ONI!AJ31</f>
        <v>3.0894745499972183E-2</v>
      </c>
      <c r="F17" s="188">
        <f>DIST_DSL_ONI!AK31</f>
        <v>0.17589850882092548</v>
      </c>
      <c r="G17" s="188">
        <f>DIST_DSL_ONI!AL31</f>
        <v>3.3297640195258063E-2</v>
      </c>
      <c r="H17" s="188">
        <f>DIST_DSL_LEV!AJ24</f>
        <v>8.29155554854028E-4</v>
      </c>
      <c r="I17" s="188">
        <f>DIST_DSL_LEV!AK24</f>
        <v>4.5944560895675265E-2</v>
      </c>
      <c r="J17" s="188">
        <f t="shared" si="5"/>
        <v>0.44982367765636933</v>
      </c>
      <c r="K17" s="188">
        <f>DIST_DSL_CAM!AM31</f>
        <v>6.6278014667289609E-2</v>
      </c>
      <c r="L17" s="188">
        <f>DIST_DSL_CAM!AN31</f>
        <v>7.7413719670601774E-2</v>
      </c>
      <c r="M17" s="188">
        <f>DIST_DSL_CAM!AO31</f>
        <v>2.5502793272021592E-2</v>
      </c>
      <c r="N17" s="188">
        <f>DIST_DSL_ONI!AM31</f>
        <v>3.1277756238031695E-2</v>
      </c>
      <c r="O17" s="188">
        <f>DIST_DSL_ONI!AN31</f>
        <v>0.17270936098789574</v>
      </c>
      <c r="P17" s="188">
        <f>DIST_DSL_ONI!AO31</f>
        <v>3.2693933559053326E-2</v>
      </c>
      <c r="Q17" s="188">
        <f>DIST_DSL_LEV!AM24</f>
        <v>8.6454523088644612E-4</v>
      </c>
      <c r="R17" s="188">
        <f>DIST_DSL_LEV!AN24</f>
        <v>4.9598575586033471E-2</v>
      </c>
      <c r="S17" s="188">
        <f t="shared" si="6"/>
        <v>0.45633869921181369</v>
      </c>
      <c r="T17" s="188">
        <f>DIST_DSL_CAM!AP31</f>
        <v>6.8828619485682627E-2</v>
      </c>
      <c r="U17" s="188">
        <f>DIST_DSL_CAM!AQ31</f>
        <v>8.039286452569068E-2</v>
      </c>
      <c r="V17" s="188">
        <f>DIST_DSL_CAM!AR31</f>
        <v>3.1005604828709666E-2</v>
      </c>
      <c r="W17" s="188">
        <f>DIST_DSL_ONI!AP31</f>
        <v>3.1507121122738159E-2</v>
      </c>
      <c r="X17" s="188">
        <f>DIST_DSL_ONI!AQ31</f>
        <v>0.18155037536537516</v>
      </c>
      <c r="Y17" s="188">
        <f>DIST_DSL_ONI!AR31</f>
        <v>3.4367540218232635E-2</v>
      </c>
      <c r="Z17" s="188">
        <f>DIST_DSL_LEV!AP24</f>
        <v>9.0993281720201712E-4</v>
      </c>
      <c r="AA17" s="188">
        <f>DIST_DSL_LEV!AQ24</f>
        <v>5.4239757210666019E-2</v>
      </c>
      <c r="AB17" s="188">
        <f t="shared" si="7"/>
        <v>0.48280181557429702</v>
      </c>
      <c r="AC17" s="188">
        <f>DIST_DSL_CAM!AS31</f>
        <v>6.8785495243162506E-2</v>
      </c>
      <c r="AD17" s="188">
        <f>DIST_DSL_CAM!AT31</f>
        <v>8.0342494760720848E-2</v>
      </c>
      <c r="AE17" s="188">
        <f>DIST_DSL_CAM!AU31</f>
        <v>3.6199627667903085E-2</v>
      </c>
      <c r="AF17" s="188">
        <f>DIST_DSL_ONI!AS31</f>
        <v>3.0423614691990002E-2</v>
      </c>
      <c r="AG17" s="188">
        <f>DIST_DSL_ONI!AT31</f>
        <v>0.18824539759252742</v>
      </c>
      <c r="AH17" s="188">
        <f>DIST_DSL_ONI!AU31</f>
        <v>3.56349099231454E-2</v>
      </c>
      <c r="AI17" s="188">
        <f>DIST_DSL_LEV!AS24</f>
        <v>8.9831970355712474E-4</v>
      </c>
      <c r="AJ17" s="188">
        <f>DIST_DSL_LEV!AT24</f>
        <v>5.5820246058155963E-2</v>
      </c>
      <c r="AK17" s="189">
        <f t="shared" si="8"/>
        <v>0.49635010564116233</v>
      </c>
      <c r="AL17" s="188" t="e">
        <f>DIST_DSL_CAM!AV31</f>
        <v>#DIV/0!</v>
      </c>
      <c r="AM17" s="188" t="e">
        <f>DIST_DSL_CAM!AW31</f>
        <v>#DIV/0!</v>
      </c>
      <c r="AN17" s="188" t="e">
        <f>DIST_DSL_CAM!AX31</f>
        <v>#DIV/0!</v>
      </c>
      <c r="AO17" s="188" t="e">
        <f>DIST_DSL_ONI!AV31</f>
        <v>#DIV/0!</v>
      </c>
      <c r="AP17" s="188" t="e">
        <f>DIST_DSL_ONI!AW31</f>
        <v>#DIV/0!</v>
      </c>
      <c r="AQ17" s="188" t="e">
        <f>DIST_DSL_ONI!AX31</f>
        <v>#DIV/0!</v>
      </c>
      <c r="AR17" s="188" t="e">
        <f>DIST_DSL_LEV!AV24</f>
        <v>#DIV/0!</v>
      </c>
      <c r="AS17" s="188" t="e">
        <f>DIST_DSL_LEV!AW24</f>
        <v>#DIV/0!</v>
      </c>
      <c r="AT17" s="189" t="e">
        <f t="shared" si="9"/>
        <v>#DIV/0!</v>
      </c>
      <c r="AV17" s="127" t="s">
        <v>24</v>
      </c>
      <c r="AW17" s="188">
        <f t="shared" si="10"/>
        <v>0.14408428186424999</v>
      </c>
      <c r="AX17" s="188">
        <f t="shared" si="11"/>
        <v>0.16829261197957904</v>
      </c>
      <c r="AY17" s="188">
        <f t="shared" si="12"/>
        <v>4.9896314046691467E-2</v>
      </c>
      <c r="AZ17" s="188">
        <f t="shared" si="13"/>
        <v>6.8681901452891922E-2</v>
      </c>
      <c r="BA17" s="188">
        <f t="shared" si="14"/>
        <v>0.39103879488375531</v>
      </c>
      <c r="BB17" s="188">
        <f t="shared" si="15"/>
        <v>7.4023760529331004E-2</v>
      </c>
      <c r="BC17" s="188">
        <f t="shared" si="16"/>
        <v>1.8432901513188887E-3</v>
      </c>
      <c r="BD17" s="188">
        <f t="shared" si="17"/>
        <v>0.10213904509218248</v>
      </c>
      <c r="BE17" s="188">
        <f t="shared" si="18"/>
        <v>1.0000000000000002</v>
      </c>
      <c r="BF17" s="188">
        <f t="shared" si="19"/>
        <v>0.1452386457290708</v>
      </c>
      <c r="BG17" s="188">
        <f t="shared" si="20"/>
        <v>0.16964092636524236</v>
      </c>
      <c r="BH17" s="188">
        <f t="shared" si="21"/>
        <v>5.5885668509091845E-2</v>
      </c>
      <c r="BI17" s="188">
        <f t="shared" si="22"/>
        <v>6.8540661337849515E-2</v>
      </c>
      <c r="BJ17" s="188">
        <f t="shared" si="23"/>
        <v>0.37846748760558468</v>
      </c>
      <c r="BK17" s="188">
        <f t="shared" si="24"/>
        <v>7.1644008311199894E-2</v>
      </c>
      <c r="BL17" s="188">
        <f t="shared" si="25"/>
        <v>1.8945253435215664E-3</v>
      </c>
      <c r="BM17" s="188">
        <f t="shared" si="26"/>
        <v>0.10868807679843924</v>
      </c>
      <c r="BN17" s="188">
        <f t="shared" si="27"/>
        <v>0.99999999999999989</v>
      </c>
      <c r="BO17" s="188">
        <f t="shared" si="28"/>
        <v>0.14256081328901046</v>
      </c>
      <c r="BP17" s="188">
        <f t="shared" si="29"/>
        <v>0.16651317773124497</v>
      </c>
      <c r="BQ17" s="188">
        <f t="shared" si="30"/>
        <v>6.4220149611136451E-2</v>
      </c>
      <c r="BR17" s="188">
        <f t="shared" si="31"/>
        <v>6.5258911848250112E-2</v>
      </c>
      <c r="BS17" s="188">
        <f t="shared" si="32"/>
        <v>0.37603498891034487</v>
      </c>
      <c r="BT17" s="188">
        <f t="shared" si="33"/>
        <v>7.1183535582508409E-2</v>
      </c>
      <c r="BU17" s="188">
        <f t="shared" si="34"/>
        <v>1.8846922025751787E-3</v>
      </c>
      <c r="BV17" s="188">
        <f t="shared" si="35"/>
        <v>0.11234373082492938</v>
      </c>
      <c r="BW17" s="188">
        <f t="shared" si="36"/>
        <v>0.99999999999999978</v>
      </c>
      <c r="BX17" s="188">
        <f t="shared" si="37"/>
        <v>0.13858261429058941</v>
      </c>
      <c r="BY17" s="188">
        <f t="shared" si="38"/>
        <v>0.1618665813658649</v>
      </c>
      <c r="BZ17" s="188">
        <f t="shared" si="39"/>
        <v>7.2931640905247841E-2</v>
      </c>
      <c r="CA17" s="188">
        <f t="shared" si="40"/>
        <v>6.1294667506296127E-2</v>
      </c>
      <c r="CB17" s="188">
        <f t="shared" si="41"/>
        <v>0.3792593080026862</v>
      </c>
      <c r="CC17" s="188">
        <f t="shared" si="42"/>
        <v>7.1793900148593409E-2</v>
      </c>
      <c r="CD17" s="188">
        <f t="shared" si="43"/>
        <v>1.8098509365616362E-3</v>
      </c>
      <c r="CE17" s="188">
        <f t="shared" si="44"/>
        <v>0.11246143684416049</v>
      </c>
      <c r="CF17" s="189">
        <f t="shared" si="45"/>
        <v>1</v>
      </c>
      <c r="CG17" s="188" t="e">
        <f t="shared" si="46"/>
        <v>#DIV/0!</v>
      </c>
      <c r="CH17" s="188" t="e">
        <f t="shared" si="47"/>
        <v>#DIV/0!</v>
      </c>
      <c r="CI17" s="188" t="e">
        <f t="shared" si="48"/>
        <v>#DIV/0!</v>
      </c>
      <c r="CJ17" s="188" t="e">
        <f t="shared" si="49"/>
        <v>#DIV/0!</v>
      </c>
      <c r="CK17" s="188" t="e">
        <f t="shared" si="50"/>
        <v>#DIV/0!</v>
      </c>
      <c r="CL17" s="188" t="e">
        <f t="shared" si="51"/>
        <v>#DIV/0!</v>
      </c>
      <c r="CM17" s="188" t="e">
        <f t="shared" si="52"/>
        <v>#DIV/0!</v>
      </c>
      <c r="CN17" s="188" t="e">
        <f t="shared" si="53"/>
        <v>#DIV/0!</v>
      </c>
      <c r="CO17" s="189" t="e">
        <f t="shared" si="54"/>
        <v>#DIV/0!</v>
      </c>
    </row>
    <row r="18" spans="1:93" ht="15.75" thickBot="1">
      <c r="A18" s="127" t="s">
        <v>25</v>
      </c>
      <c r="B18" s="188">
        <f>DIST_DSL_CAM!AJ32</f>
        <v>0.14125906463438948</v>
      </c>
      <c r="C18" s="188">
        <f>DIST_DSL_CAM!AK32</f>
        <v>0.16500726050571038</v>
      </c>
      <c r="D18" s="188">
        <f>DIST_DSL_CAM!AL32</f>
        <v>7.4904878743630623E-2</v>
      </c>
      <c r="E18" s="188">
        <f>DIST_DSL_ONI!AJ32</f>
        <v>6.1635025426702419E-2</v>
      </c>
      <c r="F18" s="188">
        <f>DIST_DSL_ONI!AK32</f>
        <v>0.37964431269614829</v>
      </c>
      <c r="G18" s="188">
        <f>DIST_DSL_ONI!AL32</f>
        <v>7.1849462289048274E-2</v>
      </c>
      <c r="H18" s="188">
        <f>DIST_DSL_LEV!AJ25</f>
        <v>2.6327866646365847E-3</v>
      </c>
      <c r="I18" s="188">
        <f>DIST_DSL_LEV!AK25</f>
        <v>0.10575023030821043</v>
      </c>
      <c r="J18" s="188">
        <f t="shared" si="5"/>
        <v>1.0026830212684765</v>
      </c>
      <c r="K18" s="188">
        <f>DIST_DSL_CAM!AM32</f>
        <v>0.13732721631219966</v>
      </c>
      <c r="L18" s="188">
        <f>DIST_DSL_CAM!AN32</f>
        <v>0.16041439758361953</v>
      </c>
      <c r="M18" s="188">
        <f>DIST_DSL_CAM!AO32</f>
        <v>7.4724954374036021E-2</v>
      </c>
      <c r="N18" s="188">
        <f>DIST_DSL_ONI!AM32</f>
        <v>6.3395536283363529E-2</v>
      </c>
      <c r="O18" s="188">
        <f>DIST_DSL_ONI!AN32</f>
        <v>0.38481917276420058</v>
      </c>
      <c r="P18" s="188">
        <f>DIST_DSL_ONI!AO32</f>
        <v>7.2828828766765552E-2</v>
      </c>
      <c r="Q18" s="188">
        <f>DIST_DSL_LEV!AM25</f>
        <v>2.66229804807524E-3</v>
      </c>
      <c r="R18" s="188">
        <f>DIST_DSL_LEV!AN25</f>
        <v>0.10795886655533385</v>
      </c>
      <c r="S18" s="188">
        <f t="shared" si="6"/>
        <v>1.004131270687594</v>
      </c>
      <c r="T18" s="188">
        <f>DIST_DSL_CAM!AP32</f>
        <v>0.13972424744210296</v>
      </c>
      <c r="U18" s="188">
        <f>DIST_DSL_CAM!AQ32</f>
        <v>0.16321441286841537</v>
      </c>
      <c r="V18" s="188">
        <f>DIST_DSL_CAM!AR32</f>
        <v>8.0425645498250362E-2</v>
      </c>
      <c r="W18" s="188">
        <f>DIST_DSL_ONI!AP32</f>
        <v>6.8592348645106049E-2</v>
      </c>
      <c r="X18" s="188">
        <f>DIST_DSL_ONI!AQ32</f>
        <v>0.40000776275683253</v>
      </c>
      <c r="Y18" s="188">
        <f>DIST_DSL_ONI!AR32</f>
        <v>7.5703340480504422E-2</v>
      </c>
      <c r="Z18" s="188">
        <f>DIST_DSL_LEV!AP25</f>
        <v>2.7920421434949796E-3</v>
      </c>
      <c r="AA18" s="188">
        <f>DIST_DSL_LEV!AQ25</f>
        <v>0.11456573901927143</v>
      </c>
      <c r="AB18" s="188">
        <f t="shared" si="7"/>
        <v>1.045025538853978</v>
      </c>
      <c r="AC18" s="188">
        <f>DIST_DSL_CAM!AS32</f>
        <v>0.13979069330797617</v>
      </c>
      <c r="AD18" s="188">
        <f>DIST_DSL_CAM!AT32</f>
        <v>0.16329202948245744</v>
      </c>
      <c r="AE18" s="188">
        <f>DIST_DSL_CAM!AU32</f>
        <v>8.4940460624889316E-2</v>
      </c>
      <c r="AF18" s="188">
        <f>DIST_DSL_ONI!AS32</f>
        <v>7.1336823666840438E-2</v>
      </c>
      <c r="AG18" s="188">
        <f>DIST_DSL_ONI!AT32</f>
        <v>0.41427011503989825</v>
      </c>
      <c r="AH18" s="188">
        <f>DIST_DSL_ONI!AU32</f>
        <v>7.840255737443802E-2</v>
      </c>
      <c r="AI18" s="188">
        <f>DIST_DSL_LEV!AS25</f>
        <v>2.8187530849214789E-3</v>
      </c>
      <c r="AJ18" s="188">
        <f>DIST_DSL_LEV!AT25</f>
        <v>0.11858011194473449</v>
      </c>
      <c r="AK18" s="189">
        <f t="shared" si="8"/>
        <v>1.0734315445261555</v>
      </c>
      <c r="AL18" s="188" t="e">
        <f>DIST_DSL_CAM!AV32</f>
        <v>#DIV/0!</v>
      </c>
      <c r="AM18" s="188" t="e">
        <f>DIST_DSL_CAM!AW32</f>
        <v>#DIV/0!</v>
      </c>
      <c r="AN18" s="188" t="e">
        <f>DIST_DSL_CAM!AX32</f>
        <v>#DIV/0!</v>
      </c>
      <c r="AO18" s="188" t="e">
        <f>DIST_DSL_ONI!AV32</f>
        <v>#DIV/0!</v>
      </c>
      <c r="AP18" s="188" t="e">
        <f>DIST_DSL_ONI!AW32</f>
        <v>#DIV/0!</v>
      </c>
      <c r="AQ18" s="188" t="e">
        <f>DIST_DSL_ONI!AX32</f>
        <v>#DIV/0!</v>
      </c>
      <c r="AR18" s="188" t="e">
        <f>DIST_DSL_LEV!AV25</f>
        <v>#DIV/0!</v>
      </c>
      <c r="AS18" s="188" t="e">
        <f>DIST_DSL_LEV!AW25</f>
        <v>#DIV/0!</v>
      </c>
      <c r="AT18" s="189" t="e">
        <f t="shared" si="9"/>
        <v>#DIV/0!</v>
      </c>
      <c r="AV18" s="127" t="s">
        <v>25</v>
      </c>
      <c r="AW18" s="188">
        <f t="shared" si="10"/>
        <v>0.14088107770657685</v>
      </c>
      <c r="AX18" s="188">
        <f t="shared" si="11"/>
        <v>0.16456572715967865</v>
      </c>
      <c r="AY18" s="188">
        <f t="shared" si="12"/>
        <v>7.4704445128501121E-2</v>
      </c>
      <c r="AZ18" s="188">
        <f t="shared" si="13"/>
        <v>6.1470099841452429E-2</v>
      </c>
      <c r="BA18" s="188">
        <f t="shared" si="14"/>
        <v>0.37862844452663313</v>
      </c>
      <c r="BB18" s="188">
        <f t="shared" si="15"/>
        <v>7.1657204485374437E-2</v>
      </c>
      <c r="BC18" s="188">
        <f t="shared" si="16"/>
        <v>2.6257417436927307E-3</v>
      </c>
      <c r="BD18" s="188">
        <f t="shared" si="17"/>
        <v>0.1054672594080906</v>
      </c>
      <c r="BE18" s="188">
        <f t="shared" si="18"/>
        <v>1</v>
      </c>
      <c r="BF18" s="188">
        <f t="shared" si="19"/>
        <v>0.13676221458391868</v>
      </c>
      <c r="BG18" s="188">
        <f t="shared" si="20"/>
        <v>0.15975440887701203</v>
      </c>
      <c r="BH18" s="188">
        <f t="shared" si="21"/>
        <v>7.4417515473715889E-2</v>
      </c>
      <c r="BI18" s="188">
        <f t="shared" si="22"/>
        <v>6.3134709707778028E-2</v>
      </c>
      <c r="BJ18" s="188">
        <f t="shared" si="23"/>
        <v>0.38323592143554086</v>
      </c>
      <c r="BK18" s="188">
        <f t="shared" si="24"/>
        <v>7.2529191045803118E-2</v>
      </c>
      <c r="BL18" s="188">
        <f t="shared" si="25"/>
        <v>2.6513446257402096E-3</v>
      </c>
      <c r="BM18" s="188">
        <f t="shared" si="26"/>
        <v>0.10751469425049116</v>
      </c>
      <c r="BN18" s="188">
        <f t="shared" si="27"/>
        <v>1</v>
      </c>
      <c r="BO18" s="188">
        <f t="shared" si="28"/>
        <v>0.13370414621190105</v>
      </c>
      <c r="BP18" s="188">
        <f t="shared" si="29"/>
        <v>0.15618222407024007</v>
      </c>
      <c r="BQ18" s="188">
        <f t="shared" si="30"/>
        <v>7.6960459345757945E-2</v>
      </c>
      <c r="BR18" s="188">
        <f t="shared" si="31"/>
        <v>6.5637007034610367E-2</v>
      </c>
      <c r="BS18" s="188">
        <f t="shared" si="32"/>
        <v>0.38277319346233302</v>
      </c>
      <c r="BT18" s="188">
        <f t="shared" si="33"/>
        <v>7.2441617612067272E-2</v>
      </c>
      <c r="BU18" s="188">
        <f t="shared" si="34"/>
        <v>2.6717453685934397E-3</v>
      </c>
      <c r="BV18" s="188">
        <f t="shared" si="35"/>
        <v>0.10962960689449693</v>
      </c>
      <c r="BW18" s="188">
        <f t="shared" si="36"/>
        <v>1.0000000000000002</v>
      </c>
      <c r="BX18" s="188">
        <f t="shared" si="37"/>
        <v>0.13022786037994058</v>
      </c>
      <c r="BY18" s="188">
        <f t="shared" si="38"/>
        <v>0.15212151190744014</v>
      </c>
      <c r="BZ18" s="188">
        <f t="shared" si="39"/>
        <v>7.9129834648547198E-2</v>
      </c>
      <c r="CA18" s="188">
        <f t="shared" si="40"/>
        <v>6.645679832180694E-2</v>
      </c>
      <c r="CB18" s="188">
        <f t="shared" si="41"/>
        <v>0.38593063260756821</v>
      </c>
      <c r="CC18" s="188">
        <f t="shared" si="42"/>
        <v>7.3039177741927863E-2</v>
      </c>
      <c r="CD18" s="188">
        <f t="shared" si="43"/>
        <v>2.6259271951671217E-3</v>
      </c>
      <c r="CE18" s="188">
        <f t="shared" si="44"/>
        <v>0.11046825719760198</v>
      </c>
      <c r="CF18" s="189">
        <f t="shared" si="45"/>
        <v>1</v>
      </c>
      <c r="CG18" s="188" t="e">
        <f t="shared" si="46"/>
        <v>#DIV/0!</v>
      </c>
      <c r="CH18" s="188" t="e">
        <f t="shared" si="47"/>
        <v>#DIV/0!</v>
      </c>
      <c r="CI18" s="188" t="e">
        <f t="shared" si="48"/>
        <v>#DIV/0!</v>
      </c>
      <c r="CJ18" s="188" t="e">
        <f t="shared" si="49"/>
        <v>#DIV/0!</v>
      </c>
      <c r="CK18" s="188" t="e">
        <f t="shared" si="50"/>
        <v>#DIV/0!</v>
      </c>
      <c r="CL18" s="188" t="e">
        <f t="shared" si="51"/>
        <v>#DIV/0!</v>
      </c>
      <c r="CM18" s="188" t="e">
        <f t="shared" si="52"/>
        <v>#DIV/0!</v>
      </c>
      <c r="CN18" s="188" t="e">
        <f t="shared" si="53"/>
        <v>#DIV/0!</v>
      </c>
      <c r="CO18" s="189" t="e">
        <f t="shared" si="54"/>
        <v>#DIV/0!</v>
      </c>
    </row>
    <row r="19" spans="1:93" ht="26.25" thickBot="1">
      <c r="A19" s="127" t="s">
        <v>26</v>
      </c>
      <c r="B19" s="188">
        <f>DIST_DSL_CAM!AJ33</f>
        <v>0.15172204306136966</v>
      </c>
      <c r="C19" s="188">
        <f>DIST_DSL_CAM!AK33</f>
        <v>0.17721863672060464</v>
      </c>
      <c r="D19" s="188">
        <f>DIST_DSL_CAM!AL33</f>
        <v>0.11124978925638154</v>
      </c>
      <c r="E19" s="188">
        <f>DIST_DSL_ONI!AJ33</f>
        <v>7.7996610738832448E-2</v>
      </c>
      <c r="F19" s="188">
        <f>DIST_DSL_ONI!AK33</f>
        <v>0.39613169082077376</v>
      </c>
      <c r="G19" s="188">
        <f>DIST_DSL_ONI!AL33</f>
        <v>7.49575736432148E-2</v>
      </c>
      <c r="H19" s="188">
        <f>DIST_DSL_LEV!AJ26</f>
        <v>1.948172664170381E-3</v>
      </c>
      <c r="I19" s="188">
        <f>DIST_DSL_LEV!AK26</f>
        <v>7.8489402206136108E-2</v>
      </c>
      <c r="J19" s="188">
        <f t="shared" si="5"/>
        <v>1.0697139191114833</v>
      </c>
      <c r="K19" s="188">
        <f>DIST_DSL_CAM!AM33</f>
        <v>0.14237766969946447</v>
      </c>
      <c r="L19" s="188">
        <f>DIST_DSL_CAM!AN33</f>
        <v>0.1663039596256268</v>
      </c>
      <c r="M19" s="188">
        <f>DIST_DSL_CAM!AO33</f>
        <v>0.1068639484870144</v>
      </c>
      <c r="N19" s="188">
        <f>DIST_DSL_ONI!AM33</f>
        <v>7.4426794254116649E-2</v>
      </c>
      <c r="O19" s="188">
        <f>DIST_DSL_ONI!AN33</f>
        <v>0.37933500956412985</v>
      </c>
      <c r="P19" s="188">
        <f>DIST_DSL_ONI!AO33</f>
        <v>7.1779240524630417E-2</v>
      </c>
      <c r="Q19" s="188">
        <f>DIST_DSL_LEV!AM26</f>
        <v>1.8626245716263086E-3</v>
      </c>
      <c r="R19" s="188">
        <f>DIST_DSL_LEV!AN26</f>
        <v>7.6886685570709504E-2</v>
      </c>
      <c r="S19" s="188">
        <f t="shared" si="6"/>
        <v>1.0198359322973183</v>
      </c>
      <c r="T19" s="188">
        <f>DIST_DSL_CAM!AP33</f>
        <v>0.14472712372535451</v>
      </c>
      <c r="U19" s="188">
        <f>DIST_DSL_CAM!AQ33</f>
        <v>0.16904823482193138</v>
      </c>
      <c r="V19" s="188">
        <f>DIST_DSL_CAM!AR33</f>
        <v>0.11563586881278404</v>
      </c>
      <c r="W19" s="188">
        <f>DIST_DSL_ONI!AP33</f>
        <v>8.0469897711259397E-2</v>
      </c>
      <c r="X19" s="188">
        <f>DIST_DSL_ONI!AQ33</f>
        <v>0.39919410407839057</v>
      </c>
      <c r="Y19" s="188">
        <f>DIST_DSL_ONI!AR33</f>
        <v>7.553705534741309E-2</v>
      </c>
      <c r="Z19" s="188">
        <f>DIST_DSL_LEV!AP26</f>
        <v>1.9134411228864754E-3</v>
      </c>
      <c r="AA19" s="188">
        <f>DIST_DSL_LEV!AQ26</f>
        <v>8.1061407790128007E-2</v>
      </c>
      <c r="AB19" s="188">
        <f t="shared" si="7"/>
        <v>1.0675871334101474</v>
      </c>
      <c r="AC19" s="188">
        <f>DIST_DSL_CAM!AS33</f>
        <v>0.14001750025336332</v>
      </c>
      <c r="AD19" s="188">
        <f>DIST_DSL_CAM!AT33</f>
        <v>0.16354716830362695</v>
      </c>
      <c r="AE19" s="188">
        <f>DIST_DSL_CAM!AU33</f>
        <v>0.11461702205470684</v>
      </c>
      <c r="AF19" s="188">
        <f>DIST_DSL_ONI!AS33</f>
        <v>8.2261561394159161E-2</v>
      </c>
      <c r="AG19" s="188">
        <f>DIST_DSL_ONI!AT33</f>
        <v>0.39252856289351395</v>
      </c>
      <c r="AH19" s="188">
        <f>DIST_DSL_ONI!AU33</f>
        <v>7.4275775813826536E-2</v>
      </c>
      <c r="AI19" s="188">
        <f>DIST_DSL_LEV!AS26</f>
        <v>1.8476603037278058E-3</v>
      </c>
      <c r="AJ19" s="188">
        <f>DIST_DSL_LEV!AT26</f>
        <v>8.0893448212739333E-2</v>
      </c>
      <c r="AK19" s="189">
        <f t="shared" si="8"/>
        <v>1.0499886992296639</v>
      </c>
      <c r="AL19" s="188" t="e">
        <f>DIST_DSL_CAM!AV33</f>
        <v>#DIV/0!</v>
      </c>
      <c r="AM19" s="188" t="e">
        <f>DIST_DSL_CAM!AW33</f>
        <v>#DIV/0!</v>
      </c>
      <c r="AN19" s="188" t="e">
        <f>DIST_DSL_CAM!AX33</f>
        <v>#DIV/0!</v>
      </c>
      <c r="AO19" s="188" t="e">
        <f>DIST_DSL_ONI!AV33</f>
        <v>#DIV/0!</v>
      </c>
      <c r="AP19" s="188" t="e">
        <f>DIST_DSL_ONI!AW33</f>
        <v>#DIV/0!</v>
      </c>
      <c r="AQ19" s="188" t="e">
        <f>DIST_DSL_ONI!AX33</f>
        <v>#DIV/0!</v>
      </c>
      <c r="AR19" s="188" t="e">
        <f>DIST_DSL_LEV!AV26</f>
        <v>#DIV/0!</v>
      </c>
      <c r="AS19" s="188" t="e">
        <f>DIST_DSL_LEV!AW26</f>
        <v>#DIV/0!</v>
      </c>
      <c r="AT19" s="189" t="e">
        <f t="shared" si="9"/>
        <v>#DIV/0!</v>
      </c>
      <c r="AV19" s="127" t="s">
        <v>26</v>
      </c>
      <c r="AW19" s="188">
        <f t="shared" si="10"/>
        <v>0.14183422347854624</v>
      </c>
      <c r="AX19" s="188">
        <f t="shared" si="11"/>
        <v>0.16566918832635597</v>
      </c>
      <c r="AY19" s="188">
        <f t="shared" si="12"/>
        <v>0.10399957153851648</v>
      </c>
      <c r="AZ19" s="188">
        <f t="shared" si="13"/>
        <v>7.2913523275098951E-2</v>
      </c>
      <c r="BA19" s="188">
        <f t="shared" si="14"/>
        <v>0.37031554300967245</v>
      </c>
      <c r="BB19" s="188">
        <f t="shared" si="15"/>
        <v>7.0072542110581698E-2</v>
      </c>
      <c r="BC19" s="188">
        <f t="shared" si="16"/>
        <v>1.8212090441793595E-3</v>
      </c>
      <c r="BD19" s="188">
        <f t="shared" si="17"/>
        <v>7.3374199217048908E-2</v>
      </c>
      <c r="BE19" s="188">
        <f t="shared" si="18"/>
        <v>1</v>
      </c>
      <c r="BF19" s="188">
        <f t="shared" si="19"/>
        <v>0.13960840679415906</v>
      </c>
      <c r="BG19" s="188">
        <f t="shared" si="20"/>
        <v>0.16306932748584829</v>
      </c>
      <c r="BH19" s="188">
        <f t="shared" si="21"/>
        <v>0.10478543175693851</v>
      </c>
      <c r="BI19" s="188">
        <f t="shared" si="22"/>
        <v>7.297918409921117E-2</v>
      </c>
      <c r="BJ19" s="188">
        <f t="shared" si="23"/>
        <v>0.3719568977233686</v>
      </c>
      <c r="BK19" s="188">
        <f t="shared" si="24"/>
        <v>7.0383125610153752E-2</v>
      </c>
      <c r="BL19" s="188">
        <f t="shared" si="25"/>
        <v>1.8263962983050568E-3</v>
      </c>
      <c r="BM19" s="188">
        <f t="shared" si="26"/>
        <v>7.5391230232015702E-2</v>
      </c>
      <c r="BN19" s="188">
        <f t="shared" si="27"/>
        <v>1.0000000000000002</v>
      </c>
      <c r="BO19" s="188">
        <f t="shared" si="28"/>
        <v>0.13556469462409024</v>
      </c>
      <c r="BP19" s="188">
        <f t="shared" si="29"/>
        <v>0.1583460773660206</v>
      </c>
      <c r="BQ19" s="188">
        <f t="shared" si="30"/>
        <v>0.10831515779270717</v>
      </c>
      <c r="BR19" s="188">
        <f t="shared" si="31"/>
        <v>7.5375484766491974E-2</v>
      </c>
      <c r="BS19" s="188">
        <f t="shared" si="32"/>
        <v>0.37392180140206643</v>
      </c>
      <c r="BT19" s="188">
        <f t="shared" si="33"/>
        <v>7.0754932298713963E-2</v>
      </c>
      <c r="BU19" s="188">
        <f t="shared" si="34"/>
        <v>1.79230440589374E-3</v>
      </c>
      <c r="BV19" s="188">
        <f t="shared" si="35"/>
        <v>7.5929547344015899E-2</v>
      </c>
      <c r="BW19" s="188">
        <f t="shared" si="36"/>
        <v>1</v>
      </c>
      <c r="BX19" s="188">
        <f t="shared" si="37"/>
        <v>0.13335143545458036</v>
      </c>
      <c r="BY19" s="188">
        <f t="shared" si="38"/>
        <v>0.1557608843062932</v>
      </c>
      <c r="BZ19" s="188">
        <f t="shared" si="39"/>
        <v>0.10916024347576019</v>
      </c>
      <c r="CA19" s="188">
        <f t="shared" si="40"/>
        <v>7.8345187385836901E-2</v>
      </c>
      <c r="CB19" s="188">
        <f t="shared" si="41"/>
        <v>0.37384075007806938</v>
      </c>
      <c r="CC19" s="188">
        <f t="shared" si="42"/>
        <v>7.0739595453093732E-2</v>
      </c>
      <c r="CD19" s="188">
        <f t="shared" si="43"/>
        <v>1.7596954187062801E-3</v>
      </c>
      <c r="CE19" s="188">
        <f t="shared" si="44"/>
        <v>7.7042208427659964E-2</v>
      </c>
      <c r="CF19" s="189">
        <f t="shared" si="45"/>
        <v>1</v>
      </c>
      <c r="CG19" s="188" t="e">
        <f t="shared" si="46"/>
        <v>#DIV/0!</v>
      </c>
      <c r="CH19" s="188" t="e">
        <f t="shared" si="47"/>
        <v>#DIV/0!</v>
      </c>
      <c r="CI19" s="188" t="e">
        <f t="shared" si="48"/>
        <v>#DIV/0!</v>
      </c>
      <c r="CJ19" s="188" t="e">
        <f t="shared" si="49"/>
        <v>#DIV/0!</v>
      </c>
      <c r="CK19" s="188" t="e">
        <f t="shared" si="50"/>
        <v>#DIV/0!</v>
      </c>
      <c r="CL19" s="188" t="e">
        <f t="shared" si="51"/>
        <v>#DIV/0!</v>
      </c>
      <c r="CM19" s="188" t="e">
        <f t="shared" si="52"/>
        <v>#DIV/0!</v>
      </c>
      <c r="CN19" s="188" t="e">
        <f t="shared" si="53"/>
        <v>#DIV/0!</v>
      </c>
      <c r="CO19" s="189" t="e">
        <f t="shared" si="54"/>
        <v>#DIV/0!</v>
      </c>
    </row>
    <row r="20" spans="1:93" ht="15.75" thickBot="1">
      <c r="A20" s="127" t="s">
        <v>27</v>
      </c>
      <c r="B20" s="188">
        <f>DIST_DSL_CAM!AJ34</f>
        <v>0.11084773786315116</v>
      </c>
      <c r="C20" s="188">
        <f>DIST_DSL_CAM!AK34</f>
        <v>0.12947152998343234</v>
      </c>
      <c r="D20" s="188">
        <f>DIST_DSL_CAM!AL34</f>
        <v>5.1713471940614791E-2</v>
      </c>
      <c r="E20" s="188">
        <f>DIST_DSL_ONI!AJ34</f>
        <v>3.9698938735938168E-2</v>
      </c>
      <c r="F20" s="188">
        <f>DIST_DSL_ONI!AK34</f>
        <v>0.28479228757249164</v>
      </c>
      <c r="G20" s="188">
        <f>DIST_DSL_ONI!AL34</f>
        <v>5.3902873705285244E-2</v>
      </c>
      <c r="H20" s="188">
        <f>DIST_DSL_LEV!AJ27</f>
        <v>2.4753448189530772E-3</v>
      </c>
      <c r="I20" s="188">
        <f>DIST_DSL_LEV!AK27</f>
        <v>0.11237810172519613</v>
      </c>
      <c r="J20" s="188">
        <f t="shared" si="5"/>
        <v>0.78528028634506253</v>
      </c>
      <c r="K20" s="188">
        <f>DIST_DSL_CAM!AM34</f>
        <v>0.10541856800502548</v>
      </c>
      <c r="L20" s="188">
        <f>DIST_DSL_CAM!AN34</f>
        <v>0.12313019238266625</v>
      </c>
      <c r="M20" s="188">
        <f>DIST_DSL_CAM!AO34</f>
        <v>5.2426320801565451E-2</v>
      </c>
      <c r="N20" s="188">
        <f>DIST_DSL_ONI!AM34</f>
        <v>3.8200295959535106E-2</v>
      </c>
      <c r="O20" s="188">
        <f>DIST_DSL_ONI!AN34</f>
        <v>0.27339249742745614</v>
      </c>
      <c r="P20" s="188">
        <f>DIST_DSL_ONI!AO34</f>
        <v>5.1745225920324787E-2</v>
      </c>
      <c r="Q20" s="188">
        <f>DIST_DSL_LEV!AM27</f>
        <v>2.462235595237314E-3</v>
      </c>
      <c r="R20" s="188">
        <f>DIST_DSL_LEV!AN27</f>
        <v>0.11200400397787993</v>
      </c>
      <c r="S20" s="188">
        <f t="shared" si="6"/>
        <v>0.75877934006969039</v>
      </c>
      <c r="T20" s="188">
        <f>DIST_DSL_CAM!AP34</f>
        <v>0.11196592235805923</v>
      </c>
      <c r="U20" s="188">
        <f>DIST_DSL_CAM!AQ34</f>
        <v>0.13077758331523986</v>
      </c>
      <c r="V20" s="188">
        <f>DIST_DSL_CAM!AR34</f>
        <v>5.9726059005482668E-2</v>
      </c>
      <c r="W20" s="188">
        <f>DIST_DSL_ONI!AP34</f>
        <v>4.1316905770829089E-2</v>
      </c>
      <c r="X20" s="188">
        <f>DIST_DSL_ONI!AQ34</f>
        <v>0.3033968529586295</v>
      </c>
      <c r="Y20" s="188">
        <f>DIST_DSL_ONI!AR34</f>
        <v>5.7424175306879488E-2</v>
      </c>
      <c r="Z20" s="188">
        <f>DIST_DSL_LEV!AP27</f>
        <v>2.7458815381782337E-3</v>
      </c>
      <c r="AA20" s="188">
        <f>DIST_DSL_LEV!AQ27</f>
        <v>0.12332264538928403</v>
      </c>
      <c r="AB20" s="188">
        <f t="shared" si="7"/>
        <v>0.83067602564258214</v>
      </c>
      <c r="AC20" s="188">
        <f>DIST_DSL_CAM!AS34</f>
        <v>0.1040396122942546</v>
      </c>
      <c r="AD20" s="188">
        <f>DIST_DSL_CAM!AT34</f>
        <v>0.12151955504270254</v>
      </c>
      <c r="AE20" s="188">
        <f>DIST_DSL_CAM!AU34</f>
        <v>5.7256824023566057E-2</v>
      </c>
      <c r="AF20" s="188">
        <f>DIST_DSL_ONI!AS34</f>
        <v>4.0366194057391967E-2</v>
      </c>
      <c r="AG20" s="188">
        <f>DIST_DSL_ONI!AT34</f>
        <v>0.29408344522401064</v>
      </c>
      <c r="AH20" s="188">
        <f>DIST_DSL_ONI!AU34</f>
        <v>5.5661418860193067E-2</v>
      </c>
      <c r="AI20" s="188">
        <f>DIST_DSL_LEV!AS27</f>
        <v>2.6042915949733769E-3</v>
      </c>
      <c r="AJ20" s="188">
        <f>DIST_DSL_LEV!AT27</f>
        <v>0.11897417485399327</v>
      </c>
      <c r="AK20" s="189">
        <f t="shared" si="8"/>
        <v>0.79450551595108543</v>
      </c>
      <c r="AL20" s="188" t="e">
        <f>DIST_DSL_CAM!AV34</f>
        <v>#DIV/0!</v>
      </c>
      <c r="AM20" s="188" t="e">
        <f>DIST_DSL_CAM!AW34</f>
        <v>#DIV/0!</v>
      </c>
      <c r="AN20" s="188" t="e">
        <f>DIST_DSL_CAM!AX34</f>
        <v>#DIV/0!</v>
      </c>
      <c r="AO20" s="188" t="e">
        <f>DIST_DSL_ONI!AV34</f>
        <v>#DIV/0!</v>
      </c>
      <c r="AP20" s="188" t="e">
        <f>DIST_DSL_ONI!AW34</f>
        <v>#DIV/0!</v>
      </c>
      <c r="AQ20" s="188" t="e">
        <f>DIST_DSL_ONI!AX34</f>
        <v>#DIV/0!</v>
      </c>
      <c r="AR20" s="188" t="e">
        <f>DIST_DSL_LEV!AV27</f>
        <v>#DIV/0!</v>
      </c>
      <c r="AS20" s="188" t="e">
        <f>DIST_DSL_LEV!AW27</f>
        <v>#DIV/0!</v>
      </c>
      <c r="AT20" s="189" t="e">
        <f t="shared" si="9"/>
        <v>#DIV/0!</v>
      </c>
      <c r="AV20" s="127" t="s">
        <v>27</v>
      </c>
      <c r="AW20" s="188">
        <f t="shared" si="10"/>
        <v>0.14115690892874802</v>
      </c>
      <c r="AX20" s="188">
        <f t="shared" si="11"/>
        <v>0.16487301697847645</v>
      </c>
      <c r="AY20" s="188">
        <f t="shared" si="12"/>
        <v>6.585352114377567E-2</v>
      </c>
      <c r="AZ20" s="188">
        <f t="shared" si="13"/>
        <v>5.0553846093232921E-2</v>
      </c>
      <c r="BA20" s="188">
        <f t="shared" si="14"/>
        <v>0.3626632331469864</v>
      </c>
      <c r="BB20" s="188">
        <f t="shared" si="15"/>
        <v>6.8641572496574307E-2</v>
      </c>
      <c r="BC20" s="188">
        <f t="shared" si="16"/>
        <v>3.152180007566595E-3</v>
      </c>
      <c r="BD20" s="188">
        <f t="shared" si="17"/>
        <v>0.14310572120463969</v>
      </c>
      <c r="BE20" s="188">
        <f t="shared" si="18"/>
        <v>1</v>
      </c>
      <c r="BF20" s="188">
        <f t="shared" si="19"/>
        <v>0.13893178482606455</v>
      </c>
      <c r="BG20" s="188">
        <f t="shared" si="20"/>
        <v>0.16227404448223023</v>
      </c>
      <c r="BH20" s="188">
        <f t="shared" si="21"/>
        <v>6.9092973454905005E-2</v>
      </c>
      <c r="BI20" s="188">
        <f t="shared" si="22"/>
        <v>5.0344407052551783E-2</v>
      </c>
      <c r="BJ20" s="188">
        <f t="shared" si="23"/>
        <v>0.36030566857862301</v>
      </c>
      <c r="BK20" s="188">
        <f t="shared" si="24"/>
        <v>6.8195354285176271E-2</v>
      </c>
      <c r="BL20" s="188">
        <f t="shared" si="25"/>
        <v>3.2449955675007821E-3</v>
      </c>
      <c r="BM20" s="188">
        <f t="shared" si="26"/>
        <v>0.14761077175294846</v>
      </c>
      <c r="BN20" s="188">
        <f t="shared" si="27"/>
        <v>1</v>
      </c>
      <c r="BO20" s="188">
        <f t="shared" si="28"/>
        <v>0.13478891758245495</v>
      </c>
      <c r="BP20" s="188">
        <f t="shared" si="29"/>
        <v>0.15743512425807024</v>
      </c>
      <c r="BQ20" s="188">
        <f t="shared" si="30"/>
        <v>7.1900545052182838E-2</v>
      </c>
      <c r="BR20" s="188">
        <f t="shared" si="31"/>
        <v>4.9738892775757874E-2</v>
      </c>
      <c r="BS20" s="188">
        <f t="shared" si="32"/>
        <v>0.36524089246939834</v>
      </c>
      <c r="BT20" s="188">
        <f t="shared" si="33"/>
        <v>6.9129448225568005E-2</v>
      </c>
      <c r="BU20" s="188">
        <f t="shared" si="34"/>
        <v>3.3055986370307427E-3</v>
      </c>
      <c r="BV20" s="188">
        <f t="shared" si="35"/>
        <v>0.14846058099953699</v>
      </c>
      <c r="BW20" s="188">
        <f t="shared" si="36"/>
        <v>1</v>
      </c>
      <c r="BX20" s="188">
        <f t="shared" si="37"/>
        <v>0.13094888607502117</v>
      </c>
      <c r="BY20" s="188">
        <f t="shared" si="38"/>
        <v>0.15294991992249934</v>
      </c>
      <c r="BZ20" s="188">
        <f t="shared" si="39"/>
        <v>7.2065986798122039E-2</v>
      </c>
      <c r="CA20" s="188">
        <f t="shared" si="40"/>
        <v>5.0806688244411327E-2</v>
      </c>
      <c r="CB20" s="188">
        <f t="shared" si="41"/>
        <v>0.37014651166011059</v>
      </c>
      <c r="CC20" s="188">
        <f t="shared" si="42"/>
        <v>7.0057938859696883E-2</v>
      </c>
      <c r="CD20" s="188">
        <f t="shared" si="43"/>
        <v>3.2778772993864438E-3</v>
      </c>
      <c r="CE20" s="188">
        <f t="shared" si="44"/>
        <v>0.1497461911407523</v>
      </c>
      <c r="CF20" s="189">
        <f t="shared" si="45"/>
        <v>1</v>
      </c>
      <c r="CG20" s="188" t="e">
        <f t="shared" si="46"/>
        <v>#DIV/0!</v>
      </c>
      <c r="CH20" s="188" t="e">
        <f t="shared" si="47"/>
        <v>#DIV/0!</v>
      </c>
      <c r="CI20" s="188" t="e">
        <f t="shared" si="48"/>
        <v>#DIV/0!</v>
      </c>
      <c r="CJ20" s="188" t="e">
        <f t="shared" si="49"/>
        <v>#DIV/0!</v>
      </c>
      <c r="CK20" s="188" t="e">
        <f t="shared" si="50"/>
        <v>#DIV/0!</v>
      </c>
      <c r="CL20" s="188" t="e">
        <f t="shared" si="51"/>
        <v>#DIV/0!</v>
      </c>
      <c r="CM20" s="188" t="e">
        <f t="shared" si="52"/>
        <v>#DIV/0!</v>
      </c>
      <c r="CN20" s="188" t="e">
        <f t="shared" si="53"/>
        <v>#DIV/0!</v>
      </c>
      <c r="CO20" s="189" t="e">
        <f t="shared" si="54"/>
        <v>#DIV/0!</v>
      </c>
    </row>
    <row r="21" spans="1:93" ht="26.25" thickBot="1">
      <c r="A21" s="127" t="s">
        <v>28</v>
      </c>
      <c r="B21" s="188">
        <f>DIST_DSL_CAM!AJ35</f>
        <v>0.13742832172264599</v>
      </c>
      <c r="C21" s="188">
        <f>DIST_DSL_CAM!AK35</f>
        <v>0.16053400593611336</v>
      </c>
      <c r="D21" s="188">
        <f>DIST_DSL_CAM!AL35</f>
        <v>7.0154890889628188E-2</v>
      </c>
      <c r="E21" s="188">
        <f>DIST_DSL_ONI!AJ35</f>
        <v>7.5381154371676112E-2</v>
      </c>
      <c r="F21" s="188">
        <f>DIST_DSL_ONI!AK35</f>
        <v>0.35920968689734328</v>
      </c>
      <c r="G21" s="188">
        <f>DIST_DSL_ONI!AL35</f>
        <v>6.8009922151268401E-2</v>
      </c>
      <c r="H21" s="188">
        <f>DIST_DSL_LEV!AJ28</f>
        <v>2.4829854839584064E-3</v>
      </c>
      <c r="I21" s="188">
        <f>DIST_DSL_LEV!AK28</f>
        <v>0.10410368378682353</v>
      </c>
      <c r="J21" s="188">
        <f t="shared" si="5"/>
        <v>0.97730465123945742</v>
      </c>
      <c r="K21" s="188">
        <f>DIST_DSL_CAM!AM35</f>
        <v>0.14099359053740299</v>
      </c>
      <c r="L21" s="188">
        <f>DIST_DSL_CAM!AN35</f>
        <v>0.16469869977722085</v>
      </c>
      <c r="M21" s="188">
        <f>DIST_DSL_CAM!AO35</f>
        <v>7.5889401950887003E-2</v>
      </c>
      <c r="N21" s="188">
        <f>DIST_DSL_ONI!AM35</f>
        <v>7.5702754614639101E-2</v>
      </c>
      <c r="O21" s="188">
        <f>DIST_DSL_ONI!AN35</f>
        <v>0.38143229898060449</v>
      </c>
      <c r="P21" s="188">
        <f>DIST_DSL_ONI!AO35</f>
        <v>7.2217375827795652E-2</v>
      </c>
      <c r="Q21" s="188">
        <f>DIST_DSL_LEV!AM28</f>
        <v>2.6154442897065619E-3</v>
      </c>
      <c r="R21" s="188">
        <f>DIST_DSL_LEV!AN28</f>
        <v>0.11216971490168184</v>
      </c>
      <c r="S21" s="188">
        <f t="shared" si="6"/>
        <v>1.0257192808799387</v>
      </c>
      <c r="T21" s="188">
        <f>DIST_DSL_CAM!AP35</f>
        <v>0.1412525849001641</v>
      </c>
      <c r="U21" s="188">
        <f>DIST_DSL_CAM!AQ35</f>
        <v>0.16500123859926089</v>
      </c>
      <c r="V21" s="188">
        <f>DIST_DSL_CAM!AR35</f>
        <v>8.1023327125956404E-2</v>
      </c>
      <c r="W21" s="188">
        <f>DIST_DSL_ONI!AP35</f>
        <v>7.5839334520899943E-2</v>
      </c>
      <c r="X21" s="188">
        <f>DIST_DSL_ONI!AQ35</f>
        <v>0.38165891434264893</v>
      </c>
      <c r="Y21" s="188">
        <f>DIST_DSL_ONI!AR35</f>
        <v>7.2260281388789954E-2</v>
      </c>
      <c r="Z21" s="188">
        <f>DIST_DSL_LEV!AP28</f>
        <v>2.6905836854531069E-3</v>
      </c>
      <c r="AA21" s="188">
        <f>DIST_DSL_LEV!AQ28</f>
        <v>0.11789216255256334</v>
      </c>
      <c r="AB21" s="188">
        <f t="shared" si="7"/>
        <v>1.0376184271157365</v>
      </c>
      <c r="AC21" s="188">
        <f>DIST_DSL_CAM!AS35</f>
        <v>0.12718338518863348</v>
      </c>
      <c r="AD21" s="188">
        <f>DIST_DSL_CAM!AT35</f>
        <v>0.14856659862333632</v>
      </c>
      <c r="AE21" s="188">
        <f>DIST_DSL_CAM!AU35</f>
        <v>7.7411070228024625E-2</v>
      </c>
      <c r="AF21" s="188">
        <f>DIST_DSL_ONI!AS35</f>
        <v>6.8986122347339834E-2</v>
      </c>
      <c r="AG21" s="188">
        <f>DIST_DSL_ONI!AT35</f>
        <v>0.35416537639803719</v>
      </c>
      <c r="AH21" s="188">
        <f>DIST_DSL_ONI!AU35</f>
        <v>6.7054872282408168E-2</v>
      </c>
      <c r="AI21" s="188">
        <f>DIST_DSL_LEV!AS28</f>
        <v>2.4703858772350522E-3</v>
      </c>
      <c r="AJ21" s="188">
        <f>DIST_DSL_LEV!AT28</f>
        <v>0.11035684342319801</v>
      </c>
      <c r="AK21" s="189">
        <f t="shared" si="8"/>
        <v>0.95619465436821249</v>
      </c>
      <c r="AL21" s="188" t="e">
        <f>DIST_DSL_CAM!AV35</f>
        <v>#DIV/0!</v>
      </c>
      <c r="AM21" s="188" t="e">
        <f>DIST_DSL_CAM!AW35</f>
        <v>#DIV/0!</v>
      </c>
      <c r="AN21" s="188" t="e">
        <f>DIST_DSL_CAM!AX35</f>
        <v>#DIV/0!</v>
      </c>
      <c r="AO21" s="188" t="e">
        <f>DIST_DSL_ONI!AV35</f>
        <v>#DIV/0!</v>
      </c>
      <c r="AP21" s="188" t="e">
        <f>DIST_DSL_ONI!AW35</f>
        <v>#DIV/0!</v>
      </c>
      <c r="AQ21" s="188" t="e">
        <f>DIST_DSL_ONI!AX35</f>
        <v>#DIV/0!</v>
      </c>
      <c r="AR21" s="188" t="e">
        <f>DIST_DSL_LEV!AV28</f>
        <v>#DIV/0!</v>
      </c>
      <c r="AS21" s="188" t="e">
        <f>DIST_DSL_LEV!AW28</f>
        <v>#DIV/0!</v>
      </c>
      <c r="AT21" s="189" t="e">
        <f t="shared" si="9"/>
        <v>#DIV/0!</v>
      </c>
      <c r="AV21" s="127" t="s">
        <v>28</v>
      </c>
      <c r="AW21" s="188">
        <f t="shared" si="10"/>
        <v>0.14061973566620584</v>
      </c>
      <c r="AX21" s="188">
        <f t="shared" si="11"/>
        <v>0.1642619890660682</v>
      </c>
      <c r="AY21" s="188">
        <f t="shared" si="12"/>
        <v>7.1784055054536888E-2</v>
      </c>
      <c r="AZ21" s="188">
        <f t="shared" si="13"/>
        <v>7.7131684860063512E-2</v>
      </c>
      <c r="BA21" s="188">
        <f t="shared" si="14"/>
        <v>0.36755139397093728</v>
      </c>
      <c r="BB21" s="188">
        <f t="shared" si="15"/>
        <v>6.958927501779047E-2</v>
      </c>
      <c r="BC21" s="188">
        <f t="shared" si="16"/>
        <v>2.540646338692222E-3</v>
      </c>
      <c r="BD21" s="188">
        <f t="shared" si="17"/>
        <v>0.1065212200257054</v>
      </c>
      <c r="BE21" s="188">
        <f t="shared" si="18"/>
        <v>0.99999999999999978</v>
      </c>
      <c r="BF21" s="188">
        <f t="shared" si="19"/>
        <v>0.13745826286549684</v>
      </c>
      <c r="BG21" s="188">
        <f t="shared" si="20"/>
        <v>0.16056898105291537</v>
      </c>
      <c r="BH21" s="188">
        <f t="shared" si="21"/>
        <v>7.3986521814997375E-2</v>
      </c>
      <c r="BI21" s="188">
        <f t="shared" si="22"/>
        <v>7.3804554546050477E-2</v>
      </c>
      <c r="BJ21" s="188">
        <f t="shared" si="23"/>
        <v>0.3718681183933516</v>
      </c>
      <c r="BK21" s="188">
        <f t="shared" si="24"/>
        <v>7.0406569491257093E-2</v>
      </c>
      <c r="BL21" s="188">
        <f t="shared" si="25"/>
        <v>2.549863630780966E-3</v>
      </c>
      <c r="BM21" s="188">
        <f t="shared" si="26"/>
        <v>0.10935712820515012</v>
      </c>
      <c r="BN21" s="188">
        <f t="shared" si="27"/>
        <v>0.99999999999999967</v>
      </c>
      <c r="BO21" s="188">
        <f t="shared" si="28"/>
        <v>0.13613153082950089</v>
      </c>
      <c r="BP21" s="188">
        <f t="shared" si="29"/>
        <v>0.15901918690661088</v>
      </c>
      <c r="BQ21" s="188">
        <f t="shared" si="30"/>
        <v>7.8085859896664139E-2</v>
      </c>
      <c r="BR21" s="188">
        <f t="shared" si="31"/>
        <v>7.3089810800402055E-2</v>
      </c>
      <c r="BS21" s="188">
        <f t="shared" si="32"/>
        <v>0.36782202818385229</v>
      </c>
      <c r="BT21" s="188">
        <f t="shared" si="33"/>
        <v>6.9640514759988933E-2</v>
      </c>
      <c r="BU21" s="188">
        <f t="shared" si="34"/>
        <v>2.5930376862447506E-3</v>
      </c>
      <c r="BV21" s="188">
        <f t="shared" si="35"/>
        <v>0.11361803093673623</v>
      </c>
      <c r="BW21" s="188">
        <f t="shared" si="36"/>
        <v>1.0000000000000002</v>
      </c>
      <c r="BX21" s="188">
        <f t="shared" si="37"/>
        <v>0.13300993119718652</v>
      </c>
      <c r="BY21" s="188">
        <f t="shared" si="38"/>
        <v>0.15537275589717545</v>
      </c>
      <c r="BZ21" s="188">
        <f t="shared" si="39"/>
        <v>8.0957438816861529E-2</v>
      </c>
      <c r="CA21" s="188">
        <f t="shared" si="40"/>
        <v>7.2146525848255358E-2</v>
      </c>
      <c r="CB21" s="188">
        <f t="shared" si="41"/>
        <v>0.370390458449117</v>
      </c>
      <c r="CC21" s="188">
        <f t="shared" si="42"/>
        <v>7.0126801040017742E-2</v>
      </c>
      <c r="CD21" s="188">
        <f t="shared" si="43"/>
        <v>2.5835595984034371E-3</v>
      </c>
      <c r="CE21" s="188">
        <f t="shared" si="44"/>
        <v>0.1154125291529832</v>
      </c>
      <c r="CF21" s="189">
        <f t="shared" si="45"/>
        <v>1.0000000000000002</v>
      </c>
      <c r="CG21" s="188" t="e">
        <f t="shared" si="46"/>
        <v>#DIV/0!</v>
      </c>
      <c r="CH21" s="188" t="e">
        <f t="shared" si="47"/>
        <v>#DIV/0!</v>
      </c>
      <c r="CI21" s="188" t="e">
        <f t="shared" si="48"/>
        <v>#DIV/0!</v>
      </c>
      <c r="CJ21" s="188" t="e">
        <f t="shared" si="49"/>
        <v>#DIV/0!</v>
      </c>
      <c r="CK21" s="188" t="e">
        <f t="shared" si="50"/>
        <v>#DIV/0!</v>
      </c>
      <c r="CL21" s="188" t="e">
        <f t="shared" si="51"/>
        <v>#DIV/0!</v>
      </c>
      <c r="CM21" s="188" t="e">
        <f t="shared" si="52"/>
        <v>#DIV/0!</v>
      </c>
      <c r="CN21" s="188" t="e">
        <f t="shared" si="53"/>
        <v>#DIV/0!</v>
      </c>
      <c r="CO21" s="189" t="e">
        <f t="shared" si="54"/>
        <v>#DIV/0!</v>
      </c>
    </row>
    <row r="22" spans="1:93" ht="15.75" thickBot="1">
      <c r="A22" s="128" t="s">
        <v>29</v>
      </c>
      <c r="B22" s="188">
        <f>DIST_DSL_CAM!AJ36</f>
        <v>0.12745968923628162</v>
      </c>
      <c r="C22" s="188">
        <f>DIST_DSL_CAM!AK36</f>
        <v>0.14887524619265083</v>
      </c>
      <c r="D22" s="188">
        <f>DIST_DSL_CAM!AL36</f>
        <v>6.242803825528228E-2</v>
      </c>
      <c r="E22" s="188">
        <f>DIST_DSL_ONI!AJ36</f>
        <v>7.112305347178656E-2</v>
      </c>
      <c r="F22" s="188">
        <f>DIST_DSL_ONI!AK36</f>
        <v>0.46524329079903115</v>
      </c>
      <c r="G22" s="188">
        <f>DIST_DSL_ONI!AL36</f>
        <v>8.8012467817184095E-2</v>
      </c>
      <c r="H22" s="188">
        <f>DIST_DSL_LEV!AJ29</f>
        <v>1.5288124754890286E-3</v>
      </c>
      <c r="I22" s="188">
        <f>DIST_DSL_LEV!AK29</f>
        <v>5.1469064458124943E-2</v>
      </c>
      <c r="J22" s="188">
        <f t="shared" si="5"/>
        <v>1.0161396627058306</v>
      </c>
      <c r="K22" s="188">
        <f>DIST_DSL_CAM!AM36</f>
        <v>0.12276629448592527</v>
      </c>
      <c r="L22" s="188">
        <f>DIST_DSL_CAM!AN36</f>
        <v>0.14339327535837934</v>
      </c>
      <c r="M22" s="188">
        <f>DIST_DSL_CAM!AO36</f>
        <v>6.5691215804072653E-2</v>
      </c>
      <c r="N22" s="188">
        <f>DIST_DSL_ONI!AM36</f>
        <v>6.8127724250041849E-2</v>
      </c>
      <c r="O22" s="188">
        <f>DIST_DSL_ONI!AN36</f>
        <v>0.46755144425556938</v>
      </c>
      <c r="P22" s="188">
        <f>DIST_DSL_ONI!AO36</f>
        <v>8.8449113086075143E-2</v>
      </c>
      <c r="Q22" s="188">
        <f>DIST_DSL_LEV!AM29</f>
        <v>1.5329350484646913E-3</v>
      </c>
      <c r="R22" s="188">
        <f>DIST_DSL_LEV!AN29</f>
        <v>5.2626534369374436E-2</v>
      </c>
      <c r="S22" s="188">
        <f t="shared" si="6"/>
        <v>1.0101385366579028</v>
      </c>
      <c r="T22" s="188">
        <f>DIST_DSL_CAM!AP36</f>
        <v>0.12942472093711713</v>
      </c>
      <c r="U22" s="188">
        <f>DIST_DSL_CAM!AQ36</f>
        <v>0.15117043912769665</v>
      </c>
      <c r="V22" s="188">
        <f>DIST_DSL_CAM!AR36</f>
        <v>7.5179796148460112E-2</v>
      </c>
      <c r="W22" s="188">
        <f>DIST_DSL_ONI!AP36</f>
        <v>7.1518180050746408E-2</v>
      </c>
      <c r="X22" s="188">
        <f>DIST_DSL_ONI!AQ36</f>
        <v>0.49890461126753632</v>
      </c>
      <c r="Y22" s="188">
        <f>DIST_DSL_ONI!AR36</f>
        <v>9.4380353057033767E-2</v>
      </c>
      <c r="Z22" s="188">
        <f>DIST_DSL_LEV!AP29</f>
        <v>1.647470326622053E-3</v>
      </c>
      <c r="AA22" s="188">
        <f>DIST_DSL_LEV!AQ29</f>
        <v>5.881341110296881E-2</v>
      </c>
      <c r="AB22" s="188">
        <f t="shared" si="7"/>
        <v>1.0810389820181812</v>
      </c>
      <c r="AC22" s="188">
        <f>DIST_DSL_CAM!AS36</f>
        <v>0.13524170777509639</v>
      </c>
      <c r="AD22" s="188">
        <f>DIST_DSL_CAM!AT36</f>
        <v>0.15796478605253644</v>
      </c>
      <c r="AE22" s="188">
        <f>DIST_DSL_CAM!AU36</f>
        <v>8.083410399162004E-2</v>
      </c>
      <c r="AF22" s="188">
        <f>DIST_DSL_ONI!AS36</f>
        <v>7.4422883530478712E-2</v>
      </c>
      <c r="AG22" s="188">
        <f>DIST_DSL_ONI!AT36</f>
        <v>0.51453581133297699</v>
      </c>
      <c r="AH22" s="188">
        <f>DIST_DSL_ONI!AU36</f>
        <v>9.7337387623487787E-2</v>
      </c>
      <c r="AI22" s="188">
        <f>DIST_DSL_LEV!AS29</f>
        <v>1.7173344420503597E-3</v>
      </c>
      <c r="AJ22" s="188">
        <f>DIST_DSL_LEV!AT29</f>
        <v>6.3974001931066699E-2</v>
      </c>
      <c r="AK22" s="189">
        <f t="shared" si="8"/>
        <v>1.1260280166793135</v>
      </c>
      <c r="AL22" s="188" t="e">
        <f>DIST_DSL_CAM!AV36</f>
        <v>#DIV/0!</v>
      </c>
      <c r="AM22" s="188" t="e">
        <f>DIST_DSL_CAM!AW36</f>
        <v>#DIV/0!</v>
      </c>
      <c r="AN22" s="188" t="e">
        <f>DIST_DSL_CAM!AX36</f>
        <v>#DIV/0!</v>
      </c>
      <c r="AO22" s="188" t="e">
        <f>DIST_DSL_ONI!AV36</f>
        <v>#DIV/0!</v>
      </c>
      <c r="AP22" s="188" t="e">
        <f>DIST_DSL_ONI!AW36</f>
        <v>#DIV/0!</v>
      </c>
      <c r="AQ22" s="188" t="e">
        <f>DIST_DSL_ONI!AX36</f>
        <v>#DIV/0!</v>
      </c>
      <c r="AR22" s="188" t="e">
        <f>DIST_DSL_LEV!AV29</f>
        <v>#DIV/0!</v>
      </c>
      <c r="AS22" s="188" t="e">
        <f>DIST_DSL_LEV!AW29</f>
        <v>#DIV/0!</v>
      </c>
      <c r="AT22" s="189" t="e">
        <f t="shared" si="9"/>
        <v>#DIV/0!</v>
      </c>
      <c r="AV22" s="128" t="s">
        <v>29</v>
      </c>
      <c r="AW22" s="188">
        <f t="shared" si="10"/>
        <v>0.1254352072990392</v>
      </c>
      <c r="AX22" s="188">
        <f t="shared" si="11"/>
        <v>0.14651061429510381</v>
      </c>
      <c r="AY22" s="188">
        <f t="shared" si="12"/>
        <v>6.1436474282526861E-2</v>
      </c>
      <c r="AZ22" s="188">
        <f t="shared" si="13"/>
        <v>6.9993383864572628E-2</v>
      </c>
      <c r="BA22" s="188">
        <f t="shared" si="14"/>
        <v>0.45785368672664212</v>
      </c>
      <c r="BB22" s="188">
        <f t="shared" si="15"/>
        <v>8.6614538382272996E-2</v>
      </c>
      <c r="BC22" s="188">
        <f t="shared" si="16"/>
        <v>1.5045298708427793E-3</v>
      </c>
      <c r="BD22" s="188">
        <f t="shared" si="17"/>
        <v>5.0651565278999534E-2</v>
      </c>
      <c r="BE22" s="188">
        <f t="shared" si="18"/>
        <v>1</v>
      </c>
      <c r="BF22" s="188">
        <f t="shared" si="19"/>
        <v>0.12153411639170218</v>
      </c>
      <c r="BG22" s="188">
        <f t="shared" si="20"/>
        <v>0.14195406882782993</v>
      </c>
      <c r="BH22" s="188">
        <f t="shared" si="21"/>
        <v>6.5031887627429341E-2</v>
      </c>
      <c r="BI22" s="188">
        <f t="shared" si="22"/>
        <v>6.744394137802727E-2</v>
      </c>
      <c r="BJ22" s="188">
        <f t="shared" si="23"/>
        <v>0.4628587340133446</v>
      </c>
      <c r="BK22" s="188">
        <f t="shared" si="24"/>
        <v>8.7561368937288303E-2</v>
      </c>
      <c r="BL22" s="188">
        <f t="shared" si="25"/>
        <v>1.5175493190631936E-3</v>
      </c>
      <c r="BM22" s="188">
        <f t="shared" si="26"/>
        <v>5.2098333505315154E-2</v>
      </c>
      <c r="BN22" s="188">
        <f t="shared" si="27"/>
        <v>0.99999999999999989</v>
      </c>
      <c r="BO22" s="188">
        <f t="shared" si="28"/>
        <v>0.11972252905764358</v>
      </c>
      <c r="BP22" s="188">
        <f t="shared" si="29"/>
        <v>0.13983810171718139</v>
      </c>
      <c r="BQ22" s="188">
        <f t="shared" si="30"/>
        <v>6.9544019595026707E-2</v>
      </c>
      <c r="BR22" s="188">
        <f t="shared" si="31"/>
        <v>6.6156892804392506E-2</v>
      </c>
      <c r="BS22" s="188">
        <f t="shared" si="32"/>
        <v>0.46150473717065793</v>
      </c>
      <c r="BT22" s="188">
        <f t="shared" si="33"/>
        <v>8.7305226385857054E-2</v>
      </c>
      <c r="BU22" s="188">
        <f t="shared" si="34"/>
        <v>1.5239693979826766E-3</v>
      </c>
      <c r="BV22" s="188">
        <f t="shared" si="35"/>
        <v>5.4404523871258208E-2</v>
      </c>
      <c r="BW22" s="188">
        <f t="shared" si="36"/>
        <v>1</v>
      </c>
      <c r="BX22" s="188">
        <f t="shared" si="37"/>
        <v>0.12010510020339261</v>
      </c>
      <c r="BY22" s="188">
        <f t="shared" si="38"/>
        <v>0.14028495180642023</v>
      </c>
      <c r="BZ22" s="188">
        <f t="shared" si="39"/>
        <v>7.1786938507979542E-2</v>
      </c>
      <c r="CA22" s="188">
        <f t="shared" si="40"/>
        <v>6.6093278700075128E-2</v>
      </c>
      <c r="CB22" s="188">
        <f t="shared" si="41"/>
        <v>0.45694761028269681</v>
      </c>
      <c r="CC22" s="188">
        <f t="shared" si="42"/>
        <v>8.6443131238011575E-2</v>
      </c>
      <c r="CD22" s="188">
        <f t="shared" si="43"/>
        <v>1.5251258553182581E-3</v>
      </c>
      <c r="CE22" s="188">
        <f t="shared" si="44"/>
        <v>5.6813863406105759E-2</v>
      </c>
      <c r="CF22" s="189">
        <f t="shared" si="45"/>
        <v>0.99999999999999989</v>
      </c>
      <c r="CG22" s="188" t="e">
        <f t="shared" si="46"/>
        <v>#DIV/0!</v>
      </c>
      <c r="CH22" s="188" t="e">
        <f t="shared" si="47"/>
        <v>#DIV/0!</v>
      </c>
      <c r="CI22" s="188" t="e">
        <f t="shared" si="48"/>
        <v>#DIV/0!</v>
      </c>
      <c r="CJ22" s="188" t="e">
        <f t="shared" si="49"/>
        <v>#DIV/0!</v>
      </c>
      <c r="CK22" s="188" t="e">
        <f t="shared" si="50"/>
        <v>#DIV/0!</v>
      </c>
      <c r="CL22" s="188" t="e">
        <f t="shared" si="51"/>
        <v>#DIV/0!</v>
      </c>
      <c r="CM22" s="188" t="e">
        <f t="shared" si="52"/>
        <v>#DIV/0!</v>
      </c>
      <c r="CN22" s="188" t="e">
        <f t="shared" si="53"/>
        <v>#DIV/0!</v>
      </c>
      <c r="CO22" s="189" t="e">
        <f t="shared" si="54"/>
        <v>#DIV/0!</v>
      </c>
    </row>
    <row r="23" spans="1:93" s="273" customFormat="1" ht="26.25" thickBot="1">
      <c r="A23" s="269" t="s">
        <v>64</v>
      </c>
      <c r="B23" s="429">
        <f>DIST_DSL_CAM!AJ37</f>
        <v>0.1221873926313017</v>
      </c>
      <c r="C23" s="429">
        <f>DIST_DSL_CAM!AK37</f>
        <v>0.14271883750878958</v>
      </c>
      <c r="D23" s="429">
        <f>DIST_DSL_CAM!AL37</f>
        <v>0.13931030326416</v>
      </c>
      <c r="E23" s="429">
        <f>DIST_DSL_ONI!AJ37</f>
        <v>5.6002394456682709E-2</v>
      </c>
      <c r="F23" s="429">
        <f>DIST_DSL_ONI!AK37</f>
        <v>0.41043249170293039</v>
      </c>
      <c r="G23" s="429">
        <f>DIST_DSL_ONI!AL37</f>
        <v>6.2530065815311592E-2</v>
      </c>
      <c r="H23" s="429">
        <f>DIST_DSL_LEV!AJ30</f>
        <v>1.4512314661542093E-3</v>
      </c>
      <c r="I23" s="429">
        <f>DIST_DSL_LEV!AK30</f>
        <v>5.5632856742934542E-2</v>
      </c>
      <c r="J23" s="429">
        <f t="shared" si="5"/>
        <v>0.99026557358826472</v>
      </c>
      <c r="K23" s="429">
        <f>DIST_DSL_CAM!AM37</f>
        <v>0.116674767874797</v>
      </c>
      <c r="L23" s="429">
        <f>DIST_DSL_CAM!AN37</f>
        <v>0.13627990611647406</v>
      </c>
      <c r="M23" s="429">
        <f>DIST_DSL_CAM!AO37</f>
        <v>0.14206309452208679</v>
      </c>
      <c r="N23" s="429">
        <f>DIST_DSL_ONI!AM37</f>
        <v>5.4668037252268001E-2</v>
      </c>
      <c r="O23" s="429">
        <f>DIST_DSL_ONI!AN37</f>
        <v>0.39315448860166147</v>
      </c>
      <c r="P23" s="429">
        <f>DIST_DSL_ONI!AO37</f>
        <v>5.9930758516623966E-2</v>
      </c>
      <c r="Q23" s="429">
        <f>DIST_DSL_LEV!AM30</f>
        <v>1.4173671534999765E-3</v>
      </c>
      <c r="R23" s="429">
        <f>DIST_DSL_LEV!AN30</f>
        <v>5.5848388832299832E-2</v>
      </c>
      <c r="S23" s="429">
        <f t="shared" si="6"/>
        <v>0.96003680886971099</v>
      </c>
      <c r="T23" s="429">
        <f>DIST_DSL_CAM!AP37</f>
        <v>0.11694551962313313</v>
      </c>
      <c r="U23" s="429">
        <f>DIST_DSL_CAM!AQ37</f>
        <v>0.13659614584658197</v>
      </c>
      <c r="V23" s="429">
        <f>DIST_DSL_CAM!AR37</f>
        <v>0.15345639846053169</v>
      </c>
      <c r="W23" s="429">
        <f>DIST_DSL_ONI!AP37</f>
        <v>5.6341337446830092E-2</v>
      </c>
      <c r="X23" s="429">
        <f>DIST_DSL_ONI!AQ37</f>
        <v>0.39512188741202653</v>
      </c>
      <c r="Y23" s="429">
        <f>DIST_DSL_ONI!AR37</f>
        <v>6.0215450257989252E-2</v>
      </c>
      <c r="Z23" s="429">
        <f>DIST_DSL_LEV!AP30</f>
        <v>1.4390072435046552E-3</v>
      </c>
      <c r="AA23" s="429">
        <f>DIST_DSL_LEV!AQ30</f>
        <v>5.909099816493877E-2</v>
      </c>
      <c r="AB23" s="429">
        <f t="shared" si="7"/>
        <v>0.97920674445553613</v>
      </c>
      <c r="AC23" s="429">
        <f>DIST_DSL_CAM!AS37</f>
        <v>0.11864475260798364</v>
      </c>
      <c r="AD23" s="429">
        <f>DIST_DSL_CAM!AT37</f>
        <v>0.13858090172046214</v>
      </c>
      <c r="AE23" s="429">
        <f>DIST_DSL_CAM!AU37</f>
        <v>0.16208967567724014</v>
      </c>
      <c r="AF23" s="429">
        <f>DIST_DSL_ONI!AS37</f>
        <v>5.8868090671702053E-2</v>
      </c>
      <c r="AG23" s="429">
        <f>DIST_DSL_ONI!AT37</f>
        <v>0.40522557748750604</v>
      </c>
      <c r="AH23" s="429">
        <f>DIST_DSL_ONI!AU37</f>
        <v>6.179066107667909E-2</v>
      </c>
      <c r="AI23" s="429">
        <f>DIST_DSL_LEV!AS30</f>
        <v>1.4790814922535547E-3</v>
      </c>
      <c r="AJ23" s="429">
        <f>DIST_DSL_LEV!AT30</f>
        <v>6.3298026394887325E-2</v>
      </c>
      <c r="AK23" s="430">
        <f t="shared" si="8"/>
        <v>1.0099767671287139</v>
      </c>
      <c r="AL23" s="429" t="e">
        <f>DIST_DSL_CAM!AV37</f>
        <v>#DIV/0!</v>
      </c>
      <c r="AM23" s="429" t="e">
        <f>DIST_DSL_CAM!AW37</f>
        <v>#DIV/0!</v>
      </c>
      <c r="AN23" s="429" t="e">
        <f>DIST_DSL_CAM!AX37</f>
        <v>#DIV/0!</v>
      </c>
      <c r="AO23" s="429" t="e">
        <f>DIST_DSL_ONI!AV37</f>
        <v>#DIV/0!</v>
      </c>
      <c r="AP23" s="429" t="e">
        <f>DIST_DSL_ONI!AW37</f>
        <v>#DIV/0!</v>
      </c>
      <c r="AQ23" s="429" t="e">
        <f>DIST_DSL_ONI!AX37</f>
        <v>#DIV/0!</v>
      </c>
      <c r="AR23" s="429" t="e">
        <f>DIST_DSL_LEV!AV30</f>
        <v>#DIV/0!</v>
      </c>
      <c r="AS23" s="429" t="e">
        <f>DIST_DSL_LEV!AW30</f>
        <v>#DIV/0!</v>
      </c>
      <c r="AT23" s="430" t="e">
        <f t="shared" si="9"/>
        <v>#DIV/0!</v>
      </c>
      <c r="AV23" s="269" t="s">
        <v>64</v>
      </c>
      <c r="AW23" s="429">
        <f t="shared" si="10"/>
        <v>0.12338850899213942</v>
      </c>
      <c r="AX23" s="429">
        <f t="shared" si="11"/>
        <v>0.14412178037417023</v>
      </c>
      <c r="AY23" s="429">
        <f t="shared" si="12"/>
        <v>0.1406797398392472</v>
      </c>
      <c r="AZ23" s="429">
        <f t="shared" si="13"/>
        <v>5.655290454433947E-2</v>
      </c>
      <c r="BA23" s="429">
        <f t="shared" si="14"/>
        <v>0.41446709110134239</v>
      </c>
      <c r="BB23" s="429">
        <f t="shared" si="15"/>
        <v>6.3144743675912648E-2</v>
      </c>
      <c r="BC23" s="429">
        <f t="shared" si="16"/>
        <v>1.4654972412053236E-3</v>
      </c>
      <c r="BD23" s="429">
        <f t="shared" si="17"/>
        <v>5.6179734231643318E-2</v>
      </c>
      <c r="BE23" s="429">
        <f t="shared" si="18"/>
        <v>1</v>
      </c>
      <c r="BF23" s="429">
        <f t="shared" si="19"/>
        <v>0.12153155670370887</v>
      </c>
      <c r="BG23" s="429">
        <f t="shared" si="20"/>
        <v>0.14195279270273162</v>
      </c>
      <c r="BH23" s="429">
        <f t="shared" si="21"/>
        <v>0.14797671631918285</v>
      </c>
      <c r="BI23" s="429">
        <f t="shared" si="22"/>
        <v>5.6943688770257496E-2</v>
      </c>
      <c r="BJ23" s="429">
        <f t="shared" si="23"/>
        <v>0.40952022356782097</v>
      </c>
      <c r="BK23" s="429">
        <f t="shared" si="24"/>
        <v>6.2425479901320448E-2</v>
      </c>
      <c r="BL23" s="429">
        <f t="shared" si="25"/>
        <v>1.4763675105006636E-3</v>
      </c>
      <c r="BM23" s="429">
        <f t="shared" si="26"/>
        <v>5.8173174524477171E-2</v>
      </c>
      <c r="BN23" s="429">
        <f t="shared" si="27"/>
        <v>1</v>
      </c>
      <c r="BO23" s="429">
        <f t="shared" si="28"/>
        <v>0.11942883388549147</v>
      </c>
      <c r="BP23" s="429">
        <f t="shared" si="29"/>
        <v>0.13949673714975575</v>
      </c>
      <c r="BQ23" s="429">
        <f t="shared" si="30"/>
        <v>0.15671501378991967</v>
      </c>
      <c r="BR23" s="429">
        <f t="shared" si="31"/>
        <v>5.7537734258721135E-2</v>
      </c>
      <c r="BS23" s="429">
        <f t="shared" si="32"/>
        <v>0.40351222012030191</v>
      </c>
      <c r="BT23" s="429">
        <f t="shared" si="33"/>
        <v>6.1494113065439081E-2</v>
      </c>
      <c r="BU23" s="429">
        <f t="shared" si="34"/>
        <v>1.4695642688866281E-3</v>
      </c>
      <c r="BV23" s="429">
        <f t="shared" si="35"/>
        <v>6.0345783461484295E-2</v>
      </c>
      <c r="BW23" s="429">
        <f t="shared" si="36"/>
        <v>1</v>
      </c>
      <c r="BX23" s="429">
        <f t="shared" si="37"/>
        <v>0.1174727542944196</v>
      </c>
      <c r="BY23" s="429">
        <f t="shared" si="38"/>
        <v>0.13721196984999662</v>
      </c>
      <c r="BZ23" s="429">
        <f t="shared" si="39"/>
        <v>0.16048851909539325</v>
      </c>
      <c r="CA23" s="429">
        <f t="shared" si="40"/>
        <v>5.8286579045832412E-2</v>
      </c>
      <c r="CB23" s="429">
        <f t="shared" si="41"/>
        <v>0.40122267231901892</v>
      </c>
      <c r="CC23" s="429">
        <f t="shared" si="42"/>
        <v>6.1180279673506928E-2</v>
      </c>
      <c r="CD23" s="429">
        <f t="shared" si="43"/>
        <v>1.4644708080349901E-3</v>
      </c>
      <c r="CE23" s="429">
        <f t="shared" si="44"/>
        <v>6.267275491379741E-2</v>
      </c>
      <c r="CF23" s="430">
        <f t="shared" si="45"/>
        <v>1</v>
      </c>
      <c r="CG23" s="429" t="e">
        <f t="shared" si="46"/>
        <v>#DIV/0!</v>
      </c>
      <c r="CH23" s="429" t="e">
        <f t="shared" si="47"/>
        <v>#DIV/0!</v>
      </c>
      <c r="CI23" s="429" t="e">
        <f t="shared" si="48"/>
        <v>#DIV/0!</v>
      </c>
      <c r="CJ23" s="429" t="e">
        <f t="shared" si="49"/>
        <v>#DIV/0!</v>
      </c>
      <c r="CK23" s="429" t="e">
        <f t="shared" si="50"/>
        <v>#DIV/0!</v>
      </c>
      <c r="CL23" s="429" t="e">
        <f t="shared" si="51"/>
        <v>#DIV/0!</v>
      </c>
      <c r="CM23" s="429" t="e">
        <f t="shared" si="52"/>
        <v>#DIV/0!</v>
      </c>
      <c r="CN23" s="429" t="e">
        <f t="shared" si="53"/>
        <v>#DIV/0!</v>
      </c>
      <c r="CO23" s="430" t="e">
        <f t="shared" si="54"/>
        <v>#DIV/0!</v>
      </c>
    </row>
    <row r="24" spans="1:93" ht="26.25" thickBot="1">
      <c r="A24" s="127" t="s">
        <v>31</v>
      </c>
      <c r="B24" s="188">
        <f>DIST_DSL_CAM!AJ38</f>
        <v>0.10954653112664263</v>
      </c>
      <c r="C24" s="188">
        <f>DIST_DSL_CAM!AK38</f>
        <v>0.12795606657927958</v>
      </c>
      <c r="D24" s="188">
        <f>DIST_DSL_CAM!AL38</f>
        <v>0.17701688273789676</v>
      </c>
      <c r="E24" s="188">
        <f>DIST_DSL_ONI!AJ38</f>
        <v>5.1970856544807556E-2</v>
      </c>
      <c r="F24" s="188">
        <f>DIST_DSL_ONI!AK38</f>
        <v>0.54996179804403056</v>
      </c>
      <c r="G24" s="188">
        <f>DIST_DSL_ONI!AL38</f>
        <v>9.8253822221717066E-2</v>
      </c>
      <c r="H24" s="188">
        <f>DIST_DSL_LEV!AJ31</f>
        <v>2.3000624392552791E-3</v>
      </c>
      <c r="I24" s="188">
        <f>DIST_DSL_LEV!AK31</f>
        <v>9.896119851492835E-2</v>
      </c>
      <c r="J24" s="188">
        <f t="shared" si="5"/>
        <v>1.2159672182085577</v>
      </c>
      <c r="K24" s="188">
        <f>DIST_DSL_CAM!AM38</f>
        <v>0.10033903865469235</v>
      </c>
      <c r="L24" s="188">
        <f>DIST_DSL_CAM!AN38</f>
        <v>0.11720123474980736</v>
      </c>
      <c r="M24" s="188">
        <f>DIST_DSL_CAM!AO38</f>
        <v>0.16901345816696109</v>
      </c>
      <c r="N24" s="188">
        <f>DIST_DSL_ONI!AM38</f>
        <v>5.0597718372796183E-2</v>
      </c>
      <c r="O24" s="188">
        <f>DIST_DSL_ONI!AN38</f>
        <v>0.49610930278372095</v>
      </c>
      <c r="P24" s="188">
        <f>DIST_DSL_ONI!AO38</f>
        <v>8.8632765787759596E-2</v>
      </c>
      <c r="Q24" s="188">
        <f>DIST_DSL_LEV!AM31</f>
        <v>2.1909795837091904E-3</v>
      </c>
      <c r="R24" s="188">
        <f>DIST_DSL_LEV!AN31</f>
        <v>9.6411368201359621E-2</v>
      </c>
      <c r="S24" s="188">
        <f t="shared" si="6"/>
        <v>1.1204958663008064</v>
      </c>
      <c r="T24" s="188">
        <f>DIST_DSL_CAM!AP38</f>
        <v>9.5047181061384364E-2</v>
      </c>
      <c r="U24" s="188">
        <f>DIST_DSL_CAM!AQ38</f>
        <v>0.11102006885095675</v>
      </c>
      <c r="V24" s="188">
        <f>DIST_DSL_CAM!AR38</f>
        <v>0.16825141276296604</v>
      </c>
      <c r="W24" s="188">
        <f>DIST_DSL_ONI!AP38</f>
        <v>4.9821882482094279E-2</v>
      </c>
      <c r="X24" s="188">
        <f>DIST_DSL_ONI!AQ38</f>
        <v>0.46979967646248233</v>
      </c>
      <c r="Y24" s="188">
        <f>DIST_DSL_ONI!AR38</f>
        <v>8.3932400496060156E-2</v>
      </c>
      <c r="Z24" s="188">
        <f>DIST_DSL_LEV!AP31</f>
        <v>2.0902179423650125E-3</v>
      </c>
      <c r="AA24" s="188">
        <f>DIST_DSL_LEV!AQ31</f>
        <v>9.473574122406267E-2</v>
      </c>
      <c r="AB24" s="188">
        <f t="shared" si="7"/>
        <v>1.0746985812823715</v>
      </c>
      <c r="AC24" s="188">
        <f>DIST_DSL_CAM!AS38</f>
        <v>9.6031266892457404E-2</v>
      </c>
      <c r="AD24" s="188">
        <f>DIST_DSL_CAM!AT38</f>
        <v>0.11216953246998215</v>
      </c>
      <c r="AE24" s="188">
        <f>DIST_DSL_CAM!AU38</f>
        <v>0.17221320709990606</v>
      </c>
      <c r="AF24" s="188">
        <f>DIST_DSL_ONI!AS38</f>
        <v>5.2250599773489691E-2</v>
      </c>
      <c r="AG24" s="188">
        <f>DIST_DSL_ONI!AT38</f>
        <v>0.46518773459897911</v>
      </c>
      <c r="AH24" s="188">
        <f>DIST_DSL_ONI!AU38</f>
        <v>8.3108450691609798E-2</v>
      </c>
      <c r="AI24" s="188">
        <f>DIST_DSL_LEV!AS31</f>
        <v>2.1184100054598585E-3</v>
      </c>
      <c r="AJ24" s="188">
        <f>DIST_DSL_LEV!AT31</f>
        <v>9.9035915233891214E-2</v>
      </c>
      <c r="AK24" s="189">
        <f t="shared" si="8"/>
        <v>1.0821151167657752</v>
      </c>
      <c r="AL24" s="188" t="e">
        <f>DIST_DSL_CAM!AV38</f>
        <v>#DIV/0!</v>
      </c>
      <c r="AM24" s="188" t="e">
        <f>DIST_DSL_CAM!AW38</f>
        <v>#DIV/0!</v>
      </c>
      <c r="AN24" s="188" t="e">
        <f>DIST_DSL_CAM!AX38</f>
        <v>#DIV/0!</v>
      </c>
      <c r="AO24" s="188" t="e">
        <f>DIST_DSL_ONI!AV38</f>
        <v>#DIV/0!</v>
      </c>
      <c r="AP24" s="188" t="e">
        <f>DIST_DSL_ONI!AW38</f>
        <v>#DIV/0!</v>
      </c>
      <c r="AQ24" s="188" t="e">
        <f>DIST_DSL_ONI!AX38</f>
        <v>#DIV/0!</v>
      </c>
      <c r="AR24" s="188" t="e">
        <f>DIST_DSL_LEV!AV31</f>
        <v>#DIV/0!</v>
      </c>
      <c r="AS24" s="188" t="e">
        <f>DIST_DSL_LEV!AW31</f>
        <v>#DIV/0!</v>
      </c>
      <c r="AT24" s="189" t="e">
        <f t="shared" si="9"/>
        <v>#DIV/0!</v>
      </c>
      <c r="AV24" s="127" t="s">
        <v>31</v>
      </c>
      <c r="AW24" s="188">
        <f t="shared" si="10"/>
        <v>9.0090036545585284E-2</v>
      </c>
      <c r="AX24" s="188">
        <f t="shared" si="11"/>
        <v>0.10522986529833658</v>
      </c>
      <c r="AY24" s="188">
        <f t="shared" si="12"/>
        <v>0.14557701892546873</v>
      </c>
      <c r="AZ24" s="188">
        <f t="shared" si="13"/>
        <v>4.27403434620338E-2</v>
      </c>
      <c r="BA24" s="188">
        <f t="shared" si="14"/>
        <v>0.45228340847401316</v>
      </c>
      <c r="BB24" s="188">
        <f t="shared" si="15"/>
        <v>8.0803018988020919E-2</v>
      </c>
      <c r="BC24" s="188">
        <f t="shared" si="16"/>
        <v>1.8915497102330451E-3</v>
      </c>
      <c r="BD24" s="188">
        <f t="shared" si="17"/>
        <v>8.1384758596308587E-2</v>
      </c>
      <c r="BE24" s="188">
        <f t="shared" si="18"/>
        <v>1.0000000000000002</v>
      </c>
      <c r="BF24" s="188">
        <f t="shared" si="19"/>
        <v>8.9548780742896114E-2</v>
      </c>
      <c r="BG24" s="188">
        <f t="shared" si="20"/>
        <v>0.10459765026776431</v>
      </c>
      <c r="BH24" s="188">
        <f t="shared" si="21"/>
        <v>0.15083809164324755</v>
      </c>
      <c r="BI24" s="188">
        <f t="shared" si="22"/>
        <v>4.5156541754891942E-2</v>
      </c>
      <c r="BJ24" s="188">
        <f t="shared" si="23"/>
        <v>0.44275870862564726</v>
      </c>
      <c r="BK24" s="188">
        <f t="shared" si="24"/>
        <v>7.9101376857703992E-2</v>
      </c>
      <c r="BL24" s="188">
        <f t="shared" si="25"/>
        <v>1.9553660567641967E-3</v>
      </c>
      <c r="BM24" s="188">
        <f t="shared" si="26"/>
        <v>8.6043484051084571E-2</v>
      </c>
      <c r="BN24" s="188">
        <f t="shared" si="27"/>
        <v>0.99999999999999989</v>
      </c>
      <c r="BO24" s="188">
        <f t="shared" si="28"/>
        <v>8.8440780249258749E-2</v>
      </c>
      <c r="BP24" s="188">
        <f t="shared" si="29"/>
        <v>0.10330344785463785</v>
      </c>
      <c r="BQ24" s="188">
        <f t="shared" si="30"/>
        <v>0.15655683899964026</v>
      </c>
      <c r="BR24" s="188">
        <f t="shared" si="31"/>
        <v>4.6358935751682949E-2</v>
      </c>
      <c r="BS24" s="188">
        <f t="shared" si="32"/>
        <v>0.43714552586633115</v>
      </c>
      <c r="BT24" s="188">
        <f t="shared" si="33"/>
        <v>7.8098549637898279E-2</v>
      </c>
      <c r="BU24" s="188">
        <f t="shared" si="34"/>
        <v>1.944934122710839E-3</v>
      </c>
      <c r="BV24" s="188">
        <f t="shared" si="35"/>
        <v>8.8150987517839979E-2</v>
      </c>
      <c r="BW24" s="188">
        <f t="shared" si="36"/>
        <v>1</v>
      </c>
      <c r="BX24" s="188">
        <f t="shared" si="37"/>
        <v>8.8744039709449371E-2</v>
      </c>
      <c r="BY24" s="188">
        <f t="shared" si="38"/>
        <v>0.10365767073399211</v>
      </c>
      <c r="BZ24" s="188">
        <f t="shared" si="39"/>
        <v>0.15914499708184168</v>
      </c>
      <c r="CA24" s="188">
        <f t="shared" si="40"/>
        <v>4.8285620415003755E-2</v>
      </c>
      <c r="CB24" s="188">
        <f t="shared" si="41"/>
        <v>0.42988747443925546</v>
      </c>
      <c r="CC24" s="188">
        <f t="shared" si="42"/>
        <v>7.6801857218300643E-2</v>
      </c>
      <c r="CD24" s="188">
        <f t="shared" si="43"/>
        <v>1.9576567895949562E-3</v>
      </c>
      <c r="CE24" s="188">
        <f t="shared" si="44"/>
        <v>9.1520683612562104E-2</v>
      </c>
      <c r="CF24" s="189">
        <f t="shared" si="45"/>
        <v>1</v>
      </c>
      <c r="CG24" s="188" t="e">
        <f t="shared" si="46"/>
        <v>#DIV/0!</v>
      </c>
      <c r="CH24" s="188" t="e">
        <f t="shared" si="47"/>
        <v>#DIV/0!</v>
      </c>
      <c r="CI24" s="188" t="e">
        <f t="shared" si="48"/>
        <v>#DIV/0!</v>
      </c>
      <c r="CJ24" s="188" t="e">
        <f t="shared" si="49"/>
        <v>#DIV/0!</v>
      </c>
      <c r="CK24" s="188" t="e">
        <f t="shared" si="50"/>
        <v>#DIV/0!</v>
      </c>
      <c r="CL24" s="188" t="e">
        <f t="shared" si="51"/>
        <v>#DIV/0!</v>
      </c>
      <c r="CM24" s="188" t="e">
        <f t="shared" si="52"/>
        <v>#DIV/0!</v>
      </c>
      <c r="CN24" s="188" t="e">
        <f t="shared" si="53"/>
        <v>#DIV/0!</v>
      </c>
      <c r="CO24" s="189" t="e">
        <f t="shared" si="54"/>
        <v>#DIV/0!</v>
      </c>
    </row>
    <row r="25" spans="1:93" ht="26.25" thickBot="1">
      <c r="A25" s="127" t="s">
        <v>32</v>
      </c>
      <c r="B25" s="188">
        <f>DIST_DSL_CAM!AJ39</f>
        <v>0.14103160859121885</v>
      </c>
      <c r="C25" s="188">
        <f>DIST_DSL_CAM!AK39</f>
        <v>0.16472774266940213</v>
      </c>
      <c r="D25" s="188">
        <f>DIST_DSL_CAM!AL39</f>
        <v>0.1569488980932004</v>
      </c>
      <c r="E25" s="188">
        <f>DIST_DSL_ONI!AJ39</f>
        <v>3.2066742019888982E-2</v>
      </c>
      <c r="F25" s="188">
        <f>DIST_DSL_ONI!AK39</f>
        <v>0.32554206539093622</v>
      </c>
      <c r="G25" s="188">
        <f>DIST_DSL_ONI!AL39</f>
        <v>4.5741685844136633E-2</v>
      </c>
      <c r="H25" s="188">
        <f>DIST_DSL_LEV!AJ32</f>
        <v>1.1962084801547834E-3</v>
      </c>
      <c r="I25" s="188">
        <f>DIST_DSL_LEV!AK32</f>
        <v>4.9401811754554936E-2</v>
      </c>
      <c r="J25" s="188">
        <f t="shared" si="5"/>
        <v>0.91665676284349284</v>
      </c>
      <c r="K25" s="188">
        <f>DIST_DSL_CAM!AM39</f>
        <v>0.13497651407962755</v>
      </c>
      <c r="L25" s="188">
        <f>DIST_DSL_CAM!AN39</f>
        <v>0.15765527104046809</v>
      </c>
      <c r="M25" s="188">
        <f>DIST_DSL_CAM!AO39</f>
        <v>0.15954821195375188</v>
      </c>
      <c r="N25" s="188">
        <f>DIST_DSL_ONI!AM39</f>
        <v>3.1780042178508675E-2</v>
      </c>
      <c r="O25" s="188">
        <f>DIST_DSL_ONI!AN39</f>
        <v>0.31480326677462306</v>
      </c>
      <c r="P25" s="188">
        <f>DIST_DSL_ONI!AO39</f>
        <v>4.4232784829882271E-2</v>
      </c>
      <c r="Q25" s="188">
        <f>DIST_DSL_LEV!AM32</f>
        <v>1.1773830023339516E-3</v>
      </c>
      <c r="R25" s="188">
        <f>DIST_DSL_LEV!AN32</f>
        <v>4.9312441343876572E-2</v>
      </c>
      <c r="S25" s="188">
        <f t="shared" si="6"/>
        <v>0.89348591520307197</v>
      </c>
      <c r="T25" s="188">
        <f>DIST_DSL_CAM!AP39</f>
        <v>0.13573772719436628</v>
      </c>
      <c r="U25" s="188">
        <f>DIST_DSL_CAM!AQ39</f>
        <v>0.15854438320003164</v>
      </c>
      <c r="V25" s="188">
        <f>DIST_DSL_CAM!AR39</f>
        <v>0.16898044695033901</v>
      </c>
      <c r="W25" s="188">
        <f>DIST_DSL_ONI!AP39</f>
        <v>3.3197317954018118E-2</v>
      </c>
      <c r="X25" s="188">
        <f>DIST_DSL_ONI!AQ39</f>
        <v>0.31725653749654342</v>
      </c>
      <c r="Y25" s="188">
        <f>DIST_DSL_ONI!AR39</f>
        <v>4.4577492167528293E-2</v>
      </c>
      <c r="Z25" s="188">
        <f>DIST_DSL_LEV!AP32</f>
        <v>1.2094469950264461E-3</v>
      </c>
      <c r="AA25" s="188">
        <f>DIST_DSL_LEV!AQ32</f>
        <v>5.2193589160281988E-2</v>
      </c>
      <c r="AB25" s="188">
        <f t="shared" si="7"/>
        <v>0.91169694111813515</v>
      </c>
      <c r="AC25" s="188">
        <f>DIST_DSL_CAM!AS39</f>
        <v>0.14055191394220481</v>
      </c>
      <c r="AD25" s="188">
        <f>DIST_DSL_CAM!AT39</f>
        <v>0.16416744971456734</v>
      </c>
      <c r="AE25" s="188">
        <f>DIST_DSL_CAM!AU39</f>
        <v>0.18052257755733833</v>
      </c>
      <c r="AF25" s="188">
        <f>DIST_DSL_ONI!AS39</f>
        <v>3.5862758167663086E-2</v>
      </c>
      <c r="AG25" s="188">
        <f>DIST_DSL_ONI!AT39</f>
        <v>0.33068943869165657</v>
      </c>
      <c r="AH25" s="188">
        <f>DIST_DSL_ONI!AU39</f>
        <v>4.6464939633662411E-2</v>
      </c>
      <c r="AI25" s="188">
        <f>DIST_DSL_LEV!AS32</f>
        <v>1.2774391355278723E-3</v>
      </c>
      <c r="AJ25" s="188">
        <f>DIST_DSL_LEV!AT32</f>
        <v>5.6904077915214082E-2</v>
      </c>
      <c r="AK25" s="189">
        <f t="shared" si="8"/>
        <v>0.95644059475783449</v>
      </c>
      <c r="AL25" s="188" t="e">
        <f>DIST_DSL_CAM!AV39</f>
        <v>#DIV/0!</v>
      </c>
      <c r="AM25" s="188" t="e">
        <f>DIST_DSL_CAM!AW39</f>
        <v>#DIV/0!</v>
      </c>
      <c r="AN25" s="188" t="e">
        <f>DIST_DSL_CAM!AX39</f>
        <v>#DIV/0!</v>
      </c>
      <c r="AO25" s="188" t="e">
        <f>DIST_DSL_ONI!AV39</f>
        <v>#DIV/0!</v>
      </c>
      <c r="AP25" s="188" t="e">
        <f>DIST_DSL_ONI!AW39</f>
        <v>#DIV/0!</v>
      </c>
      <c r="AQ25" s="188" t="e">
        <f>DIST_DSL_ONI!AX39</f>
        <v>#DIV/0!</v>
      </c>
      <c r="AR25" s="188" t="e">
        <f>DIST_DSL_LEV!AV32</f>
        <v>#DIV/0!</v>
      </c>
      <c r="AS25" s="188" t="e">
        <f>DIST_DSL_LEV!AW32</f>
        <v>#DIV/0!</v>
      </c>
      <c r="AT25" s="189" t="e">
        <f t="shared" si="9"/>
        <v>#DIV/0!</v>
      </c>
      <c r="AV25" s="127" t="s">
        <v>32</v>
      </c>
      <c r="AW25" s="188">
        <f t="shared" si="10"/>
        <v>0.15385432618610173</v>
      </c>
      <c r="AX25" s="188">
        <f t="shared" si="11"/>
        <v>0.17970493356576833</v>
      </c>
      <c r="AY25" s="188">
        <f t="shared" si="12"/>
        <v>0.17121882961550502</v>
      </c>
      <c r="AZ25" s="188">
        <f t="shared" si="13"/>
        <v>3.498227833984132E-2</v>
      </c>
      <c r="BA25" s="188">
        <f t="shared" si="14"/>
        <v>0.35514063560835613</v>
      </c>
      <c r="BB25" s="188">
        <f t="shared" si="15"/>
        <v>4.9900560055046936E-2</v>
      </c>
      <c r="BC25" s="188">
        <f t="shared" si="16"/>
        <v>1.3049688047291703E-3</v>
      </c>
      <c r="BD25" s="188">
        <f t="shared" si="17"/>
        <v>5.3893467824651452E-2</v>
      </c>
      <c r="BE25" s="188">
        <f t="shared" si="18"/>
        <v>1.0000000000000002</v>
      </c>
      <c r="BF25" s="188">
        <f t="shared" si="19"/>
        <v>0.15106731038837923</v>
      </c>
      <c r="BG25" s="188">
        <f t="shared" si="20"/>
        <v>0.17644964331042209</v>
      </c>
      <c r="BH25" s="188">
        <f t="shared" si="21"/>
        <v>0.17856824516085368</v>
      </c>
      <c r="BI25" s="188">
        <f t="shared" si="22"/>
        <v>3.5568598942363507E-2</v>
      </c>
      <c r="BJ25" s="188">
        <f t="shared" si="23"/>
        <v>0.35233153810049084</v>
      </c>
      <c r="BK25" s="188">
        <f t="shared" si="24"/>
        <v>4.950585574684635E-2</v>
      </c>
      <c r="BL25" s="188">
        <f t="shared" si="25"/>
        <v>1.3177409764387337E-3</v>
      </c>
      <c r="BM25" s="188">
        <f t="shared" si="26"/>
        <v>5.5191067374205684E-2</v>
      </c>
      <c r="BN25" s="188">
        <f t="shared" si="27"/>
        <v>1.0000000000000002</v>
      </c>
      <c r="BO25" s="188">
        <f t="shared" si="28"/>
        <v>0.14888470178247287</v>
      </c>
      <c r="BP25" s="188">
        <f t="shared" si="29"/>
        <v>0.17390031275698653</v>
      </c>
      <c r="BQ25" s="188">
        <f t="shared" si="30"/>
        <v>0.18534716892117223</v>
      </c>
      <c r="BR25" s="188">
        <f t="shared" si="31"/>
        <v>3.6412667912764776E-2</v>
      </c>
      <c r="BS25" s="188">
        <f t="shared" si="32"/>
        <v>0.34798464619991987</v>
      </c>
      <c r="BT25" s="188">
        <f t="shared" si="33"/>
        <v>4.8895077033884737E-2</v>
      </c>
      <c r="BU25" s="188">
        <f t="shared" si="34"/>
        <v>1.3265888482011802E-3</v>
      </c>
      <c r="BV25" s="188">
        <f t="shared" si="35"/>
        <v>5.7248836544597871E-2</v>
      </c>
      <c r="BW25" s="188">
        <f t="shared" si="36"/>
        <v>1</v>
      </c>
      <c r="BX25" s="188">
        <f t="shared" si="37"/>
        <v>0.14695310373959167</v>
      </c>
      <c r="BY25" s="188">
        <f t="shared" si="38"/>
        <v>0.17164416756707576</v>
      </c>
      <c r="BZ25" s="188">
        <f t="shared" si="39"/>
        <v>0.18874416095130891</v>
      </c>
      <c r="CA25" s="188">
        <f t="shared" si="40"/>
        <v>3.7496064433299531E-2</v>
      </c>
      <c r="CB25" s="188">
        <f t="shared" si="41"/>
        <v>0.34575010774755471</v>
      </c>
      <c r="CC25" s="188">
        <f t="shared" si="42"/>
        <v>4.8581103613055107E-2</v>
      </c>
      <c r="CD25" s="188">
        <f t="shared" si="43"/>
        <v>1.3356178549189591E-3</v>
      </c>
      <c r="CE25" s="188">
        <f t="shared" si="44"/>
        <v>5.9495674093195387E-2</v>
      </c>
      <c r="CF25" s="189">
        <f t="shared" si="45"/>
        <v>1</v>
      </c>
      <c r="CG25" s="188" t="e">
        <f t="shared" si="46"/>
        <v>#DIV/0!</v>
      </c>
      <c r="CH25" s="188" t="e">
        <f t="shared" si="47"/>
        <v>#DIV/0!</v>
      </c>
      <c r="CI25" s="188" t="e">
        <f t="shared" si="48"/>
        <v>#DIV/0!</v>
      </c>
      <c r="CJ25" s="188" t="e">
        <f t="shared" si="49"/>
        <v>#DIV/0!</v>
      </c>
      <c r="CK25" s="188" t="e">
        <f t="shared" si="50"/>
        <v>#DIV/0!</v>
      </c>
      <c r="CL25" s="188" t="e">
        <f t="shared" si="51"/>
        <v>#DIV/0!</v>
      </c>
      <c r="CM25" s="188" t="e">
        <f t="shared" si="52"/>
        <v>#DIV/0!</v>
      </c>
      <c r="CN25" s="188" t="e">
        <f t="shared" si="53"/>
        <v>#DIV/0!</v>
      </c>
      <c r="CO25" s="189" t="e">
        <f t="shared" si="54"/>
        <v>#DIV/0!</v>
      </c>
    </row>
    <row r="26" spans="1:93" ht="26.25" thickBot="1">
      <c r="A26" s="127" t="s">
        <v>33</v>
      </c>
      <c r="B26" s="188">
        <f>DIST_DSL_CAM!AJ40</f>
        <v>7.0766171018472698E-2</v>
      </c>
      <c r="C26" s="188">
        <f>DIST_DSL_CAM!AK40</f>
        <v>8.2658141025014606E-2</v>
      </c>
      <c r="D26" s="188">
        <f>DIST_DSL_CAM!AL40</f>
        <v>4.4784333306148547E-2</v>
      </c>
      <c r="E26" s="188">
        <f>DIST_DSL_ONI!AJ40</f>
        <v>0.10179706047041752</v>
      </c>
      <c r="F26" s="188">
        <f>DIST_DSL_ONI!AK40</f>
        <v>0.46549303883118637</v>
      </c>
      <c r="G26" s="188">
        <f>DIST_DSL_ONI!AL40</f>
        <v>9.0768564199313714E-2</v>
      </c>
      <c r="H26" s="188">
        <f>DIST_DSL_LEV!AJ33</f>
        <v>1.0642733114352807E-3</v>
      </c>
      <c r="I26" s="188">
        <f>DIST_DSL_LEV!AK33</f>
        <v>3.4841719299425832E-2</v>
      </c>
      <c r="J26" s="188">
        <f t="shared" si="5"/>
        <v>0.8921733014614146</v>
      </c>
      <c r="K26" s="188">
        <f>DIST_DSL_CAM!AM40</f>
        <v>6.9479801426114152E-2</v>
      </c>
      <c r="L26" s="188">
        <f>DIST_DSL_CAM!AN40</f>
        <v>8.1155602203920152E-2</v>
      </c>
      <c r="M26" s="188">
        <f>DIST_DSL_CAM!AO40</f>
        <v>4.6019820528043383E-2</v>
      </c>
      <c r="N26" s="188">
        <f>DIST_DSL_ONI!AM40</f>
        <v>9.9109730819832695E-2</v>
      </c>
      <c r="O26" s="188">
        <f>DIST_DSL_ONI!AN40</f>
        <v>0.46540902086478664</v>
      </c>
      <c r="P26" s="188">
        <f>DIST_DSL_ONI!AO40</f>
        <v>9.0752181161242521E-2</v>
      </c>
      <c r="Q26" s="188">
        <f>DIST_DSL_LEV!AM33</f>
        <v>1.0602509661417235E-3</v>
      </c>
      <c r="R26" s="188">
        <f>DIST_DSL_LEV!AN33</f>
        <v>3.5950909214596975E-2</v>
      </c>
      <c r="S26" s="188">
        <f t="shared" si="6"/>
        <v>0.88893731718467817</v>
      </c>
      <c r="T26" s="188">
        <f>DIST_DSL_CAM!AP40</f>
        <v>6.8833308860611439E-2</v>
      </c>
      <c r="U26" s="188">
        <f>DIST_DSL_CAM!AQ40</f>
        <v>8.0400469166737806E-2</v>
      </c>
      <c r="V26" s="188">
        <f>DIST_DSL_CAM!AR40</f>
        <v>4.9092808766721306E-2</v>
      </c>
      <c r="W26" s="188">
        <f>DIST_DSL_ONI!AP40</f>
        <v>9.9021586591431204E-2</v>
      </c>
      <c r="X26" s="188">
        <f>DIST_DSL_ONI!AQ40</f>
        <v>0.45530605345266317</v>
      </c>
      <c r="Y26" s="188">
        <f>DIST_DSL_ONI!AR40</f>
        <v>8.8782158476363074E-2</v>
      </c>
      <c r="Z26" s="188">
        <f>DIST_DSL_LEV!AP33</f>
        <v>1.048408850203177E-3</v>
      </c>
      <c r="AA26" s="188">
        <f>DIST_DSL_LEV!AQ33</f>
        <v>3.7382324835078119E-2</v>
      </c>
      <c r="AB26" s="188">
        <f t="shared" si="7"/>
        <v>0.87986711899980929</v>
      </c>
      <c r="AC26" s="188">
        <f>DIST_DSL_CAM!AS40</f>
        <v>7.2351146416568257E-2</v>
      </c>
      <c r="AD26" s="188">
        <f>DIST_DSL_CAM!AT40</f>
        <v>8.4509465154770924E-2</v>
      </c>
      <c r="AE26" s="188">
        <f>DIST_DSL_CAM!AU40</f>
        <v>5.380460866212132E-2</v>
      </c>
      <c r="AF26" s="188">
        <f>DIST_DSL_ONI!AS40</f>
        <v>0.10454474093676751</v>
      </c>
      <c r="AG26" s="188">
        <f>DIST_DSL_ONI!AT40</f>
        <v>0.47904484662103658</v>
      </c>
      <c r="AH26" s="188">
        <f>DIST_DSL_ONI!AU40</f>
        <v>9.3411091654672443E-2</v>
      </c>
      <c r="AI26" s="188">
        <f>DIST_DSL_LEV!AS33</f>
        <v>1.0899329919135229E-3</v>
      </c>
      <c r="AJ26" s="188">
        <f>DIST_DSL_LEV!AT33</f>
        <v>4.0835212160568089E-2</v>
      </c>
      <c r="AK26" s="189">
        <f t="shared" si="8"/>
        <v>0.92959104459841857</v>
      </c>
      <c r="AL26" s="188" t="e">
        <f>DIST_DSL_CAM!AV40</f>
        <v>#DIV/0!</v>
      </c>
      <c r="AM26" s="188" t="e">
        <f>DIST_DSL_CAM!AW40</f>
        <v>#DIV/0!</v>
      </c>
      <c r="AN26" s="188" t="e">
        <f>DIST_DSL_CAM!AX40</f>
        <v>#DIV/0!</v>
      </c>
      <c r="AO26" s="188" t="e">
        <f>DIST_DSL_ONI!AV40</f>
        <v>#DIV/0!</v>
      </c>
      <c r="AP26" s="188" t="e">
        <f>DIST_DSL_ONI!AW40</f>
        <v>#DIV/0!</v>
      </c>
      <c r="AQ26" s="188" t="e">
        <f>DIST_DSL_ONI!AX40</f>
        <v>#DIV/0!</v>
      </c>
      <c r="AR26" s="188" t="e">
        <f>DIST_DSL_LEV!AV33</f>
        <v>#DIV/0!</v>
      </c>
      <c r="AS26" s="188" t="e">
        <f>DIST_DSL_LEV!AW33</f>
        <v>#DIV/0!</v>
      </c>
      <c r="AT26" s="189" t="e">
        <f t="shared" si="9"/>
        <v>#DIV/0!</v>
      </c>
      <c r="AV26" s="127" t="s">
        <v>33</v>
      </c>
      <c r="AW26" s="188">
        <f t="shared" si="10"/>
        <v>7.9318862044576943E-2</v>
      </c>
      <c r="AX26" s="188">
        <f t="shared" si="11"/>
        <v>9.264807732939033E-2</v>
      </c>
      <c r="AY26" s="188">
        <f t="shared" si="12"/>
        <v>5.0196899226630148E-2</v>
      </c>
      <c r="AZ26" s="188">
        <f t="shared" si="13"/>
        <v>0.11410009726100295</v>
      </c>
      <c r="BA26" s="188">
        <f t="shared" si="14"/>
        <v>0.52175181443861929</v>
      </c>
      <c r="BB26" s="188">
        <f t="shared" si="15"/>
        <v>0.10173871382458012</v>
      </c>
      <c r="BC26" s="188">
        <f t="shared" si="16"/>
        <v>1.192899753547836E-3</v>
      </c>
      <c r="BD26" s="188">
        <f t="shared" si="17"/>
        <v>3.9052636121652308E-2</v>
      </c>
      <c r="BE26" s="188">
        <f t="shared" si="18"/>
        <v>1</v>
      </c>
      <c r="BF26" s="188">
        <f t="shared" si="19"/>
        <v>7.8160518276093036E-2</v>
      </c>
      <c r="BG26" s="188">
        <f t="shared" si="20"/>
        <v>9.1295078556208192E-2</v>
      </c>
      <c r="BH26" s="188">
        <f t="shared" si="21"/>
        <v>5.1769477598028087E-2</v>
      </c>
      <c r="BI26" s="188">
        <f t="shared" si="22"/>
        <v>0.11149237286349908</v>
      </c>
      <c r="BJ26" s="188">
        <f t="shared" si="23"/>
        <v>0.52355662414844617</v>
      </c>
      <c r="BK26" s="188">
        <f t="shared" si="24"/>
        <v>0.10209064172112893</v>
      </c>
      <c r="BL26" s="188">
        <f t="shared" si="25"/>
        <v>1.1927173554819441E-3</v>
      </c>
      <c r="BM26" s="188">
        <f t="shared" si="26"/>
        <v>4.0442569481114625E-2</v>
      </c>
      <c r="BN26" s="188">
        <f t="shared" si="27"/>
        <v>1</v>
      </c>
      <c r="BO26" s="188">
        <f t="shared" si="28"/>
        <v>7.8231482202514677E-2</v>
      </c>
      <c r="BP26" s="188">
        <f t="shared" si="29"/>
        <v>9.1377967684635381E-2</v>
      </c>
      <c r="BQ26" s="188">
        <f t="shared" si="30"/>
        <v>5.5795707904765957E-2</v>
      </c>
      <c r="BR26" s="188">
        <f t="shared" si="31"/>
        <v>0.1125415241155894</v>
      </c>
      <c r="BS26" s="188">
        <f t="shared" si="32"/>
        <v>0.51747138132657267</v>
      </c>
      <c r="BT26" s="188">
        <f t="shared" si="33"/>
        <v>0.1009040530771128</v>
      </c>
      <c r="BU26" s="188">
        <f t="shared" si="34"/>
        <v>1.1915536193635213E-3</v>
      </c>
      <c r="BV26" s="188">
        <f t="shared" si="35"/>
        <v>4.248633006944566E-2</v>
      </c>
      <c r="BW26" s="188">
        <f t="shared" si="36"/>
        <v>1</v>
      </c>
      <c r="BX26" s="188">
        <f t="shared" si="37"/>
        <v>7.7831156869442308E-2</v>
      </c>
      <c r="BY26" s="188">
        <f t="shared" si="38"/>
        <v>9.0910369291776941E-2</v>
      </c>
      <c r="BZ26" s="188">
        <f t="shared" si="39"/>
        <v>5.787986983605764E-2</v>
      </c>
      <c r="CA26" s="188">
        <f t="shared" si="40"/>
        <v>0.11246315414100254</v>
      </c>
      <c r="CB26" s="188">
        <f t="shared" si="41"/>
        <v>0.51532859465958281</v>
      </c>
      <c r="CC26" s="188">
        <f t="shared" si="42"/>
        <v>0.10048622154597654</v>
      </c>
      <c r="CD26" s="188">
        <f t="shared" si="43"/>
        <v>1.1724865447519147E-3</v>
      </c>
      <c r="CE26" s="188">
        <f t="shared" si="44"/>
        <v>4.3928147111409424E-2</v>
      </c>
      <c r="CF26" s="189">
        <f t="shared" si="45"/>
        <v>1</v>
      </c>
      <c r="CG26" s="188" t="e">
        <f t="shared" si="46"/>
        <v>#DIV/0!</v>
      </c>
      <c r="CH26" s="188" t="e">
        <f t="shared" si="47"/>
        <v>#DIV/0!</v>
      </c>
      <c r="CI26" s="188" t="e">
        <f t="shared" si="48"/>
        <v>#DIV/0!</v>
      </c>
      <c r="CJ26" s="188" t="e">
        <f t="shared" si="49"/>
        <v>#DIV/0!</v>
      </c>
      <c r="CK26" s="188" t="e">
        <f t="shared" si="50"/>
        <v>#DIV/0!</v>
      </c>
      <c r="CL26" s="188" t="e">
        <f t="shared" si="51"/>
        <v>#DIV/0!</v>
      </c>
      <c r="CM26" s="188" t="e">
        <f t="shared" si="52"/>
        <v>#DIV/0!</v>
      </c>
      <c r="CN26" s="188" t="e">
        <f t="shared" si="53"/>
        <v>#DIV/0!</v>
      </c>
      <c r="CO26" s="189" t="e">
        <f t="shared" si="54"/>
        <v>#DIV/0!</v>
      </c>
    </row>
    <row r="27" spans="1:93" ht="15.75" thickBot="1">
      <c r="A27" s="128" t="s">
        <v>34</v>
      </c>
      <c r="B27" s="188">
        <f>DIST_DSL_CAM!AJ41</f>
        <v>0.12590490112151312</v>
      </c>
      <c r="C27" s="188">
        <f>DIST_DSL_CAM!AK41</f>
        <v>0.1470615902580788</v>
      </c>
      <c r="D27" s="188">
        <f>DIST_DSL_CAM!AL41</f>
        <v>0.15118147186763914</v>
      </c>
      <c r="E27" s="188">
        <f>DIST_DSL_ONI!AJ41</f>
        <v>5.7954913930440687E-2</v>
      </c>
      <c r="F27" s="188">
        <f>DIST_DSL_ONI!AK41</f>
        <v>0.43376422097549461</v>
      </c>
      <c r="G27" s="188">
        <f>DIST_DSL_ONI!AL41</f>
        <v>6.1958890323468734E-2</v>
      </c>
      <c r="H27" s="188">
        <f>DIST_DSL_LEV!AJ34</f>
        <v>1.6335314052141477E-3</v>
      </c>
      <c r="I27" s="188">
        <f>DIST_DSL_LEV!AK34</f>
        <v>6.1332235371416161E-2</v>
      </c>
      <c r="J27" s="188">
        <f t="shared" si="5"/>
        <v>1.0407917552532653</v>
      </c>
      <c r="K27" s="188">
        <f>DIST_DSL_CAM!AM41</f>
        <v>0.11952727227290968</v>
      </c>
      <c r="L27" s="188">
        <f>DIST_DSL_CAM!AN41</f>
        <v>0.13961228342254717</v>
      </c>
      <c r="M27" s="188">
        <f>DIST_DSL_CAM!AO41</f>
        <v>0.15445578744905253</v>
      </c>
      <c r="N27" s="188">
        <f>DIST_DSL_ONI!AM41</f>
        <v>5.6788761689910913E-2</v>
      </c>
      <c r="O27" s="188">
        <f>DIST_DSL_ONI!AN41</f>
        <v>0.41157293846478415</v>
      </c>
      <c r="P27" s="188">
        <f>DIST_DSL_ONI!AO41</f>
        <v>5.8789087069235135E-2</v>
      </c>
      <c r="Q27" s="188">
        <f>DIST_DSL_LEV!AM34</f>
        <v>1.5855041989784483E-3</v>
      </c>
      <c r="R27" s="188">
        <f>DIST_DSL_LEV!AN34</f>
        <v>6.1481224427022099E-2</v>
      </c>
      <c r="S27" s="188">
        <f t="shared" si="6"/>
        <v>1.0038128589944402</v>
      </c>
      <c r="T27" s="188">
        <f>DIST_DSL_CAM!AP41</f>
        <v>0.12055455898679888</v>
      </c>
      <c r="U27" s="188">
        <f>DIST_DSL_CAM!AQ41</f>
        <v>0.14081219237326975</v>
      </c>
      <c r="V27" s="188">
        <f>DIST_DSL_CAM!AR41</f>
        <v>0.17083631573811198</v>
      </c>
      <c r="W27" s="188">
        <f>DIST_DSL_ONI!AP41</f>
        <v>5.9186290170900491E-2</v>
      </c>
      <c r="X27" s="188">
        <f>DIST_DSL_ONI!AQ41</f>
        <v>0.4186317789230426</v>
      </c>
      <c r="Y27" s="188">
        <f>DIST_DSL_ONI!AR41</f>
        <v>5.9797371986742905E-2</v>
      </c>
      <c r="Z27" s="188">
        <f>DIST_DSL_LEV!AP34</f>
        <v>1.6227087227529814E-3</v>
      </c>
      <c r="AA27" s="188">
        <f>DIST_DSL_LEV!AQ34</f>
        <v>6.5888665276550171E-2</v>
      </c>
      <c r="AB27" s="188">
        <f t="shared" si="7"/>
        <v>1.0373298821781698</v>
      </c>
      <c r="AC27" s="188">
        <f>DIST_DSL_CAM!AS41</f>
        <v>0.12003591887710341</v>
      </c>
      <c r="AD27" s="188">
        <f>DIST_DSL_CAM!AT41</f>
        <v>0.14020640150552713</v>
      </c>
      <c r="AE27" s="188">
        <f>DIST_DSL_CAM!AU41</f>
        <v>0.17886961287657702</v>
      </c>
      <c r="AF27" s="188">
        <f>DIST_DSL_ONI!AS41</f>
        <v>6.0801657672367636E-2</v>
      </c>
      <c r="AG27" s="188">
        <f>DIST_DSL_ONI!AT41</f>
        <v>0.42384532869804842</v>
      </c>
      <c r="AH27" s="188">
        <f>DIST_DSL_ONI!AU41</f>
        <v>6.0542075544770521E-2</v>
      </c>
      <c r="AI27" s="188">
        <f>DIST_DSL_LEV!AS34</f>
        <v>1.6421723204373842E-3</v>
      </c>
      <c r="AJ27" s="188">
        <f>DIST_DSL_LEV!AT34</f>
        <v>6.9779135412006185E-2</v>
      </c>
      <c r="AK27" s="189">
        <f t="shared" si="8"/>
        <v>1.0557223029068377</v>
      </c>
      <c r="AL27" s="188" t="e">
        <f>DIST_DSL_CAM!AV41</f>
        <v>#DIV/0!</v>
      </c>
      <c r="AM27" s="188" t="e">
        <f>DIST_DSL_CAM!AW41</f>
        <v>#DIV/0!</v>
      </c>
      <c r="AN27" s="188" t="e">
        <f>DIST_DSL_CAM!AX41</f>
        <v>#DIV/0!</v>
      </c>
      <c r="AO27" s="188" t="e">
        <f>DIST_DSL_ONI!AV41</f>
        <v>#DIV/0!</v>
      </c>
      <c r="AP27" s="188" t="e">
        <f>DIST_DSL_ONI!AW41</f>
        <v>#DIV/0!</v>
      </c>
      <c r="AQ27" s="188" t="e">
        <f>DIST_DSL_ONI!AX41</f>
        <v>#DIV/0!</v>
      </c>
      <c r="AR27" s="188" t="e">
        <f>DIST_DSL_LEV!AV34</f>
        <v>#DIV/0!</v>
      </c>
      <c r="AS27" s="188" t="e">
        <f>DIST_DSL_LEV!AW34</f>
        <v>#DIV/0!</v>
      </c>
      <c r="AT27" s="189" t="e">
        <f t="shared" si="9"/>
        <v>#DIV/0!</v>
      </c>
      <c r="AV27" s="128" t="s">
        <v>34</v>
      </c>
      <c r="AW27" s="188">
        <f t="shared" si="10"/>
        <v>0.1209703098492316</v>
      </c>
      <c r="AX27" s="188">
        <f t="shared" si="11"/>
        <v>0.14129780478736881</v>
      </c>
      <c r="AY27" s="188">
        <f t="shared" si="12"/>
        <v>0.14525621586121307</v>
      </c>
      <c r="AZ27" s="188">
        <f t="shared" si="13"/>
        <v>5.5683486766608746E-2</v>
      </c>
      <c r="BA27" s="188">
        <f t="shared" si="14"/>
        <v>0.41676369820007159</v>
      </c>
      <c r="BB27" s="188">
        <f t="shared" si="15"/>
        <v>5.9530535297516569E-2</v>
      </c>
      <c r="BC27" s="188">
        <f t="shared" si="16"/>
        <v>1.5695084025878412E-3</v>
      </c>
      <c r="BD27" s="188">
        <f t="shared" si="17"/>
        <v>5.892844083540192E-2</v>
      </c>
      <c r="BE27" s="188">
        <f t="shared" si="18"/>
        <v>1.0000000000000002</v>
      </c>
      <c r="BF27" s="188">
        <f t="shared" si="19"/>
        <v>0.11907326271218022</v>
      </c>
      <c r="BG27" s="188">
        <f t="shared" si="20"/>
        <v>0.13908198343105749</v>
      </c>
      <c r="BH27" s="188">
        <f t="shared" si="21"/>
        <v>0.15386910624334613</v>
      </c>
      <c r="BI27" s="188">
        <f t="shared" si="22"/>
        <v>5.6573056602202236E-2</v>
      </c>
      <c r="BJ27" s="188">
        <f t="shared" si="23"/>
        <v>0.41000962956090575</v>
      </c>
      <c r="BK27" s="188">
        <f t="shared" si="24"/>
        <v>5.8565783992971097E-2</v>
      </c>
      <c r="BL27" s="188">
        <f t="shared" si="25"/>
        <v>1.5794818573720123E-3</v>
      </c>
      <c r="BM27" s="188">
        <f t="shared" si="26"/>
        <v>6.1247695599965041E-2</v>
      </c>
      <c r="BN27" s="188">
        <f t="shared" si="27"/>
        <v>0.99999999999999989</v>
      </c>
      <c r="BO27" s="188">
        <f t="shared" si="28"/>
        <v>0.11621622114429039</v>
      </c>
      <c r="BP27" s="188">
        <f t="shared" si="29"/>
        <v>0.13574485300432532</v>
      </c>
      <c r="BQ27" s="188">
        <f t="shared" si="30"/>
        <v>0.16468851295346129</v>
      </c>
      <c r="BR27" s="188">
        <f t="shared" si="31"/>
        <v>5.7056382147810107E-2</v>
      </c>
      <c r="BS27" s="188">
        <f t="shared" si="32"/>
        <v>0.40356668222456471</v>
      </c>
      <c r="BT27" s="188">
        <f t="shared" si="33"/>
        <v>5.7645473261775972E-2</v>
      </c>
      <c r="BU27" s="188">
        <f t="shared" si="34"/>
        <v>1.5643130990747533E-3</v>
      </c>
      <c r="BV27" s="188">
        <f t="shared" si="35"/>
        <v>6.3517562164697436E-2</v>
      </c>
      <c r="BW27" s="188">
        <f t="shared" si="36"/>
        <v>0.99999999999999989</v>
      </c>
      <c r="BX27" s="188">
        <f t="shared" si="37"/>
        <v>0.11370027756976921</v>
      </c>
      <c r="BY27" s="188">
        <f t="shared" si="38"/>
        <v>0.13280613767416038</v>
      </c>
      <c r="BZ27" s="188">
        <f t="shared" si="39"/>
        <v>0.16942865788103123</v>
      </c>
      <c r="CA27" s="188">
        <f t="shared" si="40"/>
        <v>5.7592472475911198E-2</v>
      </c>
      <c r="CB27" s="188">
        <f t="shared" si="41"/>
        <v>0.40147425845890339</v>
      </c>
      <c r="CC27" s="188">
        <f t="shared" si="42"/>
        <v>5.7346591407677276E-2</v>
      </c>
      <c r="CD27" s="188">
        <f t="shared" si="43"/>
        <v>1.555496474703441E-3</v>
      </c>
      <c r="CE27" s="188">
        <f t="shared" si="44"/>
        <v>6.6096108057843939E-2</v>
      </c>
      <c r="CF27" s="189">
        <f t="shared" si="45"/>
        <v>1</v>
      </c>
      <c r="CG27" s="188" t="e">
        <f t="shared" si="46"/>
        <v>#DIV/0!</v>
      </c>
      <c r="CH27" s="188" t="e">
        <f t="shared" si="47"/>
        <v>#DIV/0!</v>
      </c>
      <c r="CI27" s="188" t="e">
        <f t="shared" si="48"/>
        <v>#DIV/0!</v>
      </c>
      <c r="CJ27" s="188" t="e">
        <f t="shared" si="49"/>
        <v>#DIV/0!</v>
      </c>
      <c r="CK27" s="188" t="e">
        <f t="shared" si="50"/>
        <v>#DIV/0!</v>
      </c>
      <c r="CL27" s="188" t="e">
        <f t="shared" si="51"/>
        <v>#DIV/0!</v>
      </c>
      <c r="CM27" s="188" t="e">
        <f t="shared" si="52"/>
        <v>#DIV/0!</v>
      </c>
      <c r="CN27" s="188" t="e">
        <f t="shared" si="53"/>
        <v>#DIV/0!</v>
      </c>
      <c r="CO27" s="189" t="e">
        <f t="shared" si="54"/>
        <v>#DIV/0!</v>
      </c>
    </row>
    <row r="28" spans="1:93" s="273" customFormat="1" ht="15.75" thickBot="1">
      <c r="A28" s="269" t="s">
        <v>69</v>
      </c>
      <c r="B28" s="429">
        <f>DIST_DSL_CAM!AJ42</f>
        <v>0.16885191045150011</v>
      </c>
      <c r="C28" s="429">
        <f>DIST_DSL_CAM!AK42</f>
        <v>0.1972281768067678</v>
      </c>
      <c r="D28" s="429">
        <f>DIST_DSL_CAM!AL42</f>
        <v>0.30381606075536588</v>
      </c>
      <c r="E28" s="429">
        <f>DIST_DSL_ONI!AJ42</f>
        <v>3.7007597039471395E-2</v>
      </c>
      <c r="F28" s="429">
        <f>DIST_DSL_ONI!AK42</f>
        <v>0.36371960433860179</v>
      </c>
      <c r="G28" s="429">
        <f>DIST_DSL_ONI!AL42</f>
        <v>5.4706742948395309E-2</v>
      </c>
      <c r="H28" s="429">
        <f>DIST_DSL_LEV!AJ35</f>
        <v>2.3408036349963487E-3</v>
      </c>
      <c r="I28" s="429">
        <f>DIST_DSL_LEV!AK35</f>
        <v>8.3173434591454085E-2</v>
      </c>
      <c r="J28" s="429">
        <f t="shared" si="5"/>
        <v>1.2108443305665528</v>
      </c>
      <c r="K28" s="429">
        <f>DIST_DSL_CAM!AM42</f>
        <v>0.1591230113872282</v>
      </c>
      <c r="L28" s="429">
        <f>DIST_DSL_CAM!AN42</f>
        <v>0.18586429109614899</v>
      </c>
      <c r="M28" s="429">
        <f>DIST_DSL_CAM!AO42</f>
        <v>0.29706749662048337</v>
      </c>
      <c r="N28" s="429">
        <f>DIST_DSL_ONI!AM42</f>
        <v>3.5463688238811256E-2</v>
      </c>
      <c r="O28" s="429">
        <f>DIST_DSL_ONI!AN42</f>
        <v>0.34367160882311137</v>
      </c>
      <c r="P28" s="429">
        <f>DIST_DSL_ONI!AO42</f>
        <v>5.1691335353877668E-2</v>
      </c>
      <c r="Q28" s="429">
        <f>DIST_DSL_LEV!AM35</f>
        <v>2.2641458727703776E-3</v>
      </c>
      <c r="R28" s="429">
        <f>DIST_DSL_LEV!AN35</f>
        <v>8.2428117332943862E-2</v>
      </c>
      <c r="S28" s="429">
        <f t="shared" si="6"/>
        <v>1.1575736947253752</v>
      </c>
      <c r="T28" s="429">
        <f>DIST_DSL_CAM!AP42</f>
        <v>0.15655418222549242</v>
      </c>
      <c r="U28" s="429">
        <f>DIST_DSL_CAM!AQ42</f>
        <v>0.18286375961919574</v>
      </c>
      <c r="V28" s="429">
        <f>DIST_DSL_CAM!AR42</f>
        <v>0.30344819954264141</v>
      </c>
      <c r="W28" s="429">
        <f>DIST_DSL_ONI!AP42</f>
        <v>3.5852274627437918E-2</v>
      </c>
      <c r="X28" s="429">
        <f>DIST_DSL_ONI!AQ42</f>
        <v>0.34208000272046529</v>
      </c>
      <c r="Y28" s="429">
        <f>DIST_DSL_ONI!AR42</f>
        <v>5.1451944761969425E-2</v>
      </c>
      <c r="Z28" s="429">
        <f>DIST_DSL_LEV!AP35</f>
        <v>2.2753220825683395E-3</v>
      </c>
      <c r="AA28" s="429">
        <f>DIST_DSL_LEV!AQ35</f>
        <v>8.5870106202372787E-2</v>
      </c>
      <c r="AB28" s="429">
        <f t="shared" si="7"/>
        <v>1.1603957917821435</v>
      </c>
      <c r="AC28" s="429">
        <f>DIST_DSL_CAM!AS42</f>
        <v>0.15856323728858354</v>
      </c>
      <c r="AD28" s="429">
        <f>DIST_DSL_CAM!AT42</f>
        <v>0.18521044824862956</v>
      </c>
      <c r="AE28" s="429">
        <f>DIST_DSL_CAM!AU42</f>
        <v>0.31374787590518538</v>
      </c>
      <c r="AF28" s="429">
        <f>DIST_DSL_ONI!AS42</f>
        <v>3.7418205933612329E-2</v>
      </c>
      <c r="AG28" s="429">
        <f>DIST_DSL_ONI!AT42</f>
        <v>0.34955518982558209</v>
      </c>
      <c r="AH28" s="429">
        <f>DIST_DSL_ONI!AU42</f>
        <v>5.2576315625390654E-2</v>
      </c>
      <c r="AI28" s="429">
        <f>DIST_DSL_LEV!AS35</f>
        <v>2.3525730172723473E-3</v>
      </c>
      <c r="AJ28" s="429">
        <f>DIST_DSL_LEV!AT35</f>
        <v>9.2245593090683656E-2</v>
      </c>
      <c r="AK28" s="430">
        <f t="shared" si="8"/>
        <v>1.1916694389349396</v>
      </c>
      <c r="AL28" s="429" t="e">
        <f>DIST_DSL_CAM!AV42</f>
        <v>#DIV/0!</v>
      </c>
      <c r="AM28" s="429" t="e">
        <f>DIST_DSL_CAM!AW42</f>
        <v>#DIV/0!</v>
      </c>
      <c r="AN28" s="429" t="e">
        <f>DIST_DSL_CAM!AX42</f>
        <v>#DIV/0!</v>
      </c>
      <c r="AO28" s="429" t="e">
        <f>DIST_DSL_ONI!AV42</f>
        <v>#DIV/0!</v>
      </c>
      <c r="AP28" s="429" t="e">
        <f>DIST_DSL_ONI!AW42</f>
        <v>#DIV/0!</v>
      </c>
      <c r="AQ28" s="429" t="e">
        <f>DIST_DSL_ONI!AX42</f>
        <v>#DIV/0!</v>
      </c>
      <c r="AR28" s="429" t="e">
        <f>DIST_DSL_LEV!AV35</f>
        <v>#DIV/0!</v>
      </c>
      <c r="AS28" s="429" t="e">
        <f>DIST_DSL_LEV!AW35</f>
        <v>#DIV/0!</v>
      </c>
      <c r="AT28" s="430" t="e">
        <f t="shared" si="9"/>
        <v>#DIV/0!</v>
      </c>
      <c r="AV28" s="269" t="s">
        <v>69</v>
      </c>
      <c r="AW28" s="429">
        <f t="shared" si="10"/>
        <v>0.13944972626868929</v>
      </c>
      <c r="AX28" s="429">
        <f t="shared" si="11"/>
        <v>0.16288483319278949</v>
      </c>
      <c r="AY28" s="429">
        <f t="shared" si="12"/>
        <v>0.25091256826813624</v>
      </c>
      <c r="AZ28" s="429">
        <f t="shared" si="13"/>
        <v>3.0563463944333437E-2</v>
      </c>
      <c r="BA28" s="429">
        <f t="shared" si="14"/>
        <v>0.30038510744681585</v>
      </c>
      <c r="BB28" s="429">
        <f t="shared" si="15"/>
        <v>4.5180657469650193E-2</v>
      </c>
      <c r="BC28" s="429">
        <f t="shared" si="16"/>
        <v>1.9331994839510782E-3</v>
      </c>
      <c r="BD28" s="429">
        <f t="shared" si="17"/>
        <v>6.8690443925634365E-2</v>
      </c>
      <c r="BE28" s="429">
        <f t="shared" si="18"/>
        <v>0.99999999999999989</v>
      </c>
      <c r="BF28" s="429">
        <f t="shared" si="19"/>
        <v>0.13746253228826077</v>
      </c>
      <c r="BG28" s="429">
        <f t="shared" si="20"/>
        <v>0.16056367896321605</v>
      </c>
      <c r="BH28" s="429">
        <f t="shared" si="21"/>
        <v>0.25662944655196246</v>
      </c>
      <c r="BI28" s="429">
        <f t="shared" si="22"/>
        <v>3.0636225063169497E-2</v>
      </c>
      <c r="BJ28" s="429">
        <f t="shared" si="23"/>
        <v>0.29688961522630714</v>
      </c>
      <c r="BK28" s="429">
        <f t="shared" si="24"/>
        <v>4.4654898076395048E-2</v>
      </c>
      <c r="BL28" s="429">
        <f t="shared" si="25"/>
        <v>1.9559410196406785E-3</v>
      </c>
      <c r="BM28" s="429">
        <f t="shared" si="26"/>
        <v>7.1207662811048289E-2</v>
      </c>
      <c r="BN28" s="429">
        <f t="shared" si="27"/>
        <v>0.99999999999999989</v>
      </c>
      <c r="BO28" s="429">
        <f t="shared" si="28"/>
        <v>0.13491446912699975</v>
      </c>
      <c r="BP28" s="429">
        <f t="shared" si="29"/>
        <v>0.15758740329310603</v>
      </c>
      <c r="BQ28" s="429">
        <f t="shared" si="30"/>
        <v>0.2615040503349324</v>
      </c>
      <c r="BR28" s="429">
        <f t="shared" si="31"/>
        <v>3.0896591388336354E-2</v>
      </c>
      <c r="BS28" s="429">
        <f t="shared" si="32"/>
        <v>0.29479596973985622</v>
      </c>
      <c r="BT28" s="429">
        <f t="shared" si="33"/>
        <v>4.4339995996494602E-2</v>
      </c>
      <c r="BU28" s="429">
        <f t="shared" si="34"/>
        <v>1.9608155240496737E-3</v>
      </c>
      <c r="BV28" s="429">
        <f t="shared" si="35"/>
        <v>7.4000704596224806E-2</v>
      </c>
      <c r="BW28" s="429">
        <f t="shared" si="36"/>
        <v>0.99999999999999989</v>
      </c>
      <c r="BX28" s="429">
        <f t="shared" si="37"/>
        <v>0.1330597497157435</v>
      </c>
      <c r="BY28" s="429">
        <f t="shared" si="38"/>
        <v>0.15542099360554409</v>
      </c>
      <c r="BZ28" s="429">
        <f t="shared" si="39"/>
        <v>0.26328431833042482</v>
      </c>
      <c r="CA28" s="429">
        <f t="shared" si="40"/>
        <v>3.1399820043262194E-2</v>
      </c>
      <c r="CB28" s="429">
        <f t="shared" si="41"/>
        <v>0.29333234402486547</v>
      </c>
      <c r="CC28" s="429">
        <f t="shared" si="42"/>
        <v>4.4119882500621141E-2</v>
      </c>
      <c r="CD28" s="429">
        <f t="shared" si="43"/>
        <v>1.9741825546646316E-3</v>
      </c>
      <c r="CE28" s="429">
        <f t="shared" si="44"/>
        <v>7.7408709224874139E-2</v>
      </c>
      <c r="CF28" s="430">
        <f t="shared" si="45"/>
        <v>1</v>
      </c>
      <c r="CG28" s="429" t="e">
        <f t="shared" si="46"/>
        <v>#DIV/0!</v>
      </c>
      <c r="CH28" s="429" t="e">
        <f t="shared" si="47"/>
        <v>#DIV/0!</v>
      </c>
      <c r="CI28" s="429" t="e">
        <f t="shared" si="48"/>
        <v>#DIV/0!</v>
      </c>
      <c r="CJ28" s="429" t="e">
        <f t="shared" si="49"/>
        <v>#DIV/0!</v>
      </c>
      <c r="CK28" s="429" t="e">
        <f t="shared" si="50"/>
        <v>#DIV/0!</v>
      </c>
      <c r="CL28" s="429" t="e">
        <f t="shared" si="51"/>
        <v>#DIV/0!</v>
      </c>
      <c r="CM28" s="429" t="e">
        <f t="shared" si="52"/>
        <v>#DIV/0!</v>
      </c>
      <c r="CN28" s="429" t="e">
        <f t="shared" si="53"/>
        <v>#DIV/0!</v>
      </c>
      <c r="CO28" s="430" t="e">
        <f t="shared" si="54"/>
        <v>#DIV/0!</v>
      </c>
    </row>
    <row r="29" spans="1:93" ht="15.75" thickBot="1">
      <c r="A29" s="127" t="s">
        <v>36</v>
      </c>
      <c r="B29" s="188">
        <f>DIST_DSL_CAM!AJ43</f>
        <v>0.15217319759289163</v>
      </c>
      <c r="C29" s="188">
        <f>DIST_DSL_CAM!AK43</f>
        <v>0.17774739889638527</v>
      </c>
      <c r="D29" s="188">
        <f>DIST_DSL_CAM!AL43</f>
        <v>0.29621600862855829</v>
      </c>
      <c r="E29" s="188">
        <f>DIST_DSL_ONI!AJ43</f>
        <v>3.0116655196684557E-2</v>
      </c>
      <c r="F29" s="188">
        <f>DIST_DSL_ONI!AK43</f>
        <v>0.3181002123661556</v>
      </c>
      <c r="G29" s="188">
        <f>DIST_DSL_ONI!AL43</f>
        <v>4.7843527095675707E-2</v>
      </c>
      <c r="H29" s="188">
        <f>DIST_DSL_LEV!AJ36</f>
        <v>2.0031950708041223E-3</v>
      </c>
      <c r="I29" s="188">
        <f>DIST_DSL_LEV!AK36</f>
        <v>7.6713998842487155E-2</v>
      </c>
      <c r="J29" s="188">
        <f t="shared" si="5"/>
        <v>1.1009141936896425</v>
      </c>
      <c r="K29" s="188">
        <f>DIST_DSL_CAM!AM43</f>
        <v>0.14386881636819701</v>
      </c>
      <c r="L29" s="188">
        <f>DIST_DSL_CAM!AN43</f>
        <v>0.16804738479743467</v>
      </c>
      <c r="M29" s="188">
        <f>DIST_DSL_CAM!AO43</f>
        <v>0.29139239712728437</v>
      </c>
      <c r="N29" s="188">
        <f>DIST_DSL_ONI!AM43</f>
        <v>2.956689440857227E-2</v>
      </c>
      <c r="O29" s="188">
        <f>DIST_DSL_ONI!AN43</f>
        <v>0.30641686019614062</v>
      </c>
      <c r="P29" s="188">
        <f>DIST_DSL_ONI!AO43</f>
        <v>4.6086304829281811E-2</v>
      </c>
      <c r="Q29" s="188">
        <f>DIST_DSL_LEV!AM36</f>
        <v>1.9576629774463645E-3</v>
      </c>
      <c r="R29" s="188">
        <f>DIST_DSL_LEV!AN36</f>
        <v>7.6115505839908962E-2</v>
      </c>
      <c r="S29" s="188">
        <f t="shared" si="6"/>
        <v>1.0634518265442661</v>
      </c>
      <c r="T29" s="188">
        <f>DIST_DSL_CAM!AP43</f>
        <v>0.14134136107147871</v>
      </c>
      <c r="U29" s="188">
        <f>DIST_DSL_CAM!AQ43</f>
        <v>0.16509516580010211</v>
      </c>
      <c r="V29" s="188">
        <f>DIST_DSL_CAM!AR43</f>
        <v>0.29897538518531858</v>
      </c>
      <c r="W29" s="188">
        <f>DIST_DSL_ONI!AP43</f>
        <v>3.011120568226806E-2</v>
      </c>
      <c r="X29" s="188">
        <f>DIST_DSL_ONI!AQ43</f>
        <v>0.30578615166095596</v>
      </c>
      <c r="Y29" s="188">
        <f>DIST_DSL_ONI!AR43</f>
        <v>4.5991443776948242E-2</v>
      </c>
      <c r="Z29" s="188">
        <f>DIST_DSL_LEV!AP36</f>
        <v>1.9691779061880672E-3</v>
      </c>
      <c r="AA29" s="188">
        <f>DIST_DSL_LEV!AQ36</f>
        <v>7.8900729826241842E-2</v>
      </c>
      <c r="AB29" s="188">
        <f t="shared" si="7"/>
        <v>1.0681706209095017</v>
      </c>
      <c r="AC29" s="188">
        <f>DIST_DSL_CAM!AS43</f>
        <v>0.14104915117670766</v>
      </c>
      <c r="AD29" s="188">
        <f>DIST_DSL_CAM!AT43</f>
        <v>0.16475384716088756</v>
      </c>
      <c r="AE29" s="188">
        <f>DIST_DSL_CAM!AU43</f>
        <v>0.30487454363870026</v>
      </c>
      <c r="AF29" s="188">
        <f>DIST_DSL_ONI!AS43</f>
        <v>3.1209397744842115E-2</v>
      </c>
      <c r="AG29" s="188">
        <f>DIST_DSL_ONI!AT43</f>
        <v>0.30572990478337914</v>
      </c>
      <c r="AH29" s="188">
        <f>DIST_DSL_ONI!AU43</f>
        <v>4.5982984024622482E-2</v>
      </c>
      <c r="AI29" s="188">
        <f>DIST_DSL_LEV!AS36</f>
        <v>1.9952976111592409E-3</v>
      </c>
      <c r="AJ29" s="188">
        <f>DIST_DSL_LEV!AT36</f>
        <v>8.3016082381723255E-2</v>
      </c>
      <c r="AK29" s="189">
        <f t="shared" si="8"/>
        <v>1.0786112085220219</v>
      </c>
      <c r="AL29" s="429" t="e">
        <f>DIST_DSL_CAM!AV43</f>
        <v>#DIV/0!</v>
      </c>
      <c r="AM29" s="429" t="e">
        <f>DIST_DSL_CAM!AW43</f>
        <v>#DIV/0!</v>
      </c>
      <c r="AN29" s="429" t="e">
        <f>DIST_DSL_CAM!AX43</f>
        <v>#DIV/0!</v>
      </c>
      <c r="AO29" s="429" t="e">
        <f>DIST_DSL_ONI!AV43</f>
        <v>#DIV/0!</v>
      </c>
      <c r="AP29" s="429" t="e">
        <f>DIST_DSL_ONI!AW43</f>
        <v>#DIV/0!</v>
      </c>
      <c r="AQ29" s="429" t="e">
        <f>DIST_DSL_ONI!AX43</f>
        <v>#DIV/0!</v>
      </c>
      <c r="AR29" s="429" t="e">
        <f>DIST_DSL_LEV!AV36</f>
        <v>#DIV/0!</v>
      </c>
      <c r="AS29" s="429" t="e">
        <f>DIST_DSL_LEV!AW36</f>
        <v>#DIV/0!</v>
      </c>
      <c r="AT29" s="189" t="e">
        <f t="shared" si="9"/>
        <v>#DIV/0!</v>
      </c>
      <c r="AV29" s="127" t="s">
        <v>36</v>
      </c>
      <c r="AW29" s="188">
        <f t="shared" si="10"/>
        <v>0.13822439429443001</v>
      </c>
      <c r="AX29" s="188">
        <f t="shared" si="11"/>
        <v>0.16145436212487768</v>
      </c>
      <c r="AY29" s="188">
        <f t="shared" si="12"/>
        <v>0.26906366574838098</v>
      </c>
      <c r="AZ29" s="188">
        <f t="shared" si="13"/>
        <v>2.7356042250441463E-2</v>
      </c>
      <c r="BA29" s="188">
        <f t="shared" si="14"/>
        <v>0.28894187593318549</v>
      </c>
      <c r="BB29" s="188">
        <f t="shared" si="15"/>
        <v>4.3457998243560864E-2</v>
      </c>
      <c r="BC29" s="188">
        <f t="shared" si="16"/>
        <v>1.8195742068603403E-3</v>
      </c>
      <c r="BD29" s="188">
        <f t="shared" si="17"/>
        <v>6.9682087198263076E-2</v>
      </c>
      <c r="BE29" s="188">
        <f t="shared" si="18"/>
        <v>0.99999999999999989</v>
      </c>
      <c r="BF29" s="188">
        <f t="shared" si="19"/>
        <v>0.13528475176511298</v>
      </c>
      <c r="BG29" s="188">
        <f t="shared" si="20"/>
        <v>0.15802068377983053</v>
      </c>
      <c r="BH29" s="188">
        <f t="shared" si="21"/>
        <v>0.27400620305874779</v>
      </c>
      <c r="BI29" s="188">
        <f t="shared" si="22"/>
        <v>2.7802758592884461E-2</v>
      </c>
      <c r="BJ29" s="188">
        <f t="shared" si="23"/>
        <v>0.28813421778761322</v>
      </c>
      <c r="BK29" s="188">
        <f t="shared" si="24"/>
        <v>4.3336523271619465E-2</v>
      </c>
      <c r="BL29" s="188">
        <f t="shared" si="25"/>
        <v>1.8408572241658348E-3</v>
      </c>
      <c r="BM29" s="188">
        <f t="shared" si="26"/>
        <v>7.1574004520025769E-2</v>
      </c>
      <c r="BN29" s="188">
        <f t="shared" si="27"/>
        <v>1</v>
      </c>
      <c r="BO29" s="188">
        <f t="shared" si="28"/>
        <v>0.13232095912835776</v>
      </c>
      <c r="BP29" s="188">
        <f t="shared" si="29"/>
        <v>0.15455879666446043</v>
      </c>
      <c r="BQ29" s="188">
        <f t="shared" si="30"/>
        <v>0.27989478397257717</v>
      </c>
      <c r="BR29" s="188">
        <f t="shared" si="31"/>
        <v>2.8189509328228533E-2</v>
      </c>
      <c r="BS29" s="188">
        <f t="shared" si="32"/>
        <v>0.28627088751101593</v>
      </c>
      <c r="BT29" s="188">
        <f t="shared" si="33"/>
        <v>4.3056271045714113E-2</v>
      </c>
      <c r="BU29" s="188">
        <f t="shared" si="34"/>
        <v>1.8435050240488699E-3</v>
      </c>
      <c r="BV29" s="188">
        <f t="shared" si="35"/>
        <v>7.3865287325597148E-2</v>
      </c>
      <c r="BW29" s="188">
        <f t="shared" si="36"/>
        <v>0.99999999999999989</v>
      </c>
      <c r="BX29" s="188">
        <f t="shared" si="37"/>
        <v>0.13076922440847033</v>
      </c>
      <c r="BY29" s="188">
        <f t="shared" si="38"/>
        <v>0.15274627767557064</v>
      </c>
      <c r="BZ29" s="188">
        <f t="shared" si="39"/>
        <v>0.28265471490552907</v>
      </c>
      <c r="CA29" s="188">
        <f t="shared" si="40"/>
        <v>2.8934798283439974E-2</v>
      </c>
      <c r="CB29" s="188">
        <f t="shared" si="41"/>
        <v>0.28344773572519116</v>
      </c>
      <c r="CC29" s="188">
        <f t="shared" si="42"/>
        <v>4.2631657877569382E-2</v>
      </c>
      <c r="CD29" s="188">
        <f t="shared" si="43"/>
        <v>1.849876577764585E-3</v>
      </c>
      <c r="CE29" s="188">
        <f t="shared" si="44"/>
        <v>7.6965714546464711E-2</v>
      </c>
      <c r="CF29" s="189">
        <f t="shared" si="45"/>
        <v>0.99999999999999989</v>
      </c>
      <c r="CG29" s="188" t="e">
        <f t="shared" si="46"/>
        <v>#DIV/0!</v>
      </c>
      <c r="CH29" s="188" t="e">
        <f t="shared" si="47"/>
        <v>#DIV/0!</v>
      </c>
      <c r="CI29" s="188" t="e">
        <f t="shared" si="48"/>
        <v>#DIV/0!</v>
      </c>
      <c r="CJ29" s="188" t="e">
        <f t="shared" si="49"/>
        <v>#DIV/0!</v>
      </c>
      <c r="CK29" s="188" t="e">
        <f t="shared" si="50"/>
        <v>#DIV/0!</v>
      </c>
      <c r="CL29" s="188" t="e">
        <f t="shared" si="51"/>
        <v>#DIV/0!</v>
      </c>
      <c r="CM29" s="188" t="e">
        <f t="shared" si="52"/>
        <v>#DIV/0!</v>
      </c>
      <c r="CN29" s="188" t="e">
        <f t="shared" si="53"/>
        <v>#DIV/0!</v>
      </c>
      <c r="CO29" s="189" t="e">
        <f t="shared" si="54"/>
        <v>#DIV/0!</v>
      </c>
    </row>
    <row r="30" spans="1:93" ht="26.25" thickBot="1">
      <c r="A30" s="127" t="s">
        <v>37</v>
      </c>
      <c r="B30" s="188">
        <f>DIST_DSL_CAM!AJ44</f>
        <v>0.21119218274006366</v>
      </c>
      <c r="C30" s="188">
        <f>DIST_DSL_CAM!AK44</f>
        <v>0.24668349921862093</v>
      </c>
      <c r="D30" s="188">
        <f>DIST_DSL_CAM!AL44</f>
        <v>0.31748343484353975</v>
      </c>
      <c r="E30" s="188">
        <f>DIST_DSL_ONI!AJ44</f>
        <v>5.3721371483985689E-2</v>
      </c>
      <c r="F30" s="188">
        <f>DIST_DSL_ONI!AK44</f>
        <v>0.52049422479936813</v>
      </c>
      <c r="G30" s="188">
        <f>DIST_DSL_ONI!AL44</f>
        <v>7.8293913840428039E-2</v>
      </c>
      <c r="H30" s="188">
        <f>DIST_DSL_LEV!AJ37</f>
        <v>3.0946069056582222E-3</v>
      </c>
      <c r="I30" s="188">
        <f>DIST_DSL_LEV!AK37</f>
        <v>0.10211367479328129</v>
      </c>
      <c r="J30" s="188">
        <f t="shared" si="5"/>
        <v>1.5330769086249458</v>
      </c>
      <c r="K30" s="188">
        <f>DIST_DSL_CAM!AM44</f>
        <v>0.19233639191188973</v>
      </c>
      <c r="L30" s="188">
        <f>DIST_DSL_CAM!AN44</f>
        <v>0.22465895076384559</v>
      </c>
      <c r="M30" s="188">
        <f>DIST_DSL_CAM!AO44</f>
        <v>0.29980659252958308</v>
      </c>
      <c r="N30" s="188">
        <f>DIST_DSL_ONI!AM44</f>
        <v>4.8790313196747544E-2</v>
      </c>
      <c r="O30" s="188">
        <f>DIST_DSL_ONI!AN44</f>
        <v>0.47297962641073898</v>
      </c>
      <c r="P30" s="188">
        <f>DIST_DSL_ONI!AO44</f>
        <v>7.114666091204859E-2</v>
      </c>
      <c r="Q30" s="188">
        <f>DIST_DSL_LEV!AM37</f>
        <v>2.8738237602942522E-3</v>
      </c>
      <c r="R30" s="188">
        <f>DIST_DSL_LEV!AN37</f>
        <v>9.7688802960957152E-2</v>
      </c>
      <c r="S30" s="188">
        <f t="shared" si="6"/>
        <v>1.4102811624461049</v>
      </c>
      <c r="T30" s="188">
        <f>DIST_DSL_CAM!AP44</f>
        <v>0.18724082079301191</v>
      </c>
      <c r="U30" s="188">
        <f>DIST_DSL_CAM!AQ44</f>
        <v>0.21870705757436495</v>
      </c>
      <c r="V30" s="188">
        <f>DIST_DSL_CAM!AR44</f>
        <v>0.30132339730365137</v>
      </c>
      <c r="W30" s="188">
        <f>DIST_DSL_ONI!AP44</f>
        <v>4.8388897891219786E-2</v>
      </c>
      <c r="X30" s="188">
        <f>DIST_DSL_ONI!AQ44</f>
        <v>0.46507816038763072</v>
      </c>
      <c r="Y30" s="188">
        <f>DIST_DSL_ONI!AR44</f>
        <v>6.9958104592783454E-2</v>
      </c>
      <c r="Z30" s="188">
        <f>DIST_DSL_LEV!AP37</f>
        <v>2.8378340078622773E-3</v>
      </c>
      <c r="AA30" s="188">
        <f>DIST_DSL_LEV!AQ37</f>
        <v>0.10021533463201297</v>
      </c>
      <c r="AB30" s="188">
        <f t="shared" si="7"/>
        <v>1.3937496071825375</v>
      </c>
      <c r="AC30" s="188">
        <f>DIST_DSL_CAM!AS44</f>
        <v>0.19290415700893923</v>
      </c>
      <c r="AD30" s="188">
        <f>DIST_DSL_CAM!AT44</f>
        <v>0.22532213004944796</v>
      </c>
      <c r="AE30" s="188">
        <f>DIST_DSL_CAM!AU44</f>
        <v>0.31560069039738353</v>
      </c>
      <c r="AF30" s="188">
        <f>DIST_DSL_ONI!AS44</f>
        <v>5.0797313811114214E-2</v>
      </c>
      <c r="AG30" s="188">
        <f>DIST_DSL_ONI!AT44</f>
        <v>0.48857913489517518</v>
      </c>
      <c r="AH30" s="188">
        <f>DIST_DSL_ONI!AU44</f>
        <v>7.349317412015241E-2</v>
      </c>
      <c r="AI30" s="188">
        <f>DIST_DSL_LEV!AS37</f>
        <v>2.9838089905213261E-3</v>
      </c>
      <c r="AJ30" s="188">
        <f>DIST_DSL_LEV!AT37</f>
        <v>0.10950162226556054</v>
      </c>
      <c r="AK30" s="189">
        <f t="shared" si="8"/>
        <v>1.4591820315382942</v>
      </c>
      <c r="AL30" s="429" t="e">
        <f>DIST_DSL_CAM!AV44</f>
        <v>#DIV/0!</v>
      </c>
      <c r="AM30" s="429" t="e">
        <f>DIST_DSL_CAM!AW44</f>
        <v>#DIV/0!</v>
      </c>
      <c r="AN30" s="429" t="e">
        <f>DIST_DSL_CAM!AX44</f>
        <v>#DIV/0!</v>
      </c>
      <c r="AO30" s="429" t="e">
        <f>DIST_DSL_ONI!AV44</f>
        <v>#DIV/0!</v>
      </c>
      <c r="AP30" s="429" t="e">
        <f>DIST_DSL_ONI!AW44</f>
        <v>#DIV/0!</v>
      </c>
      <c r="AQ30" s="429" t="e">
        <f>DIST_DSL_ONI!AX44</f>
        <v>#DIV/0!</v>
      </c>
      <c r="AR30" s="429" t="e">
        <f>DIST_DSL_LEV!AV37</f>
        <v>#DIV/0!</v>
      </c>
      <c r="AS30" s="429" t="e">
        <f>DIST_DSL_LEV!AW37</f>
        <v>#DIV/0!</v>
      </c>
      <c r="AT30" s="189" t="e">
        <f t="shared" si="9"/>
        <v>#DIV/0!</v>
      </c>
      <c r="AV30" s="127" t="s">
        <v>37</v>
      </c>
      <c r="AW30" s="188">
        <f t="shared" si="10"/>
        <v>0.13775706981946984</v>
      </c>
      <c r="AX30" s="188">
        <f t="shared" si="11"/>
        <v>0.1609074520859344</v>
      </c>
      <c r="AY30" s="188">
        <f t="shared" si="12"/>
        <v>0.20708904625554525</v>
      </c>
      <c r="AZ30" s="188">
        <f t="shared" si="13"/>
        <v>3.5041537173871921E-2</v>
      </c>
      <c r="BA30" s="188">
        <f t="shared" si="14"/>
        <v>0.3395095326732252</v>
      </c>
      <c r="BB30" s="188">
        <f t="shared" si="15"/>
        <v>5.1069788736594936E-2</v>
      </c>
      <c r="BC30" s="188">
        <f t="shared" si="16"/>
        <v>2.0185594657699535E-3</v>
      </c>
      <c r="BD30" s="188">
        <f t="shared" si="17"/>
        <v>6.6607013789588373E-2</v>
      </c>
      <c r="BE30" s="188">
        <f t="shared" si="18"/>
        <v>0.99999999999999989</v>
      </c>
      <c r="BF30" s="188">
        <f t="shared" si="19"/>
        <v>0.13638159328334645</v>
      </c>
      <c r="BG30" s="188">
        <f t="shared" si="20"/>
        <v>0.15930082365574469</v>
      </c>
      <c r="BH30" s="188">
        <f t="shared" si="21"/>
        <v>0.21258639802688312</v>
      </c>
      <c r="BI30" s="188">
        <f t="shared" si="22"/>
        <v>3.4596160323181024E-2</v>
      </c>
      <c r="BJ30" s="188">
        <f t="shared" si="23"/>
        <v>0.33537966683917492</v>
      </c>
      <c r="BK30" s="188">
        <f t="shared" si="24"/>
        <v>5.0448565014260066E-2</v>
      </c>
      <c r="BL30" s="188">
        <f t="shared" si="25"/>
        <v>2.0377665367873605E-3</v>
      </c>
      <c r="BM30" s="188">
        <f t="shared" si="26"/>
        <v>6.9269026320622373E-2</v>
      </c>
      <c r="BN30" s="188">
        <f t="shared" si="27"/>
        <v>0.99999999999999989</v>
      </c>
      <c r="BO30" s="188">
        <f t="shared" si="28"/>
        <v>0.13434322767022616</v>
      </c>
      <c r="BP30" s="188">
        <f t="shared" si="29"/>
        <v>0.15691990616340398</v>
      </c>
      <c r="BQ30" s="188">
        <f t="shared" si="30"/>
        <v>0.21619622043357997</v>
      </c>
      <c r="BR30" s="188">
        <f t="shared" si="31"/>
        <v>3.4718501545652709E-2</v>
      </c>
      <c r="BS30" s="188">
        <f t="shared" si="32"/>
        <v>0.33368846024486815</v>
      </c>
      <c r="BT30" s="188">
        <f t="shared" si="33"/>
        <v>5.0194169908469893E-2</v>
      </c>
      <c r="BU30" s="188">
        <f t="shared" si="34"/>
        <v>2.0361146602214681E-3</v>
      </c>
      <c r="BV30" s="188">
        <f t="shared" si="35"/>
        <v>7.1903399373577662E-2</v>
      </c>
      <c r="BW30" s="188">
        <f t="shared" si="36"/>
        <v>1</v>
      </c>
      <c r="BX30" s="188">
        <f t="shared" si="37"/>
        <v>0.13220020041336203</v>
      </c>
      <c r="BY30" s="188">
        <f t="shared" si="38"/>
        <v>0.1544167384050841</v>
      </c>
      <c r="BZ30" s="188">
        <f t="shared" si="39"/>
        <v>0.21628603119836393</v>
      </c>
      <c r="CA30" s="188">
        <f t="shared" si="40"/>
        <v>3.4812184301339588E-2</v>
      </c>
      <c r="CB30" s="188">
        <f t="shared" si="41"/>
        <v>0.33483083284688397</v>
      </c>
      <c r="CC30" s="188">
        <f t="shared" si="42"/>
        <v>5.0366008168751003E-2</v>
      </c>
      <c r="CD30" s="188">
        <f t="shared" si="43"/>
        <v>2.0448504203246969E-3</v>
      </c>
      <c r="CE30" s="188">
        <f t="shared" si="44"/>
        <v>7.5043154245890822E-2</v>
      </c>
      <c r="CF30" s="189">
        <f t="shared" si="45"/>
        <v>1.0000000000000002</v>
      </c>
      <c r="CG30" s="188" t="e">
        <f t="shared" si="46"/>
        <v>#DIV/0!</v>
      </c>
      <c r="CH30" s="188" t="e">
        <f t="shared" si="47"/>
        <v>#DIV/0!</v>
      </c>
      <c r="CI30" s="188" t="e">
        <f t="shared" si="48"/>
        <v>#DIV/0!</v>
      </c>
      <c r="CJ30" s="188" t="e">
        <f t="shared" si="49"/>
        <v>#DIV/0!</v>
      </c>
      <c r="CK30" s="188" t="e">
        <f t="shared" si="50"/>
        <v>#DIV/0!</v>
      </c>
      <c r="CL30" s="188" t="e">
        <f t="shared" si="51"/>
        <v>#DIV/0!</v>
      </c>
      <c r="CM30" s="188" t="e">
        <f t="shared" si="52"/>
        <v>#DIV/0!</v>
      </c>
      <c r="CN30" s="188" t="e">
        <f t="shared" si="53"/>
        <v>#DIV/0!</v>
      </c>
      <c r="CO30" s="189" t="e">
        <f t="shared" si="54"/>
        <v>#DIV/0!</v>
      </c>
    </row>
    <row r="31" spans="1:93" ht="26.25" thickBot="1">
      <c r="A31" s="128" t="s">
        <v>38</v>
      </c>
      <c r="B31" s="188">
        <f>DIST_DSL_CAM!AJ45</f>
        <v>0.15294823756450496</v>
      </c>
      <c r="C31" s="188">
        <f>DIST_DSL_CAM!AK45</f>
        <v>0.17865073923985986</v>
      </c>
      <c r="D31" s="188">
        <f>DIST_DSL_CAM!AL45</f>
        <v>0.30260204683615405</v>
      </c>
      <c r="E31" s="188">
        <f>DIST_DSL_ONI!AJ45</f>
        <v>3.1272684966597603E-2</v>
      </c>
      <c r="F31" s="188">
        <f>DIST_DSL_ONI!AK45</f>
        <v>0.27629117302932965</v>
      </c>
      <c r="G31" s="188">
        <f>DIST_DSL_ONI!AL45</f>
        <v>4.1552283113289547E-2</v>
      </c>
      <c r="H31" s="188">
        <f>DIST_DSL_LEV!AJ38</f>
        <v>2.1295939543167783E-3</v>
      </c>
      <c r="I31" s="188">
        <f>DIST_DSL_LEV!AK38</f>
        <v>7.4287845243228262E-2</v>
      </c>
      <c r="J31" s="188">
        <f t="shared" si="5"/>
        <v>1.0597346039472806</v>
      </c>
      <c r="K31" s="188">
        <f>DIST_DSL_CAM!AM45</f>
        <v>0.14883043415724168</v>
      </c>
      <c r="L31" s="188">
        <f>DIST_DSL_CAM!AN45</f>
        <v>0.1738409510757972</v>
      </c>
      <c r="M31" s="188">
        <f>DIST_DSL_CAM!AO45</f>
        <v>0.30413438178116675</v>
      </c>
      <c r="N31" s="188">
        <f>DIST_DSL_ONI!AM45</f>
        <v>3.0932731862693345E-2</v>
      </c>
      <c r="O31" s="188">
        <f>DIST_DSL_ONI!AN45</f>
        <v>0.26393509495557133</v>
      </c>
      <c r="P31" s="188">
        <f>DIST_DSL_ONI!AO45</f>
        <v>3.9694014357681454E-2</v>
      </c>
      <c r="Q31" s="188">
        <f>DIST_DSL_LEV!AM38</f>
        <v>2.1226487965893656E-3</v>
      </c>
      <c r="R31" s="188">
        <f>DIST_DSL_LEV!AN38</f>
        <v>7.6451140441448365E-2</v>
      </c>
      <c r="S31" s="188">
        <f t="shared" si="6"/>
        <v>1.0399413974281895</v>
      </c>
      <c r="T31" s="188">
        <f>DIST_DSL_CAM!AP45</f>
        <v>0.14857968606575758</v>
      </c>
      <c r="U31" s="188">
        <f>DIST_DSL_CAM!AQ45</f>
        <v>0.17354806550470508</v>
      </c>
      <c r="V31" s="188">
        <f>DIST_DSL_CAM!AR45</f>
        <v>0.31406780698295111</v>
      </c>
      <c r="W31" s="188">
        <f>DIST_DSL_ONI!AP45</f>
        <v>3.1731007744056315E-2</v>
      </c>
      <c r="X31" s="188">
        <f>DIST_DSL_ONI!AQ45</f>
        <v>0.26515136219553825</v>
      </c>
      <c r="Y31" s="188">
        <f>DIST_DSL_ONI!AR45</f>
        <v>3.9876932545556958E-2</v>
      </c>
      <c r="Z31" s="188">
        <f>DIST_DSL_LEV!AP38</f>
        <v>2.1788414323910101E-3</v>
      </c>
      <c r="AA31" s="188">
        <f>DIST_DSL_LEV!AQ38</f>
        <v>8.1883114135061413E-2</v>
      </c>
      <c r="AB31" s="188">
        <f t="shared" si="7"/>
        <v>1.0570168166060177</v>
      </c>
      <c r="AC31" s="188">
        <f>DIST_DSL_CAM!AS45</f>
        <v>0.15178095496933697</v>
      </c>
      <c r="AD31" s="188">
        <f>DIST_DSL_CAM!AT45</f>
        <v>0.17728729823622863</v>
      </c>
      <c r="AE31" s="188">
        <f>DIST_DSL_CAM!AU45</f>
        <v>0.32833111182763935</v>
      </c>
      <c r="AF31" s="188">
        <f>DIST_DSL_ONI!AS45</f>
        <v>3.3616967678277918E-2</v>
      </c>
      <c r="AG31" s="188">
        <f>DIST_DSL_ONI!AT45</f>
        <v>0.27104229558728743</v>
      </c>
      <c r="AH31" s="188">
        <f>DIST_DSL_ONI!AU45</f>
        <v>4.0762888218377195E-2</v>
      </c>
      <c r="AI31" s="188">
        <f>DIST_DSL_LEV!AS38</f>
        <v>2.2945412709728637E-3</v>
      </c>
      <c r="AJ31" s="188">
        <f>DIST_DSL_LEV!AT38</f>
        <v>8.9646115460788461E-2</v>
      </c>
      <c r="AK31" s="189">
        <f t="shared" si="8"/>
        <v>1.0947621732489088</v>
      </c>
      <c r="AL31" s="429" t="e">
        <f>DIST_DSL_CAM!AV45</f>
        <v>#DIV/0!</v>
      </c>
      <c r="AM31" s="429" t="e">
        <f>DIST_DSL_CAM!AW45</f>
        <v>#DIV/0!</v>
      </c>
      <c r="AN31" s="429" t="e">
        <f>DIST_DSL_CAM!AX45</f>
        <v>#DIV/0!</v>
      </c>
      <c r="AO31" s="429" t="e">
        <f>DIST_DSL_ONI!AV45</f>
        <v>#DIV/0!</v>
      </c>
      <c r="AP31" s="429" t="e">
        <f>DIST_DSL_ONI!AW45</f>
        <v>#DIV/0!</v>
      </c>
      <c r="AQ31" s="429" t="e">
        <f>DIST_DSL_ONI!AX45</f>
        <v>#DIV/0!</v>
      </c>
      <c r="AR31" s="429" t="e">
        <f>DIST_DSL_LEV!AV38</f>
        <v>#DIV/0!</v>
      </c>
      <c r="AS31" s="429" t="e">
        <f>DIST_DSL_LEV!AW38</f>
        <v>#DIV/0!</v>
      </c>
      <c r="AT31" s="189" t="e">
        <f t="shared" si="9"/>
        <v>#DIV/0!</v>
      </c>
      <c r="AV31" s="128" t="s">
        <v>38</v>
      </c>
      <c r="AW31" s="188">
        <f t="shared" si="10"/>
        <v>0.14432692581218551</v>
      </c>
      <c r="AX31" s="188">
        <f t="shared" si="11"/>
        <v>0.1685806413930665</v>
      </c>
      <c r="AY31" s="188">
        <f t="shared" si="12"/>
        <v>0.2855451220607757</v>
      </c>
      <c r="AZ31" s="188">
        <f t="shared" si="13"/>
        <v>2.9509921493658567E-2</v>
      </c>
      <c r="BA31" s="188">
        <f t="shared" si="14"/>
        <v>0.26071732677238735</v>
      </c>
      <c r="BB31" s="188">
        <f t="shared" si="15"/>
        <v>3.9210084259319593E-2</v>
      </c>
      <c r="BC31" s="188">
        <f t="shared" si="16"/>
        <v>2.0095540396477614E-3</v>
      </c>
      <c r="BD31" s="188">
        <f t="shared" si="17"/>
        <v>7.0100424168959119E-2</v>
      </c>
      <c r="BE31" s="188">
        <f t="shared" si="18"/>
        <v>1.0000000000000002</v>
      </c>
      <c r="BF31" s="188">
        <f t="shared" si="19"/>
        <v>0.14311425098116529</v>
      </c>
      <c r="BG31" s="188">
        <f t="shared" si="20"/>
        <v>0.16716418012179513</v>
      </c>
      <c r="BH31" s="188">
        <f t="shared" si="21"/>
        <v>0.29245338490543932</v>
      </c>
      <c r="BI31" s="188">
        <f t="shared" si="22"/>
        <v>2.9744687478728174E-2</v>
      </c>
      <c r="BJ31" s="188">
        <f t="shared" si="23"/>
        <v>0.25379804632096753</v>
      </c>
      <c r="BK31" s="188">
        <f t="shared" si="24"/>
        <v>3.8169472295117884E-2</v>
      </c>
      <c r="BL31" s="188">
        <f t="shared" si="25"/>
        <v>2.0411234727637042E-3</v>
      </c>
      <c r="BM31" s="188">
        <f t="shared" si="26"/>
        <v>7.3514854424022974E-2</v>
      </c>
      <c r="BN31" s="188">
        <f t="shared" si="27"/>
        <v>0.99999999999999989</v>
      </c>
      <c r="BO31" s="188">
        <f t="shared" si="28"/>
        <v>0.14056511091548485</v>
      </c>
      <c r="BP31" s="188">
        <f t="shared" si="29"/>
        <v>0.16418666456220793</v>
      </c>
      <c r="BQ31" s="188">
        <f t="shared" si="30"/>
        <v>0.29712659443904926</v>
      </c>
      <c r="BR31" s="188">
        <f t="shared" si="31"/>
        <v>3.0019397275004214E-2</v>
      </c>
      <c r="BS31" s="188">
        <f t="shared" si="32"/>
        <v>0.25084876421069113</v>
      </c>
      <c r="BT31" s="188">
        <f t="shared" si="33"/>
        <v>3.7725920646748144E-2</v>
      </c>
      <c r="BU31" s="188">
        <f t="shared" si="34"/>
        <v>2.0613119849758554E-3</v>
      </c>
      <c r="BV31" s="188">
        <f t="shared" si="35"/>
        <v>7.7466235965838695E-2</v>
      </c>
      <c r="BW31" s="188">
        <f t="shared" si="36"/>
        <v>1.0000000000000002</v>
      </c>
      <c r="BX31" s="188">
        <f t="shared" si="37"/>
        <v>0.13864285657486591</v>
      </c>
      <c r="BY31" s="188">
        <f t="shared" si="38"/>
        <v>0.16194138103081865</v>
      </c>
      <c r="BZ31" s="188">
        <f t="shared" si="39"/>
        <v>0.29991090288884953</v>
      </c>
      <c r="CA31" s="188">
        <f t="shared" si="40"/>
        <v>3.0707096481524716E-2</v>
      </c>
      <c r="CB31" s="188">
        <f t="shared" si="41"/>
        <v>0.24758098353263283</v>
      </c>
      <c r="CC31" s="188">
        <f t="shared" si="42"/>
        <v>3.7234469014768568E-2</v>
      </c>
      <c r="CD31" s="188">
        <f t="shared" si="43"/>
        <v>2.0959267017450823E-3</v>
      </c>
      <c r="CE31" s="188">
        <f t="shared" si="44"/>
        <v>8.1886383774794735E-2</v>
      </c>
      <c r="CF31" s="189">
        <f t="shared" si="45"/>
        <v>0.99999999999999989</v>
      </c>
      <c r="CG31" s="188" t="e">
        <f t="shared" si="46"/>
        <v>#DIV/0!</v>
      </c>
      <c r="CH31" s="188" t="e">
        <f t="shared" si="47"/>
        <v>#DIV/0!</v>
      </c>
      <c r="CI31" s="188" t="e">
        <f t="shared" si="48"/>
        <v>#DIV/0!</v>
      </c>
      <c r="CJ31" s="188" t="e">
        <f t="shared" si="49"/>
        <v>#DIV/0!</v>
      </c>
      <c r="CK31" s="188" t="e">
        <f t="shared" si="50"/>
        <v>#DIV/0!</v>
      </c>
      <c r="CL31" s="188" t="e">
        <f t="shared" si="51"/>
        <v>#DIV/0!</v>
      </c>
      <c r="CM31" s="188" t="e">
        <f t="shared" si="52"/>
        <v>#DIV/0!</v>
      </c>
      <c r="CN31" s="188" t="e">
        <f t="shared" si="53"/>
        <v>#DIV/0!</v>
      </c>
      <c r="CO31" s="189" t="e">
        <f t="shared" si="54"/>
        <v>#DIV/0!</v>
      </c>
    </row>
    <row r="32" spans="1:93" s="273" customFormat="1" ht="39" thickBot="1">
      <c r="A32" s="274" t="s">
        <v>73</v>
      </c>
      <c r="B32" s="429">
        <f>DIST_DSL_CAM!AJ46</f>
        <v>0.20262032635971716</v>
      </c>
      <c r="C32" s="429">
        <f>DIST_DSL_CAM!AK46</f>
        <v>0.23666724641125786</v>
      </c>
      <c r="D32" s="429">
        <f>DIST_DSL_CAM!AL46</f>
        <v>0.32985927467276593</v>
      </c>
      <c r="E32" s="429">
        <f>DIST_DSL_ONI!AJ46</f>
        <v>2.1573671586798591E-2</v>
      </c>
      <c r="F32" s="429">
        <f>DIST_DSL_ONI!AK46</f>
        <v>0.30784881382380636</v>
      </c>
      <c r="G32" s="429">
        <f>DIST_DSL_ONI!AL46</f>
        <v>4.0866398478487657E-2</v>
      </c>
      <c r="H32" s="429">
        <f>DIST_DSL_LEV!AJ39</f>
        <v>2.2428093093142957E-3</v>
      </c>
      <c r="I32" s="429">
        <f>DIST_DSL_LEV!AK39</f>
        <v>0.10293974325200995</v>
      </c>
      <c r="J32" s="429">
        <f t="shared" si="5"/>
        <v>1.2446182838941577</v>
      </c>
      <c r="K32" s="429">
        <f>DIST_DSL_CAM!AM46</f>
        <v>0.19462590968964696</v>
      </c>
      <c r="L32" s="429">
        <f>DIST_DSL_CAM!AN46</f>
        <v>0.22732952818876725</v>
      </c>
      <c r="M32" s="429">
        <f>DIST_DSL_CAM!AO46</f>
        <v>0.33062134146906497</v>
      </c>
      <c r="N32" s="429">
        <f>DIST_DSL_ONI!AM46</f>
        <v>2.0804609754585087E-2</v>
      </c>
      <c r="O32" s="429">
        <f>DIST_DSL_ONI!AN46</f>
        <v>0.29842126857534451</v>
      </c>
      <c r="P32" s="429">
        <f>DIST_DSL_ONI!AO46</f>
        <v>3.9614932441134065E-2</v>
      </c>
      <c r="Q32" s="429">
        <f>DIST_DSL_LEV!AM39</f>
        <v>2.2379848078823302E-3</v>
      </c>
      <c r="R32" s="429">
        <f>DIST_DSL_LEV!AN39</f>
        <v>0.10370855434582646</v>
      </c>
      <c r="S32" s="429">
        <f t="shared" si="6"/>
        <v>1.2173641292722517</v>
      </c>
      <c r="T32" s="429">
        <f>DIST_DSL_CAM!AP46</f>
        <v>0.19045549932177186</v>
      </c>
      <c r="U32" s="429">
        <f>DIST_DSL_CAM!AQ46</f>
        <v>0.22245835999393671</v>
      </c>
      <c r="V32" s="429">
        <f>DIST_DSL_CAM!AR46</f>
        <v>0.34149280491170902</v>
      </c>
      <c r="W32" s="429">
        <f>DIST_DSL_ONI!AP46</f>
        <v>2.0716224454491918E-2</v>
      </c>
      <c r="X32" s="429">
        <f>DIST_DSL_ONI!AQ46</f>
        <v>0.29254298833109721</v>
      </c>
      <c r="Y32" s="429">
        <f>DIST_DSL_ONI!AR46</f>
        <v>3.8834739963914899E-2</v>
      </c>
      <c r="Z32" s="429">
        <f>DIST_DSL_LEV!AP39</f>
        <v>2.2669956679311934E-3</v>
      </c>
      <c r="AA32" s="429">
        <f>DIST_DSL_LEV!AQ39</f>
        <v>0.10639193241807871</v>
      </c>
      <c r="AB32" s="429">
        <f t="shared" si="7"/>
        <v>1.2151595450629313</v>
      </c>
      <c r="AC32" s="429">
        <f>DIST_DSL_CAM!AS46</f>
        <v>0.17611677352385552</v>
      </c>
      <c r="AD32" s="429">
        <f>DIST_DSL_CAM!AT46</f>
        <v>0.20571027238543338</v>
      </c>
      <c r="AE32" s="429">
        <f>DIST_DSL_CAM!AU46</f>
        <v>0.32773011276157737</v>
      </c>
      <c r="AF32" s="429">
        <f>DIST_DSL_ONI!AS46</f>
        <v>1.9513255680041149E-2</v>
      </c>
      <c r="AG32" s="429">
        <f>DIST_DSL_ONI!AT46</f>
        <v>0.26804675150975488</v>
      </c>
      <c r="AH32" s="429">
        <f>DIST_DSL_ONI!AU46</f>
        <v>3.5582976685873742E-2</v>
      </c>
      <c r="AI32" s="429">
        <f>DIST_DSL_LEV!AS39</f>
        <v>2.1417654504300968E-3</v>
      </c>
      <c r="AJ32" s="429">
        <f>DIST_DSL_LEV!AT39</f>
        <v>0.10232121024408301</v>
      </c>
      <c r="AK32" s="430">
        <f t="shared" si="8"/>
        <v>1.1371631182410491</v>
      </c>
      <c r="AL32" s="429" t="e">
        <f>DIST_DSL_CAM!AV46</f>
        <v>#DIV/0!</v>
      </c>
      <c r="AM32" s="429" t="e">
        <f>DIST_DSL_CAM!AW46</f>
        <v>#DIV/0!</v>
      </c>
      <c r="AN32" s="429" t="e">
        <f>DIST_DSL_CAM!AX46</f>
        <v>#DIV/0!</v>
      </c>
      <c r="AO32" s="429" t="e">
        <f>DIST_DSL_ONI!AV46</f>
        <v>#DIV/0!</v>
      </c>
      <c r="AP32" s="429" t="e">
        <f>DIST_DSL_ONI!AW46</f>
        <v>#DIV/0!</v>
      </c>
      <c r="AQ32" s="429" t="e">
        <f>DIST_DSL_ONI!AX46</f>
        <v>#DIV/0!</v>
      </c>
      <c r="AR32" s="429" t="e">
        <f>DIST_DSL_LEV!AV39</f>
        <v>#DIV/0!</v>
      </c>
      <c r="AS32" s="429" t="e">
        <f>DIST_DSL_LEV!AW39</f>
        <v>#DIV/0!</v>
      </c>
      <c r="AT32" s="430" t="e">
        <f t="shared" si="9"/>
        <v>#DIV/0!</v>
      </c>
      <c r="AV32" s="274" t="s">
        <v>73</v>
      </c>
      <c r="AW32" s="429">
        <f t="shared" si="10"/>
        <v>0.16279716358155957</v>
      </c>
      <c r="AX32" s="429">
        <f t="shared" si="11"/>
        <v>0.19015247443639838</v>
      </c>
      <c r="AY32" s="429">
        <f t="shared" si="12"/>
        <v>0.26502846610986885</v>
      </c>
      <c r="AZ32" s="429">
        <f t="shared" si="13"/>
        <v>1.7333564729017925E-2</v>
      </c>
      <c r="BA32" s="429">
        <f t="shared" si="14"/>
        <v>0.2473439590334556</v>
      </c>
      <c r="BB32" s="429">
        <f t="shared" si="15"/>
        <v>3.2834483477637018E-2</v>
      </c>
      <c r="BC32" s="429">
        <f t="shared" si="16"/>
        <v>1.802005754163438E-3</v>
      </c>
      <c r="BD32" s="429">
        <f t="shared" si="17"/>
        <v>8.270788287789925E-2</v>
      </c>
      <c r="BE32" s="429">
        <f t="shared" si="18"/>
        <v>1.0000000000000002</v>
      </c>
      <c r="BF32" s="429">
        <f t="shared" si="19"/>
        <v>0.15987485174710678</v>
      </c>
      <c r="BG32" s="429">
        <f t="shared" si="20"/>
        <v>0.18673913804628559</v>
      </c>
      <c r="BH32" s="429">
        <f t="shared" si="21"/>
        <v>0.2715878786955162</v>
      </c>
      <c r="BI32" s="429">
        <f t="shared" si="22"/>
        <v>1.7089882356745818E-2</v>
      </c>
      <c r="BJ32" s="429">
        <f t="shared" si="23"/>
        <v>0.24513722837697108</v>
      </c>
      <c r="BK32" s="429">
        <f t="shared" si="24"/>
        <v>3.2541563767626479E-2</v>
      </c>
      <c r="BL32" s="429">
        <f t="shared" si="25"/>
        <v>1.8383857007682758E-3</v>
      </c>
      <c r="BM32" s="429">
        <f t="shared" si="26"/>
        <v>8.5191071308979766E-2</v>
      </c>
      <c r="BN32" s="429">
        <f t="shared" si="27"/>
        <v>1</v>
      </c>
      <c r="BO32" s="429">
        <f t="shared" si="28"/>
        <v>0.15673291634466685</v>
      </c>
      <c r="BP32" s="429">
        <f t="shared" si="29"/>
        <v>0.18306926106762048</v>
      </c>
      <c r="BQ32" s="429">
        <f t="shared" si="30"/>
        <v>0.28102713450193373</v>
      </c>
      <c r="BR32" s="429">
        <f t="shared" si="31"/>
        <v>1.7048151856815685E-2</v>
      </c>
      <c r="BS32" s="429">
        <f t="shared" si="32"/>
        <v>0.24074450924544796</v>
      </c>
      <c r="BT32" s="429">
        <f t="shared" si="33"/>
        <v>3.1958552374210011E-2</v>
      </c>
      <c r="BU32" s="429">
        <f t="shared" si="34"/>
        <v>1.865595079380123E-3</v>
      </c>
      <c r="BV32" s="429">
        <f t="shared" si="35"/>
        <v>8.7553879529925285E-2</v>
      </c>
      <c r="BW32" s="429">
        <f t="shared" si="36"/>
        <v>1</v>
      </c>
      <c r="BX32" s="429">
        <f t="shared" si="37"/>
        <v>0.15487380016006053</v>
      </c>
      <c r="BY32" s="429">
        <f t="shared" si="38"/>
        <v>0.18089777014895073</v>
      </c>
      <c r="BZ32" s="429">
        <f t="shared" si="39"/>
        <v>0.28819973801868159</v>
      </c>
      <c r="CA32" s="429">
        <f t="shared" si="40"/>
        <v>1.7159592469217635E-2</v>
      </c>
      <c r="CB32" s="429">
        <f t="shared" si="41"/>
        <v>0.23571530522759701</v>
      </c>
      <c r="CC32" s="429">
        <f t="shared" si="42"/>
        <v>3.1291004883198359E-2</v>
      </c>
      <c r="CD32" s="429">
        <f t="shared" si="43"/>
        <v>1.8834285214446235E-3</v>
      </c>
      <c r="CE32" s="429">
        <f t="shared" si="44"/>
        <v>8.9979360570849584E-2</v>
      </c>
      <c r="CF32" s="430">
        <f t="shared" si="45"/>
        <v>1</v>
      </c>
      <c r="CG32" s="429" t="e">
        <f t="shared" si="46"/>
        <v>#DIV/0!</v>
      </c>
      <c r="CH32" s="429" t="e">
        <f t="shared" si="47"/>
        <v>#DIV/0!</v>
      </c>
      <c r="CI32" s="429" t="e">
        <f t="shared" si="48"/>
        <v>#DIV/0!</v>
      </c>
      <c r="CJ32" s="429" t="e">
        <f t="shared" si="49"/>
        <v>#DIV/0!</v>
      </c>
      <c r="CK32" s="429" t="e">
        <f t="shared" si="50"/>
        <v>#DIV/0!</v>
      </c>
      <c r="CL32" s="429" t="e">
        <f t="shared" si="51"/>
        <v>#DIV/0!</v>
      </c>
      <c r="CM32" s="429" t="e">
        <f t="shared" si="52"/>
        <v>#DIV/0!</v>
      </c>
      <c r="CN32" s="429" t="e">
        <f t="shared" si="53"/>
        <v>#DIV/0!</v>
      </c>
      <c r="CO32" s="430" t="e">
        <f t="shared" si="54"/>
        <v>#DIV/0!</v>
      </c>
    </row>
    <row r="33" spans="1:93" ht="26.25" thickBot="1">
      <c r="A33" s="127" t="s">
        <v>40</v>
      </c>
      <c r="B33" s="188">
        <f>DIST_DSL_CAM!AJ47</f>
        <v>0.21553323601459354</v>
      </c>
      <c r="C33" s="188">
        <f>DIST_DSL_CAM!AK47</f>
        <v>0.25174646217639196</v>
      </c>
      <c r="D33" s="188">
        <f>DIST_DSL_CAM!AL47</f>
        <v>0.16008050367774115</v>
      </c>
      <c r="E33" s="188">
        <f>DIST_DSL_ONI!AJ47</f>
        <v>7.8892219103749703E-2</v>
      </c>
      <c r="F33" s="188">
        <f>DIST_DSL_ONI!AK47</f>
        <v>0.74519634995876916</v>
      </c>
      <c r="G33" s="188">
        <f>DIST_DSL_ONI!AL47</f>
        <v>9.8912992995959889E-2</v>
      </c>
      <c r="H33" s="188">
        <f>DIST_DSL_LEV!AJ40</f>
        <v>4.0923185047535221E-3</v>
      </c>
      <c r="I33" s="188">
        <f>DIST_DSL_LEV!AK40</f>
        <v>0.12777232423067666</v>
      </c>
      <c r="J33" s="188">
        <f t="shared" si="5"/>
        <v>1.6822264066626356</v>
      </c>
      <c r="K33" s="188">
        <f>DIST_DSL_CAM!AM47</f>
        <v>0.21956046033334986</v>
      </c>
      <c r="L33" s="188">
        <f>DIST_DSL_CAM!AN47</f>
        <v>0.25645032824078401</v>
      </c>
      <c r="M33" s="188">
        <f>DIST_DSL_CAM!AO47</f>
        <v>0.17593350176940445</v>
      </c>
      <c r="N33" s="188">
        <f>DIST_DSL_ONI!AM47</f>
        <v>7.5528398319419904E-2</v>
      </c>
      <c r="O33" s="188">
        <f>DIST_DSL_ONI!AN47</f>
        <v>0.77351272931833948</v>
      </c>
      <c r="P33" s="188">
        <f>DIST_DSL_ONI!AO47</f>
        <v>0.10267154311958715</v>
      </c>
      <c r="Q33" s="188">
        <f>DIST_DSL_LEV!AM40</f>
        <v>4.2247357887568284E-3</v>
      </c>
      <c r="R33" s="188">
        <f>DIST_DSL_LEV!AN40</f>
        <v>0.14003679276543948</v>
      </c>
      <c r="S33" s="188">
        <f t="shared" si="6"/>
        <v>1.747918489655081</v>
      </c>
      <c r="T33" s="188">
        <f>DIST_DSL_CAM!AP47</f>
        <v>0.23058907011539906</v>
      </c>
      <c r="U33" s="188">
        <f>DIST_DSL_CAM!AQ47</f>
        <v>0.2693319308497053</v>
      </c>
      <c r="V33" s="188">
        <f>DIST_DSL_CAM!AR47</f>
        <v>0.20041922529235279</v>
      </c>
      <c r="W33" s="188">
        <f>DIST_DSL_ONI!AP47</f>
        <v>7.6427304161989007E-2</v>
      </c>
      <c r="X33" s="188">
        <f>DIST_DSL_ONI!AQ47</f>
        <v>0.77749735997815406</v>
      </c>
      <c r="Y33" s="188">
        <f>DIST_DSL_ONI!AR47</f>
        <v>0.10320043962393467</v>
      </c>
      <c r="Z33" s="188">
        <f>DIST_DSL_LEV!AP40</f>
        <v>4.4912458476128146E-3</v>
      </c>
      <c r="AA33" s="188">
        <f>DIST_DSL_LEV!AQ40</f>
        <v>0.15796753090840571</v>
      </c>
      <c r="AB33" s="188">
        <f t="shared" si="7"/>
        <v>1.8199241067775533</v>
      </c>
      <c r="AC33" s="188">
        <f>DIST_DSL_CAM!AS47</f>
        <v>0.23429664806486661</v>
      </c>
      <c r="AD33" s="188">
        <f>DIST_DSL_CAM!AT47</f>
        <v>0.27366244455274485</v>
      </c>
      <c r="AE33" s="188">
        <f>DIST_DSL_CAM!AU47</f>
        <v>0.21287373556875624</v>
      </c>
      <c r="AF33" s="188">
        <f>DIST_DSL_ONI!AS47</f>
        <v>7.4988797753433506E-2</v>
      </c>
      <c r="AG33" s="188">
        <f>DIST_DSL_ONI!AT47</f>
        <v>0.75194824532485205</v>
      </c>
      <c r="AH33" s="188">
        <f>DIST_DSL_ONI!AU47</f>
        <v>9.9809199987703406E-2</v>
      </c>
      <c r="AI33" s="188">
        <f>DIST_DSL_LEV!AS40</f>
        <v>4.6068884191371026E-3</v>
      </c>
      <c r="AJ33" s="188">
        <f>DIST_DSL_LEV!AT40</f>
        <v>0.17105102217264115</v>
      </c>
      <c r="AK33" s="189">
        <f t="shared" si="8"/>
        <v>1.8232369818441345</v>
      </c>
      <c r="AL33" s="188" t="e">
        <f>DIST_DSL_CAM!AV47</f>
        <v>#DIV/0!</v>
      </c>
      <c r="AM33" s="188" t="e">
        <f>DIST_DSL_CAM!AW47</f>
        <v>#DIV/0!</v>
      </c>
      <c r="AN33" s="188" t="e">
        <f>DIST_DSL_CAM!AX47</f>
        <v>#DIV/0!</v>
      </c>
      <c r="AO33" s="188" t="e">
        <f>DIST_DSL_ONI!AV47</f>
        <v>#DIV/0!</v>
      </c>
      <c r="AP33" s="188" t="e">
        <f>DIST_DSL_ONI!AW47</f>
        <v>#DIV/0!</v>
      </c>
      <c r="AQ33" s="188" t="e">
        <f>DIST_DSL_ONI!AX47</f>
        <v>#DIV/0!</v>
      </c>
      <c r="AR33" s="188" t="e">
        <f>DIST_DSL_LEV!AV40</f>
        <v>#DIV/0!</v>
      </c>
      <c r="AS33" s="188" t="e">
        <f>DIST_DSL_LEV!AW40</f>
        <v>#DIV/0!</v>
      </c>
      <c r="AT33" s="189" t="e">
        <f t="shared" si="9"/>
        <v>#DIV/0!</v>
      </c>
      <c r="AV33" s="127" t="s">
        <v>40</v>
      </c>
      <c r="AW33" s="188">
        <f t="shared" si="10"/>
        <v>0.12812379781993158</v>
      </c>
      <c r="AX33" s="188">
        <f t="shared" si="11"/>
        <v>0.14965076114565998</v>
      </c>
      <c r="AY33" s="188">
        <f t="shared" si="12"/>
        <v>9.5159904186336269E-2</v>
      </c>
      <c r="AZ33" s="188">
        <f t="shared" si="13"/>
        <v>4.6897503683980185E-2</v>
      </c>
      <c r="BA33" s="188">
        <f t="shared" si="14"/>
        <v>0.44298219728767796</v>
      </c>
      <c r="BB33" s="188">
        <f t="shared" si="15"/>
        <v>5.879885882435594E-2</v>
      </c>
      <c r="BC33" s="188">
        <f t="shared" si="16"/>
        <v>2.4326799820437142E-3</v>
      </c>
      <c r="BD33" s="188">
        <f t="shared" si="17"/>
        <v>7.5954297070014401E-2</v>
      </c>
      <c r="BE33" s="188">
        <f t="shared" si="18"/>
        <v>1</v>
      </c>
      <c r="BF33" s="188">
        <f t="shared" si="19"/>
        <v>0.12561252806283663</v>
      </c>
      <c r="BG33" s="188">
        <f t="shared" si="20"/>
        <v>0.14671755562891819</v>
      </c>
      <c r="BH33" s="188">
        <f t="shared" si="21"/>
        <v>0.1006531499098231</v>
      </c>
      <c r="BI33" s="188">
        <f t="shared" si="22"/>
        <v>4.3210480789824486E-2</v>
      </c>
      <c r="BJ33" s="188">
        <f t="shared" si="23"/>
        <v>0.4425336386658269</v>
      </c>
      <c r="BK33" s="188">
        <f t="shared" si="24"/>
        <v>5.8739319783640172E-2</v>
      </c>
      <c r="BL33" s="188">
        <f t="shared" si="25"/>
        <v>2.4170096110090926E-3</v>
      </c>
      <c r="BM33" s="188">
        <f t="shared" si="26"/>
        <v>8.0116317548121554E-2</v>
      </c>
      <c r="BN33" s="188">
        <f t="shared" si="27"/>
        <v>1.0000000000000002</v>
      </c>
      <c r="BO33" s="188">
        <f t="shared" si="28"/>
        <v>0.12670257471543214</v>
      </c>
      <c r="BP33" s="188">
        <f t="shared" si="29"/>
        <v>0.14799074854093647</v>
      </c>
      <c r="BQ33" s="188">
        <f t="shared" si="30"/>
        <v>0.11012504562469085</v>
      </c>
      <c r="BR33" s="188">
        <f t="shared" si="31"/>
        <v>4.1994775429023211E-2</v>
      </c>
      <c r="BS33" s="188">
        <f t="shared" si="32"/>
        <v>0.42721416628456499</v>
      </c>
      <c r="BT33" s="188">
        <f t="shared" si="33"/>
        <v>5.6705902866832407E-2</v>
      </c>
      <c r="BU33" s="188">
        <f t="shared" si="34"/>
        <v>2.4678204057449597E-3</v>
      </c>
      <c r="BV33" s="188">
        <f t="shared" si="35"/>
        <v>8.6798966132775032E-2</v>
      </c>
      <c r="BW33" s="188">
        <f t="shared" si="36"/>
        <v>1</v>
      </c>
      <c r="BX33" s="188">
        <f t="shared" si="37"/>
        <v>0.12850586643316356</v>
      </c>
      <c r="BY33" s="188">
        <f t="shared" si="38"/>
        <v>0.15009702374287393</v>
      </c>
      <c r="BZ33" s="188">
        <f t="shared" si="39"/>
        <v>0.11675593336936518</v>
      </c>
      <c r="CA33" s="188">
        <f t="shared" si="40"/>
        <v>4.1129484811999156E-2</v>
      </c>
      <c r="CB33" s="188">
        <f t="shared" si="41"/>
        <v>0.41242485360530867</v>
      </c>
      <c r="CC33" s="188">
        <f t="shared" si="42"/>
        <v>5.4742856239538437E-2</v>
      </c>
      <c r="CD33" s="188">
        <f t="shared" si="43"/>
        <v>2.5267633692233529E-3</v>
      </c>
      <c r="CE33" s="188">
        <f t="shared" si="44"/>
        <v>9.3817218428527915E-2</v>
      </c>
      <c r="CF33" s="189">
        <f t="shared" si="45"/>
        <v>1.0000000000000002</v>
      </c>
      <c r="CG33" s="188" t="e">
        <f t="shared" si="46"/>
        <v>#DIV/0!</v>
      </c>
      <c r="CH33" s="188" t="e">
        <f t="shared" si="47"/>
        <v>#DIV/0!</v>
      </c>
      <c r="CI33" s="188" t="e">
        <f t="shared" si="48"/>
        <v>#DIV/0!</v>
      </c>
      <c r="CJ33" s="188" t="e">
        <f t="shared" si="49"/>
        <v>#DIV/0!</v>
      </c>
      <c r="CK33" s="188" t="e">
        <f t="shared" si="50"/>
        <v>#DIV/0!</v>
      </c>
      <c r="CL33" s="188" t="e">
        <f t="shared" si="51"/>
        <v>#DIV/0!</v>
      </c>
      <c r="CM33" s="188" t="e">
        <f t="shared" si="52"/>
        <v>#DIV/0!</v>
      </c>
      <c r="CN33" s="188" t="e">
        <f t="shared" si="53"/>
        <v>#DIV/0!</v>
      </c>
      <c r="CO33" s="189" t="e">
        <f t="shared" si="54"/>
        <v>#DIV/0!</v>
      </c>
    </row>
    <row r="34" spans="1:93" ht="15.75" thickBot="1">
      <c r="A34" s="127" t="s">
        <v>41</v>
      </c>
      <c r="B34" s="188">
        <f>DIST_DSL_CAM!AJ48</f>
        <v>0.21454430889983603</v>
      </c>
      <c r="C34" s="188">
        <f>DIST_DSL_CAM!AK48</f>
        <v>0.25059689477599811</v>
      </c>
      <c r="D34" s="188">
        <f>DIST_DSL_CAM!AL48</f>
        <v>0.30165760450462309</v>
      </c>
      <c r="E34" s="188">
        <f>DIST_DSL_ONI!AJ48</f>
        <v>1.9690780704673547E-2</v>
      </c>
      <c r="F34" s="188">
        <f>DIST_DSL_ONI!AK48</f>
        <v>0.32291348314634172</v>
      </c>
      <c r="G34" s="188">
        <f>DIST_DSL_ONI!AL48</f>
        <v>4.2866870687036839E-2</v>
      </c>
      <c r="H34" s="188">
        <f>DIST_DSL_LEV!AJ41</f>
        <v>2.0637861315411224E-3</v>
      </c>
      <c r="I34" s="188">
        <f>DIST_DSL_LEV!AK41</f>
        <v>9.6686912017318771E-2</v>
      </c>
      <c r="J34" s="188">
        <f t="shared" si="5"/>
        <v>1.2510206408673692</v>
      </c>
      <c r="K34" s="188">
        <f>DIST_DSL_CAM!AM48</f>
        <v>0.20000562732186217</v>
      </c>
      <c r="L34" s="188">
        <f>DIST_DSL_CAM!AN48</f>
        <v>0.23361509518289761</v>
      </c>
      <c r="M34" s="188">
        <f>DIST_DSL_CAM!AO48</f>
        <v>0.29837246225847425</v>
      </c>
      <c r="N34" s="188">
        <f>DIST_DSL_ONI!AM48</f>
        <v>1.8907682236082517E-2</v>
      </c>
      <c r="O34" s="188">
        <f>DIST_DSL_ONI!AN48</f>
        <v>0.29953520800590921</v>
      </c>
      <c r="P34" s="188">
        <f>DIST_DSL_ONI!AO48</f>
        <v>3.9763397002487343E-2</v>
      </c>
      <c r="Q34" s="188">
        <f>DIST_DSL_LEV!AM41</f>
        <v>1.9929553111035993E-3</v>
      </c>
      <c r="R34" s="188">
        <f>DIST_DSL_LEV!AN41</f>
        <v>9.4505903239526554E-2</v>
      </c>
      <c r="S34" s="188">
        <f t="shared" si="6"/>
        <v>1.1866983305583432</v>
      </c>
      <c r="T34" s="188">
        <f>DIST_DSL_CAM!AP48</f>
        <v>0.19853488109134695</v>
      </c>
      <c r="U34" s="188">
        <f>DIST_DSL_CAM!AQ48</f>
        <v>0.23189720091545893</v>
      </c>
      <c r="V34" s="188">
        <f>DIST_DSL_CAM!AR48</f>
        <v>0.31483150532182291</v>
      </c>
      <c r="W34" s="188">
        <f>DIST_DSL_ONI!AP48</f>
        <v>1.9494966719997515E-2</v>
      </c>
      <c r="X34" s="188">
        <f>DIST_DSL_ONI!AQ48</f>
        <v>0.29312201803543481</v>
      </c>
      <c r="Y34" s="188">
        <f>DIST_DSL_ONI!AR48</f>
        <v>3.8912043932689586E-2</v>
      </c>
      <c r="Z34" s="188">
        <f>DIST_DSL_LEV!AP41</f>
        <v>2.0406022993950061E-3</v>
      </c>
      <c r="AA34" s="188">
        <f>DIST_DSL_LEV!AQ41</f>
        <v>9.7964501556657174E-2</v>
      </c>
      <c r="AB34" s="188">
        <f t="shared" si="7"/>
        <v>1.196797719872803</v>
      </c>
      <c r="AC34" s="188">
        <f>DIST_DSL_CAM!AS48</f>
        <v>0.18345174132271957</v>
      </c>
      <c r="AD34" s="188">
        <f>DIST_DSL_CAM!AT48</f>
        <v>0.21427945095568232</v>
      </c>
      <c r="AE34" s="188">
        <f>DIST_DSL_CAM!AU48</f>
        <v>0.29956601832574475</v>
      </c>
      <c r="AF34" s="188">
        <f>DIST_DSL_ONI!AS48</f>
        <v>1.8705618377103984E-2</v>
      </c>
      <c r="AG34" s="188">
        <f>DIST_DSL_ONI!AT48</f>
        <v>0.26957248013839635</v>
      </c>
      <c r="AH34" s="188">
        <f>DIST_DSL_ONI!AU48</f>
        <v>3.5785835061088116E-2</v>
      </c>
      <c r="AI34" s="188">
        <f>DIST_DSL_LEV!AS41</f>
        <v>1.9175981397249709E-3</v>
      </c>
      <c r="AJ34" s="188">
        <f>DIST_DSL_LEV!AT41</f>
        <v>9.3448298974620342E-2</v>
      </c>
      <c r="AK34" s="189">
        <f t="shared" si="8"/>
        <v>1.1167270412950803</v>
      </c>
      <c r="AL34" s="188" t="e">
        <f>DIST_DSL_CAM!AV48</f>
        <v>#DIV/0!</v>
      </c>
      <c r="AM34" s="188" t="e">
        <f>DIST_DSL_CAM!AW48</f>
        <v>#DIV/0!</v>
      </c>
      <c r="AN34" s="188" t="e">
        <f>DIST_DSL_CAM!AX48</f>
        <v>#DIV/0!</v>
      </c>
      <c r="AO34" s="188" t="e">
        <f>DIST_DSL_ONI!AV48</f>
        <v>#DIV/0!</v>
      </c>
      <c r="AP34" s="188" t="e">
        <f>DIST_DSL_ONI!AW48</f>
        <v>#DIV/0!</v>
      </c>
      <c r="AQ34" s="188" t="e">
        <f>DIST_DSL_ONI!AX48</f>
        <v>#DIV/0!</v>
      </c>
      <c r="AR34" s="188" t="e">
        <f>DIST_DSL_LEV!AV41</f>
        <v>#DIV/0!</v>
      </c>
      <c r="AS34" s="188" t="e">
        <f>DIST_DSL_LEV!AW41</f>
        <v>#DIV/0!</v>
      </c>
      <c r="AT34" s="189" t="e">
        <f t="shared" si="9"/>
        <v>#DIV/0!</v>
      </c>
      <c r="AV34" s="127" t="s">
        <v>41</v>
      </c>
      <c r="AW34" s="188">
        <f t="shared" si="10"/>
        <v>0.17149541893336484</v>
      </c>
      <c r="AX34" s="188">
        <f t="shared" si="11"/>
        <v>0.20031395693219894</v>
      </c>
      <c r="AY34" s="188">
        <f t="shared" si="12"/>
        <v>0.24112919855221177</v>
      </c>
      <c r="AZ34" s="188">
        <f t="shared" si="13"/>
        <v>1.5739772839416424E-2</v>
      </c>
      <c r="BA34" s="188">
        <f t="shared" si="14"/>
        <v>0.25812002823746888</v>
      </c>
      <c r="BB34" s="188">
        <f t="shared" si="15"/>
        <v>3.4265518318959139E-2</v>
      </c>
      <c r="BC34" s="188">
        <f t="shared" si="16"/>
        <v>1.6496819190051405E-3</v>
      </c>
      <c r="BD34" s="188">
        <f t="shared" si="17"/>
        <v>7.728642426737492E-2</v>
      </c>
      <c r="BE34" s="188">
        <f t="shared" si="18"/>
        <v>1.0000000000000002</v>
      </c>
      <c r="BF34" s="188">
        <f t="shared" si="19"/>
        <v>0.16853957081726006</v>
      </c>
      <c r="BG34" s="188">
        <f t="shared" si="20"/>
        <v>0.19686140038048372</v>
      </c>
      <c r="BH34" s="188">
        <f t="shared" si="21"/>
        <v>0.25143075925462</v>
      </c>
      <c r="BI34" s="188">
        <f t="shared" si="22"/>
        <v>1.5933014945075742E-2</v>
      </c>
      <c r="BJ34" s="188">
        <f t="shared" si="23"/>
        <v>0.25241057503213771</v>
      </c>
      <c r="BK34" s="188">
        <f t="shared" si="24"/>
        <v>3.3507586535306416E-2</v>
      </c>
      <c r="BL34" s="188">
        <f t="shared" si="25"/>
        <v>1.6794119110000864E-3</v>
      </c>
      <c r="BM34" s="188">
        <f t="shared" si="26"/>
        <v>7.9637681124116358E-2</v>
      </c>
      <c r="BN34" s="188">
        <f t="shared" si="27"/>
        <v>1</v>
      </c>
      <c r="BO34" s="188">
        <f t="shared" si="28"/>
        <v>0.16588841856454026</v>
      </c>
      <c r="BP34" s="188">
        <f t="shared" si="29"/>
        <v>0.19376474158064508</v>
      </c>
      <c r="BQ34" s="188">
        <f t="shared" si="30"/>
        <v>0.26306158517354422</v>
      </c>
      <c r="BR34" s="188">
        <f t="shared" si="31"/>
        <v>1.6289274616991634E-2</v>
      </c>
      <c r="BS34" s="188">
        <f t="shared" si="32"/>
        <v>0.24492193891093653</v>
      </c>
      <c r="BT34" s="188">
        <f t="shared" si="33"/>
        <v>3.251346763664055E-2</v>
      </c>
      <c r="BU34" s="188">
        <f t="shared" si="34"/>
        <v>1.7050519611717539E-3</v>
      </c>
      <c r="BV34" s="188">
        <f t="shared" si="35"/>
        <v>8.1855521555529831E-2</v>
      </c>
      <c r="BW34" s="188">
        <f t="shared" si="36"/>
        <v>0.99999999999999978</v>
      </c>
      <c r="BX34" s="188">
        <f t="shared" si="37"/>
        <v>0.1642762595861999</v>
      </c>
      <c r="BY34" s="188">
        <f t="shared" si="38"/>
        <v>0.19188167119798599</v>
      </c>
      <c r="BZ34" s="188">
        <f t="shared" si="39"/>
        <v>0.26825357249192683</v>
      </c>
      <c r="CA34" s="188">
        <f t="shared" si="40"/>
        <v>1.675039439844752E-2</v>
      </c>
      <c r="CB34" s="188">
        <f t="shared" si="41"/>
        <v>0.24139513969839063</v>
      </c>
      <c r="CC34" s="188">
        <f t="shared" si="42"/>
        <v>3.2045283885654724E-2</v>
      </c>
      <c r="CD34" s="188">
        <f t="shared" si="43"/>
        <v>1.7171592240670666E-3</v>
      </c>
      <c r="CE34" s="188">
        <f t="shared" si="44"/>
        <v>8.3680519517327481E-2</v>
      </c>
      <c r="CF34" s="189">
        <f t="shared" si="45"/>
        <v>1.0000000000000002</v>
      </c>
      <c r="CG34" s="188" t="e">
        <f t="shared" si="46"/>
        <v>#DIV/0!</v>
      </c>
      <c r="CH34" s="188" t="e">
        <f t="shared" si="47"/>
        <v>#DIV/0!</v>
      </c>
      <c r="CI34" s="188" t="e">
        <f t="shared" si="48"/>
        <v>#DIV/0!</v>
      </c>
      <c r="CJ34" s="188" t="e">
        <f t="shared" si="49"/>
        <v>#DIV/0!</v>
      </c>
      <c r="CK34" s="188" t="e">
        <f t="shared" si="50"/>
        <v>#DIV/0!</v>
      </c>
      <c r="CL34" s="188" t="e">
        <f t="shared" si="51"/>
        <v>#DIV/0!</v>
      </c>
      <c r="CM34" s="188" t="e">
        <f t="shared" si="52"/>
        <v>#DIV/0!</v>
      </c>
      <c r="CN34" s="188" t="e">
        <f t="shared" si="53"/>
        <v>#DIV/0!</v>
      </c>
      <c r="CO34" s="189" t="e">
        <f t="shared" si="54"/>
        <v>#DIV/0!</v>
      </c>
    </row>
    <row r="35" spans="1:93" ht="26.25" thickBot="1">
      <c r="A35" s="127" t="s">
        <v>42</v>
      </c>
      <c r="B35" s="188">
        <f>DIST_DSL_CAM!AJ49</f>
        <v>0.15123102364458871</v>
      </c>
      <c r="C35" s="188">
        <f>DIST_DSL_CAM!AK49</f>
        <v>0.17664511775451996</v>
      </c>
      <c r="D35" s="188">
        <f>DIST_DSL_CAM!AL49</f>
        <v>0.36476363772503834</v>
      </c>
      <c r="E35" s="188">
        <f>DIST_DSL_ONI!AJ49</f>
        <v>8.8725129088373864E-3</v>
      </c>
      <c r="F35" s="188">
        <f>DIST_DSL_ONI!AK49</f>
        <v>0.15732312874473492</v>
      </c>
      <c r="G35" s="188">
        <f>DIST_DSL_ONI!AL49</f>
        <v>2.0889911902402702E-2</v>
      </c>
      <c r="H35" s="188">
        <f>DIST_DSL_LEV!AJ42</f>
        <v>1.5966307071721289E-3</v>
      </c>
      <c r="I35" s="188">
        <f>DIST_DSL_LEV!AK42</f>
        <v>8.7070491294231431E-2</v>
      </c>
      <c r="J35" s="188">
        <f t="shared" si="5"/>
        <v>0.96839245468152557</v>
      </c>
      <c r="K35" s="188">
        <f>DIST_DSL_CAM!AM49</f>
        <v>0.15063404648084422</v>
      </c>
      <c r="L35" s="188">
        <f>DIST_DSL_CAM!AN49</f>
        <v>0.17594781968137968</v>
      </c>
      <c r="M35" s="188">
        <f>DIST_DSL_CAM!AO49</f>
        <v>0.36800698415784483</v>
      </c>
      <c r="N35" s="188">
        <f>DIST_DSL_ONI!AM49</f>
        <v>9.0327697828127395E-3</v>
      </c>
      <c r="O35" s="188">
        <f>DIST_DSL_ONI!AN49</f>
        <v>0.15991083843951356</v>
      </c>
      <c r="P35" s="188">
        <f>DIST_DSL_ONI!AO49</f>
        <v>2.12335169907596E-2</v>
      </c>
      <c r="Q35" s="188">
        <f>DIST_DSL_LEV!AM42</f>
        <v>1.6784652185529809E-3</v>
      </c>
      <c r="R35" s="188">
        <f>DIST_DSL_LEV!AN42</f>
        <v>9.0009300769262973E-2</v>
      </c>
      <c r="S35" s="188">
        <f t="shared" si="6"/>
        <v>0.97645374152097064</v>
      </c>
      <c r="T35" s="188">
        <f>DIST_DSL_CAM!AP49</f>
        <v>0.14557864626890746</v>
      </c>
      <c r="U35" s="188">
        <f>DIST_DSL_CAM!AQ49</f>
        <v>0.1700428688041544</v>
      </c>
      <c r="V35" s="188">
        <f>DIST_DSL_CAM!AR49</f>
        <v>0.36939847551321431</v>
      </c>
      <c r="W35" s="188">
        <f>DIST_DSL_ONI!AP49</f>
        <v>9.0095369713958807E-3</v>
      </c>
      <c r="X35" s="188">
        <f>DIST_DSL_ONI!AQ49</f>
        <v>0.16548237061243895</v>
      </c>
      <c r="Y35" s="188">
        <f>DIST_DSL_ONI!AR49</f>
        <v>2.1973324399768485E-2</v>
      </c>
      <c r="Z35" s="188">
        <f>DIST_DSL_LEV!AP42</f>
        <v>1.7081085116550151E-3</v>
      </c>
      <c r="AA35" s="188">
        <f>DIST_DSL_LEV!AQ42</f>
        <v>9.1105682595210888E-2</v>
      </c>
      <c r="AB35" s="188">
        <f t="shared" si="7"/>
        <v>0.97429901367674543</v>
      </c>
      <c r="AC35" s="188">
        <f>DIST_DSL_CAM!AS49</f>
        <v>0.12926022899572687</v>
      </c>
      <c r="AD35" s="188">
        <f>DIST_DSL_CAM!AT49</f>
        <v>0.15098217165802666</v>
      </c>
      <c r="AE35" s="188">
        <f>DIST_DSL_CAM!AU49</f>
        <v>0.34113590979501035</v>
      </c>
      <c r="AF35" s="188">
        <f>DIST_DSL_ONI!AS49</f>
        <v>8.3956814989198571E-3</v>
      </c>
      <c r="AG35" s="188">
        <f>DIST_DSL_ONI!AT49</f>
        <v>0.14921336021240328</v>
      </c>
      <c r="AH35" s="188">
        <f>DIST_DSL_ONI!AU49</f>
        <v>1.9813068646480886E-2</v>
      </c>
      <c r="AI35" s="188">
        <f>DIST_DSL_LEV!AS42</f>
        <v>1.5644174899454495E-3</v>
      </c>
      <c r="AJ35" s="188">
        <f>DIST_DSL_LEV!AT42</f>
        <v>8.4098856525717913E-2</v>
      </c>
      <c r="AK35" s="189">
        <f t="shared" si="8"/>
        <v>0.88446369482223119</v>
      </c>
      <c r="AL35" s="188" t="e">
        <f>DIST_DSL_CAM!AV49</f>
        <v>#DIV/0!</v>
      </c>
      <c r="AM35" s="188" t="e">
        <f>DIST_DSL_CAM!AW49</f>
        <v>#DIV/0!</v>
      </c>
      <c r="AN35" s="188" t="e">
        <f>DIST_DSL_CAM!AX49</f>
        <v>#DIV/0!</v>
      </c>
      <c r="AO35" s="188" t="e">
        <f>DIST_DSL_ONI!AV49</f>
        <v>#DIV/0!</v>
      </c>
      <c r="AP35" s="188" t="e">
        <f>DIST_DSL_ONI!AW49</f>
        <v>#DIV/0!</v>
      </c>
      <c r="AQ35" s="188" t="e">
        <f>DIST_DSL_ONI!AX49</f>
        <v>#DIV/0!</v>
      </c>
      <c r="AR35" s="188" t="e">
        <f>DIST_DSL_LEV!AV42</f>
        <v>#DIV/0!</v>
      </c>
      <c r="AS35" s="188" t="e">
        <f>DIST_DSL_LEV!AW42</f>
        <v>#DIV/0!</v>
      </c>
      <c r="AT35" s="189" t="e">
        <f t="shared" si="9"/>
        <v>#DIV/0!</v>
      </c>
      <c r="AV35" s="127" t="s">
        <v>42</v>
      </c>
      <c r="AW35" s="188">
        <f t="shared" si="10"/>
        <v>0.1561670817585252</v>
      </c>
      <c r="AX35" s="188">
        <f t="shared" si="11"/>
        <v>0.18241067131467179</v>
      </c>
      <c r="AY35" s="188">
        <f t="shared" si="12"/>
        <v>0.37666922740016379</v>
      </c>
      <c r="AZ35" s="188">
        <f t="shared" si="13"/>
        <v>9.1621045434056823E-3</v>
      </c>
      <c r="BA35" s="188">
        <f t="shared" si="14"/>
        <v>0.16245802823450711</v>
      </c>
      <c r="BB35" s="188">
        <f t="shared" si="15"/>
        <v>2.1571741705972657E-2</v>
      </c>
      <c r="BC35" s="188">
        <f t="shared" si="16"/>
        <v>1.6487434401760302E-3</v>
      </c>
      <c r="BD35" s="188">
        <f t="shared" si="17"/>
        <v>8.9912401602577782E-2</v>
      </c>
      <c r="BE35" s="188">
        <f t="shared" si="18"/>
        <v>1</v>
      </c>
      <c r="BF35" s="188">
        <f t="shared" si="19"/>
        <v>0.15426644404701598</v>
      </c>
      <c r="BG35" s="188">
        <f t="shared" si="20"/>
        <v>0.18019063494735041</v>
      </c>
      <c r="BH35" s="188">
        <f t="shared" si="21"/>
        <v>0.37688112453194117</v>
      </c>
      <c r="BI35" s="188">
        <f t="shared" si="22"/>
        <v>9.2505864832294754E-3</v>
      </c>
      <c r="BJ35" s="188">
        <f t="shared" si="23"/>
        <v>0.16376693707008472</v>
      </c>
      <c r="BK35" s="188">
        <f t="shared" si="24"/>
        <v>2.1745543171031601E-2</v>
      </c>
      <c r="BL35" s="188">
        <f t="shared" si="25"/>
        <v>1.7189398198613321E-3</v>
      </c>
      <c r="BM35" s="188">
        <f t="shared" si="26"/>
        <v>9.2179789929485265E-2</v>
      </c>
      <c r="BN35" s="188">
        <f t="shared" si="27"/>
        <v>1</v>
      </c>
      <c r="BO35" s="188">
        <f t="shared" si="28"/>
        <v>0.14941885830257834</v>
      </c>
      <c r="BP35" s="188">
        <f t="shared" si="29"/>
        <v>0.17452842137493069</v>
      </c>
      <c r="BQ35" s="188">
        <f t="shared" si="30"/>
        <v>0.37914281994313292</v>
      </c>
      <c r="BR35" s="188">
        <f t="shared" si="31"/>
        <v>9.2471991092306291E-3</v>
      </c>
      <c r="BS35" s="188">
        <f t="shared" si="32"/>
        <v>0.16984762202309175</v>
      </c>
      <c r="BT35" s="188">
        <f t="shared" si="33"/>
        <v>2.2552957656035183E-2</v>
      </c>
      <c r="BU35" s="188">
        <f t="shared" si="34"/>
        <v>1.7531666230565786E-3</v>
      </c>
      <c r="BV35" s="188">
        <f t="shared" si="35"/>
        <v>9.3508954967943841E-2</v>
      </c>
      <c r="BW35" s="188">
        <f t="shared" si="36"/>
        <v>1</v>
      </c>
      <c r="BX35" s="188">
        <f t="shared" si="37"/>
        <v>0.14614531919448309</v>
      </c>
      <c r="BY35" s="188">
        <f t="shared" si="38"/>
        <v>0.17070477006789142</v>
      </c>
      <c r="BZ35" s="188">
        <f t="shared" si="39"/>
        <v>0.38569803576118006</v>
      </c>
      <c r="CA35" s="188">
        <f t="shared" si="40"/>
        <v>9.4923981030191514E-3</v>
      </c>
      <c r="CB35" s="188">
        <f t="shared" si="41"/>
        <v>0.16870490115752435</v>
      </c>
      <c r="CC35" s="188">
        <f t="shared" si="42"/>
        <v>2.2401223207316752E-2</v>
      </c>
      <c r="CD35" s="188">
        <f t="shared" si="43"/>
        <v>1.768775246631104E-3</v>
      </c>
      <c r="CE35" s="188">
        <f t="shared" si="44"/>
        <v>9.5084577261954184E-2</v>
      </c>
      <c r="CF35" s="189">
        <f t="shared" si="45"/>
        <v>1</v>
      </c>
      <c r="CG35" s="188" t="e">
        <f t="shared" si="46"/>
        <v>#DIV/0!</v>
      </c>
      <c r="CH35" s="188" t="e">
        <f t="shared" si="47"/>
        <v>#DIV/0!</v>
      </c>
      <c r="CI35" s="188" t="e">
        <f t="shared" si="48"/>
        <v>#DIV/0!</v>
      </c>
      <c r="CJ35" s="188" t="e">
        <f t="shared" si="49"/>
        <v>#DIV/0!</v>
      </c>
      <c r="CK35" s="188" t="e">
        <f t="shared" si="50"/>
        <v>#DIV/0!</v>
      </c>
      <c r="CL35" s="188" t="e">
        <f t="shared" si="51"/>
        <v>#DIV/0!</v>
      </c>
      <c r="CM35" s="188" t="e">
        <f t="shared" si="52"/>
        <v>#DIV/0!</v>
      </c>
      <c r="CN35" s="188" t="e">
        <f t="shared" si="53"/>
        <v>#DIV/0!</v>
      </c>
      <c r="CO35" s="189" t="e">
        <f t="shared" si="54"/>
        <v>#DIV/0!</v>
      </c>
    </row>
    <row r="36" spans="1:93" ht="39" thickBot="1">
      <c r="A36" s="128" t="s">
        <v>43</v>
      </c>
      <c r="B36" s="188">
        <f>DIST_DSL_CAM!AJ50</f>
        <v>0.28106977389801968</v>
      </c>
      <c r="C36" s="188">
        <f>DIST_DSL_CAM!AK50</f>
        <v>0.32829011659803481</v>
      </c>
      <c r="D36" s="188">
        <f>DIST_DSL_CAM!AL50</f>
        <v>0.43396294522238771</v>
      </c>
      <c r="E36" s="188">
        <f>DIST_DSL_ONI!AJ50</f>
        <v>1.9860611544898741E-2</v>
      </c>
      <c r="F36" s="188">
        <f>DIST_DSL_ONI!AK50</f>
        <v>0.3385376232408468</v>
      </c>
      <c r="G36" s="188">
        <f>DIST_DSL_ONI!AL50</f>
        <v>4.4932287031596616E-2</v>
      </c>
      <c r="H36" s="188">
        <f>DIST_DSL_LEV!AJ43</f>
        <v>3.06119451520975E-3</v>
      </c>
      <c r="I36" s="188">
        <f>DIST_DSL_LEV!AK43</f>
        <v>0.14120318489036673</v>
      </c>
      <c r="J36" s="188">
        <f t="shared" si="5"/>
        <v>1.5909177369413607</v>
      </c>
      <c r="K36" s="188">
        <f>DIST_DSL_CAM!AM50</f>
        <v>0.26268992338072883</v>
      </c>
      <c r="L36" s="188">
        <f>DIST_DSL_CAM!AN50</f>
        <v>0.30682241060569587</v>
      </c>
      <c r="M36" s="188">
        <f>DIST_DSL_CAM!AO50</f>
        <v>0.42919314489909749</v>
      </c>
      <c r="N36" s="188">
        <f>DIST_DSL_ONI!AM50</f>
        <v>1.9968093559720554E-2</v>
      </c>
      <c r="O36" s="188">
        <f>DIST_DSL_ONI!AN50</f>
        <v>0.32269144803634031</v>
      </c>
      <c r="P36" s="188">
        <f>DIST_DSL_ONI!AO50</f>
        <v>4.2829108998308087E-2</v>
      </c>
      <c r="Q36" s="188">
        <f>DIST_DSL_LEV!AM43</f>
        <v>2.995030313640905E-3</v>
      </c>
      <c r="R36" s="188">
        <f>DIST_DSL_LEV!AN43</f>
        <v>0.13849448279880619</v>
      </c>
      <c r="S36" s="188">
        <f t="shared" si="6"/>
        <v>1.5256836425923386</v>
      </c>
      <c r="T36" s="188">
        <f>DIST_DSL_CAM!AP50</f>
        <v>0.24431914549002889</v>
      </c>
      <c r="U36" s="188">
        <f>DIST_DSL_CAM!AQ50</f>
        <v>0.28536530146125016</v>
      </c>
      <c r="V36" s="188">
        <f>DIST_DSL_CAM!AR50</f>
        <v>0.4265021902340273</v>
      </c>
      <c r="W36" s="188">
        <f>DIST_DSL_ONI!AP50</f>
        <v>1.9804076244860896E-2</v>
      </c>
      <c r="X36" s="188">
        <f>DIST_DSL_ONI!AQ50</f>
        <v>0.30889989790296729</v>
      </c>
      <c r="Y36" s="188">
        <f>DIST_DSL_ONI!AR50</f>
        <v>4.0998630355281437E-2</v>
      </c>
      <c r="Z36" s="188">
        <f>DIST_DSL_LEV!AP43</f>
        <v>2.8985965868548506E-3</v>
      </c>
      <c r="AA36" s="188">
        <f>DIST_DSL_LEV!AQ43</f>
        <v>0.13447039525391416</v>
      </c>
      <c r="AB36" s="188">
        <f t="shared" si="7"/>
        <v>1.4632582335291848</v>
      </c>
      <c r="AC36" s="188">
        <f>DIST_DSL_CAM!AS50</f>
        <v>0.23775736137813175</v>
      </c>
      <c r="AD36" s="188">
        <f>DIST_DSL_CAM!AT50</f>
        <v>0.27770112312819528</v>
      </c>
      <c r="AE36" s="188">
        <f>DIST_DSL_CAM!AU50</f>
        <v>0.43330699741592105</v>
      </c>
      <c r="AF36" s="188">
        <f>DIST_DSL_ONI!AS50</f>
        <v>2.0514477463387269E-2</v>
      </c>
      <c r="AG36" s="188">
        <f>DIST_DSL_ONI!AT50</f>
        <v>0.30449360143549487</v>
      </c>
      <c r="AH36" s="188">
        <f>DIST_DSL_ONI!AU50</f>
        <v>4.0413806205671546E-2</v>
      </c>
      <c r="AI36" s="188">
        <f>DIST_DSL_LEV!AS43</f>
        <v>2.9195655418648814E-3</v>
      </c>
      <c r="AJ36" s="188">
        <f>DIST_DSL_LEV!AT43</f>
        <v>0.13652019984893543</v>
      </c>
      <c r="AK36" s="189">
        <f t="shared" si="8"/>
        <v>1.453627132417602</v>
      </c>
      <c r="AL36" s="188" t="e">
        <f>DIST_DSL_CAM!AV50</f>
        <v>#DIV/0!</v>
      </c>
      <c r="AM36" s="188" t="e">
        <f>DIST_DSL_CAM!AW50</f>
        <v>#DIV/0!</v>
      </c>
      <c r="AN36" s="188" t="e">
        <f>DIST_DSL_CAM!AX50</f>
        <v>#DIV/0!</v>
      </c>
      <c r="AO36" s="188" t="e">
        <f>DIST_DSL_ONI!AV50</f>
        <v>#DIV/0!</v>
      </c>
      <c r="AP36" s="188" t="e">
        <f>DIST_DSL_ONI!AW50</f>
        <v>#DIV/0!</v>
      </c>
      <c r="AQ36" s="188" t="e">
        <f>DIST_DSL_ONI!AX50</f>
        <v>#DIV/0!</v>
      </c>
      <c r="AR36" s="188" t="e">
        <f>DIST_DSL_LEV!AV43</f>
        <v>#DIV/0!</v>
      </c>
      <c r="AS36" s="188" t="e">
        <f>DIST_DSL_LEV!AW43</f>
        <v>#DIV/0!</v>
      </c>
      <c r="AT36" s="189" t="e">
        <f t="shared" si="9"/>
        <v>#DIV/0!</v>
      </c>
      <c r="AV36" s="128" t="s">
        <v>43</v>
      </c>
      <c r="AW36" s="188">
        <f t="shared" si="10"/>
        <v>0.17667146915992901</v>
      </c>
      <c r="AX36" s="188">
        <f t="shared" si="11"/>
        <v>0.20635266612162687</v>
      </c>
      <c r="AY36" s="188">
        <f t="shared" si="12"/>
        <v>0.27277522598793119</v>
      </c>
      <c r="AZ36" s="188">
        <f t="shared" si="13"/>
        <v>1.2483745126308048E-2</v>
      </c>
      <c r="BA36" s="188">
        <f t="shared" si="14"/>
        <v>0.21279392100543593</v>
      </c>
      <c r="BB36" s="188">
        <f t="shared" si="15"/>
        <v>2.8242998357653464E-2</v>
      </c>
      <c r="BC36" s="188">
        <f t="shared" si="16"/>
        <v>1.9241689523778198E-3</v>
      </c>
      <c r="BD36" s="188">
        <f t="shared" si="17"/>
        <v>8.8755805288737763E-2</v>
      </c>
      <c r="BE36" s="188">
        <f t="shared" si="18"/>
        <v>0.99999999999999989</v>
      </c>
      <c r="BF36" s="188">
        <f t="shared" si="19"/>
        <v>0.17217850152367359</v>
      </c>
      <c r="BG36" s="188">
        <f t="shared" si="20"/>
        <v>0.20110487000067981</v>
      </c>
      <c r="BH36" s="188">
        <f t="shared" si="21"/>
        <v>0.28131201837481951</v>
      </c>
      <c r="BI36" s="188">
        <f t="shared" si="22"/>
        <v>1.3087964635835066E-2</v>
      </c>
      <c r="BJ36" s="188">
        <f t="shared" si="23"/>
        <v>0.21150613340000474</v>
      </c>
      <c r="BK36" s="188">
        <f t="shared" si="24"/>
        <v>2.8072077200444884E-2</v>
      </c>
      <c r="BL36" s="188">
        <f t="shared" si="25"/>
        <v>1.9630742770184988E-3</v>
      </c>
      <c r="BM36" s="188">
        <f t="shared" si="26"/>
        <v>9.077536058752371E-2</v>
      </c>
      <c r="BN36" s="188">
        <f t="shared" si="27"/>
        <v>0.99999999999999989</v>
      </c>
      <c r="BO36" s="188">
        <f t="shared" si="28"/>
        <v>0.16696926071672497</v>
      </c>
      <c r="BP36" s="188">
        <f t="shared" si="29"/>
        <v>0.19502046523462022</v>
      </c>
      <c r="BQ36" s="188">
        <f t="shared" si="30"/>
        <v>0.29147431428105519</v>
      </c>
      <c r="BR36" s="188">
        <f t="shared" si="31"/>
        <v>1.3534231888171981E-2</v>
      </c>
      <c r="BS36" s="188">
        <f t="shared" si="32"/>
        <v>0.21110415839447674</v>
      </c>
      <c r="BT36" s="188">
        <f t="shared" si="33"/>
        <v>2.8018725209150663E-2</v>
      </c>
      <c r="BU36" s="188">
        <f t="shared" si="34"/>
        <v>1.9809193759763237E-3</v>
      </c>
      <c r="BV36" s="188">
        <f t="shared" si="35"/>
        <v>9.1897924899823999E-2</v>
      </c>
      <c r="BW36" s="188">
        <f t="shared" si="36"/>
        <v>1</v>
      </c>
      <c r="BX36" s="188">
        <f t="shared" si="37"/>
        <v>0.1635614498903204</v>
      </c>
      <c r="BY36" s="188">
        <f t="shared" si="38"/>
        <v>0.191040134663926</v>
      </c>
      <c r="BZ36" s="188">
        <f t="shared" si="39"/>
        <v>0.29808675674295232</v>
      </c>
      <c r="CA36" s="188">
        <f t="shared" si="40"/>
        <v>1.4112613204507671E-2</v>
      </c>
      <c r="CB36" s="188">
        <f t="shared" si="41"/>
        <v>0.2094716001407293</v>
      </c>
      <c r="CC36" s="188">
        <f t="shared" si="42"/>
        <v>2.7802044488848574E-2</v>
      </c>
      <c r="CD36" s="188">
        <f t="shared" si="43"/>
        <v>2.0084693500521016E-3</v>
      </c>
      <c r="CE36" s="188">
        <f t="shared" si="44"/>
        <v>9.3916931518663704E-2</v>
      </c>
      <c r="CF36" s="189">
        <f t="shared" si="45"/>
        <v>1</v>
      </c>
      <c r="CG36" s="188" t="e">
        <f t="shared" si="46"/>
        <v>#DIV/0!</v>
      </c>
      <c r="CH36" s="188" t="e">
        <f t="shared" si="47"/>
        <v>#DIV/0!</v>
      </c>
      <c r="CI36" s="188" t="e">
        <f t="shared" si="48"/>
        <v>#DIV/0!</v>
      </c>
      <c r="CJ36" s="188" t="e">
        <f t="shared" si="49"/>
        <v>#DIV/0!</v>
      </c>
      <c r="CK36" s="188" t="e">
        <f t="shared" si="50"/>
        <v>#DIV/0!</v>
      </c>
      <c r="CL36" s="188" t="e">
        <f t="shared" si="51"/>
        <v>#DIV/0!</v>
      </c>
      <c r="CM36" s="188" t="e">
        <f t="shared" si="52"/>
        <v>#DIV/0!</v>
      </c>
      <c r="CN36" s="188" t="e">
        <f t="shared" si="53"/>
        <v>#DIV/0!</v>
      </c>
      <c r="CO36" s="189" t="e">
        <f t="shared" si="54"/>
        <v>#DIV/0!</v>
      </c>
    </row>
  </sheetData>
  <mergeCells count="52">
    <mergeCell ref="CD2:CE2"/>
    <mergeCell ref="CF2:CF3"/>
    <mergeCell ref="BX1:CF1"/>
    <mergeCell ref="BF2:BH2"/>
    <mergeCell ref="BI2:BK2"/>
    <mergeCell ref="BL2:BM2"/>
    <mergeCell ref="BN2:BN3"/>
    <mergeCell ref="BO2:BQ2"/>
    <mergeCell ref="BR2:BT2"/>
    <mergeCell ref="BU2:BV2"/>
    <mergeCell ref="BW2:BW3"/>
    <mergeCell ref="CA2:CC2"/>
    <mergeCell ref="BX2:BZ2"/>
    <mergeCell ref="AW1:BE1"/>
    <mergeCell ref="BF1:BN1"/>
    <mergeCell ref="BO1:BW1"/>
    <mergeCell ref="AV1:AV3"/>
    <mergeCell ref="AW2:AY2"/>
    <mergeCell ref="AZ2:BB2"/>
    <mergeCell ref="BC2:BD2"/>
    <mergeCell ref="BE2:BE3"/>
    <mergeCell ref="T1:AB1"/>
    <mergeCell ref="T2:V2"/>
    <mergeCell ref="W2:Y2"/>
    <mergeCell ref="Z2:AA2"/>
    <mergeCell ref="AB2:AB3"/>
    <mergeCell ref="AC1:AK1"/>
    <mergeCell ref="AC2:AE2"/>
    <mergeCell ref="AF2:AH2"/>
    <mergeCell ref="AI2:AJ2"/>
    <mergeCell ref="AK2:AK3"/>
    <mergeCell ref="K1:S1"/>
    <mergeCell ref="K2:M2"/>
    <mergeCell ref="N2:P2"/>
    <mergeCell ref="Q2:R2"/>
    <mergeCell ref="S2:S3"/>
    <mergeCell ref="A1:A3"/>
    <mergeCell ref="H2:I2"/>
    <mergeCell ref="E2:G2"/>
    <mergeCell ref="B2:D2"/>
    <mergeCell ref="J2:J3"/>
    <mergeCell ref="B1:J1"/>
    <mergeCell ref="AL1:AT1"/>
    <mergeCell ref="AL2:AN2"/>
    <mergeCell ref="AO2:AQ2"/>
    <mergeCell ref="AR2:AS2"/>
    <mergeCell ref="AT2:AT3"/>
    <mergeCell ref="CG1:CO1"/>
    <mergeCell ref="CG2:CI2"/>
    <mergeCell ref="CJ2:CL2"/>
    <mergeCell ref="CM2:CN2"/>
    <mergeCell ref="CO2:CO3"/>
  </mergeCells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theme="6" tint="-0.249977111117893"/>
  </sheetPr>
  <dimension ref="A1:BE90"/>
  <sheetViews>
    <sheetView topLeftCell="A3" workbookViewId="0">
      <pane xSplit="1" topLeftCell="V20" activePane="topRight" state="frozen"/>
      <selection pane="topRight" activeCell="V20" sqref="V20"/>
    </sheetView>
  </sheetViews>
  <sheetFormatPr defaultColWidth="8.85546875" defaultRowHeight="15"/>
  <cols>
    <col min="1" max="1" width="17.7109375" style="45" customWidth="1"/>
    <col min="2" max="3" width="13.85546875" style="45" bestFit="1" customWidth="1"/>
    <col min="4" max="4" width="15.42578125" style="45" bestFit="1" customWidth="1"/>
    <col min="5" max="6" width="13.85546875" style="45" bestFit="1" customWidth="1"/>
    <col min="7" max="7" width="17.42578125" style="45" bestFit="1" customWidth="1"/>
    <col min="8" max="8" width="13.85546875" style="45" bestFit="1" customWidth="1"/>
    <col min="9" max="9" width="13.85546875" style="45" customWidth="1"/>
    <col min="10" max="10" width="13.85546875" style="46" bestFit="1" customWidth="1"/>
    <col min="11" max="11" width="15.42578125" style="46" customWidth="1"/>
    <col min="12" max="12" width="13.42578125" style="46" customWidth="1"/>
    <col min="13" max="16" width="12.28515625" style="46" customWidth="1"/>
    <col min="17" max="17" width="13" style="46" customWidth="1"/>
    <col min="18" max="18" width="19.85546875" style="46" customWidth="1"/>
    <col min="19" max="20" width="12.42578125" style="46" customWidth="1"/>
    <col min="21" max="21" width="14.140625" style="46" customWidth="1"/>
    <col min="22" max="22" width="13.42578125" style="46" customWidth="1"/>
    <col min="23" max="23" width="15" style="46" customWidth="1"/>
    <col min="24" max="24" width="13.7109375" style="46" customWidth="1"/>
    <col min="25" max="25" width="13.42578125" style="46" customWidth="1"/>
    <col min="26" max="26" width="12.42578125" style="1" customWidth="1"/>
    <col min="27" max="30" width="12.7109375" style="1" bestFit="1" customWidth="1"/>
    <col min="31" max="31" width="12.28515625" style="1" customWidth="1"/>
    <col min="32" max="32" width="12.140625" style="1" customWidth="1"/>
    <col min="33" max="33" width="13.140625" style="1" customWidth="1"/>
    <col min="34" max="57" width="8.85546875" style="1"/>
  </cols>
  <sheetData>
    <row r="1" spans="1:33" ht="15.75" thickBot="1">
      <c r="A1" s="175" t="s">
        <v>440</v>
      </c>
      <c r="B1" s="1204">
        <v>2004</v>
      </c>
      <c r="C1" s="1205"/>
      <c r="D1" s="1204">
        <v>2005</v>
      </c>
      <c r="E1" s="1205"/>
      <c r="F1" s="1204">
        <v>2006</v>
      </c>
      <c r="G1" s="1205"/>
      <c r="H1" s="1204">
        <v>2007</v>
      </c>
      <c r="I1" s="1205"/>
      <c r="J1" s="1204">
        <v>2008</v>
      </c>
      <c r="K1" s="1205"/>
    </row>
    <row r="2" spans="1:33">
      <c r="A2" s="15" t="s">
        <v>441</v>
      </c>
      <c r="B2" s="161">
        <f>LEV!B131</f>
        <v>1539961</v>
      </c>
      <c r="C2" s="187">
        <f>LEV!C131</f>
        <v>6.4189246361648869E-2</v>
      </c>
      <c r="D2" s="161">
        <f>LEV!D131</f>
        <v>1070961</v>
      </c>
      <c r="E2" s="187">
        <f>LEV!E131</f>
        <v>4.2735060469918429E-2</v>
      </c>
      <c r="F2" s="161">
        <f>LEV!F131</f>
        <v>1070961</v>
      </c>
      <c r="G2" s="187">
        <f>LEV!G131</f>
        <v>4.2735060469918429E-2</v>
      </c>
      <c r="H2" s="161">
        <f>LEV!H131</f>
        <v>1070961</v>
      </c>
      <c r="I2" s="187">
        <f>LEV!I131</f>
        <v>4.2735060469918429E-2</v>
      </c>
      <c r="J2" s="161">
        <f>LEV!J131</f>
        <v>0</v>
      </c>
      <c r="K2" s="187" t="e">
        <f>LEV!K131</f>
        <v>#DIV/0!</v>
      </c>
    </row>
    <row r="3" spans="1:33">
      <c r="A3" s="24" t="s">
        <v>442</v>
      </c>
      <c r="B3" s="161">
        <f>LEV!B140</f>
        <v>159204</v>
      </c>
      <c r="C3" s="187">
        <f>LEV!C140</f>
        <v>3.7026028737244129E-2</v>
      </c>
      <c r="D3" s="161">
        <f>LEV!D140</f>
        <v>115322</v>
      </c>
      <c r="E3" s="187">
        <f>LEV!E140</f>
        <v>2.523683191777995E-2</v>
      </c>
      <c r="F3" s="161">
        <f>LEV!F140</f>
        <v>115322</v>
      </c>
      <c r="G3" s="187">
        <f>LEV!G140</f>
        <v>2.523683191777995E-2</v>
      </c>
      <c r="H3" s="161">
        <f>LEV!H140</f>
        <v>115322</v>
      </c>
      <c r="I3" s="187">
        <f>LEV!I140</f>
        <v>2.523683191777995E-2</v>
      </c>
      <c r="J3" s="161">
        <f>LEV!J140</f>
        <v>0</v>
      </c>
      <c r="K3" s="187" t="e">
        <f>LEV!K140</f>
        <v>#DIV/0!</v>
      </c>
    </row>
    <row r="4" spans="1:33">
      <c r="A4" s="211" t="s">
        <v>443</v>
      </c>
      <c r="B4" s="212">
        <f>LEV!B130</f>
        <v>8200344</v>
      </c>
      <c r="C4" s="213">
        <f>LEV!C130</f>
        <v>0.34180989081299407</v>
      </c>
      <c r="D4" s="212">
        <f>LEV!D130</f>
        <v>10380645</v>
      </c>
      <c r="E4" s="213">
        <f>LEV!E130</f>
        <v>0.41422375958765667</v>
      </c>
      <c r="F4" s="212">
        <f>LEV!F130</f>
        <v>10380645</v>
      </c>
      <c r="G4" s="213">
        <f>LEV!G130</f>
        <v>0.41422375958765667</v>
      </c>
      <c r="H4" s="212">
        <f>LEV!H130</f>
        <v>10380645</v>
      </c>
      <c r="I4" s="213">
        <f>LEV!I130</f>
        <v>0.41422375958765667</v>
      </c>
      <c r="J4" s="212">
        <f>LEV!J130</f>
        <v>0</v>
      </c>
      <c r="K4" s="213" t="e">
        <f>LEV!K130</f>
        <v>#DIV/0!</v>
      </c>
    </row>
    <row r="5" spans="1:33">
      <c r="A5" s="211" t="s">
        <v>444</v>
      </c>
      <c r="B5" s="149">
        <f>LEV!B139</f>
        <v>1015330</v>
      </c>
      <c r="C5" s="201">
        <f>LEV!C139</f>
        <v>0.23613500764921788</v>
      </c>
      <c r="D5" s="149">
        <f>LEV!D139</f>
        <v>1343536</v>
      </c>
      <c r="E5" s="201">
        <f>LEV!E139</f>
        <v>0.29401668551955745</v>
      </c>
      <c r="F5" s="149">
        <f>LEV!F139</f>
        <v>1343536</v>
      </c>
      <c r="G5" s="201">
        <f>LEV!G139</f>
        <v>0.29401668551955745</v>
      </c>
      <c r="H5" s="149">
        <f>LEV!H139</f>
        <v>1343536</v>
      </c>
      <c r="I5" s="201">
        <f>LEV!I139</f>
        <v>0.29401668551955745</v>
      </c>
      <c r="J5" s="149">
        <f>LEV!J139</f>
        <v>0</v>
      </c>
      <c r="K5" s="201" t="e">
        <f>LEV!K139</f>
        <v>#DIV/0!</v>
      </c>
    </row>
    <row r="6" spans="1:33" ht="15.75" thickBot="1">
      <c r="A6" s="39" t="s">
        <v>449</v>
      </c>
      <c r="B6" s="150">
        <f t="shared" ref="B6:K6" si="0">SUM(B2:B5)</f>
        <v>10914839</v>
      </c>
      <c r="C6" s="267">
        <f t="shared" si="0"/>
        <v>0.67916017356110492</v>
      </c>
      <c r="D6" s="150">
        <f t="shared" si="0"/>
        <v>12910464</v>
      </c>
      <c r="E6" s="267">
        <f t="shared" si="0"/>
        <v>0.77621233749491259</v>
      </c>
      <c r="F6" s="150">
        <f t="shared" si="0"/>
        <v>12910464</v>
      </c>
      <c r="G6" s="267">
        <f t="shared" si="0"/>
        <v>0.77621233749491259</v>
      </c>
      <c r="H6" s="150">
        <f t="shared" si="0"/>
        <v>12910464</v>
      </c>
      <c r="I6" s="267">
        <f t="shared" si="0"/>
        <v>0.77621233749491259</v>
      </c>
      <c r="J6" s="150">
        <f t="shared" si="0"/>
        <v>0</v>
      </c>
      <c r="K6" s="267" t="e">
        <f t="shared" si="0"/>
        <v>#DIV/0!</v>
      </c>
    </row>
    <row r="7" spans="1:33" ht="15.75" thickBot="1">
      <c r="B7" s="199"/>
      <c r="C7" s="199"/>
      <c r="D7" s="200"/>
      <c r="E7" s="199"/>
      <c r="F7" s="199"/>
      <c r="G7" s="200"/>
    </row>
    <row r="8" spans="1:33" ht="15.75" thickBot="1">
      <c r="B8" s="1037" t="s">
        <v>78</v>
      </c>
      <c r="C8" s="1038"/>
      <c r="D8" s="1038"/>
      <c r="E8" s="1038"/>
      <c r="F8" s="1038"/>
      <c r="G8" s="1038"/>
      <c r="H8" s="1038"/>
      <c r="I8" s="1038"/>
      <c r="J8" s="1038"/>
      <c r="K8" s="1038"/>
      <c r="L8" s="1038"/>
      <c r="M8" s="1038"/>
      <c r="N8" s="1038"/>
      <c r="O8" s="1038"/>
      <c r="P8" s="1039"/>
      <c r="R8" s="45"/>
      <c r="S8" s="1209" t="s">
        <v>445</v>
      </c>
      <c r="T8" s="1210"/>
      <c r="U8" s="1210"/>
      <c r="V8" s="1210"/>
      <c r="W8" s="1210"/>
      <c r="X8" s="1210"/>
      <c r="Y8" s="1210"/>
      <c r="Z8" s="1210"/>
      <c r="AA8" s="1210"/>
      <c r="AB8" s="1210"/>
      <c r="AC8" s="1210"/>
      <c r="AD8" s="1210"/>
      <c r="AE8" s="1210"/>
      <c r="AF8" s="1210"/>
      <c r="AG8" s="1211"/>
    </row>
    <row r="9" spans="1:33">
      <c r="A9" s="46"/>
      <c r="B9" s="1197">
        <v>2009</v>
      </c>
      <c r="C9" s="1198"/>
      <c r="D9" s="1199"/>
      <c r="E9" s="1197">
        <v>2010</v>
      </c>
      <c r="F9" s="1198"/>
      <c r="G9" s="1199"/>
      <c r="H9" s="1197">
        <v>2011</v>
      </c>
      <c r="I9" s="1198"/>
      <c r="J9" s="1199"/>
      <c r="K9" s="1197">
        <v>2012</v>
      </c>
      <c r="L9" s="1198"/>
      <c r="M9" s="1199"/>
      <c r="N9" s="1197">
        <v>2008</v>
      </c>
      <c r="O9" s="1198"/>
      <c r="P9" s="1199"/>
      <c r="S9" s="1206">
        <v>2004</v>
      </c>
      <c r="T9" s="1207"/>
      <c r="U9" s="1208"/>
      <c r="V9" s="1206">
        <v>2005</v>
      </c>
      <c r="W9" s="1207"/>
      <c r="X9" s="1208"/>
      <c r="Y9" s="1206">
        <v>2006</v>
      </c>
      <c r="Z9" s="1207"/>
      <c r="AA9" s="1208"/>
      <c r="AB9" s="1206">
        <v>2007</v>
      </c>
      <c r="AC9" s="1207"/>
      <c r="AD9" s="1208"/>
      <c r="AE9" s="1206">
        <v>2008</v>
      </c>
      <c r="AF9" s="1207"/>
      <c r="AG9" s="1208"/>
    </row>
    <row r="10" spans="1:33" ht="15.75" thickBot="1">
      <c r="B10" s="216" t="s">
        <v>98</v>
      </c>
      <c r="C10" s="218" t="s">
        <v>434</v>
      </c>
      <c r="D10" s="219" t="s">
        <v>1</v>
      </c>
      <c r="E10" s="216" t="s">
        <v>98</v>
      </c>
      <c r="F10" s="218" t="s">
        <v>434</v>
      </c>
      <c r="G10" s="219" t="s">
        <v>1</v>
      </c>
      <c r="H10" s="216" t="s">
        <v>98</v>
      </c>
      <c r="I10" s="218" t="s">
        <v>434</v>
      </c>
      <c r="J10" s="219" t="s">
        <v>1</v>
      </c>
      <c r="K10" s="216" t="s">
        <v>98</v>
      </c>
      <c r="L10" s="218" t="s">
        <v>434</v>
      </c>
      <c r="M10" s="219" t="s">
        <v>1</v>
      </c>
      <c r="N10" s="216" t="s">
        <v>98</v>
      </c>
      <c r="O10" s="218" t="s">
        <v>434</v>
      </c>
      <c r="P10" s="219" t="s">
        <v>1</v>
      </c>
      <c r="Q10" s="214"/>
      <c r="R10" s="45"/>
      <c r="S10" s="216" t="s">
        <v>98</v>
      </c>
      <c r="T10" s="218" t="s">
        <v>434</v>
      </c>
      <c r="U10" s="219" t="s">
        <v>1</v>
      </c>
      <c r="V10" s="216" t="s">
        <v>98</v>
      </c>
      <c r="W10" s="218" t="s">
        <v>434</v>
      </c>
      <c r="X10" s="219" t="s">
        <v>1</v>
      </c>
      <c r="Y10" s="216" t="s">
        <v>98</v>
      </c>
      <c r="Z10" s="218" t="s">
        <v>434</v>
      </c>
      <c r="AA10" s="219" t="s">
        <v>1</v>
      </c>
      <c r="AB10" s="216" t="s">
        <v>98</v>
      </c>
      <c r="AC10" s="218" t="s">
        <v>434</v>
      </c>
      <c r="AD10" s="219" t="s">
        <v>1</v>
      </c>
      <c r="AE10" s="216" t="s">
        <v>98</v>
      </c>
      <c r="AF10" s="218" t="s">
        <v>434</v>
      </c>
      <c r="AG10" s="219" t="s">
        <v>1</v>
      </c>
    </row>
    <row r="11" spans="1:33" ht="15.75" thickBot="1">
      <c r="A11" s="231" t="s">
        <v>11</v>
      </c>
      <c r="B11" s="203">
        <f t="shared" ref="B11:M11" si="1">B12+B20+B30+B35+B39</f>
        <v>3474781.5208330946</v>
      </c>
      <c r="C11" s="203">
        <f t="shared" si="1"/>
        <v>5757441.3791107545</v>
      </c>
      <c r="D11" s="203">
        <f t="shared" si="1"/>
        <v>9232222.8999438491</v>
      </c>
      <c r="E11" s="203">
        <f t="shared" si="1"/>
        <v>3456834.070563837</v>
      </c>
      <c r="F11" s="203">
        <f t="shared" si="1"/>
        <v>5437799.8911770852</v>
      </c>
      <c r="G11" s="203">
        <f t="shared" si="1"/>
        <v>8894633.9617409203</v>
      </c>
      <c r="H11" s="203">
        <f t="shared" si="1"/>
        <v>3784281.6294028573</v>
      </c>
      <c r="I11" s="203">
        <f t="shared" si="1"/>
        <v>4176776.0890565431</v>
      </c>
      <c r="J11" s="203">
        <f t="shared" si="1"/>
        <v>7961057.7184594003</v>
      </c>
      <c r="K11" s="203">
        <f t="shared" si="1"/>
        <v>4064869.3904541936</v>
      </c>
      <c r="L11" s="203">
        <f t="shared" si="1"/>
        <v>3883946.364954426</v>
      </c>
      <c r="M11" s="203">
        <f t="shared" si="1"/>
        <v>7948815.7554086195</v>
      </c>
      <c r="N11" s="203" t="e">
        <f>N12+N20+N30+N35+N39</f>
        <v>#DIV/0!</v>
      </c>
      <c r="O11" s="203" t="e">
        <f>O12+O20+O30+O35+O39</f>
        <v>#DIV/0!</v>
      </c>
      <c r="P11" s="203" t="e">
        <f>P12+P20+P30+P35+P39</f>
        <v>#VALUE!</v>
      </c>
      <c r="Q11" s="214"/>
      <c r="R11" s="231" t="s">
        <v>11</v>
      </c>
      <c r="S11" s="203">
        <f t="shared" ref="S11:AD11" si="2">S12+S20+S30+S35+S39</f>
        <v>353544.06254711968</v>
      </c>
      <c r="T11" s="203">
        <f t="shared" si="2"/>
        <v>700568.61763528956</v>
      </c>
      <c r="U11" s="203">
        <f t="shared" si="2"/>
        <v>1054112.6801824092</v>
      </c>
      <c r="V11" s="203">
        <f t="shared" si="2"/>
        <v>354707.33895462524</v>
      </c>
      <c r="W11" s="203">
        <f t="shared" si="2"/>
        <v>678795.02382415358</v>
      </c>
      <c r="X11" s="203">
        <f t="shared" si="2"/>
        <v>1033502.3627787787</v>
      </c>
      <c r="Y11" s="203">
        <f t="shared" si="2"/>
        <v>403754.80221952446</v>
      </c>
      <c r="Z11" s="203">
        <f t="shared" si="2"/>
        <v>541238.62098673708</v>
      </c>
      <c r="AA11" s="203">
        <f t="shared" si="2"/>
        <v>944993.42320626148</v>
      </c>
      <c r="AB11" s="203">
        <f t="shared" si="2"/>
        <v>452036.99776075041</v>
      </c>
      <c r="AC11" s="203">
        <f t="shared" si="2"/>
        <v>522644.24451669113</v>
      </c>
      <c r="AD11" s="203">
        <f t="shared" si="2"/>
        <v>974681.24227744155</v>
      </c>
      <c r="AE11" s="203" t="e">
        <f>AE12+AE20+AE30+AE35+AE39</f>
        <v>#DIV/0!</v>
      </c>
      <c r="AF11" s="203" t="e">
        <f>AF12+AF20+AF30+AF35+AF39</f>
        <v>#DIV/0!</v>
      </c>
      <c r="AG11" s="203" t="e">
        <f>AG12+AG20+AG30+AG35+AG39</f>
        <v>#DIV/0!</v>
      </c>
    </row>
    <row r="12" spans="1:33" ht="15.75" thickBot="1">
      <c r="A12" s="231" t="s">
        <v>46</v>
      </c>
      <c r="B12" s="215">
        <f>SUM(B13:B19)</f>
        <v>22426.413063022799</v>
      </c>
      <c r="C12" s="215">
        <f t="shared" ref="C12:M12" si="3">SUM(C13:C19)</f>
        <v>98783.455165014166</v>
      </c>
      <c r="D12" s="215">
        <f t="shared" si="3"/>
        <v>121209.86822803694</v>
      </c>
      <c r="E12" s="215">
        <f t="shared" si="3"/>
        <v>21371.600964255103</v>
      </c>
      <c r="F12" s="215">
        <f t="shared" si="3"/>
        <v>83719.837176859248</v>
      </c>
      <c r="G12" s="215">
        <f t="shared" si="3"/>
        <v>105091.43814111434</v>
      </c>
      <c r="H12" s="215">
        <f t="shared" si="3"/>
        <v>22137.7795890405</v>
      </c>
      <c r="I12" s="215">
        <f t="shared" si="3"/>
        <v>64057.62770538326</v>
      </c>
      <c r="J12" s="215">
        <f t="shared" si="3"/>
        <v>86195.407294423771</v>
      </c>
      <c r="K12" s="215">
        <f t="shared" si="3"/>
        <v>21942.09861726356</v>
      </c>
      <c r="L12" s="215">
        <f t="shared" si="3"/>
        <v>52779.653099886418</v>
      </c>
      <c r="M12" s="215">
        <f t="shared" si="3"/>
        <v>74721.751717149979</v>
      </c>
      <c r="N12" s="215" t="e">
        <f>SUM(N13:N19)</f>
        <v>#DIV/0!</v>
      </c>
      <c r="O12" s="215">
        <f>SUM(O13:O19)</f>
        <v>0</v>
      </c>
      <c r="P12" s="215" t="e">
        <f>SUM(P13:P19)</f>
        <v>#VALUE!</v>
      </c>
      <c r="R12" s="231" t="s">
        <v>46</v>
      </c>
      <c r="S12" s="215">
        <f t="shared" ref="S12:AD12" si="4">SUM(S13:S19)</f>
        <v>3125.2989075871519</v>
      </c>
      <c r="T12" s="215">
        <f t="shared" si="4"/>
        <v>16509.608785374468</v>
      </c>
      <c r="U12" s="215">
        <f t="shared" si="4"/>
        <v>19634.90769296162</v>
      </c>
      <c r="V12" s="215">
        <f t="shared" si="4"/>
        <v>2959.6199043948227</v>
      </c>
      <c r="W12" s="215">
        <f t="shared" si="4"/>
        <v>13849.934113047169</v>
      </c>
      <c r="X12" s="215">
        <f t="shared" si="4"/>
        <v>16809.554017441995</v>
      </c>
      <c r="Y12" s="215">
        <f t="shared" si="4"/>
        <v>3100.0123134124538</v>
      </c>
      <c r="Z12" s="215">
        <f t="shared" si="4"/>
        <v>10709.255576713873</v>
      </c>
      <c r="AA12" s="215">
        <f t="shared" si="4"/>
        <v>13809.267890126328</v>
      </c>
      <c r="AB12" s="215">
        <f t="shared" si="4"/>
        <v>3142.8996570631202</v>
      </c>
      <c r="AC12" s="215">
        <f t="shared" si="4"/>
        <v>9009.8029504576716</v>
      </c>
      <c r="AD12" s="215">
        <f t="shared" si="4"/>
        <v>12152.702607520792</v>
      </c>
      <c r="AE12" s="215" t="e">
        <f>SUM(AE13:AE19)</f>
        <v>#DIV/0!</v>
      </c>
      <c r="AF12" s="215">
        <f>SUM(AF13:AF19)</f>
        <v>0</v>
      </c>
      <c r="AG12" s="215" t="e">
        <f>SUM(AG13:AG19)</f>
        <v>#DIV/0!</v>
      </c>
    </row>
    <row r="13" spans="1:33" ht="15.75" thickBot="1">
      <c r="A13" s="190" t="s">
        <v>13</v>
      </c>
      <c r="B13" s="920">
        <f>(DEN!$C5)*ONSV_2013!D4*FRO_TOT!AH7</f>
        <v>969.36110409331161</v>
      </c>
      <c r="C13" s="940">
        <f>DEN!$C5*ONSV_2013!$C4*(COMB_CORR!G5*0.75)/(COMB_CORR!B5-SUM(DIST_GAS_MOT!X14:AA14)+0.75*(COMB_CORR!G5))</f>
        <v>4544.9708224441902</v>
      </c>
      <c r="D13" s="929">
        <f>B13+C13</f>
        <v>5514.3319265375021</v>
      </c>
      <c r="E13" s="920">
        <f>(DEN!$C41)*ONSV_2013!D4*FRO_TOT!AH45</f>
        <v>912.12225338257485</v>
      </c>
      <c r="F13" s="940">
        <f>DEN!$C41*ONSV_2013!$C4*(COMB_CORR!H5*0.75)/(COMB_CORR!C5-SUM(DIST_GAS_MOT!AB14:AE14)+0.75*(COMB_CORR!H5))</f>
        <v>3657.022032129652</v>
      </c>
      <c r="G13" s="929">
        <f>E13+F13</f>
        <v>4569.1442855122268</v>
      </c>
      <c r="H13" s="920">
        <f>(DEN!$C77)*ONSV_2013!D4*FRO_TOT!AH83</f>
        <v>1254.5759953407542</v>
      </c>
      <c r="I13" s="940">
        <f>DEN!$C77*ONSV_2013!$C4*(COMB_CORR!I5*0.75)/(COMB_CORR!D5-SUM(DIST_GAS_MOT!AF14:AI14)+0.75*(COMB_CORR!I5))</f>
        <v>3602.6334768728848</v>
      </c>
      <c r="J13" s="204">
        <f>H13+I13</f>
        <v>4857.2094722136389</v>
      </c>
      <c r="K13" s="938">
        <f>(DEN!$C113)*ONSV_2013!D4*FRO_TOT!AH121</f>
        <v>991.0991648232424</v>
      </c>
      <c r="L13" s="941">
        <f>DEN!$C113*ONSV_2013!$C4*(COMB_CORR!J5*0.75)/(COMB_CORR!E5-SUM(DIST_GAS_MOT!AJ14:AM14)+0.75*(COMB_CORR!J5))</f>
        <v>2559.6646622278822</v>
      </c>
      <c r="M13" s="204">
        <f t="shared" ref="M13:M43" si="5">K13+L13</f>
        <v>3550.7638270511247</v>
      </c>
      <c r="N13" s="56" t="s">
        <v>472</v>
      </c>
      <c r="O13" s="205">
        <f>IF(FLEX!Q7="ALC",(DEN!$C149*$K$4*0.95),0)</f>
        <v>0</v>
      </c>
      <c r="P13" s="204" t="e">
        <f>N13+O13</f>
        <v>#VALUE!</v>
      </c>
      <c r="R13" s="190" t="s">
        <v>13</v>
      </c>
      <c r="S13" s="943">
        <f>(DEN!$F5+DEN!$G5+DEN!$L5)*ONSV_2013!J4*FRO_TOT!AH7</f>
        <v>124.4551685356853</v>
      </c>
      <c r="T13" s="942">
        <f>(DEN!$F5+DEN!$G5+DEN!$L5)*ONSV_2013!$I4*(COMB_CORR!G5*0.75)/(COMB_CORR!B5-SUM(DIST_GAS_MOT!X14:AA14)+0.75*(COMB_CORR!G5))</f>
        <v>699.47026544487301</v>
      </c>
      <c r="U13" s="204">
        <f t="shared" ref="U13:U19" si="6">S13+T13</f>
        <v>823.9254339805583</v>
      </c>
      <c r="V13" s="943">
        <f>(DEN!$F41+DEN!$G41+DEN!$L41)*ONSV_2013!J4*FRO_TOT!AH45</f>
        <v>115.64876069256377</v>
      </c>
      <c r="W13" s="942">
        <f>(DEN!$F41+DEN!$G41+DEN!$L41)*ONSV_2013!$I4*(COMB_CORR!H5*0.75)/(COMB_CORR!C5-SUM(DIST_GAS_MOT!AB14:AE14)+0.75*(COMB_CORR!H5))</f>
        <v>555.80995178634828</v>
      </c>
      <c r="X13" s="204">
        <f>V13+W13</f>
        <v>671.45871247891205</v>
      </c>
      <c r="Y13" s="943">
        <f>(DEN!$F77+DEN!$G77+DEN!$L77)*ONSV_2013!J4*FRO_TOT!AH83</f>
        <v>159.08056866778855</v>
      </c>
      <c r="Z13" s="942">
        <f>(DEN!$F77+DEN!$G77+DEN!$L77)*ONSV_2013!$I4*(COMB_CORR!I5*0.75)/(COMB_CORR!D5-SUM(DIST_GAS_MOT!AF14:AI14)+0.75*(COMB_CORR!I5))</f>
        <v>547.58438037556471</v>
      </c>
      <c r="AA13" s="204">
        <f>Y13+Z13</f>
        <v>706.66494904335332</v>
      </c>
      <c r="AB13" s="943">
        <f>(DEN!$F113+DEN!$G113+DEN!$L113)*ONSV_2013!J4*FRO_TOT!AH121</f>
        <v>126.55332174822803</v>
      </c>
      <c r="AC13" s="942">
        <f>(DEN!$F113+DEN!$G113+DEN!$L113)*ONSV_2013!$I4*(COMB_CORR!J5*0.75)/(COMB_CORR!E5-SUM(DIST_GAS_MOT!AJ14:AM14)+0.75*(COMB_CORR!J5))</f>
        <v>391.78727079674826</v>
      </c>
      <c r="AD13" s="206">
        <f>AB13+AC13</f>
        <v>518.34059254497629</v>
      </c>
      <c r="AE13" s="55" t="e">
        <f>(DEN!$F149+DEN!$G149+DEN!$L149)*$K$3*FRO_TOT!AH159</f>
        <v>#DIV/0!</v>
      </c>
      <c r="AF13" s="205">
        <f>IF(FLEX!Q7="ALC",((DEN!$F149+DEN!$G149+DEN!$L149)*$K$5*0.95),0)</f>
        <v>0</v>
      </c>
      <c r="AG13" s="206" t="e">
        <f>AE13+AF13</f>
        <v>#DIV/0!</v>
      </c>
    </row>
    <row r="14" spans="1:33" ht="15.75" thickBot="1">
      <c r="A14" s="130" t="s">
        <v>14</v>
      </c>
      <c r="B14" s="920">
        <f>(DEN!$C6)*ONSV_2013!D5*FRO_TOT!AH8</f>
        <v>276.62817756503011</v>
      </c>
      <c r="C14" s="940">
        <f>DEN!$C6*ONSV_2013!$C5*(COMB_CORR!G6*0.75)/(COMB_CORR!B6-SUM(DIST_GAS_MOT!X15:AA15)+0.75*(COMB_CORR!G6))</f>
        <v>2532.8474004648151</v>
      </c>
      <c r="D14" s="204">
        <f t="shared" ref="D14:D43" si="7">B14+C14</f>
        <v>2809.4755780298451</v>
      </c>
      <c r="E14" s="920">
        <f>(DEN!$C42)*ONSV_2013!D5*FRO_TOT!AH46</f>
        <v>263.39402527954695</v>
      </c>
      <c r="F14" s="940">
        <f>DEN!$C42*ONSV_2013!$C5*(COMB_CORR!H6*0.75)/(COMB_CORR!C6-SUM(DIST_GAS_MOT!AB15:AE15)+0.75*(COMB_CORR!H6))</f>
        <v>2205.0363828372615</v>
      </c>
      <c r="G14" s="204">
        <f t="shared" ref="G14:G43" si="8">E14+F14</f>
        <v>2468.4304081168084</v>
      </c>
      <c r="H14" s="920">
        <f>(DEN!$C78)*ONSV_2013!D5*FRO_TOT!AH84</f>
        <v>297.34691416844737</v>
      </c>
      <c r="I14" s="940">
        <f>DEN!$C78*ONSV_2013!$C5*(COMB_CORR!I6*0.75)/(COMB_CORR!D6-SUM(DIST_GAS_MOT!AF15:AI15)+0.75*(COMB_CORR!I6))</f>
        <v>1796.0901267317797</v>
      </c>
      <c r="J14" s="204">
        <f t="shared" ref="J14:J43" si="9">H14+I14</f>
        <v>2093.4370409002272</v>
      </c>
      <c r="K14" s="938">
        <f>(DEN!$C114)*ONSV_2013!D5*FRO_TOT!AH122</f>
        <v>232.95001560255838</v>
      </c>
      <c r="L14" s="941">
        <f>DEN!$C114*ONSV_2013!$C5*(COMB_CORR!J6*0.75)/(COMB_CORR!E6-SUM(DIST_GAS_MOT!AJ15:AM15)+0.75*(COMB_CORR!J6))</f>
        <v>1135.8744973162998</v>
      </c>
      <c r="M14" s="204">
        <f t="shared" si="5"/>
        <v>1368.8245129188581</v>
      </c>
      <c r="N14" s="56" t="e">
        <f>(DEN!$C150)*$K$2*FRO_TOT!AH160</f>
        <v>#DIV/0!</v>
      </c>
      <c r="O14" s="205">
        <f>IF(FLEX!Q8="ALC",(DEN!$C150*$K$4*0.95),0)</f>
        <v>0</v>
      </c>
      <c r="P14" s="204" t="e">
        <f t="shared" ref="P14:P19" si="10">N14+O14</f>
        <v>#DIV/0!</v>
      </c>
      <c r="R14" s="130" t="s">
        <v>14</v>
      </c>
      <c r="S14" s="943">
        <f>(DEN!$F6+DEN!$G6+DEN!$L6)*ONSV_2013!J5*FRO_TOT!AH8</f>
        <v>39.616587183975277</v>
      </c>
      <c r="T14" s="942">
        <f>(DEN!$F6+DEN!$G6+DEN!$L6)*ONSV_2013!$I5*(COMB_CORR!G6*0.75)/(COMB_CORR!B6-SUM(DIST_GAS_MOT!X15:AA15)+0.75*(COMB_CORR!G6))</f>
        <v>436.4908676127784</v>
      </c>
      <c r="U14" s="204">
        <f t="shared" si="6"/>
        <v>476.1074547967537</v>
      </c>
      <c r="V14" s="943">
        <f>(DEN!$F42+DEN!$G42+DEN!$L42)*ONSV_2013!J5*FRO_TOT!AH46</f>
        <v>38.145023871216765</v>
      </c>
      <c r="W14" s="942">
        <f>(DEN!$F42+DEN!$G42+DEN!$L42)*ONSV_2013!$I5*(COMB_CORR!H6*0.75)/(COMB_CORR!C6-SUM(DIST_GAS_MOT!AB15:AE15)+0.75*(COMB_CORR!H6))</f>
        <v>384.26711826490555</v>
      </c>
      <c r="X14" s="204">
        <f t="shared" ref="X14:X43" si="11">V14+W14</f>
        <v>422.41214213612233</v>
      </c>
      <c r="Y14" s="943">
        <f>(DEN!$F78+DEN!$G78+DEN!$L78)*ONSV_2013!J5*FRO_TOT!AH84</f>
        <v>43.556391149933667</v>
      </c>
      <c r="Z14" s="942">
        <f>(DEN!$F78+DEN!$G78+DEN!$L78)*ONSV_2013!$I5*(COMB_CORR!I6*0.75)/(COMB_CORR!D6-SUM(DIST_GAS_MOT!AF15:AI15)+0.75*(COMB_CORR!I6))</f>
        <v>316.59355616907436</v>
      </c>
      <c r="AA14" s="204">
        <f t="shared" ref="AA14:AA43" si="12">Y14+Z14</f>
        <v>360.14994731900805</v>
      </c>
      <c r="AB14" s="943">
        <f>(DEN!$F114+DEN!$G114+DEN!$L114)*ONSV_2013!J5*FRO_TOT!AH122</f>
        <v>35.594561847966865</v>
      </c>
      <c r="AC14" s="942">
        <f>(DEN!$F114+DEN!$G114+DEN!$L114)*ONSV_2013!$I5*(COMB_CORR!J6*0.75)/(COMB_CORR!E6-SUM(DIST_GAS_MOT!AJ15:AM15)+0.75*(COMB_CORR!J6))</f>
        <v>208.85109111200441</v>
      </c>
      <c r="AD14" s="206">
        <f t="shared" ref="AD14:AD43" si="13">AB14+AC14</f>
        <v>244.44565295997128</v>
      </c>
      <c r="AE14" s="55" t="e">
        <f>(DEN!$F150+DEN!$G150+DEN!$L150)*$K$3*FRO_TOT!AH160</f>
        <v>#DIV/0!</v>
      </c>
      <c r="AF14" s="205">
        <f>IF(FLEX!Q8="ALC",((DEN!$F150+DEN!$G150+DEN!$L150)*$K$5*0.95),0)</f>
        <v>0</v>
      </c>
      <c r="AG14" s="206" t="e">
        <f t="shared" ref="AG14:AG19" si="14">AE14+AF14</f>
        <v>#DIV/0!</v>
      </c>
    </row>
    <row r="15" spans="1:33" ht="15.75" thickBot="1">
      <c r="A15" s="130" t="s">
        <v>15</v>
      </c>
      <c r="B15" s="920">
        <f>(DEN!$C7)*ONSV_2013!D6*FRO_TOT!AH9</f>
        <v>6133.7696345363156</v>
      </c>
      <c r="C15" s="940">
        <f>DEN!$C7*ONSV_2013!$C6*(COMB_CORR!G7*0.75)/(COMB_CORR!B7-SUM(DIST_GAS_MOT!X16:AA16)+0.75*(COMB_CORR!G7))</f>
        <v>20124.238486255035</v>
      </c>
      <c r="D15" s="204">
        <f t="shared" si="7"/>
        <v>26258.00812079135</v>
      </c>
      <c r="E15" s="920">
        <f>(DEN!$C43)*ONSV_2013!D6*FRO_TOT!AH47</f>
        <v>4980.3874216674576</v>
      </c>
      <c r="F15" s="940">
        <f>DEN!$C43*ONSV_2013!$C6*(COMB_CORR!H7*0.75)/(COMB_CORR!C7-SUM(DIST_GAS_MOT!AB16:AE16)+0.75*(COMB_CORR!H7))</f>
        <v>14883.757624152686</v>
      </c>
      <c r="G15" s="204">
        <f t="shared" si="8"/>
        <v>19864.145045820143</v>
      </c>
      <c r="H15" s="920">
        <f>(DEN!$C79)*ONSV_2013!D6*FRO_TOT!AH85</f>
        <v>5496.8673976839909</v>
      </c>
      <c r="I15" s="940">
        <f>DEN!$C79*ONSV_2013!$C6*(COMB_CORR!I7*0.75)/(COMB_CORR!D7-SUM(DIST_GAS_MOT!AF16:AI16)+0.75*(COMB_CORR!I7))</f>
        <v>11736.275170546811</v>
      </c>
      <c r="J15" s="204">
        <f t="shared" si="9"/>
        <v>17233.142568230804</v>
      </c>
      <c r="K15" s="938">
        <f>(DEN!$C115)*ONSV_2013!D6*FRO_TOT!AH123</f>
        <v>6431.1187719984246</v>
      </c>
      <c r="L15" s="941">
        <f>DEN!$C115*ONSV_2013!$C6*(COMB_CORR!J7*0.75)/(COMB_CORR!E7-SUM(DIST_GAS_MOT!AJ16:AM16)+0.75*(COMB_CORR!J7))</f>
        <v>11796.807718720063</v>
      </c>
      <c r="M15" s="204">
        <f t="shared" si="5"/>
        <v>18227.926490718488</v>
      </c>
      <c r="N15" s="56" t="e">
        <f>(DEN!$C151)*$K$2*FRO_TOT!AH161</f>
        <v>#DIV/0!</v>
      </c>
      <c r="O15" s="205">
        <f>IF(FLEX!Q9="ALC",(DEN!$C151*$K$4*0.95),0)</f>
        <v>0</v>
      </c>
      <c r="P15" s="204" t="e">
        <f t="shared" si="10"/>
        <v>#DIV/0!</v>
      </c>
      <c r="R15" s="130" t="s">
        <v>15</v>
      </c>
      <c r="S15" s="943">
        <f>(DEN!$F7+DEN!$G7+DEN!$L7)*ONSV_2013!J6*FRO_TOT!AH9</f>
        <v>925.87201798916283</v>
      </c>
      <c r="T15" s="942">
        <f>(DEN!$F7+DEN!$G7+DEN!$L7)*ONSV_2013!$I6*(COMB_CORR!G7*0.75)/(COMB_CORR!B7-SUM(DIST_GAS_MOT!X16:AA16)+0.75*(COMB_CORR!G7))</f>
        <v>3647.2310232985687</v>
      </c>
      <c r="U15" s="204">
        <f t="shared" si="6"/>
        <v>4573.1030412877317</v>
      </c>
      <c r="V15" s="943">
        <f>(DEN!$F43+DEN!$G43+DEN!$L43)*ONSV_2013!J6*FRO_TOT!AH47</f>
        <v>773.7091741932386</v>
      </c>
      <c r="W15" s="942">
        <f>(DEN!$F43+DEN!$G43+DEN!$L43)*ONSV_2013!$I6*(COMB_CORR!H7*0.75)/(COMB_CORR!C7-SUM(DIST_GAS_MOT!AB16:AE16)+0.75*(COMB_CORR!H7))</f>
        <v>2776.1794057676143</v>
      </c>
      <c r="X15" s="204">
        <f t="shared" si="11"/>
        <v>3549.8885799608529</v>
      </c>
      <c r="Y15" s="943">
        <f>(DEN!$F79+DEN!$G79+DEN!$L79)*ONSV_2013!J6*FRO_TOT!AH85</f>
        <v>882.37313502004292</v>
      </c>
      <c r="Z15" s="942">
        <f>(DEN!$F79+DEN!$G79+DEN!$L79)*ONSV_2013!$I6*(COMB_CORR!I7*0.75)/(COMB_CORR!D7-SUM(DIST_GAS_MOT!AF16:AI16)+0.75*(COMB_CORR!I7))</f>
        <v>2261.9740600518462</v>
      </c>
      <c r="AA15" s="204">
        <f t="shared" si="12"/>
        <v>3144.347195071889</v>
      </c>
      <c r="AB15" s="943">
        <f>(DEN!$F115+DEN!$G115+DEN!$L115)*ONSV_2013!J6*FRO_TOT!AH123</f>
        <v>1064.492392946363</v>
      </c>
      <c r="AC15" s="942">
        <f>(DEN!$F115+DEN!$G115+DEN!$L115)*ONSV_2013!$I6*(COMB_CORR!J7*0.75)/(COMB_CORR!E7-SUM(DIST_GAS_MOT!AJ16:AM16)+0.75*(COMB_CORR!J7))</f>
        <v>2344.4493405648868</v>
      </c>
      <c r="AD15" s="206">
        <f t="shared" si="13"/>
        <v>3408.9417335112498</v>
      </c>
      <c r="AE15" s="55" t="e">
        <f>(DEN!$F151+DEN!$G151+DEN!$L151)*$K$3*FRO_TOT!AH161</f>
        <v>#DIV/0!</v>
      </c>
      <c r="AF15" s="205">
        <f>IF(FLEX!Q9="ALC",((DEN!$F151+DEN!$G151+DEN!$L151)*$K$5*0.95),0)</f>
        <v>0</v>
      </c>
      <c r="AG15" s="206" t="e">
        <f t="shared" si="14"/>
        <v>#DIV/0!</v>
      </c>
    </row>
    <row r="16" spans="1:33" ht="15.75" thickBot="1">
      <c r="A16" s="130" t="s">
        <v>16</v>
      </c>
      <c r="B16" s="920">
        <f>(DEN!$C8)*ONSV_2013!D7*FRO_TOT!AH10</f>
        <v>3893.2764021638122</v>
      </c>
      <c r="C16" s="940">
        <f>DEN!$C8*ONSV_2013!$C7*(COMB_CORR!G8*0.75)/(COMB_CORR!B8-SUM(DIST_GAS_MOT!X17:AA17)+0.75*(COMB_CORR!G8))</f>
        <v>18182.516492919702</v>
      </c>
      <c r="D16" s="204">
        <f t="shared" si="7"/>
        <v>22075.792895083512</v>
      </c>
      <c r="E16" s="920">
        <f>(DEN!$C44)*ONSV_2013!D7*FRO_TOT!AH48</f>
        <v>4654.5161916715688</v>
      </c>
      <c r="F16" s="940">
        <f>DEN!$C44*ONSV_2013!$C7*(COMB_CORR!H8*0.75)/(COMB_CORR!C8-SUM(DIST_GAS_MOT!AB17:AE17)+0.75*(COMB_CORR!H8))</f>
        <v>19420.612030210319</v>
      </c>
      <c r="G16" s="204">
        <f t="shared" si="8"/>
        <v>24075.128221881889</v>
      </c>
      <c r="H16" s="920">
        <f>(DEN!$C80)*ONSV_2013!D7*FRO_TOT!AH86</f>
        <v>4980.4795309273886</v>
      </c>
      <c r="I16" s="940">
        <f>DEN!$C80*ONSV_2013!$C7*(COMB_CORR!I8*0.75)/(COMB_CORR!D8-SUM(DIST_GAS_MOT!AF17:AI17)+0.75*(COMB_CORR!I8))</f>
        <v>14801.863853126841</v>
      </c>
      <c r="J16" s="204">
        <f t="shared" si="9"/>
        <v>19782.343384054227</v>
      </c>
      <c r="K16" s="938">
        <f>(DEN!$C116)*ONSV_2013!D7*FRO_TOT!AH124</f>
        <v>5348.4532612928679</v>
      </c>
      <c r="L16" s="941">
        <f>DEN!$C116*ONSV_2013!$C7*(COMB_CORR!J8*0.75)/(COMB_CORR!E8-SUM(DIST_GAS_MOT!AJ17:AM17)+0.75*(COMB_CORR!J8))</f>
        <v>12977.528601540535</v>
      </c>
      <c r="M16" s="204">
        <f t="shared" si="5"/>
        <v>18325.981862833403</v>
      </c>
      <c r="N16" s="56" t="e">
        <f>(DEN!$C152)*$K$2*FRO_TOT!AH162</f>
        <v>#DIV/0!</v>
      </c>
      <c r="O16" s="205">
        <f>IF(FLEX!Q10="ALC",(DEN!$C152*$K$4*0.95),0)</f>
        <v>0</v>
      </c>
      <c r="P16" s="204" t="e">
        <f t="shared" si="10"/>
        <v>#DIV/0!</v>
      </c>
      <c r="R16" s="130" t="s">
        <v>16</v>
      </c>
      <c r="S16" s="943">
        <f>(DEN!$F8+DEN!$G8+DEN!$L8)*ONSV_2013!J7*FRO_TOT!AH10</f>
        <v>449.54242128977819</v>
      </c>
      <c r="T16" s="942">
        <f>(DEN!$F8+DEN!$G8+DEN!$L8)*ONSV_2013!$I7*(COMB_CORR!G8*0.75)/(COMB_CORR!B8-SUM(DIST_GAS_MOT!X17:AA17)+0.75*(COMB_CORR!G8))</f>
        <v>2520.6567259289295</v>
      </c>
      <c r="U16" s="204">
        <f t="shared" si="6"/>
        <v>2970.1991472187078</v>
      </c>
      <c r="V16" s="943">
        <f>(DEN!$F44+DEN!$G44+DEN!$L44)*ONSV_2013!J7*FRO_TOT!AH48</f>
        <v>542.83556244730983</v>
      </c>
      <c r="W16" s="942">
        <f>(DEN!$F44+DEN!$G44+DEN!$L44)*ONSV_2013!$I7*(COMB_CORR!H8*0.75)/(COMB_CORR!C8-SUM(DIST_GAS_MOT!AB17:AE17)+0.75*(COMB_CORR!H8))</f>
        <v>2719.3238450962244</v>
      </c>
      <c r="X16" s="204">
        <f t="shared" si="11"/>
        <v>3262.1594075435341</v>
      </c>
      <c r="Y16" s="943">
        <f>(DEN!$F80+DEN!$G80+DEN!$L80)*ONSV_2013!J7*FRO_TOT!AH86</f>
        <v>595.05891631978625</v>
      </c>
      <c r="Z16" s="942">
        <f>(DEN!$F80+DEN!$G80+DEN!$L80)*ONSV_2013!$I7*(COMB_CORR!I8*0.75)/(COMB_CORR!D8-SUM(DIST_GAS_MOT!AF17:AI17)+0.75*(COMB_CORR!I8))</f>
        <v>2123.2908349893942</v>
      </c>
      <c r="AA16" s="204">
        <f t="shared" si="12"/>
        <v>2718.3497513091806</v>
      </c>
      <c r="AB16" s="943">
        <f>(DEN!$F116+DEN!$G116+DEN!$L116)*ONSV_2013!J7*FRO_TOT!AH124</f>
        <v>663.92295494298241</v>
      </c>
      <c r="AC16" s="942">
        <f>(DEN!$F116+DEN!$G116+DEN!$L116)*ONSV_2013!$I7*(COMB_CORR!J8*0.75)/(COMB_CORR!E8-SUM(DIST_GAS_MOT!AJ17:AM17)+0.75*(COMB_CORR!J8))</f>
        <v>1934.1303803614028</v>
      </c>
      <c r="AD16" s="206">
        <f t="shared" si="13"/>
        <v>2598.0533353043852</v>
      </c>
      <c r="AE16" s="55" t="e">
        <f>(DEN!$F152+DEN!$G152+DEN!$L152)*$K$3*FRO_TOT!AH162</f>
        <v>#DIV/0!</v>
      </c>
      <c r="AF16" s="205">
        <f>IF(FLEX!Q10="ALC",((DEN!$F152+DEN!$G152+DEN!$L152)*$K$5*0.95),0)</f>
        <v>0</v>
      </c>
      <c r="AG16" s="206" t="e">
        <f t="shared" si="14"/>
        <v>#DIV/0!</v>
      </c>
    </row>
    <row r="17" spans="1:33" ht="15.75" thickBot="1">
      <c r="A17" s="130" t="s">
        <v>17</v>
      </c>
      <c r="B17" s="920">
        <f>(DEN!$C9)*ONSV_2013!D8*FRO_TOT!AH11</f>
        <v>3990.2743909718006</v>
      </c>
      <c r="C17" s="940">
        <f>DEN!$C9*ONSV_2013!$C8*(COMB_CORR!G9*0.75)/(COMB_CORR!B9-SUM(DIST_GAS_MOT!X18:AA18)+0.75*(COMB_CORR!G9))</f>
        <v>27943.201977697059</v>
      </c>
      <c r="D17" s="204">
        <f t="shared" si="7"/>
        <v>31933.47636866886</v>
      </c>
      <c r="E17" s="920">
        <f>(DEN!$C45)*ONSV_2013!D8*FRO_TOT!AH49</f>
        <v>3327.5662515990011</v>
      </c>
      <c r="F17" s="940">
        <f>DEN!$C45*ONSV_2013!$C8*(COMB_CORR!H9*0.75)/(COMB_CORR!C9-SUM(DIST_GAS_MOT!AB18:AE18)+0.75*(COMB_CORR!H9))</f>
        <v>21077.983213408323</v>
      </c>
      <c r="G17" s="204">
        <f t="shared" si="8"/>
        <v>24405.549465007323</v>
      </c>
      <c r="H17" s="920">
        <f>(DEN!$C81)*ONSV_2013!D8*FRO_TOT!AH87</f>
        <v>3318.6374540851061</v>
      </c>
      <c r="I17" s="940">
        <f>DEN!$C81*ONSV_2013!$C8*(COMB_CORR!I9*0.75)/(COMB_CORR!D9-SUM(DIST_GAS_MOT!AF18:AI18)+0.75*(COMB_CORR!I9))</f>
        <v>15962.80659839747</v>
      </c>
      <c r="J17" s="204">
        <f t="shared" si="9"/>
        <v>19281.444052482577</v>
      </c>
      <c r="K17" s="938">
        <f>(DEN!$C117)*ONSV_2013!D8*FRO_TOT!AH125</f>
        <v>2944.4394142517331</v>
      </c>
      <c r="L17" s="941">
        <f>DEN!$C117*ONSV_2013!$C8*(COMB_CORR!J9*0.75)/(COMB_CORR!E9-SUM(DIST_GAS_MOT!AJ18:AM18)+0.75*(COMB_CORR!J9))</f>
        <v>12480.351538325922</v>
      </c>
      <c r="M17" s="204">
        <f t="shared" si="5"/>
        <v>15424.790952577656</v>
      </c>
      <c r="N17" s="56" t="e">
        <f>(DEN!$C153)*$K$2*FRO_TOT!AH163</f>
        <v>#DIV/0!</v>
      </c>
      <c r="O17" s="205">
        <f>IF(FLEX!Q11="ALC",(DEN!$C153*$K$4*0.95),0)</f>
        <v>0</v>
      </c>
      <c r="P17" s="204" t="e">
        <f t="shared" si="10"/>
        <v>#DIV/0!</v>
      </c>
      <c r="R17" s="130" t="s">
        <v>17</v>
      </c>
      <c r="S17" s="943">
        <f>(DEN!$F9+DEN!$G9+DEN!$L9)*ONSV_2013!J8*FRO_TOT!AH11</f>
        <v>582.64506436393674</v>
      </c>
      <c r="T17" s="942">
        <f>(DEN!$F9+DEN!$G9+DEN!$L9)*ONSV_2013!$I8*(COMB_CORR!G9*0.75)/(COMB_CORR!B9-SUM(DIST_GAS_MOT!X18:AA18)+0.75*(COMB_CORR!G9))</f>
        <v>4900.7879096702591</v>
      </c>
      <c r="U17" s="204">
        <f t="shared" si="6"/>
        <v>5483.4329740341955</v>
      </c>
      <c r="V17" s="943">
        <f>(DEN!$F45+DEN!$G45+DEN!$L45)*ONSV_2013!J8*FRO_TOT!AH49</f>
        <v>473.44526503425948</v>
      </c>
      <c r="W17" s="942">
        <f>(DEN!$F45+DEN!$G45+DEN!$L45)*ONSV_2013!$I8*(COMB_CORR!H9*0.75)/(COMB_CORR!C9-SUM(DIST_GAS_MOT!AB18:AE18)+0.75*(COMB_CORR!H9))</f>
        <v>3602.1396683500084</v>
      </c>
      <c r="X17" s="204">
        <f t="shared" si="11"/>
        <v>4075.584933384268</v>
      </c>
      <c r="Y17" s="943">
        <f>(DEN!$F81+DEN!$G81+DEN!$L81)*ONSV_2013!J8*FRO_TOT!AH87</f>
        <v>471.62082954654409</v>
      </c>
      <c r="Z17" s="942">
        <f>(DEN!$F81+DEN!$G81+DEN!$L81)*ONSV_2013!$I8*(COMB_CORR!I9*0.75)/(COMB_CORR!D9-SUM(DIST_GAS_MOT!AF18:AI18)+0.75*(COMB_CORR!I9))</f>
        <v>2724.7762589689951</v>
      </c>
      <c r="AA17" s="204">
        <f t="shared" si="12"/>
        <v>3196.3970885155391</v>
      </c>
      <c r="AB17" s="943">
        <f>(DEN!$F117+DEN!$G117+DEN!$L117)*ONSV_2013!J8*FRO_TOT!AH125</f>
        <v>418.99318284464175</v>
      </c>
      <c r="AC17" s="942">
        <f>(DEN!$F117+DEN!$G117+DEN!$L117)*ONSV_2013!$I8*(COMB_CORR!J9*0.75)/(COMB_CORR!E9-SUM(DIST_GAS_MOT!AJ18:AM18)+0.75*(COMB_CORR!J9))</f>
        <v>2133.1410829164643</v>
      </c>
      <c r="AD17" s="206">
        <f t="shared" si="13"/>
        <v>2552.1342657611058</v>
      </c>
      <c r="AE17" s="55" t="e">
        <f>(DEN!$F153+DEN!$G153+DEN!$L153)*$K$3*FRO_TOT!AH163</f>
        <v>#DIV/0!</v>
      </c>
      <c r="AF17" s="205">
        <f>IF(FLEX!Q11="ALC",((DEN!$F153+DEN!$G153+DEN!$L153)*$K$5*0.95),0)</f>
        <v>0</v>
      </c>
      <c r="AG17" s="206" t="e">
        <f t="shared" si="14"/>
        <v>#DIV/0!</v>
      </c>
    </row>
    <row r="18" spans="1:33" ht="15.75" thickBot="1">
      <c r="A18" s="130" t="s">
        <v>18</v>
      </c>
      <c r="B18" s="920">
        <f>(DEN!$C10)*ONSV_2013!D9*FRO_TOT!AH12</f>
        <v>101.02586317537424</v>
      </c>
      <c r="C18" s="940">
        <f>DEN!$C10*ONSV_2013!$C9*(COMB_CORR!G10*0.75)/(COMB_CORR!B10-SUM(DIST_GAS_MOT!X19:AA19)+0.75*(COMB_CORR!G10))</f>
        <v>894.9751618510611</v>
      </c>
      <c r="D18" s="204">
        <f t="shared" si="7"/>
        <v>996.0010250264354</v>
      </c>
      <c r="E18" s="920">
        <f>(DEN!$C46)*ONSV_2013!D9*FRO_TOT!AH50</f>
        <v>112.75768292758157</v>
      </c>
      <c r="F18" s="940">
        <f>DEN!$C46*ONSV_2013!$C9*(COMB_CORR!H10*0.75)/(COMB_CORR!C10-SUM(DIST_GAS_MOT!AB19:AE19)+0.75*(COMB_CORR!H10))</f>
        <v>911.07289321886333</v>
      </c>
      <c r="G18" s="204">
        <f t="shared" si="8"/>
        <v>1023.8305761464449</v>
      </c>
      <c r="H18" s="920">
        <f>(DEN!$C82)*ONSV_2013!D9*FRO_TOT!AH88</f>
        <v>156.14178731296531</v>
      </c>
      <c r="I18" s="940">
        <f>DEN!$C82*ONSV_2013!$C9*(COMB_CORR!I10*0.75)/(COMB_CORR!D10-SUM(DIST_GAS_MOT!AF19:AI19)+0.75*(COMB_CORR!I10))</f>
        <v>993.44480169005703</v>
      </c>
      <c r="J18" s="204">
        <f t="shared" si="9"/>
        <v>1149.5865890030223</v>
      </c>
      <c r="K18" s="938">
        <f>(DEN!$C118)*ONSV_2013!D9*FRO_TOT!AH126</f>
        <v>143.60894261952313</v>
      </c>
      <c r="L18" s="941">
        <f>DEN!$C118*ONSV_2013!$C9*(COMB_CORR!J10*0.75)/(COMB_CORR!E10-SUM(DIST_GAS_MOT!AJ19:AM19)+0.75*(COMB_CORR!J10))</f>
        <v>765.68015371081242</v>
      </c>
      <c r="M18" s="204">
        <f t="shared" si="5"/>
        <v>909.2890963303355</v>
      </c>
      <c r="N18" s="56" t="e">
        <f>(DEN!$C154)*$K$2*FRO_TOT!AH164</f>
        <v>#DIV/0!</v>
      </c>
      <c r="O18" s="205">
        <f>IF(FLEX!Q12="ALC",(DEN!$C154*$K$4*0.95),0)</f>
        <v>0</v>
      </c>
      <c r="P18" s="204" t="e">
        <f t="shared" si="10"/>
        <v>#DIV/0!</v>
      </c>
      <c r="R18" s="130" t="s">
        <v>18</v>
      </c>
      <c r="S18" s="943">
        <f>(DEN!$F10+DEN!$G10+DEN!$L10)*ONSV_2013!J9*FRO_TOT!AH12</f>
        <v>17.753549854349213</v>
      </c>
      <c r="T18" s="942">
        <f>(DEN!$F10+DEN!$G10+DEN!$L10)*ONSV_2013!$I9*(COMB_CORR!G10*0.75)/(COMB_CORR!B10-SUM(DIST_GAS_MOT!X19:AA19)+0.75*(COMB_CORR!G10))</f>
        <v>188.79613768458975</v>
      </c>
      <c r="U18" s="204">
        <f t="shared" si="6"/>
        <v>206.54968753893897</v>
      </c>
      <c r="V18" s="943">
        <f>(DEN!$F46+DEN!$G46+DEN!$L46)*ONSV_2013!J9*FRO_TOT!AH50</f>
        <v>19.363776204930318</v>
      </c>
      <c r="W18" s="942">
        <f>(DEN!$F46+DEN!$G46+DEN!$L46)*ONSV_2013!$I9*(COMB_CORR!H10*0.75)/(COMB_CORR!C10-SUM(DIST_GAS_MOT!AB19:AE19)+0.75*(COMB_CORR!H10))</f>
        <v>187.8133788121747</v>
      </c>
      <c r="X18" s="204">
        <f t="shared" si="11"/>
        <v>207.17715501710501</v>
      </c>
      <c r="Y18" s="943">
        <f>(DEN!$F82+DEN!$G82+DEN!$L82)*ONSV_2013!J9*FRO_TOT!AH88</f>
        <v>26.844333841466156</v>
      </c>
      <c r="Z18" s="942">
        <f>(DEN!$F82+DEN!$G82+DEN!$L82)*ONSV_2013!$I9*(COMB_CORR!I10*0.75)/(COMB_CORR!D10-SUM(DIST_GAS_MOT!AF19:AI19)+0.75*(COMB_CORR!I10))</f>
        <v>205.02495019988811</v>
      </c>
      <c r="AA18" s="204">
        <f t="shared" si="12"/>
        <v>231.86928404135426</v>
      </c>
      <c r="AB18" s="943">
        <f>(DEN!$F118+DEN!$G118+DEN!$L118)*ONSV_2013!J9*FRO_TOT!AH126</f>
        <v>25.343781973706953</v>
      </c>
      <c r="AC18" s="942">
        <f>(DEN!$F118+DEN!$G118+DEN!$L118)*ONSV_2013!$I9*(COMB_CORR!J10*0.75)/(COMB_CORR!E10-SUM(DIST_GAS_MOT!AJ19:AM19)+0.75*(COMB_CORR!J10))</f>
        <v>162.20596398106932</v>
      </c>
      <c r="AD18" s="206">
        <f t="shared" si="13"/>
        <v>187.54974595477626</v>
      </c>
      <c r="AE18" s="55" t="e">
        <f>(DEN!$F154+DEN!$G154+DEN!$L154)*$K$3*FRO_TOT!AH164</f>
        <v>#DIV/0!</v>
      </c>
      <c r="AF18" s="205">
        <f>IF(FLEX!Q12="ALC",((DEN!$F154+DEN!$G154+DEN!$L154)*$K$5*0.95),0)</f>
        <v>0</v>
      </c>
      <c r="AG18" s="206" t="e">
        <f t="shared" si="14"/>
        <v>#DIV/0!</v>
      </c>
    </row>
    <row r="19" spans="1:33" ht="15.75" thickBot="1">
      <c r="A19" s="210" t="s">
        <v>19</v>
      </c>
      <c r="B19" s="920">
        <f>(DEN!$C11)*ONSV_2013!D10*FRO_TOT!AH13</f>
        <v>7062.0774905171529</v>
      </c>
      <c r="C19" s="940">
        <f>DEN!$C11*ONSV_2013!$C10*(COMB_CORR!G11*0.75)/(COMB_CORR!B11-SUM(DIST_GAS_MOT!X20:AA20)+0.75*(COMB_CORR!G11))</f>
        <v>24560.704823382297</v>
      </c>
      <c r="D19" s="204">
        <f t="shared" si="7"/>
        <v>31622.78231389945</v>
      </c>
      <c r="E19" s="920">
        <f>(DEN!$C47)*ONSV_2013!D10*FRO_TOT!AH51</f>
        <v>7120.8571377273738</v>
      </c>
      <c r="F19" s="940">
        <f>DEN!$C47*ONSV_2013!$C10*(COMB_CORR!H11*0.75)/(COMB_CORR!C11-SUM(DIST_GAS_MOT!AB20:AE20)+0.75*(COMB_CORR!H11))</f>
        <v>21564.353000902134</v>
      </c>
      <c r="G19" s="204">
        <f t="shared" si="8"/>
        <v>28685.210138629507</v>
      </c>
      <c r="H19" s="920">
        <f>(DEN!$C83)*ONSV_2013!D10*FRO_TOT!AH89</f>
        <v>6633.730509521848</v>
      </c>
      <c r="I19" s="940">
        <f>DEN!$C83*ONSV_2013!$C10*(COMB_CORR!I11*0.75)/(COMB_CORR!D11-SUM(DIST_GAS_MOT!AF20:AI20)+0.75*(COMB_CORR!I11))</f>
        <v>15164.513678017423</v>
      </c>
      <c r="J19" s="204">
        <f t="shared" si="9"/>
        <v>21798.244187539272</v>
      </c>
      <c r="K19" s="938">
        <f>(DEN!$C119)*ONSV_2013!D10*FRO_TOT!AH127</f>
        <v>5850.4290466752136</v>
      </c>
      <c r="L19" s="941">
        <f>DEN!$C119*ONSV_2013!$C10*(COMB_CORR!J11*0.75)/(COMB_CORR!E11-SUM(DIST_GAS_MOT!AJ20:AM20)+0.75*(COMB_CORR!J11))</f>
        <v>11063.7459280449</v>
      </c>
      <c r="M19" s="204">
        <f t="shared" si="5"/>
        <v>16914.174974720114</v>
      </c>
      <c r="N19" s="56" t="e">
        <f>(DEN!$C155)*$K$2*FRO_TOT!AH165</f>
        <v>#DIV/0!</v>
      </c>
      <c r="O19" s="205">
        <f>IF(FLEX!Q13="ALC",(DEN!$C155*$K$4*0.95),0)</f>
        <v>0</v>
      </c>
      <c r="P19" s="204" t="e">
        <f t="shared" si="10"/>
        <v>#DIV/0!</v>
      </c>
      <c r="R19" s="210" t="s">
        <v>19</v>
      </c>
      <c r="S19" s="943">
        <f>(DEN!$F11+DEN!$G11+DEN!$L11)*ONSV_2013!J10*FRO_TOT!AH13</f>
        <v>985.41409837026424</v>
      </c>
      <c r="T19" s="942">
        <f>(DEN!$F11+DEN!$G11+DEN!$L11)*ONSV_2013!$I10*(COMB_CORR!G11*0.75)/(COMB_CORR!B11-SUM(DIST_GAS_MOT!X20:AA20)+0.75*(COMB_CORR!G11))</f>
        <v>4116.1758557344683</v>
      </c>
      <c r="U19" s="204">
        <f t="shared" si="6"/>
        <v>5101.5899541047329</v>
      </c>
      <c r="V19" s="943">
        <f>(DEN!$F47+DEN!$G47+DEN!$L47)*ONSV_2013!J10*FRO_TOT!AH51</f>
        <v>996.47234195130386</v>
      </c>
      <c r="W19" s="942">
        <f>(DEN!$F47+DEN!$G47+DEN!$L47)*ONSV_2013!$I10*(COMB_CORR!H11*0.75)/(COMB_CORR!C11-SUM(DIST_GAS_MOT!AB20:AE20)+0.75*(COMB_CORR!H11))</f>
        <v>3624.4007449698952</v>
      </c>
      <c r="X19" s="204">
        <f t="shared" si="11"/>
        <v>4620.8730869211995</v>
      </c>
      <c r="Y19" s="943">
        <f>(DEN!$F83+DEN!$G83+DEN!$L83)*ONSV_2013!J10*FRO_TOT!AH89</f>
        <v>921.47813886689221</v>
      </c>
      <c r="Z19" s="942">
        <f>(DEN!$F83+DEN!$G83+DEN!$L83)*ONSV_2013!$I10*(COMB_CORR!I11*0.75)/(COMB_CORR!D11-SUM(DIST_GAS_MOT!AF20:AI20)+0.75*(COMB_CORR!I11))</f>
        <v>2530.0115359591105</v>
      </c>
      <c r="AA19" s="204">
        <f t="shared" si="12"/>
        <v>3451.4896748260026</v>
      </c>
      <c r="AB19" s="943">
        <f>(DEN!$F119+DEN!$G119+DEN!$L119)*ONSV_2013!J10*FRO_TOT!AH127</f>
        <v>807.99946075923174</v>
      </c>
      <c r="AC19" s="942">
        <f>(DEN!$F119+DEN!$G119+DEN!$L119)*ONSV_2013!$I10*(COMB_CORR!J11*0.75)/(COMB_CORR!E11-SUM(DIST_GAS_MOT!AJ20:AM20)+0.75*(COMB_CORR!J11))</f>
        <v>1835.2378207250952</v>
      </c>
      <c r="AD19" s="206">
        <f t="shared" si="13"/>
        <v>2643.237281484327</v>
      </c>
      <c r="AE19" s="55" t="e">
        <f>(DEN!$F155+DEN!$G155+DEN!$L155)*$K$3*FRO_TOT!AH165</f>
        <v>#DIV/0!</v>
      </c>
      <c r="AF19" s="205">
        <f>IF(FLEX!Q13="ALC",((DEN!$F155+DEN!$G155+DEN!$L155)*$K$5*0.95),0)</f>
        <v>0</v>
      </c>
      <c r="AG19" s="206" t="e">
        <f t="shared" si="14"/>
        <v>#DIV/0!</v>
      </c>
    </row>
    <row r="20" spans="1:33" ht="15.75" thickBot="1">
      <c r="A20" s="231" t="s">
        <v>54</v>
      </c>
      <c r="B20" s="148">
        <f t="shared" ref="B20:P20" si="15">SUM(B21:B29)</f>
        <v>555483.79723140982</v>
      </c>
      <c r="C20" s="148">
        <f t="shared" si="15"/>
        <v>700860.16391538922</v>
      </c>
      <c r="D20" s="148">
        <f t="shared" si="15"/>
        <v>1256343.9611467996</v>
      </c>
      <c r="E20" s="148">
        <f t="shared" si="15"/>
        <v>206246.15236333286</v>
      </c>
      <c r="F20" s="148">
        <f t="shared" si="15"/>
        <v>599650.66587827937</v>
      </c>
      <c r="G20" s="148">
        <f t="shared" si="15"/>
        <v>805896.81824161229</v>
      </c>
      <c r="H20" s="148">
        <f t="shared" si="15"/>
        <v>184299.17650610834</v>
      </c>
      <c r="I20" s="148">
        <f t="shared" si="15"/>
        <v>389825.59536105208</v>
      </c>
      <c r="J20" s="148">
        <f t="shared" si="15"/>
        <v>574124.77186716045</v>
      </c>
      <c r="K20" s="148">
        <f t="shared" si="15"/>
        <v>178524.45350501026</v>
      </c>
      <c r="L20" s="148">
        <f t="shared" si="15"/>
        <v>315855.46689712594</v>
      </c>
      <c r="M20" s="148">
        <f t="shared" si="15"/>
        <v>494379.92040213617</v>
      </c>
      <c r="N20" s="148" t="e">
        <f t="shared" si="15"/>
        <v>#DIV/0!</v>
      </c>
      <c r="O20" s="148">
        <f t="shared" si="15"/>
        <v>0</v>
      </c>
      <c r="P20" s="148" t="e">
        <f t="shared" si="15"/>
        <v>#DIV/0!</v>
      </c>
      <c r="R20" s="125" t="s">
        <v>54</v>
      </c>
      <c r="S20" s="147">
        <f t="shared" ref="S20:AG20" si="16">SUM(S21:S29)</f>
        <v>64615.876035523448</v>
      </c>
      <c r="T20" s="147">
        <f t="shared" si="16"/>
        <v>94681.843770277192</v>
      </c>
      <c r="U20" s="147">
        <f t="shared" si="16"/>
        <v>159297.71980580065</v>
      </c>
      <c r="V20" s="147">
        <f t="shared" si="16"/>
        <v>23523.511055631734</v>
      </c>
      <c r="W20" s="147">
        <f t="shared" si="16"/>
        <v>82695.201646194095</v>
      </c>
      <c r="X20" s="147">
        <f t="shared" si="16"/>
        <v>106218.7127018258</v>
      </c>
      <c r="Y20" s="147">
        <f t="shared" si="16"/>
        <v>21298.627897012851</v>
      </c>
      <c r="Z20" s="147">
        <f t="shared" si="16"/>
        <v>54381.132718232104</v>
      </c>
      <c r="AA20" s="147">
        <f t="shared" si="16"/>
        <v>75679.760615244973</v>
      </c>
      <c r="AB20" s="147">
        <f t="shared" si="16"/>
        <v>21091.309550207217</v>
      </c>
      <c r="AC20" s="147">
        <f t="shared" si="16"/>
        <v>45031.893795022363</v>
      </c>
      <c r="AD20" s="147">
        <f t="shared" si="16"/>
        <v>66123.203345229573</v>
      </c>
      <c r="AE20" s="147" t="e">
        <f t="shared" si="16"/>
        <v>#DIV/0!</v>
      </c>
      <c r="AF20" s="147">
        <f t="shared" si="16"/>
        <v>0</v>
      </c>
      <c r="AG20" s="147" t="e">
        <f t="shared" si="16"/>
        <v>#DIV/0!</v>
      </c>
    </row>
    <row r="21" spans="1:33" ht="15.75" thickBot="1">
      <c r="A21" s="190" t="s">
        <v>21</v>
      </c>
      <c r="B21" s="920">
        <f>(DEN!$C13)*ONSV_2013!D12*FRO_TOT!AH15</f>
        <v>847.16065416638628</v>
      </c>
      <c r="C21" s="940">
        <f>DEN!$C13*ONSV_2013!$C12*(COMB_CORR!G13*0.75)/(COMB_CORR!B13-SUM(DIST_GAS_MOT!X22:AA22)+0.75*(COMB_CORR!G13))</f>
        <v>47783.649555716671</v>
      </c>
      <c r="D21" s="204">
        <f t="shared" si="7"/>
        <v>48630.810209883057</v>
      </c>
      <c r="E21" s="920">
        <f>(DEN!$C49)*ONSV_2013!D12*FRO_TOT!AH53</f>
        <v>14286.849601316952</v>
      </c>
      <c r="F21" s="940">
        <f>DEN!$C49*ONSV_2013!$C12*(COMB_CORR!H13*0.75)/(COMB_CORR!C13-SUM(DIST_GAS_MOT!AB22:AE22)+0.75*(COMB_CORR!H13))</f>
        <v>34551.468360647872</v>
      </c>
      <c r="G21" s="204">
        <f t="shared" si="8"/>
        <v>48838.317961964822</v>
      </c>
      <c r="H21" s="920">
        <f>(DEN!$C85)*ONSV_2013!D12*FRO_TOT!AH91</f>
        <v>14957.516440900843</v>
      </c>
      <c r="I21" s="940">
        <f>DEN!$C85*ONSV_2013!$C12*(COMB_CORR!I13*0.75)/(COMB_CORR!D13-SUM(DIST_GAS_MOT!AF22:AI22)+0.75*(COMB_CORR!I13))</f>
        <v>24925.113406533572</v>
      </c>
      <c r="J21" s="204">
        <f t="shared" si="9"/>
        <v>39882.629847434415</v>
      </c>
      <c r="K21" s="938">
        <f>(DEN!$C121)*ONSV_2013!D12*FRO_TOT!AH129</f>
        <v>13151.036322633092</v>
      </c>
      <c r="L21" s="941">
        <f>DEN!$C121*ONSV_2013!$C12*(COMB_CORR!J13*0.75)/(COMB_CORR!E13-SUM(DIST_GAS_MOT!AJ22:AM22)+0.75*(COMB_CORR!J13))</f>
        <v>18349.593859096978</v>
      </c>
      <c r="M21" s="204">
        <f t="shared" si="5"/>
        <v>31500.63018173007</v>
      </c>
      <c r="N21" s="56" t="e">
        <f>(DEN!$C157)*$K$2*FRO_TOT!AH167</f>
        <v>#DIV/0!</v>
      </c>
      <c r="O21" s="205">
        <f>IF(FLEX!Q15="ALC",(DEN!$C157*$K$4*0.95),0)</f>
        <v>0</v>
      </c>
      <c r="P21" s="204" t="e">
        <f t="shared" ref="P21:P29" si="17">N21+O21</f>
        <v>#DIV/0!</v>
      </c>
      <c r="R21" s="190" t="s">
        <v>21</v>
      </c>
      <c r="S21" s="943">
        <f>(DEN!$F13+DEN!$G13+DEN!$L13)*ONSV_2013!J12*FRO_TOT!AH15</f>
        <v>94.812317600527166</v>
      </c>
      <c r="T21" s="942">
        <f>(DEN!$F13+DEN!$G13+DEN!$L13)*ONSV_2013!$I12*(COMB_CORR!G13*0.75)/(COMB_CORR!B13-SUM(DIST_GAS_MOT!X22:AA22)+0.75*(COMB_CORR!G13))</f>
        <v>6419.781792490814</v>
      </c>
      <c r="U21" s="204">
        <f t="shared" ref="U21:U29" si="18">S21+T21</f>
        <v>6514.5941100913415</v>
      </c>
      <c r="V21" s="943">
        <f>(DEN!$F49+DEN!$G49+DEN!$L49)*ONSV_2013!J12*FRO_TOT!AH53</f>
        <v>1597.8382872767124</v>
      </c>
      <c r="W21" s="942">
        <f>(DEN!$F49+DEN!$G49+DEN!$L49)*ONSV_2013!$I12*(COMB_CORR!H13*0.75)/(COMB_CORR!C13-SUM(DIST_GAS_MOT!AB22:AE22)+0.75*(COMB_CORR!H13))</f>
        <v>4638.7911901457555</v>
      </c>
      <c r="X21" s="204">
        <f t="shared" si="11"/>
        <v>6236.629477422468</v>
      </c>
      <c r="Y21" s="943">
        <f>(DEN!$F85+DEN!$G85+DEN!$L85)*ONSV_2013!J12*FRO_TOT!AH91</f>
        <v>1704.069778134329</v>
      </c>
      <c r="Z21" s="942">
        <f>(DEN!$F85+DEN!$G85+DEN!$L85)*ONSV_2013!$I12*(COMB_CORR!I13*0.75)/(COMB_CORR!D13-SUM(DIST_GAS_MOT!AF22:AI22)+0.75*(COMB_CORR!I13))</f>
        <v>3408.8429473878969</v>
      </c>
      <c r="AA21" s="204">
        <f t="shared" si="12"/>
        <v>5112.9127255222256</v>
      </c>
      <c r="AB21" s="943">
        <f>(DEN!$F121+DEN!$G121+DEN!$L121)*ONSV_2013!J12*FRO_TOT!AH129</f>
        <v>1527.2870966378289</v>
      </c>
      <c r="AC21" s="942">
        <f>(DEN!$F121+DEN!$G121+DEN!$L121)*ONSV_2013!$I12*(COMB_CORR!J13*0.75)/(COMB_CORR!E13-SUM(DIST_GAS_MOT!AJ22:AM22)+0.75*(COMB_CORR!J13))</f>
        <v>2558.168376848053</v>
      </c>
      <c r="AD21" s="206">
        <f t="shared" si="13"/>
        <v>4085.4554734858821</v>
      </c>
      <c r="AE21" s="55" t="e">
        <f>(DEN!$F157+DEN!$G157+DEN!$L157)*$K$3*FRO_TOT!AH167</f>
        <v>#DIV/0!</v>
      </c>
      <c r="AF21" s="205">
        <f>IF(FLEX!Q15="ALC",((DEN!$F157+DEN!$G157+DEN!$L157)*$K$5*0.95),0)</f>
        <v>0</v>
      </c>
      <c r="AG21" s="206" t="e">
        <f t="shared" ref="AG21:AG29" si="19">AE21+AF21</f>
        <v>#DIV/0!</v>
      </c>
    </row>
    <row r="22" spans="1:33" ht="15.75" thickBot="1">
      <c r="A22" s="130" t="s">
        <v>22</v>
      </c>
      <c r="B22" s="920">
        <f>(DEN!$C14)*ONSV_2013!D13*FRO_TOT!AH16</f>
        <v>330932.04995591735</v>
      </c>
      <c r="C22" s="940">
        <f>DEN!$C14*ONSV_2013!$C13*(COMB_CORR!G14*0.75)/(COMB_CORR!B14-SUM(DIST_GAS_MOT!X23:AA23)+0.75*(COMB_CORR!G14))</f>
        <v>201808.72540677074</v>
      </c>
      <c r="D22" s="204">
        <f t="shared" si="7"/>
        <v>532740.77536268812</v>
      </c>
      <c r="E22" s="920">
        <f>(DEN!$C50)*ONSV_2013!D13*FRO_TOT!AH54</f>
        <v>67997.367013280862</v>
      </c>
      <c r="F22" s="940">
        <f>DEN!$C50*ONSV_2013!$C13*(COMB_CORR!H14*0.75)/(COMB_CORR!C14-SUM(DIST_GAS_MOT!AB23:AE23)+0.75*(COMB_CORR!H14))</f>
        <v>193865.66397138056</v>
      </c>
      <c r="G22" s="204">
        <f t="shared" si="8"/>
        <v>261863.03098466143</v>
      </c>
      <c r="H22" s="920">
        <f>(DEN!$C86)*ONSV_2013!D13*FRO_TOT!AH92</f>
        <v>51846.00841426359</v>
      </c>
      <c r="I22" s="940">
        <f>DEN!$C86*ONSV_2013!$C13*(COMB_CORR!I14*0.75)/(COMB_CORR!D14-SUM(DIST_GAS_MOT!AF23:AI23)+0.75*(COMB_CORR!I14))</f>
        <v>108723.80366947968</v>
      </c>
      <c r="J22" s="204">
        <f t="shared" si="9"/>
        <v>160569.81208374328</v>
      </c>
      <c r="K22" s="938">
        <f>(DEN!$C122)*ONSV_2013!D13*FRO_TOT!AH130</f>
        <v>47302.094149551202</v>
      </c>
      <c r="L22" s="941">
        <f>DEN!$C122*ONSV_2013!$C13*(COMB_CORR!J14*0.75)/(COMB_CORR!E14-SUM(DIST_GAS_MOT!AJ23:AM23)+0.75*(COMB_CORR!J14))</f>
        <v>85085.129499416478</v>
      </c>
      <c r="M22" s="204">
        <f t="shared" si="5"/>
        <v>132387.22364896769</v>
      </c>
      <c r="N22" s="56" t="e">
        <f>(DEN!$C158)*$K$2*FRO_TOT!AH168</f>
        <v>#DIV/0!</v>
      </c>
      <c r="O22" s="205">
        <f>IF(FLEX!Q16="ALC",(DEN!$C158*$K$4*0.95),0)</f>
        <v>0</v>
      </c>
      <c r="P22" s="204" t="e">
        <f t="shared" si="17"/>
        <v>#DIV/0!</v>
      </c>
      <c r="R22" s="130" t="s">
        <v>22</v>
      </c>
      <c r="S22" s="943">
        <f>(DEN!$F14+DEN!$G14+DEN!$L14)*ONSV_2013!J13*FRO_TOT!AH16</f>
        <v>41170.020653715903</v>
      </c>
      <c r="T22" s="942">
        <f>(DEN!$F14+DEN!$G14+DEN!$L14)*ONSV_2013!$I13*(COMB_CORR!G14*0.75)/(COMB_CORR!B14-SUM(DIST_GAS_MOT!X23:AA23)+0.75*(COMB_CORR!G14))</f>
        <v>30141.652004753258</v>
      </c>
      <c r="U22" s="204">
        <f t="shared" si="18"/>
        <v>71311.672658469164</v>
      </c>
      <c r="V22" s="943">
        <f>(DEN!$F50+DEN!$G50+DEN!$L50)*ONSV_2013!J13*FRO_TOT!AH54</f>
        <v>8626.6529404467456</v>
      </c>
      <c r="W22" s="942">
        <f>(DEN!$F50+DEN!$G50+DEN!$L50)*ONSV_2013!$I13*(COMB_CORR!H14*0.75)/(COMB_CORR!C14-SUM(DIST_GAS_MOT!AB23:AE23)+0.75*(COMB_CORR!H14))</f>
        <v>29528.13267205895</v>
      </c>
      <c r="X22" s="204">
        <f t="shared" si="11"/>
        <v>38154.785612505693</v>
      </c>
      <c r="Y22" s="943">
        <f>(DEN!$F86+DEN!$G86+DEN!$L86)*ONSV_2013!J13*FRO_TOT!AH92</f>
        <v>6762.3671877910556</v>
      </c>
      <c r="Z22" s="942">
        <f>(DEN!$F86+DEN!$G86+DEN!$L86)*ONSV_2013!$I13*(COMB_CORR!I14*0.75)/(COMB_CORR!D14-SUM(DIST_GAS_MOT!AF23:AI23)+0.75*(COMB_CORR!I14))</f>
        <v>17025.227230311197</v>
      </c>
      <c r="AA22" s="204">
        <f t="shared" si="12"/>
        <v>23787.594418102253</v>
      </c>
      <c r="AB22" s="943">
        <f>(DEN!$F122+DEN!$G122+DEN!$L122)*ONSV_2013!J13*FRO_TOT!AH130</f>
        <v>6328.4061904744622</v>
      </c>
      <c r="AC22" s="942">
        <f>(DEN!$F122+DEN!$G122+DEN!$L122)*ONSV_2013!$I13*(COMB_CORR!J14*0.75)/(COMB_CORR!E14-SUM(DIST_GAS_MOT!AJ23:AM23)+0.75*(COMB_CORR!J14))</f>
        <v>13666.348754453637</v>
      </c>
      <c r="AD22" s="206">
        <f t="shared" si="13"/>
        <v>19994.7549449281</v>
      </c>
      <c r="AE22" s="55" t="e">
        <f>(DEN!$F158+DEN!$G158+DEN!$L158)*$K$3*FRO_TOT!AH168</f>
        <v>#DIV/0!</v>
      </c>
      <c r="AF22" s="205">
        <f>IF(FLEX!Q16="ALC",((DEN!$F158+DEN!$G158+DEN!$L158)*$K$5*0.95),0)</f>
        <v>0</v>
      </c>
      <c r="AG22" s="206" t="e">
        <f t="shared" si="19"/>
        <v>#DIV/0!</v>
      </c>
    </row>
    <row r="23" spans="1:33" ht="15.75" thickBot="1">
      <c r="A23" s="130" t="s">
        <v>23</v>
      </c>
      <c r="B23" s="920">
        <f>(DEN!$C15)*ONSV_2013!D14*FRO_TOT!AH17</f>
        <v>14294.112182582754</v>
      </c>
      <c r="C23" s="940">
        <f>DEN!$C15*ONSV_2013!$C14*(COMB_CORR!G15*0.75)/(COMB_CORR!B15-SUM(DIST_GAS_MOT!X24:AA24)+0.75*(COMB_CORR!G15))</f>
        <v>107186.53186278723</v>
      </c>
      <c r="D23" s="204">
        <f t="shared" si="7"/>
        <v>121480.64404536999</v>
      </c>
      <c r="E23" s="920">
        <f>(DEN!$C51)*ONSV_2013!D14*FRO_TOT!AH55</f>
        <v>24230.931815494394</v>
      </c>
      <c r="F23" s="940">
        <f>DEN!$C51*ONSV_2013!$C14*(COMB_CORR!H15*0.75)/(COMB_CORR!C15-SUM(DIST_GAS_MOT!AB24:AE24)+0.75*(COMB_CORR!H15))</f>
        <v>95620.261582639418</v>
      </c>
      <c r="G23" s="204">
        <f t="shared" si="8"/>
        <v>119851.19339813381</v>
      </c>
      <c r="H23" s="920">
        <f>(DEN!$C87)*ONSV_2013!D14*FRO_TOT!AH93</f>
        <v>26116.142963873455</v>
      </c>
      <c r="I23" s="940">
        <f>DEN!$C87*ONSV_2013!$C14*(COMB_CORR!I15*0.75)/(COMB_CORR!D15-SUM(DIST_GAS_MOT!AF24:AI24)+0.75*(COMB_CORR!I15))</f>
        <v>76780.304001236815</v>
      </c>
      <c r="J23" s="204">
        <f t="shared" si="9"/>
        <v>102896.44696511027</v>
      </c>
      <c r="K23" s="938">
        <f>(DEN!$C123)*ONSV_2013!D14*FRO_TOT!AH131</f>
        <v>25343.713659022877</v>
      </c>
      <c r="L23" s="941">
        <f>DEN!$C123*ONSV_2013!$C14*(COMB_CORR!J15*0.75)/(COMB_CORR!E15-SUM(DIST_GAS_MOT!AJ24:AM24)+0.75*(COMB_CORR!J15))</f>
        <v>61052.260006097524</v>
      </c>
      <c r="M23" s="204">
        <f t="shared" si="5"/>
        <v>86395.9736651204</v>
      </c>
      <c r="N23" s="56" t="e">
        <f>(DEN!$C159)*$K$2*FRO_TOT!AH169</f>
        <v>#DIV/0!</v>
      </c>
      <c r="O23" s="205">
        <f>IF(FLEX!Q17="ALC",(DEN!$C159*$K$4*0.95),0)</f>
        <v>0</v>
      </c>
      <c r="P23" s="204" t="e">
        <f t="shared" si="17"/>
        <v>#DIV/0!</v>
      </c>
      <c r="R23" s="130" t="s">
        <v>23</v>
      </c>
      <c r="S23" s="943">
        <f>(DEN!$F15+DEN!$G15+DEN!$L15)*ONSV_2013!J14*FRO_TOT!AH17</f>
        <v>1497.6071217829324</v>
      </c>
      <c r="T23" s="942">
        <f>(DEN!$F15+DEN!$G15+DEN!$L15)*ONSV_2013!$I14*(COMB_CORR!G15*0.75)/(COMB_CORR!B15-SUM(DIST_GAS_MOT!X24:AA24)+0.75*(COMB_CORR!G15))</f>
        <v>13482.617362315386</v>
      </c>
      <c r="U23" s="204">
        <f t="shared" si="18"/>
        <v>14980.224484098318</v>
      </c>
      <c r="V23" s="943">
        <f>(DEN!$F51+DEN!$G51+DEN!$L51)*ONSV_2013!J14*FRO_TOT!AH55</f>
        <v>2590.0642405988074</v>
      </c>
      <c r="W23" s="942">
        <f>(DEN!$F51+DEN!$G51+DEN!$L51)*ONSV_2013!$I14*(COMB_CORR!H15*0.75)/(COMB_CORR!C15-SUM(DIST_GAS_MOT!AB24:AE24)+0.75*(COMB_CORR!H15))</f>
        <v>12271.103739847526</v>
      </c>
      <c r="X23" s="204">
        <f t="shared" si="11"/>
        <v>14861.167980446333</v>
      </c>
      <c r="Y23" s="943">
        <f>(DEN!$F87+DEN!$G87+DEN!$L87)*ONSV_2013!J14*FRO_TOT!AH93</f>
        <v>2840.0401814862407</v>
      </c>
      <c r="Z23" s="942">
        <f>(DEN!$F87+DEN!$G87+DEN!$L87)*ONSV_2013!$I14*(COMB_CORR!I15*0.75)/(COMB_CORR!D15-SUM(DIST_GAS_MOT!AF24:AI24)+0.75*(COMB_CORR!I15))</f>
        <v>10024.403844873907</v>
      </c>
      <c r="AA23" s="204">
        <f t="shared" si="12"/>
        <v>12864.444026360146</v>
      </c>
      <c r="AB23" s="943">
        <f>(DEN!$F123+DEN!$G123+DEN!$L123)*ONSV_2013!J14*FRO_TOT!AH131</f>
        <v>2799.0079989535639</v>
      </c>
      <c r="AC23" s="942">
        <f>(DEN!$F123+DEN!$G123+DEN!$L123)*ONSV_2013!$I14*(COMB_CORR!J15*0.75)/(COMB_CORR!E15-SUM(DIST_GAS_MOT!AJ24:AM24)+0.75*(COMB_CORR!J15))</f>
        <v>8095.2247628380101</v>
      </c>
      <c r="AD23" s="206">
        <f t="shared" si="13"/>
        <v>10894.232761791574</v>
      </c>
      <c r="AE23" s="55" t="e">
        <f>(DEN!$F159+DEN!$G159+DEN!$L159)*$K$3*FRO_TOT!AH169</f>
        <v>#DIV/0!</v>
      </c>
      <c r="AF23" s="205">
        <f>IF(FLEX!Q17="ALC",((DEN!$F159+DEN!$G159+DEN!$L159)*$K$5*0.95),0)</f>
        <v>0</v>
      </c>
      <c r="AG23" s="206" t="e">
        <f t="shared" si="19"/>
        <v>#DIV/0!</v>
      </c>
    </row>
    <row r="24" spans="1:33" ht="15.75" thickBot="1">
      <c r="A24" s="130" t="s">
        <v>24</v>
      </c>
      <c r="B24" s="920">
        <f>(DEN!$C16)*ONSV_2013!D15*FRO_TOT!AH18</f>
        <v>2000.333009300643</v>
      </c>
      <c r="C24" s="940">
        <f>DEN!$C16*ONSV_2013!$C15*(COMB_CORR!G16*0.75)/(COMB_CORR!B16-SUM(DIST_GAS_MOT!X25:AA25)+0.75*(COMB_CORR!G16))</f>
        <v>38131.317808948879</v>
      </c>
      <c r="D24" s="204">
        <f t="shared" si="7"/>
        <v>40131.650818249524</v>
      </c>
      <c r="E24" s="920">
        <f>(DEN!$C52)*ONSV_2013!D15*FRO_TOT!AH56</f>
        <v>3934.6359803844284</v>
      </c>
      <c r="F24" s="940">
        <f>DEN!$C52*ONSV_2013!$C15*(COMB_CORR!H16*0.75)/(COMB_CORR!C16-SUM(DIST_GAS_MOT!AB25:AE25)+0.75*(COMB_CORR!H16))</f>
        <v>24761.99342094842</v>
      </c>
      <c r="G24" s="204">
        <f t="shared" si="8"/>
        <v>28696.629401332848</v>
      </c>
      <c r="H24" s="920">
        <f>(DEN!$C88)*ONSV_2013!D15*FRO_TOT!AH94</f>
        <v>2360.4693552773588</v>
      </c>
      <c r="I24" s="940">
        <f>DEN!$C88*ONSV_2013!$C15*(COMB_CORR!I16*0.75)/(COMB_CORR!D16-SUM(DIST_GAS_MOT!AF25:AI25)+0.75*(COMB_CORR!I16))</f>
        <v>11314.127958202382</v>
      </c>
      <c r="J24" s="204">
        <f t="shared" si="9"/>
        <v>13674.59731347974</v>
      </c>
      <c r="K24" s="938">
        <f>(DEN!$C124)*ONSV_2013!D15*FRO_TOT!AH132</f>
        <v>1877.4916959876418</v>
      </c>
      <c r="L24" s="941">
        <f>DEN!$C124*ONSV_2013!$C15*(COMB_CORR!J16*0.75)/(COMB_CORR!E16-SUM(DIST_GAS_MOT!AJ25:AM25)+0.75*(COMB_CORR!J16))</f>
        <v>7487.9653127167858</v>
      </c>
      <c r="M24" s="204">
        <f t="shared" si="5"/>
        <v>9365.4570087044267</v>
      </c>
      <c r="N24" s="56" t="e">
        <f>(DEN!$C160)*$K$2*FRO_TOT!AH170</f>
        <v>#DIV/0!</v>
      </c>
      <c r="O24" s="205">
        <f>IF(FLEX!Q18="ALC",(DEN!$C160*$K$4*0.95),0)</f>
        <v>0</v>
      </c>
      <c r="P24" s="204" t="e">
        <f t="shared" si="17"/>
        <v>#DIV/0!</v>
      </c>
      <c r="R24" s="130" t="s">
        <v>24</v>
      </c>
      <c r="S24" s="943">
        <f>(DEN!$F16+DEN!$G16+DEN!$L16)*ONSV_2013!J15*FRO_TOT!AH18</f>
        <v>285.52631430002589</v>
      </c>
      <c r="T24" s="942">
        <f>(DEN!$F16+DEN!$G16+DEN!$L16)*ONSV_2013!$I15*(COMB_CORR!G16*0.75)/(COMB_CORR!B16-SUM(DIST_GAS_MOT!X25:AA25)+0.75*(COMB_CORR!G16))</f>
        <v>6535.1144311345406</v>
      </c>
      <c r="U24" s="204">
        <f t="shared" si="18"/>
        <v>6820.6407454345663</v>
      </c>
      <c r="V24" s="943">
        <f>(DEN!$F52+DEN!$G52+DEN!$L52)*ONSV_2013!J15*FRO_TOT!AH56</f>
        <v>581.47599545491789</v>
      </c>
      <c r="W24" s="942">
        <f>(DEN!$F52+DEN!$G52+DEN!$L52)*ONSV_2013!$I15*(COMB_CORR!H16*0.75)/(COMB_CORR!C16-SUM(DIST_GAS_MOT!AB25:AE25)+0.75*(COMB_CORR!H16))</f>
        <v>4393.8009658203173</v>
      </c>
      <c r="X24" s="204">
        <f t="shared" si="11"/>
        <v>4975.2769612752354</v>
      </c>
      <c r="Y24" s="943">
        <f>(DEN!$F88+DEN!$G88+DEN!$L88)*ONSV_2013!J15*FRO_TOT!AH94</f>
        <v>362.45368714641955</v>
      </c>
      <c r="Z24" s="942">
        <f>(DEN!$F88+DEN!$G88+DEN!$L88)*ONSV_2013!$I15*(COMB_CORR!I16*0.75)/(COMB_CORR!D16-SUM(DIST_GAS_MOT!AF25:AI25)+0.75*(COMB_CORR!I16))</f>
        <v>2085.9446767776558</v>
      </c>
      <c r="AA24" s="204">
        <f t="shared" si="12"/>
        <v>2448.3983639240755</v>
      </c>
      <c r="AB24" s="943">
        <f>(DEN!$F124+DEN!$G124+DEN!$L124)*ONSV_2013!J15*FRO_TOT!AH132</f>
        <v>300.52775897579909</v>
      </c>
      <c r="AC24" s="942">
        <f>(DEN!$F124+DEN!$G124+DEN!$L124)*ONSV_2013!$I15*(COMB_CORR!J16*0.75)/(COMB_CORR!E16-SUM(DIST_GAS_MOT!AJ25:AM25)+0.75*(COMB_CORR!J16))</f>
        <v>1439.1230733447833</v>
      </c>
      <c r="AD24" s="206">
        <f t="shared" si="13"/>
        <v>1739.6508323205824</v>
      </c>
      <c r="AE24" s="55" t="e">
        <f>(DEN!$F160+DEN!$G160+DEN!$L160)*$K$3*FRO_TOT!AH170</f>
        <v>#DIV/0!</v>
      </c>
      <c r="AF24" s="205">
        <f>IF(FLEX!Q18="ALC",((DEN!$F160+DEN!$G160+DEN!$L160)*$K$5*0.95),0)</f>
        <v>0</v>
      </c>
      <c r="AG24" s="206" t="e">
        <f t="shared" si="19"/>
        <v>#DIV/0!</v>
      </c>
    </row>
    <row r="25" spans="1:33" ht="15.75" thickBot="1">
      <c r="A25" s="130" t="s">
        <v>25</v>
      </c>
      <c r="B25" s="920">
        <f>(DEN!$C17)*ONSV_2013!D16*FRO_TOT!AH19</f>
        <v>19197.123680852081</v>
      </c>
      <c r="C25" s="940">
        <f>DEN!$C17*ONSV_2013!$C16*(COMB_CORR!G17*0.75)/(COMB_CORR!B17-SUM(DIST_GAS_MOT!X26:AA26)+0.75*(COMB_CORR!G17))</f>
        <v>45766.537844731858</v>
      </c>
      <c r="D25" s="204">
        <f t="shared" si="7"/>
        <v>64963.661525583942</v>
      </c>
      <c r="E25" s="920">
        <f>(DEN!$C53)*ONSV_2013!D16*FRO_TOT!AH57</f>
        <v>13995.033605163082</v>
      </c>
      <c r="F25" s="940">
        <f>DEN!$C53*ONSV_2013!$C16*(COMB_CORR!H17*0.75)/(COMB_CORR!C17-SUM(DIST_GAS_MOT!AB26:AE26)+0.75*(COMB_CORR!H17))</f>
        <v>35959.214893451244</v>
      </c>
      <c r="G25" s="204">
        <f t="shared" si="8"/>
        <v>49954.248498614324</v>
      </c>
      <c r="H25" s="920">
        <f>(DEN!$C89)*ONSV_2013!D16*FRO_TOT!AH95</f>
        <v>14084.847889470027</v>
      </c>
      <c r="I25" s="940">
        <f>DEN!$C89*ONSV_2013!$C16*(COMB_CORR!I17*0.75)/(COMB_CORR!D17-SUM(DIST_GAS_MOT!AF26:AI26)+0.75*(COMB_CORR!I17))</f>
        <v>26527.752479693005</v>
      </c>
      <c r="J25" s="204">
        <f t="shared" si="9"/>
        <v>40612.600369163032</v>
      </c>
      <c r="K25" s="938">
        <f>(DEN!$C125)*ONSV_2013!D16*FRO_TOT!AH133</f>
        <v>12875.206792512374</v>
      </c>
      <c r="L25" s="941">
        <f>DEN!$C125*ONSV_2013!$C16*(COMB_CORR!J17*0.75)/(COMB_CORR!E17-SUM(DIST_GAS_MOT!AJ26:AM26)+0.75*(COMB_CORR!J17))</f>
        <v>20739.701830867347</v>
      </c>
      <c r="M25" s="204">
        <f t="shared" si="5"/>
        <v>33614.908623379721</v>
      </c>
      <c r="N25" s="56" t="e">
        <f>(DEN!$C161)*$K$2*FRO_TOT!AH171</f>
        <v>#DIV/0!</v>
      </c>
      <c r="O25" s="205">
        <f>IF(FLEX!Q19="ALC",(DEN!$C161*$K$4*0.95),0)</f>
        <v>0</v>
      </c>
      <c r="P25" s="204" t="e">
        <f t="shared" si="17"/>
        <v>#DIV/0!</v>
      </c>
      <c r="R25" s="130" t="s">
        <v>25</v>
      </c>
      <c r="S25" s="943">
        <f>(DEN!$F17+DEN!$G17+DEN!$L17)*ONSV_2013!J16*FRO_TOT!AH19</f>
        <v>1986.3902823082119</v>
      </c>
      <c r="T25" s="942">
        <f>(DEN!$F17+DEN!$G17+DEN!$L17)*ONSV_2013!$I16*(COMB_CORR!G17*0.75)/(COMB_CORR!B17-SUM(DIST_GAS_MOT!X26:AA26)+0.75*(COMB_CORR!G17))</f>
        <v>5684.9246132737135</v>
      </c>
      <c r="U25" s="204">
        <f t="shared" si="18"/>
        <v>7671.3148955819252</v>
      </c>
      <c r="V25" s="943">
        <f>(DEN!$F53+DEN!$G53+DEN!$L53)*ONSV_2013!J16*FRO_TOT!AH57</f>
        <v>1461.9696431615253</v>
      </c>
      <c r="W25" s="942">
        <f>(DEN!$F53+DEN!$G53+DEN!$L53)*ONSV_2013!$I16*(COMB_CORR!H17*0.75)/(COMB_CORR!C17-SUM(DIST_GAS_MOT!AB26:AE26)+0.75*(COMB_CORR!H17))</f>
        <v>4509.4423714002005</v>
      </c>
      <c r="X25" s="204">
        <f t="shared" si="11"/>
        <v>5971.4120145617253</v>
      </c>
      <c r="Y25" s="943">
        <f>(DEN!$F89+DEN!$G89+DEN!$L89)*ONSV_2013!J16*FRO_TOT!AH95</f>
        <v>1488.8389412205963</v>
      </c>
      <c r="Z25" s="942">
        <f>(DEN!$F89+DEN!$G89+DEN!$L89)*ONSV_2013!$I16*(COMB_CORR!I17*0.75)/(COMB_CORR!D17-SUM(DIST_GAS_MOT!AF26:AI26)+0.75*(COMB_CORR!I17))</f>
        <v>3366.2335630312714</v>
      </c>
      <c r="AA25" s="204">
        <f t="shared" si="12"/>
        <v>4855.0725042518679</v>
      </c>
      <c r="AB25" s="943">
        <f>(DEN!$F125+DEN!$G125+DEN!$L125)*ONSV_2013!J16*FRO_TOT!AH133</f>
        <v>1395.3135163599707</v>
      </c>
      <c r="AC25" s="942">
        <f>(DEN!$F125+DEN!$G125+DEN!$L125)*ONSV_2013!$I16*(COMB_CORR!J17*0.75)/(COMB_CORR!E17-SUM(DIST_GAS_MOT!AJ26:AM26)+0.75*(COMB_CORR!J17))</f>
        <v>2698.1639001390163</v>
      </c>
      <c r="AD25" s="206">
        <f t="shared" si="13"/>
        <v>4093.4774164989867</v>
      </c>
      <c r="AE25" s="55" t="e">
        <f>(DEN!$F161+DEN!$G161+DEN!$L161)*$K$3*FRO_TOT!AH171</f>
        <v>#DIV/0!</v>
      </c>
      <c r="AF25" s="205">
        <f>IF(FLEX!Q19="ALC",((DEN!$F161+DEN!$G161+DEN!$L161)*$K$5*0.95),0)</f>
        <v>0</v>
      </c>
      <c r="AG25" s="206" t="e">
        <f t="shared" si="19"/>
        <v>#DIV/0!</v>
      </c>
    </row>
    <row r="26" spans="1:33" ht="15.75" thickBot="1">
      <c r="A26" s="130" t="s">
        <v>26</v>
      </c>
      <c r="B26" s="920">
        <f>(DEN!$C18)*ONSV_2013!D17*FRO_TOT!AH20</f>
        <v>158203.73431509529</v>
      </c>
      <c r="C26" s="940">
        <f>DEN!$C18*ONSV_2013!$C17*(COMB_CORR!G18*0.75)/(COMB_CORR!B18-SUM(DIST_GAS_MOT!X27:AA27)+0.75*(COMB_CORR!G18))</f>
        <v>178763.09343278958</v>
      </c>
      <c r="D26" s="204">
        <f t="shared" si="7"/>
        <v>336966.8277478849</v>
      </c>
      <c r="E26" s="920">
        <f>(DEN!$C54)*ONSV_2013!D17*FRO_TOT!AH58</f>
        <v>59147.83805537298</v>
      </c>
      <c r="F26" s="940">
        <f>DEN!$C54*ONSV_2013!$C17*(COMB_CORR!H18*0.75)/(COMB_CORR!C18-SUM(DIST_GAS_MOT!AB27:AE27)+0.75*(COMB_CORR!H18))</f>
        <v>152818.80195243438</v>
      </c>
      <c r="G26" s="204">
        <f t="shared" si="8"/>
        <v>211966.64000780735</v>
      </c>
      <c r="H26" s="920">
        <f>(DEN!$C90)*ONSV_2013!D17*FRO_TOT!AH96</f>
        <v>51691.849746992033</v>
      </c>
      <c r="I26" s="940">
        <f>DEN!$C90*ONSV_2013!$C17*(COMB_CORR!I18*0.75)/(COMB_CORR!D18-SUM(DIST_GAS_MOT!AF27:AI27)+0.75*(COMB_CORR!I18))</f>
        <v>96598.348887110522</v>
      </c>
      <c r="J26" s="204">
        <f t="shared" si="9"/>
        <v>148290.19863410256</v>
      </c>
      <c r="K26" s="938">
        <f>(DEN!$C126)*ONSV_2013!D17*FRO_TOT!AH134</f>
        <v>54024.726081845234</v>
      </c>
      <c r="L26" s="941">
        <f>DEN!$C126*ONSV_2013!$C17*(COMB_CORR!J18*0.75)/(COMB_CORR!E18-SUM(DIST_GAS_MOT!AJ27:AM27)+0.75*(COMB_CORR!J18))</f>
        <v>84323.365929150212</v>
      </c>
      <c r="M26" s="204">
        <f t="shared" si="5"/>
        <v>138348.09201099543</v>
      </c>
      <c r="N26" s="56" t="e">
        <f>(DEN!$C162)*$K$2*FRO_TOT!AH172</f>
        <v>#DIV/0!</v>
      </c>
      <c r="O26" s="205">
        <f>IF(FLEX!Q20="ALC",(DEN!$C162*$K$4*0.95),0)</f>
        <v>0</v>
      </c>
      <c r="P26" s="204" t="e">
        <f t="shared" si="17"/>
        <v>#DIV/0!</v>
      </c>
      <c r="R26" s="130" t="s">
        <v>26</v>
      </c>
      <c r="S26" s="943">
        <f>(DEN!$F18+DEN!$G18+DEN!$L18)*ONSV_2013!J17*FRO_TOT!AH20</f>
        <v>16426.310725982959</v>
      </c>
      <c r="T26" s="942">
        <f>(DEN!$F18+DEN!$G18+DEN!$L18)*ONSV_2013!$I17*(COMB_CORR!G18*0.75)/(COMB_CORR!B18-SUM(DIST_GAS_MOT!X27:AA27)+0.75*(COMB_CORR!G18))</f>
        <v>22282.400632069835</v>
      </c>
      <c r="U26" s="204">
        <f t="shared" si="18"/>
        <v>38708.711358052795</v>
      </c>
      <c r="V26" s="943">
        <f>(DEN!$F54+DEN!$G54+DEN!$L54)*ONSV_2013!J17*FRO_TOT!AH58</f>
        <v>6292.2274661911279</v>
      </c>
      <c r="W26" s="942">
        <f>(DEN!$F54+DEN!$G54+DEN!$L54)*ONSV_2013!$I17*(COMB_CORR!H18*0.75)/(COMB_CORR!C18-SUM(DIST_GAS_MOT!AB27:AE27)+0.75*(COMB_CORR!H18))</f>
        <v>19516.554265997423</v>
      </c>
      <c r="X26" s="204">
        <f t="shared" si="11"/>
        <v>25808.781732188552</v>
      </c>
      <c r="Y26" s="943">
        <f>(DEN!$F90+DEN!$G90+DEN!$L90)*ONSV_2013!J17*FRO_TOT!AH96</f>
        <v>5643.6599590977985</v>
      </c>
      <c r="Z26" s="942">
        <f>(DEN!$F90+DEN!$G90+DEN!$L90)*ONSV_2013!$I17*(COMB_CORR!I18*0.75)/(COMB_CORR!D18-SUM(DIST_GAS_MOT!AF27:AI27)+0.75*(COMB_CORR!I18))</f>
        <v>12661.037137101384</v>
      </c>
      <c r="AA26" s="204">
        <f t="shared" si="12"/>
        <v>18304.697096199183</v>
      </c>
      <c r="AB26" s="943">
        <f>(DEN!$F126+DEN!$G126+DEN!$L126)*ONSV_2013!J17*FRO_TOT!AH134</f>
        <v>6095.6990973085049</v>
      </c>
      <c r="AC26" s="942">
        <f>(DEN!$F126+DEN!$G126+DEN!$L126)*ONSV_2013!$I17*(COMB_CORR!J18*0.75)/(COMB_CORR!E18-SUM(DIST_GAS_MOT!AJ27:AM27)+0.75*(COMB_CORR!J18))</f>
        <v>11421.935277421391</v>
      </c>
      <c r="AD26" s="206">
        <f t="shared" si="13"/>
        <v>17517.634374729896</v>
      </c>
      <c r="AE26" s="55" t="e">
        <f>(DEN!$F162+DEN!$G162+DEN!$L162)*$K$3*FRO_TOT!AH172</f>
        <v>#DIV/0!</v>
      </c>
      <c r="AF26" s="205">
        <f>IF(FLEX!Q20="ALC",((DEN!$F162+DEN!$G162+DEN!$L162)*$K$5*0.95),0)</f>
        <v>0</v>
      </c>
      <c r="AG26" s="206" t="e">
        <f t="shared" si="19"/>
        <v>#DIV/0!</v>
      </c>
    </row>
    <row r="27" spans="1:33" ht="15.75" thickBot="1">
      <c r="A27" s="130" t="s">
        <v>27</v>
      </c>
      <c r="B27" s="920">
        <f>(DEN!$C19)*ONSV_2013!D18*FRO_TOT!AH21</f>
        <v>879.06568756797094</v>
      </c>
      <c r="C27" s="940">
        <f>DEN!$C19*ONSV_2013!$C18*(COMB_CORR!G19*0.75)/(COMB_CORR!B19-SUM(DIST_GAS_MOT!X28:AA28)+0.75*(COMB_CORR!G19))</f>
        <v>16281.63912994517</v>
      </c>
      <c r="D27" s="204">
        <f t="shared" si="7"/>
        <v>17160.704817513142</v>
      </c>
      <c r="E27" s="920">
        <f>(DEN!$C55)*ONSV_2013!D18*FRO_TOT!AH59</f>
        <v>2633.2605658379912</v>
      </c>
      <c r="F27" s="940">
        <f>DEN!$C55*ONSV_2013!$C18*(COMB_CORR!H19*0.75)/(COMB_CORR!C19-SUM(DIST_GAS_MOT!AB28:AE28)+0.75*(COMB_CORR!H19))</f>
        <v>9643.665548860341</v>
      </c>
      <c r="G27" s="204">
        <f t="shared" si="8"/>
        <v>12276.926114698332</v>
      </c>
      <c r="H27" s="920">
        <f>(DEN!$C91)*ONSV_2013!D18*FRO_TOT!AH97</f>
        <v>2846.9936063969144</v>
      </c>
      <c r="I27" s="940">
        <f>DEN!$C91*ONSV_2013!$C18*(COMB_CORR!I19*0.75)/(COMB_CORR!D19-SUM(DIST_GAS_MOT!AF28:AI28)+0.75*(COMB_CORR!I19))</f>
        <v>8281.0014905555727</v>
      </c>
      <c r="J27" s="204">
        <f t="shared" si="9"/>
        <v>11127.995096952487</v>
      </c>
      <c r="K27" s="938">
        <f>(DEN!$C127)*ONSV_2013!D18*FRO_TOT!AH135</f>
        <v>3866.4421231392994</v>
      </c>
      <c r="L27" s="941">
        <f>DEN!$C127*ONSV_2013!$C18*(COMB_CORR!J19*0.75)/(COMB_CORR!E19-SUM(DIST_GAS_MOT!AJ28:AM28)+0.75*(COMB_CORR!J19))</f>
        <v>8671.2453100329039</v>
      </c>
      <c r="M27" s="204">
        <f t="shared" si="5"/>
        <v>12537.687433172203</v>
      </c>
      <c r="N27" s="56" t="e">
        <f>(DEN!$C163)*$K$2*FRO_TOT!AH173</f>
        <v>#DIV/0!</v>
      </c>
      <c r="O27" s="205">
        <f>IF(FLEX!Q21="ALC",(DEN!$C163*$K$4*0.95),0)</f>
        <v>0</v>
      </c>
      <c r="P27" s="204" t="e">
        <f t="shared" si="17"/>
        <v>#DIV/0!</v>
      </c>
      <c r="R27" s="130" t="s">
        <v>27</v>
      </c>
      <c r="S27" s="943">
        <f>(DEN!$F19+DEN!$G19+DEN!$L19)*ONSV_2013!J18*FRO_TOT!AH21</f>
        <v>102.86680193344981</v>
      </c>
      <c r="T27" s="942">
        <f>(DEN!$F19+DEN!$G19+DEN!$L19)*ONSV_2013!$I18*(COMB_CORR!G19*0.75)/(COMB_CORR!B19-SUM(DIST_GAS_MOT!X28:AA28)+0.75*(COMB_CORR!G19))</f>
        <v>2287.5538418286492</v>
      </c>
      <c r="U27" s="204">
        <f t="shared" si="18"/>
        <v>2390.4206437620992</v>
      </c>
      <c r="V27" s="943">
        <f>(DEN!$F55+DEN!$G55+DEN!$L55)*ONSV_2013!J18*FRO_TOT!AH59</f>
        <v>308.74910076058563</v>
      </c>
      <c r="W27" s="942">
        <f>(DEN!$F55+DEN!$G55+DEN!$L55)*ONSV_2013!$I18*(COMB_CORR!H19*0.75)/(COMB_CORR!C19-SUM(DIST_GAS_MOT!AB28:AE28)+0.75*(COMB_CORR!H19))</f>
        <v>1357.6045873295584</v>
      </c>
      <c r="X27" s="204">
        <f t="shared" si="11"/>
        <v>1666.353688090144</v>
      </c>
      <c r="Y27" s="943">
        <f>(DEN!$F91+DEN!$G91+DEN!$L91)*ONSV_2013!J18*FRO_TOT!AH97</f>
        <v>329.57590239658532</v>
      </c>
      <c r="Z27" s="942">
        <f>(DEN!$F91+DEN!$G91+DEN!$L91)*ONSV_2013!$I18*(COMB_CORR!I19*0.75)/(COMB_CORR!D19-SUM(DIST_GAS_MOT!AF28:AI28)+0.75*(COMB_CORR!I19))</f>
        <v>1150.988836679664</v>
      </c>
      <c r="AA27" s="204">
        <f t="shared" si="12"/>
        <v>1480.5647390762492</v>
      </c>
      <c r="AB27" s="943">
        <f>(DEN!$F127+DEN!$G127+DEN!$L127)*ONSV_2013!J18*FRO_TOT!AH135</f>
        <v>455.28414727666842</v>
      </c>
      <c r="AC27" s="942">
        <f>(DEN!$F127+DEN!$G127+DEN!$L127)*ONSV_2013!$I18*(COMB_CORR!J19*0.75)/(COMB_CORR!E19-SUM(DIST_GAS_MOT!AJ28:AM28)+0.75*(COMB_CORR!J19))</f>
        <v>1225.9472346172834</v>
      </c>
      <c r="AD27" s="206">
        <f t="shared" si="13"/>
        <v>1681.2313818939517</v>
      </c>
      <c r="AE27" s="55" t="e">
        <f>(DEN!$F163+DEN!$G163+DEN!$L163)*$K$3*FRO_TOT!AH173</f>
        <v>#DIV/0!</v>
      </c>
      <c r="AF27" s="205">
        <f>IF(FLEX!Q21="ALC",((DEN!$F163+DEN!$G163+DEN!$L163)*$K$5*0.95),0)</f>
        <v>0</v>
      </c>
      <c r="AG27" s="206" t="e">
        <f t="shared" si="19"/>
        <v>#DIV/0!</v>
      </c>
    </row>
    <row r="28" spans="1:33" ht="26.25" thickBot="1">
      <c r="A28" s="130" t="s">
        <v>28</v>
      </c>
      <c r="B28" s="920">
        <f>(DEN!$C20)*ONSV_2013!D19*FRO_TOT!AH22</f>
        <v>24717.618945241709</v>
      </c>
      <c r="C28" s="940">
        <f>DEN!$C20*ONSV_2013!$C19*(COMB_CORR!G20*0.75)/(COMB_CORR!B20-SUM(DIST_GAS_MOT!X29:AA29)+0.75*(COMB_CORR!G20))</f>
        <v>41707.750366043911</v>
      </c>
      <c r="D28" s="204">
        <f t="shared" si="7"/>
        <v>66425.369311285613</v>
      </c>
      <c r="E28" s="920">
        <f>(DEN!$C56)*ONSV_2013!D19*FRO_TOT!AH60</f>
        <v>13340.597558886118</v>
      </c>
      <c r="F28" s="940">
        <f>DEN!$C56*ONSV_2013!$C19*(COMB_CORR!H20*0.75)/(COMB_CORR!C20-SUM(DIST_GAS_MOT!AB29:AE29)+0.75*(COMB_CORR!H20))</f>
        <v>34500.603009707884</v>
      </c>
      <c r="G28" s="204">
        <f t="shared" si="8"/>
        <v>47841.200568594002</v>
      </c>
      <c r="H28" s="920">
        <f>(DEN!$C92)*ONSV_2013!D19*FRO_TOT!AH98</f>
        <v>13967.440862342468</v>
      </c>
      <c r="I28" s="940">
        <f>DEN!$C92*ONSV_2013!$C19*(COMB_CORR!I20*0.75)/(COMB_CORR!D20-SUM(DIST_GAS_MOT!AF29:AI29)+0.75*(COMB_CORR!I20))</f>
        <v>24266.581372815952</v>
      </c>
      <c r="J28" s="204">
        <f t="shared" si="9"/>
        <v>38234.022235158423</v>
      </c>
      <c r="K28" s="938">
        <f>(DEN!$C128)*ONSV_2013!D19*FRO_TOT!AH136</f>
        <v>13736.281106207751</v>
      </c>
      <c r="L28" s="941">
        <f>DEN!$C128*ONSV_2013!$C19*(COMB_CORR!J20*0.75)/(COMB_CORR!E20-SUM(DIST_GAS_MOT!AJ29:AM29)+0.75*(COMB_CORR!J20))</f>
        <v>19776.422042142065</v>
      </c>
      <c r="M28" s="204">
        <f t="shared" si="5"/>
        <v>33512.703148349814</v>
      </c>
      <c r="N28" s="56" t="e">
        <f>(DEN!$C164)*$K$2*FRO_TOT!AH174</f>
        <v>#DIV/0!</v>
      </c>
      <c r="O28" s="205">
        <f>IF(FLEX!Q22="ALC",(DEN!$C164*$K$4*0.95),0)</f>
        <v>0</v>
      </c>
      <c r="P28" s="204" t="e">
        <f t="shared" si="17"/>
        <v>#DIV/0!</v>
      </c>
      <c r="R28" s="130" t="s">
        <v>28</v>
      </c>
      <c r="S28" s="943">
        <f>(DEN!$F20+DEN!$G20+DEN!$L20)*ONSV_2013!J19*FRO_TOT!AH22</f>
        <v>2669.7345477100539</v>
      </c>
      <c r="T28" s="942">
        <f>(DEN!$F20+DEN!$G20+DEN!$L20)*ONSV_2013!$I19*(COMB_CORR!G20*0.75)/(COMB_CORR!B20-SUM(DIST_GAS_MOT!X29:AA29)+0.75*(COMB_CORR!G20))</f>
        <v>5408.5418669750661</v>
      </c>
      <c r="U28" s="204">
        <f t="shared" si="18"/>
        <v>8078.2764146851205</v>
      </c>
      <c r="V28" s="943">
        <f>(DEN!$F56+DEN!$G56+DEN!$L56)*ONSV_2013!J19*FRO_TOT!AH60</f>
        <v>1473.9235473630674</v>
      </c>
      <c r="W28" s="942">
        <f>(DEN!$F56+DEN!$G56+DEN!$L56)*ONSV_2013!$I19*(COMB_CORR!H20*0.75)/(COMB_CORR!C20-SUM(DIST_GAS_MOT!AB29:AE29)+0.75*(COMB_CORR!H20))</f>
        <v>4576.4459919244327</v>
      </c>
      <c r="X28" s="204">
        <f t="shared" si="11"/>
        <v>6050.3695392874997</v>
      </c>
      <c r="Y28" s="943">
        <f>(DEN!$F92+DEN!$G92+DEN!$L92)*ONSV_2013!J19*FRO_TOT!AH98</f>
        <v>1576.6119092108627</v>
      </c>
      <c r="Z28" s="942">
        <f>(DEN!$F92+DEN!$G92+DEN!$L92)*ONSV_2013!$I19*(COMB_CORR!I20*0.75)/(COMB_CORR!D20-SUM(DIST_GAS_MOT!AF29:AI29)+0.75*(COMB_CORR!I20))</f>
        <v>3288.6567075873377</v>
      </c>
      <c r="AA28" s="204">
        <f t="shared" si="12"/>
        <v>4865.2686167982001</v>
      </c>
      <c r="AB28" s="943">
        <f>(DEN!$F128+DEN!$G128+DEN!$L128)*ONSV_2013!J19*FRO_TOT!AH136</f>
        <v>1580.7863437953924</v>
      </c>
      <c r="AC28" s="942">
        <f>(DEN!$F128+DEN!$G128+DEN!$L128)*ONSV_2013!$I19*(COMB_CORR!J20*0.75)/(COMB_CORR!E20-SUM(DIST_GAS_MOT!AJ29:AM29)+0.75*(COMB_CORR!J20))</f>
        <v>2732.4593439556666</v>
      </c>
      <c r="AD28" s="206">
        <f t="shared" si="13"/>
        <v>4313.2456877510594</v>
      </c>
      <c r="AE28" s="55" t="e">
        <f>(DEN!$F164+DEN!$G164+DEN!$L164)*$K$3*FRO_TOT!AH174</f>
        <v>#DIV/0!</v>
      </c>
      <c r="AF28" s="205">
        <f>IF(FLEX!Q22="ALC",((DEN!$F164+DEN!$G164+DEN!$L164)*$K$5*0.95),0)</f>
        <v>0</v>
      </c>
      <c r="AG28" s="206" t="e">
        <f t="shared" si="19"/>
        <v>#DIV/0!</v>
      </c>
    </row>
    <row r="29" spans="1:33" ht="15.75" thickBot="1">
      <c r="A29" s="210" t="s">
        <v>29</v>
      </c>
      <c r="B29" s="920">
        <f>(DEN!$C21)*ONSV_2013!D20*FRO_TOT!AH23</f>
        <v>4412.5988006858261</v>
      </c>
      <c r="C29" s="940">
        <f>DEN!$C21*ONSV_2013!$C20*(COMB_CORR!G21*0.75)/(COMB_CORR!B21-SUM(DIST_GAS_MOT!X30:AA30)+0.75*(COMB_CORR!G21))</f>
        <v>23430.918507655202</v>
      </c>
      <c r="D29" s="204">
        <f t="shared" si="7"/>
        <v>27843.517308341026</v>
      </c>
      <c r="E29" s="920">
        <f>(DEN!$C57)*ONSV_2013!D20*FRO_TOT!AH61</f>
        <v>6679.6381675960683</v>
      </c>
      <c r="F29" s="940">
        <f>DEN!$C57*ONSV_2013!$C20*(COMB_CORR!H21*0.75)/(COMB_CORR!C21-SUM(DIST_GAS_MOT!AB30:AE30)+0.75*(COMB_CORR!H21))</f>
        <v>17928.993138209175</v>
      </c>
      <c r="G29" s="204">
        <f t="shared" si="8"/>
        <v>24608.631305805244</v>
      </c>
      <c r="H29" s="920">
        <f>(DEN!$C93)*ONSV_2013!D20*FRO_TOT!AH99</f>
        <v>6427.9072265916338</v>
      </c>
      <c r="I29" s="940">
        <f>DEN!$C93*ONSV_2013!$C20*(COMB_CORR!I21*0.75)/(COMB_CORR!D21-SUM(DIST_GAS_MOT!AF30:AI30)+0.75*(COMB_CORR!I21))</f>
        <v>12408.562095424557</v>
      </c>
      <c r="J29" s="204">
        <f t="shared" si="9"/>
        <v>18836.46932201619</v>
      </c>
      <c r="K29" s="938">
        <f>(DEN!$C129)*ONSV_2013!D20*FRO_TOT!AH137</f>
        <v>6347.4615741107809</v>
      </c>
      <c r="L29" s="941">
        <f>DEN!$C129*ONSV_2013!$C20*(COMB_CORR!J21*0.75)/(COMB_CORR!E21-SUM(DIST_GAS_MOT!AJ30:AM30)+0.75*(COMB_CORR!J21))</f>
        <v>10369.783107605608</v>
      </c>
      <c r="M29" s="204">
        <f t="shared" si="5"/>
        <v>16717.244681716387</v>
      </c>
      <c r="N29" s="56" t="e">
        <f>(DEN!$C165)*$K$2*FRO_TOT!AH175</f>
        <v>#DIV/0!</v>
      </c>
      <c r="O29" s="205">
        <f>IF(FLEX!Q23="ALC",(DEN!$C165*$K$4*0.95),0)</f>
        <v>0</v>
      </c>
      <c r="P29" s="204" t="e">
        <f t="shared" si="17"/>
        <v>#DIV/0!</v>
      </c>
      <c r="R29" s="210" t="s">
        <v>29</v>
      </c>
      <c r="S29" s="943">
        <f>(DEN!$F21+DEN!$G21+DEN!$L21)*ONSV_2013!J20*FRO_TOT!AH23</f>
        <v>382.6072701893911</v>
      </c>
      <c r="T29" s="942">
        <f>(DEN!$F21+DEN!$G21+DEN!$L21)*ONSV_2013!$I20*(COMB_CORR!G21*0.75)/(COMB_CORR!B21-SUM(DIST_GAS_MOT!X30:AA30)+0.75*(COMB_CORR!G21))</f>
        <v>2439.2572254359193</v>
      </c>
      <c r="U29" s="204">
        <f t="shared" si="18"/>
        <v>2821.8644956253102</v>
      </c>
      <c r="V29" s="943">
        <f>(DEN!$F57+DEN!$G57+DEN!$L57)*ONSV_2013!J20*FRO_TOT!AH61</f>
        <v>590.60983437824189</v>
      </c>
      <c r="W29" s="942">
        <f>(DEN!$F57+DEN!$G57+DEN!$L57)*ONSV_2013!$I20*(COMB_CORR!H21*0.75)/(COMB_CORR!C21-SUM(DIST_GAS_MOT!AB30:AE30)+0.75*(COMB_CORR!H21))</f>
        <v>1903.3258616699279</v>
      </c>
      <c r="X29" s="204">
        <f t="shared" si="11"/>
        <v>2493.93569604817</v>
      </c>
      <c r="Y29" s="943">
        <f>(DEN!$F93+DEN!$G93+DEN!$L93)*ONSV_2013!J20*FRO_TOT!AH99</f>
        <v>591.01035052896702</v>
      </c>
      <c r="Z29" s="942">
        <f>(DEN!$F93+DEN!$G93+DEN!$L93)*ONSV_2013!$I20*(COMB_CORR!I21*0.75)/(COMB_CORR!D21-SUM(DIST_GAS_MOT!AF30:AI30)+0.75*(COMB_CORR!I21))</f>
        <v>1369.797774481792</v>
      </c>
      <c r="AA29" s="204">
        <f t="shared" si="12"/>
        <v>1960.8081250107589</v>
      </c>
      <c r="AB29" s="943">
        <f>(DEN!$F129+DEN!$G129+DEN!$L129)*ONSV_2013!J20*FRO_TOT!AH137</f>
        <v>608.99740042502776</v>
      </c>
      <c r="AC29" s="942">
        <f>(DEN!$F129+DEN!$G129+DEN!$L129)*ONSV_2013!$I20*(COMB_CORR!J21*0.75)/(COMB_CORR!E21-SUM(DIST_GAS_MOT!AJ30:AM30)+0.75*(COMB_CORR!J21))</f>
        <v>1194.5230714045149</v>
      </c>
      <c r="AD29" s="206">
        <f t="shared" si="13"/>
        <v>1803.5204718295427</v>
      </c>
      <c r="AE29" s="55" t="e">
        <f>(DEN!$F165+DEN!$G165+DEN!$L165)*$K$3*FRO_TOT!AH175</f>
        <v>#DIV/0!</v>
      </c>
      <c r="AF29" s="205">
        <f>IF(FLEX!Q23="ALC",((DEN!$F165+DEN!$G165+DEN!$L165)*$K$5*0.95),0)</f>
        <v>0</v>
      </c>
      <c r="AG29" s="206" t="e">
        <f t="shared" si="19"/>
        <v>#DIV/0!</v>
      </c>
    </row>
    <row r="30" spans="1:33" ht="15.75" thickBot="1">
      <c r="A30" s="231" t="s">
        <v>64</v>
      </c>
      <c r="B30" s="148">
        <f t="shared" ref="B30:P30" si="20">SUM(B31:B34)</f>
        <v>2305068.8148426069</v>
      </c>
      <c r="C30" s="148">
        <f t="shared" si="20"/>
        <v>3598140.1638372112</v>
      </c>
      <c r="D30" s="148">
        <f t="shared" si="20"/>
        <v>5903208.9786798172</v>
      </c>
      <c r="E30" s="148">
        <f t="shared" si="20"/>
        <v>2541891.8402939606</v>
      </c>
      <c r="F30" s="148">
        <f t="shared" si="20"/>
        <v>3490328.7918859236</v>
      </c>
      <c r="G30" s="148">
        <f t="shared" si="20"/>
        <v>6032220.6321798842</v>
      </c>
      <c r="H30" s="148">
        <f t="shared" si="20"/>
        <v>2888554.2586469273</v>
      </c>
      <c r="I30" s="148">
        <f t="shared" si="20"/>
        <v>2805277.3357456205</v>
      </c>
      <c r="J30" s="148">
        <f t="shared" si="20"/>
        <v>5693831.5943925474</v>
      </c>
      <c r="K30" s="148">
        <f t="shared" si="20"/>
        <v>3066947.6382653974</v>
      </c>
      <c r="L30" s="148">
        <f t="shared" si="20"/>
        <v>2649269.8489575097</v>
      </c>
      <c r="M30" s="148">
        <f t="shared" si="20"/>
        <v>5716217.4872229071</v>
      </c>
      <c r="N30" s="148" t="e">
        <f t="shared" si="20"/>
        <v>#DIV/0!</v>
      </c>
      <c r="O30" s="148" t="e">
        <f t="shared" si="20"/>
        <v>#DIV/0!</v>
      </c>
      <c r="P30" s="148" t="e">
        <f t="shared" si="20"/>
        <v>#DIV/0!</v>
      </c>
      <c r="R30" s="125" t="s">
        <v>64</v>
      </c>
      <c r="S30" s="147">
        <f t="shared" ref="S30:AG30" si="21">SUM(S31:S34)</f>
        <v>223128.84126827033</v>
      </c>
      <c r="T30" s="147">
        <f t="shared" si="21"/>
        <v>419247.45584711025</v>
      </c>
      <c r="U30" s="147">
        <f t="shared" si="21"/>
        <v>642376.29711538053</v>
      </c>
      <c r="V30" s="147">
        <f t="shared" si="21"/>
        <v>253340.15343526454</v>
      </c>
      <c r="W30" s="147">
        <f t="shared" si="21"/>
        <v>417622.97945458826</v>
      </c>
      <c r="X30" s="147">
        <f t="shared" si="21"/>
        <v>670963.13288985274</v>
      </c>
      <c r="Y30" s="147">
        <f t="shared" si="21"/>
        <v>301188.21665372991</v>
      </c>
      <c r="Z30" s="147">
        <f t="shared" si="21"/>
        <v>351121.02327441319</v>
      </c>
      <c r="AA30" s="147">
        <f t="shared" si="21"/>
        <v>652309.23992814298</v>
      </c>
      <c r="AB30" s="147">
        <f t="shared" si="21"/>
        <v>334664.32737950096</v>
      </c>
      <c r="AC30" s="147">
        <f t="shared" si="21"/>
        <v>346874.56567143515</v>
      </c>
      <c r="AD30" s="147">
        <f t="shared" si="21"/>
        <v>681538.89305093605</v>
      </c>
      <c r="AE30" s="147" t="e">
        <f t="shared" si="21"/>
        <v>#DIV/0!</v>
      </c>
      <c r="AF30" s="147" t="e">
        <f t="shared" si="21"/>
        <v>#DIV/0!</v>
      </c>
      <c r="AG30" s="147" t="e">
        <f t="shared" si="21"/>
        <v>#DIV/0!</v>
      </c>
    </row>
    <row r="31" spans="1:33" ht="15.75" thickBot="1">
      <c r="A31" s="190" t="s">
        <v>31</v>
      </c>
      <c r="B31" s="920">
        <f>(DEN!$C23)*ONSV_2013!D22*FRO_TOT!AH25</f>
        <v>20623.754818937898</v>
      </c>
      <c r="C31" s="940">
        <f>DEN!$C23*ONSV_2013!$C22*(COMB_CORR!G23*0.75)/(COMB_CORR!B23-SUM(DIST_GAS_MOT!X32:AA32)+0.75*(COMB_CORR!G23))</f>
        <v>82101.166329554821</v>
      </c>
      <c r="D31" s="204">
        <f t="shared" si="7"/>
        <v>102724.92114849272</v>
      </c>
      <c r="E31" s="920">
        <f>(DEN!$C59)*ONSV_2013!D22*FRO_TOT!AH63</f>
        <v>12222.346663384491</v>
      </c>
      <c r="F31" s="940">
        <f>DEN!$C59*ONSV_2013!$C22*(COMB_CORR!H23*0.75)/(COMB_CORR!C23-SUM(DIST_GAS_MOT!AB32:AE32)+0.75*(COMB_CORR!H23))</f>
        <v>43096.611314391863</v>
      </c>
      <c r="G31" s="204">
        <f t="shared" si="8"/>
        <v>55318.957977776357</v>
      </c>
      <c r="H31" s="920">
        <f>(DEN!$C95)*ONSV_2013!D22*FRO_TOT!AH101</f>
        <v>11817.897205168827</v>
      </c>
      <c r="I31" s="940">
        <f>DEN!$C95*ONSV_2013!$C22*(COMB_CORR!I23*0.75)/(COMB_CORR!D23-SUM(DIST_GAS_MOT!AF32:AI32)+0.75*(COMB_CORR!I23))</f>
        <v>29279.411614835921</v>
      </c>
      <c r="J31" s="204">
        <f t="shared" si="9"/>
        <v>41097.30882000475</v>
      </c>
      <c r="K31" s="938">
        <f>(DEN!$C131)*ONSV_2013!D22*FRO_TOT!AH139</f>
        <v>11774.313115859035</v>
      </c>
      <c r="L31" s="941">
        <f>DEN!$C131*ONSV_2013!$C22*(COMB_CORR!J23*0.75)/(COMB_CORR!E23-SUM(DIST_GAS_MOT!AJ32:AM32)+0.75*(COMB_CORR!J23))</f>
        <v>23862.765582571028</v>
      </c>
      <c r="M31" s="204">
        <f t="shared" si="5"/>
        <v>35637.078698430065</v>
      </c>
      <c r="N31" s="56" t="e">
        <f>(DEN!$C167)*$K$2*FRO_TOT!AH177</f>
        <v>#DIV/0!</v>
      </c>
      <c r="O31" s="205">
        <f>IF(FLEX!Q25="ALC",(DEN!$C167*$K$4*0.95),0)</f>
        <v>0</v>
      </c>
      <c r="P31" s="204" t="e">
        <f>N31+O31</f>
        <v>#DIV/0!</v>
      </c>
      <c r="R31" s="190" t="s">
        <v>31</v>
      </c>
      <c r="S31" s="943">
        <f>(DEN!$F23+DEN!$G23+DEN!$L23)*ONSV_2013!J22*FRO_TOT!AH25</f>
        <v>2287.1637018728038</v>
      </c>
      <c r="T31" s="942">
        <f>(DEN!$F23+DEN!$G23+DEN!$L23)*ONSV_2013!$I22*(COMB_CORR!G23*0.75)/(COMB_CORR!B23-SUM(DIST_GAS_MOT!X32:AA32)+0.75*(COMB_CORR!G23))</f>
        <v>10930.56110944347</v>
      </c>
      <c r="U31" s="204">
        <f>S31+T31</f>
        <v>13217.724811316273</v>
      </c>
      <c r="V31" s="943">
        <f>(DEN!$F59+DEN!$G59+DEN!$L59)*ONSV_2013!J22*FRO_TOT!AH63</f>
        <v>1386.2728106162547</v>
      </c>
      <c r="W31" s="942">
        <f>(DEN!$F59+DEN!$G59+DEN!$L59)*ONSV_2013!$I22*(COMB_CORR!H23*0.75)/(COMB_CORR!C23-SUM(DIST_GAS_MOT!AB32:AE32)+0.75*(COMB_CORR!H23))</f>
        <v>5868.1451502083337</v>
      </c>
      <c r="X31" s="204">
        <f t="shared" si="11"/>
        <v>7254.4179608245886</v>
      </c>
      <c r="Y31" s="943">
        <f>(DEN!$F95+DEN!$G95+DEN!$L95)*ONSV_2013!J22*FRO_TOT!AH101</f>
        <v>1380.5962409757806</v>
      </c>
      <c r="Z31" s="942">
        <f>(DEN!$F95+DEN!$G95+DEN!$L95)*ONSV_2013!$I22*(COMB_CORR!I23*0.75)/(COMB_CORR!D23-SUM(DIST_GAS_MOT!AF32:AI32)+0.75*(COMB_CORR!I23))</f>
        <v>4106.31669207701</v>
      </c>
      <c r="AA31" s="204">
        <f t="shared" si="12"/>
        <v>5486.9129330527903</v>
      </c>
      <c r="AB31" s="943">
        <f>(DEN!$F131+DEN!$G131+DEN!$L131)*ONSV_2013!J22*FRO_TOT!AH139</f>
        <v>1418.8042273842366</v>
      </c>
      <c r="AC31" s="942">
        <f>(DEN!$F131+DEN!$G131+DEN!$L131)*ONSV_2013!$I22*(COMB_CORR!J23*0.75)/(COMB_CORR!E23-SUM(DIST_GAS_MOT!AJ32:AM32)+0.75*(COMB_CORR!J23))</f>
        <v>3452.0039559452734</v>
      </c>
      <c r="AD31" s="206">
        <f t="shared" si="13"/>
        <v>4870.80818332951</v>
      </c>
      <c r="AE31" s="55" t="e">
        <f>(DEN!$F167+DEN!$G167+DEN!$L167)*$K$3*FRO_TOT!AH177</f>
        <v>#DIV/0!</v>
      </c>
      <c r="AF31" s="205">
        <f>IF(FLEX!Q25="ALC",((DEN!$F167+DEN!$G167+DEN!$L167)*$K$5*0.95),0)</f>
        <v>0</v>
      </c>
      <c r="AG31" s="206" t="e">
        <f>AE31+AF31</f>
        <v>#DIV/0!</v>
      </c>
    </row>
    <row r="32" spans="1:33" ht="15.75" thickBot="1">
      <c r="A32" s="130" t="s">
        <v>32</v>
      </c>
      <c r="B32" s="920">
        <f>(DEN!$C24)*ONSV_2013!D23*FRO_TOT!AH26</f>
        <v>192700.29535193296</v>
      </c>
      <c r="C32" s="940">
        <f>DEN!$C24*ONSV_2013!$C23*(COMB_CORR!G24*0.75)/(COMB_CORR!B24-SUM(DIST_GAS_MOT!X33:AA33)+0.75*(COMB_CORR!G24))</f>
        <v>457213.57780188997</v>
      </c>
      <c r="D32" s="204">
        <f t="shared" si="7"/>
        <v>649913.87315382296</v>
      </c>
      <c r="E32" s="920">
        <f>(DEN!$C60)*ONSV_2013!D23*FRO_TOT!AH64</f>
        <v>157671.27730503253</v>
      </c>
      <c r="F32" s="940">
        <f>DEN!$C60*ONSV_2013!$C23*(COMB_CORR!H24*0.75)/(COMB_CORR!C24-SUM(DIST_GAS_MOT!AB33:AE33)+0.75*(COMB_CORR!H24))</f>
        <v>333263.63607663801</v>
      </c>
      <c r="G32" s="204">
        <f t="shared" si="8"/>
        <v>490934.91338167054</v>
      </c>
      <c r="H32" s="920">
        <f>(DEN!$C96)*ONSV_2013!D23*FRO_TOT!AH102</f>
        <v>159870.88389064404</v>
      </c>
      <c r="I32" s="940">
        <f>DEN!$C96*ONSV_2013!$C23*(COMB_CORR!I24*0.75)/(COMB_CORR!D24-SUM(DIST_GAS_MOT!AF33:AI33)+0.75*(COMB_CORR!I24))</f>
        <v>249294.95014944865</v>
      </c>
      <c r="J32" s="204">
        <f t="shared" si="9"/>
        <v>409165.83404009265</v>
      </c>
      <c r="K32" s="938">
        <f>(DEN!$C132)*ONSV_2013!D23*FRO_TOT!AH140</f>
        <v>174378.16785416266</v>
      </c>
      <c r="L32" s="941">
        <f>DEN!$C132*ONSV_2013!$C23*(COMB_CORR!J24*0.75)/(COMB_CORR!E24-SUM(DIST_GAS_MOT!AJ33:AM33)+0.75*(COMB_CORR!J24))</f>
        <v>238134.24597596176</v>
      </c>
      <c r="M32" s="204">
        <f t="shared" si="5"/>
        <v>412512.41383012442</v>
      </c>
      <c r="N32" s="56" t="e">
        <f>(DEN!$C168)*$K$2*FRO_TOT!AH178</f>
        <v>#DIV/0!</v>
      </c>
      <c r="O32" s="205">
        <f>IF(FLEX!Q26="ALC",(DEN!$C168*$K$4*0.95),0)</f>
        <v>0</v>
      </c>
      <c r="P32" s="204" t="e">
        <f>N32+O32</f>
        <v>#DIV/0!</v>
      </c>
      <c r="R32" s="130" t="s">
        <v>32</v>
      </c>
      <c r="S32" s="943">
        <f>(DEN!$F24+DEN!$G24+DEN!$L24)*ONSV_2013!J23*FRO_TOT!AH26</f>
        <v>20504.623411366512</v>
      </c>
      <c r="T32" s="942">
        <f>(DEN!$F24+DEN!$G24+DEN!$L24)*ONSV_2013!$I23*(COMB_CORR!G24*0.75)/(COMB_CORR!B24-SUM(DIST_GAS_MOT!X33:AA33)+0.75*(COMB_CORR!G24))</f>
        <v>58407.637210252593</v>
      </c>
      <c r="U32" s="204">
        <f>S32+T32</f>
        <v>78912.260621619105</v>
      </c>
      <c r="V32" s="943">
        <f>(DEN!$F60+DEN!$G60+DEN!$L60)*ONSV_2013!J23*FRO_TOT!AH64</f>
        <v>17014.717614806221</v>
      </c>
      <c r="W32" s="942">
        <f>(DEN!$F60+DEN!$G60+DEN!$L60)*ONSV_2013!$I23*(COMB_CORR!H24*0.75)/(COMB_CORR!C24-SUM(DIST_GAS_MOT!AB33:AE33)+0.75*(COMB_CORR!H24))</f>
        <v>43175.879191659507</v>
      </c>
      <c r="X32" s="204">
        <f t="shared" si="11"/>
        <v>60190.596806465728</v>
      </c>
      <c r="Y32" s="943">
        <f>(DEN!$F96+DEN!$G96+DEN!$L96)*ONSV_2013!J23*FRO_TOT!AH102</f>
        <v>17775.962136290069</v>
      </c>
      <c r="Z32" s="942">
        <f>(DEN!$F96+DEN!$G96+DEN!$L96)*ONSV_2013!$I23*(COMB_CORR!I24*0.75)/(COMB_CORR!D24-SUM(DIST_GAS_MOT!AF33:AI33)+0.75*(COMB_CORR!I24))</f>
        <v>33278.08474778544</v>
      </c>
      <c r="AA32" s="204">
        <f t="shared" si="12"/>
        <v>51054.046884075506</v>
      </c>
      <c r="AB32" s="943">
        <f>(DEN!$F132+DEN!$G132+DEN!$L132)*ONSV_2013!J23*FRO_TOT!AH140</f>
        <v>20013.760629347857</v>
      </c>
      <c r="AC32" s="942">
        <f>(DEN!$F132+DEN!$G132+DEN!$L132)*ONSV_2013!$I23*(COMB_CORR!J24*0.75)/(COMB_CORR!E24-SUM(DIST_GAS_MOT!AJ33:AM33)+0.75*(COMB_CORR!J24))</f>
        <v>32812.517177638161</v>
      </c>
      <c r="AD32" s="206">
        <f t="shared" si="13"/>
        <v>52826.277806986021</v>
      </c>
      <c r="AE32" s="55" t="e">
        <f>(DEN!$F168+DEN!$G168+DEN!$L168)*$K$3*FRO_TOT!AH178</f>
        <v>#DIV/0!</v>
      </c>
      <c r="AF32" s="205">
        <f>IF(FLEX!Q26="ALC",((DEN!$F168+DEN!$G168+DEN!$L168)*$K$5*0.95),0)</f>
        <v>0</v>
      </c>
      <c r="AG32" s="206" t="e">
        <f>AE32+AF32</f>
        <v>#DIV/0!</v>
      </c>
    </row>
    <row r="33" spans="1:33" ht="15.75" thickBot="1">
      <c r="A33" s="130" t="s">
        <v>33</v>
      </c>
      <c r="B33" s="920">
        <f>(DEN!$C25)*ONSV_2013!D24*FRO_TOT!AH27</f>
        <v>162260.3530483933</v>
      </c>
      <c r="C33" s="940">
        <f>DEN!$C25*ONSV_2013!$C24*(COMB_CORR!G25*0.75)/(COMB_CORR!B25-SUM(DIST_GAS_MOT!X34:AA34)+0.75*(COMB_CORR!G25))</f>
        <v>358450.25052318675</v>
      </c>
      <c r="D33" s="204">
        <f t="shared" si="7"/>
        <v>520710.60357158002</v>
      </c>
      <c r="E33" s="920">
        <f>(DEN!$C61)*ONSV_2013!D24*FRO_TOT!AH65</f>
        <v>162864.95863324235</v>
      </c>
      <c r="F33" s="940">
        <f>DEN!$C61*ONSV_2013!$C24*(COMB_CORR!H25*0.75)/(COMB_CORR!C25-SUM(DIST_GAS_MOT!AB34:AE34)+0.75*(COMB_CORR!H25))</f>
        <v>326978.97284799133</v>
      </c>
      <c r="G33" s="204">
        <f t="shared" si="8"/>
        <v>489843.93148123368</v>
      </c>
      <c r="H33" s="920">
        <f>(DEN!$C97)*ONSV_2013!D24*FRO_TOT!AH103</f>
        <v>172163.42434105996</v>
      </c>
      <c r="I33" s="940">
        <f>DEN!$C97*ONSV_2013!$C24*(COMB_CORR!I25*0.75)/(COMB_CORR!D25-SUM(DIST_GAS_MOT!AF34:AI34)+0.75*(COMB_CORR!I25))</f>
        <v>235645.03697898431</v>
      </c>
      <c r="J33" s="204">
        <f t="shared" si="9"/>
        <v>407808.46132004424</v>
      </c>
      <c r="K33" s="938">
        <f>(DEN!$C133)*ONSV_2013!D24*FRO_TOT!AH141</f>
        <v>166498.12431809571</v>
      </c>
      <c r="L33" s="941">
        <f>DEN!$C133*ONSV_2013!$C24*(COMB_CORR!J25*0.75)/(COMB_CORR!E25-SUM(DIST_GAS_MOT!AJ34:AM34)+0.75*(COMB_CORR!J25))</f>
        <v>203331.44970862259</v>
      </c>
      <c r="M33" s="204">
        <f t="shared" si="5"/>
        <v>369829.57402671827</v>
      </c>
      <c r="N33" s="56" t="e">
        <f>(DEN!$C169)*$K$2*FRO_TOT!AH179</f>
        <v>#DIV/0!</v>
      </c>
      <c r="O33" s="205">
        <f>IF(FLEX!Q27="ALC",(DEN!$C169*$K$4*0.95),0)</f>
        <v>0</v>
      </c>
      <c r="P33" s="204" t="e">
        <f>N33+O33</f>
        <v>#DIV/0!</v>
      </c>
      <c r="R33" s="130" t="s">
        <v>33</v>
      </c>
      <c r="S33" s="943">
        <f>(DEN!$F25+DEN!$G25+DEN!$L25)*ONSV_2013!J24*FRO_TOT!AH27</f>
        <v>13688.733440749573</v>
      </c>
      <c r="T33" s="942">
        <f>(DEN!$F25+DEN!$G25+DEN!$L25)*ONSV_2013!$I24*(COMB_CORR!G25*0.75)/(COMB_CORR!B25-SUM(DIST_GAS_MOT!X34:AA34)+0.75*(COMB_CORR!G25))</f>
        <v>36303.796605202653</v>
      </c>
      <c r="U33" s="204">
        <f>S33+T33</f>
        <v>49992.530045952226</v>
      </c>
      <c r="V33" s="943">
        <f>(DEN!$F61+DEN!$G61+DEN!$L61)*ONSV_2013!J24*FRO_TOT!AH65</f>
        <v>14230.930537514569</v>
      </c>
      <c r="W33" s="942">
        <f>(DEN!$F61+DEN!$G61+DEN!$L61)*ONSV_2013!$I24*(COMB_CORR!H25*0.75)/(COMB_CORR!C25-SUM(DIST_GAS_MOT!AB34:AE34)+0.75*(COMB_CORR!H25))</f>
        <v>34300.288890149881</v>
      </c>
      <c r="X33" s="204">
        <f t="shared" si="11"/>
        <v>48531.219427664451</v>
      </c>
      <c r="Y33" s="943">
        <f>(DEN!$F97+DEN!$G97+DEN!$L97)*ONSV_2013!J24*FRO_TOT!AH103</f>
        <v>15819.070619072661</v>
      </c>
      <c r="Z33" s="942">
        <f>(DEN!$F97+DEN!$G97+DEN!$L97)*ONSV_2013!$I24*(COMB_CORR!I25*0.75)/(COMB_CORR!D25-SUM(DIST_GAS_MOT!AF34:AI34)+0.75*(COMB_CORR!I25))</f>
        <v>25993.854104315826</v>
      </c>
      <c r="AA33" s="204">
        <f t="shared" si="12"/>
        <v>41812.924723388489</v>
      </c>
      <c r="AB33" s="943">
        <f>(DEN!$F133+DEN!$G133+DEN!$L133)*ONSV_2013!J24*FRO_TOT!AH141</f>
        <v>16074.919507795345</v>
      </c>
      <c r="AC33" s="942">
        <f>(DEN!$F133+DEN!$G133+DEN!$L133)*ONSV_2013!$I24*(COMB_CORR!J25*0.75)/(COMB_CORR!E25-SUM(DIST_GAS_MOT!AJ34:AM34)+0.75*(COMB_CORR!J25))</f>
        <v>23567.652491768546</v>
      </c>
      <c r="AD33" s="206">
        <f t="shared" si="13"/>
        <v>39642.571999563894</v>
      </c>
      <c r="AE33" s="55" t="e">
        <f>(DEN!$F169+DEN!$G169+DEN!$L169)*$K$3*FRO_TOT!AH179</f>
        <v>#DIV/0!</v>
      </c>
      <c r="AF33" s="205">
        <f>IF(FLEX!Q27="ALC",((DEN!$F169+DEN!$G169+DEN!$L169)*$K$5*0.95),0)</f>
        <v>0</v>
      </c>
      <c r="AG33" s="206" t="e">
        <f>AE33+AF33</f>
        <v>#DIV/0!</v>
      </c>
    </row>
    <row r="34" spans="1:33" ht="15.75" thickBot="1">
      <c r="A34" s="210" t="s">
        <v>34</v>
      </c>
      <c r="B34" s="920">
        <f>(DEN!$C26)*ONSV_2013!D25*FRO_TOT!AH28</f>
        <v>1929484.4116233427</v>
      </c>
      <c r="C34" s="940">
        <f>DEN!$C26*ONSV_2013!$C25*(COMB_CORR!G26*0.75)/(COMB_CORR!B26-SUM(DIST_GAS_MOT!X35:AA35)+0.75*(COMB_CORR!G26))</f>
        <v>2700375.1691825795</v>
      </c>
      <c r="D34" s="204">
        <f t="shared" si="7"/>
        <v>4629859.5808059219</v>
      </c>
      <c r="E34" s="920">
        <f>(DEN!$C62)*ONSV_2013!D25*FRO_TOT!AH66</f>
        <v>2209133.2576923012</v>
      </c>
      <c r="F34" s="940">
        <f>DEN!$C62*ONSV_2013!$C25*(COMB_CORR!H26*0.75)/(COMB_CORR!C26-SUM(DIST_GAS_MOT!AB35:AE35)+0.75*(COMB_CORR!H26))</f>
        <v>2786989.5716469022</v>
      </c>
      <c r="G34" s="204">
        <f t="shared" si="8"/>
        <v>4996122.8293392034</v>
      </c>
      <c r="H34" s="920">
        <f>(DEN!$C98)*ONSV_2013!D25*FRO_TOT!AH104</f>
        <v>2544702.0532100545</v>
      </c>
      <c r="I34" s="940">
        <f>DEN!$C98*ONSV_2013!$C25*(COMB_CORR!I26*0.75)/(COMB_CORR!D26-SUM(DIST_GAS_MOT!AF35:AI35)+0.75*(COMB_CORR!I26))</f>
        <v>2291057.9370023515</v>
      </c>
      <c r="J34" s="204">
        <f t="shared" si="9"/>
        <v>4835759.990212406</v>
      </c>
      <c r="K34" s="938">
        <f>(DEN!$C134)*ONSV_2013!D25*FRO_TOT!AH142</f>
        <v>2714297.0329772802</v>
      </c>
      <c r="L34" s="941">
        <f>DEN!$C134*ONSV_2013!$C25*(COMB_CORR!J26*0.75)/(COMB_CORR!E26-SUM(DIST_GAS_MOT!AJ35:AM35)+0.75*(COMB_CORR!J26))</f>
        <v>2183941.3876903541</v>
      </c>
      <c r="M34" s="204">
        <f t="shared" si="5"/>
        <v>4898238.4206676343</v>
      </c>
      <c r="N34" s="56" t="e">
        <f>(DEN!$C170)*$K$2*FRO_TOT!AH180</f>
        <v>#DIV/0!</v>
      </c>
      <c r="O34" s="205" t="e">
        <f>IF(FLEX!Q28="ALC",(DEN!$C170*$K$4*0.95),0)</f>
        <v>#DIV/0!</v>
      </c>
      <c r="P34" s="204" t="e">
        <f>N34+O34</f>
        <v>#DIV/0!</v>
      </c>
      <c r="R34" s="210" t="s">
        <v>34</v>
      </c>
      <c r="S34" s="943">
        <f>(DEN!$F26+DEN!$G26+DEN!$L26)*ONSV_2013!J25*FRO_TOT!AH28</f>
        <v>186648.32071428144</v>
      </c>
      <c r="T34" s="942">
        <f>(DEN!$F26+DEN!$G26+DEN!$L26)*ONSV_2013!$I25*(COMB_CORR!G26*0.75)/(COMB_CORR!B26-SUM(DIST_GAS_MOT!X35:AA35)+0.75*(COMB_CORR!G26))</f>
        <v>313605.46092221153</v>
      </c>
      <c r="U34" s="204">
        <f>S34+T34</f>
        <v>500253.78163649293</v>
      </c>
      <c r="V34" s="943">
        <f>(DEN!$F62+DEN!$G62+DEN!$L62)*ONSV_2013!J25*FRO_TOT!AH66</f>
        <v>220708.23247232748</v>
      </c>
      <c r="W34" s="942">
        <f>(DEN!$F62+DEN!$G62+DEN!$L62)*ONSV_2013!$I25*(COMB_CORR!H26*0.75)/(COMB_CORR!C26-SUM(DIST_GAS_MOT!AB35:AE35)+0.75*(COMB_CORR!H26))</f>
        <v>334278.66622257052</v>
      </c>
      <c r="X34" s="204">
        <f t="shared" si="11"/>
        <v>554986.898694898</v>
      </c>
      <c r="Y34" s="943">
        <f>(DEN!$F98+DEN!$G98+DEN!$L98)*ONSV_2013!J25*FRO_TOT!AH104</f>
        <v>266212.58765739138</v>
      </c>
      <c r="Z34" s="942">
        <f>(DEN!$F98+DEN!$G98+DEN!$L98)*ONSV_2013!$I25*(COMB_CORR!I26*0.75)/(COMB_CORR!D26-SUM(DIST_GAS_MOT!AF35:AI35)+0.75*(COMB_CORR!I26))</f>
        <v>287742.76773023489</v>
      </c>
      <c r="AA34" s="204">
        <f t="shared" si="12"/>
        <v>553955.35538762622</v>
      </c>
      <c r="AB34" s="943">
        <f>(DEN!$F134+DEN!$G134+DEN!$L134)*ONSV_2013!J25*FRO_TOT!AH142</f>
        <v>297156.84301497351</v>
      </c>
      <c r="AC34" s="942">
        <f>(DEN!$F134+DEN!$G134+DEN!$L134)*ONSV_2013!$I25*(COMB_CORR!J26*0.75)/(COMB_CORR!E26-SUM(DIST_GAS_MOT!AJ35:AM35)+0.75*(COMB_CORR!J26))</f>
        <v>287042.39204608317</v>
      </c>
      <c r="AD34" s="206">
        <f t="shared" si="13"/>
        <v>584199.23506105668</v>
      </c>
      <c r="AE34" s="55" t="e">
        <f>(DEN!$F170+DEN!$G170+DEN!$L170)*$K$3*FRO_TOT!AH180</f>
        <v>#DIV/0!</v>
      </c>
      <c r="AF34" s="205" t="e">
        <f>IF(FLEX!Q28="ALC",((DEN!$F170+DEN!$G170+DEN!$L170)*$K$5*0.95),0)</f>
        <v>#DIV/0!</v>
      </c>
      <c r="AG34" s="206" t="e">
        <f>AE34+AF34</f>
        <v>#DIV/0!</v>
      </c>
    </row>
    <row r="35" spans="1:33" ht="15.75" thickBot="1">
      <c r="A35" s="231" t="s">
        <v>69</v>
      </c>
      <c r="B35" s="148">
        <f t="shared" ref="B35:P35" si="22">SUM(B36:B38)</f>
        <v>345921.1189505948</v>
      </c>
      <c r="C35" s="148">
        <f t="shared" si="22"/>
        <v>812256.48489605181</v>
      </c>
      <c r="D35" s="148">
        <f t="shared" si="22"/>
        <v>1158177.6038466466</v>
      </c>
      <c r="E35" s="148">
        <f t="shared" si="22"/>
        <v>397986.58645485807</v>
      </c>
      <c r="F35" s="148">
        <f t="shared" si="22"/>
        <v>718180.07926795795</v>
      </c>
      <c r="G35" s="148">
        <f t="shared" si="22"/>
        <v>1116166.6657228158</v>
      </c>
      <c r="H35" s="148">
        <f t="shared" si="22"/>
        <v>345416.37526237889</v>
      </c>
      <c r="I35" s="148">
        <f t="shared" si="22"/>
        <v>444082.68713599036</v>
      </c>
      <c r="J35" s="148">
        <f t="shared" si="22"/>
        <v>789499.06239836931</v>
      </c>
      <c r="K35" s="148">
        <f t="shared" si="22"/>
        <v>398619.89685581822</v>
      </c>
      <c r="L35" s="148">
        <f t="shared" si="22"/>
        <v>411676.60052665544</v>
      </c>
      <c r="M35" s="148">
        <f t="shared" si="22"/>
        <v>810296.49738247367</v>
      </c>
      <c r="N35" s="148" t="e">
        <f t="shared" si="22"/>
        <v>#DIV/0!</v>
      </c>
      <c r="O35" s="148" t="e">
        <f t="shared" si="22"/>
        <v>#DIV/0!</v>
      </c>
      <c r="P35" s="148" t="e">
        <f t="shared" si="22"/>
        <v>#DIV/0!</v>
      </c>
      <c r="R35" s="231" t="s">
        <v>69</v>
      </c>
      <c r="S35" s="147">
        <f t="shared" ref="S35:AG35" si="23">SUM(S36:S38)</f>
        <v>33066.50688981104</v>
      </c>
      <c r="T35" s="147">
        <f t="shared" si="23"/>
        <v>91952.004076264901</v>
      </c>
      <c r="U35" s="147">
        <f t="shared" si="23"/>
        <v>125018.51096607593</v>
      </c>
      <c r="V35" s="147">
        <f t="shared" si="23"/>
        <v>39213.522953835287</v>
      </c>
      <c r="W35" s="147">
        <f t="shared" si="23"/>
        <v>84062.142279238178</v>
      </c>
      <c r="X35" s="147">
        <f t="shared" si="23"/>
        <v>123275.66523307347</v>
      </c>
      <c r="Y35" s="147">
        <f t="shared" si="23"/>
        <v>35195.208475521038</v>
      </c>
      <c r="Z35" s="147">
        <f t="shared" si="23"/>
        <v>53883.001604324192</v>
      </c>
      <c r="AA35" s="147">
        <f t="shared" si="23"/>
        <v>89078.210079845245</v>
      </c>
      <c r="AB35" s="147">
        <f t="shared" si="23"/>
        <v>42269.895612755397</v>
      </c>
      <c r="AC35" s="147">
        <f t="shared" si="23"/>
        <v>52012.920912381051</v>
      </c>
      <c r="AD35" s="147">
        <f t="shared" si="23"/>
        <v>94282.816525136441</v>
      </c>
      <c r="AE35" s="147" t="e">
        <f t="shared" si="23"/>
        <v>#DIV/0!</v>
      </c>
      <c r="AF35" s="147" t="e">
        <f t="shared" si="23"/>
        <v>#DIV/0!</v>
      </c>
      <c r="AG35" s="147" t="e">
        <f t="shared" si="23"/>
        <v>#DIV/0!</v>
      </c>
    </row>
    <row r="36" spans="1:33" ht="15.75" thickBot="1">
      <c r="A36" s="190" t="s">
        <v>36</v>
      </c>
      <c r="B36" s="920">
        <f>(DEN!$C28)*ONSV_2013!D27*FRO_TOT!AH30</f>
        <v>248720.06228538419</v>
      </c>
      <c r="C36" s="940">
        <f>DEN!$C28*ONSV_2013!$C27*(COMB_CORR!G28*0.75)/(COMB_CORR!B28-SUM(DIST_GAS_MOT!X37:AA37)+0.75*(COMB_CORR!G28))</f>
        <v>480825.65766560775</v>
      </c>
      <c r="D36" s="204">
        <f t="shared" si="7"/>
        <v>729545.71995099192</v>
      </c>
      <c r="E36" s="920">
        <f>(DEN!$C64)*ONSV_2013!D27*FRO_TOT!AH68</f>
        <v>330663.74260078842</v>
      </c>
      <c r="F36" s="940">
        <f>DEN!$C64*ONSV_2013!$C27*(COMB_CORR!H28*0.75)/(COMB_CORR!C28-SUM(DIST_GAS_MOT!AB37:AE37)+0.75*(COMB_CORR!H28))</f>
        <v>515182.04474537051</v>
      </c>
      <c r="G36" s="204">
        <f t="shared" si="8"/>
        <v>845845.78734615888</v>
      </c>
      <c r="H36" s="920">
        <f>(DEN!$C100)*ONSV_2013!D27*FRO_TOT!AH106</f>
        <v>296418.20304933115</v>
      </c>
      <c r="I36" s="940">
        <f>DEN!$C100*ONSV_2013!$C27*(COMB_CORR!I28*0.75)/(COMB_CORR!D28-SUM(DIST_GAS_MOT!AF37:AI37)+0.75*(COMB_CORR!I28))</f>
        <v>338838.99254308711</v>
      </c>
      <c r="J36" s="204">
        <f t="shared" si="9"/>
        <v>635257.19559241831</v>
      </c>
      <c r="K36" s="938">
        <f>(DEN!$C136)*ONSV_2013!D27*FRO_TOT!AH144</f>
        <v>351842.48690337723</v>
      </c>
      <c r="L36" s="941">
        <f>DEN!$C136*ONSV_2013!$C27*(COMB_CORR!J28*0.75)/(COMB_CORR!E28-SUM(DIST_GAS_MOT!AJ37:AM37)+0.75*(COMB_CORR!J28))</f>
        <v>327157.97576340556</v>
      </c>
      <c r="M36" s="204">
        <f t="shared" si="5"/>
        <v>679000.46266678278</v>
      </c>
      <c r="N36" s="56" t="e">
        <f>(DEN!$C172)*$K$2*FRO_TOT!AH182</f>
        <v>#DIV/0!</v>
      </c>
      <c r="O36" s="205" t="e">
        <f>IF(FLEX!Q30="ALC",(DEN!$C172*$K$4*0.95),0)</f>
        <v>#DIV/0!</v>
      </c>
      <c r="P36" s="204" t="e">
        <f>N36+O36</f>
        <v>#DIV/0!</v>
      </c>
      <c r="R36" s="190" t="s">
        <v>36</v>
      </c>
      <c r="S36" s="943">
        <f>(DEN!$F28+DEN!$G28+DEN!$L28)*ONSV_2013!J27*FRO_TOT!AH30</f>
        <v>24541.464719904612</v>
      </c>
      <c r="T36" s="942">
        <f>(DEN!$F28+DEN!$G28+DEN!$L28)*ONSV_2013!$I27*(COMB_CORR!G28*0.75)/(COMB_CORR!B28-SUM(DIST_GAS_MOT!X37:AA37)+0.75*(COMB_CORR!G28))</f>
        <v>56958.218097690209</v>
      </c>
      <c r="U36" s="204">
        <f>S36+T36</f>
        <v>81499.682817594818</v>
      </c>
      <c r="V36" s="943">
        <f>(DEN!$F64+DEN!$G64+DEN!$L64)*ONSV_2013!J27*FRO_TOT!AH68</f>
        <v>33125.319056281049</v>
      </c>
      <c r="W36" s="942">
        <f>(DEN!$F64+DEN!$G64+DEN!$L64)*ONSV_2013!$I27*(COMB_CORR!H28*0.75)/(COMB_CORR!C28-SUM(DIST_GAS_MOT!AB37:AE37)+0.75*(COMB_CORR!H28))</f>
        <v>61960.271176799375</v>
      </c>
      <c r="X36" s="204">
        <f t="shared" si="11"/>
        <v>95085.590233080424</v>
      </c>
      <c r="Y36" s="943">
        <f>(DEN!$F100+DEN!$G100+DEN!$L100)*ONSV_2013!J27*FRO_TOT!AH106</f>
        <v>30601.253668241945</v>
      </c>
      <c r="Z36" s="942">
        <f>(DEN!$F100+DEN!$G100+DEN!$L100)*ONSV_2013!$I27*(COMB_CORR!I28*0.75)/(COMB_CORR!D28-SUM(DIST_GAS_MOT!AF37:AI37)+0.75*(COMB_CORR!I28))</f>
        <v>41995.893813920447</v>
      </c>
      <c r="AA36" s="204">
        <f t="shared" si="12"/>
        <v>72597.1474821624</v>
      </c>
      <c r="AB36" s="943">
        <f>(DEN!$F136+DEN!$G136+DEN!$L136)*ONSV_2013!J27*FRO_TOT!AH144</f>
        <v>37717.345204326222</v>
      </c>
      <c r="AC36" s="942">
        <f>(DEN!$F136+DEN!$G136+DEN!$L136)*ONSV_2013!$I27*(COMB_CORR!J28*0.75)/(COMB_CORR!E28-SUM(DIST_GAS_MOT!AJ37:AM37)+0.75*(COMB_CORR!J28))</f>
        <v>42104.590285599166</v>
      </c>
      <c r="AD36" s="206">
        <f t="shared" si="13"/>
        <v>79821.935489925381</v>
      </c>
      <c r="AE36" s="55" t="e">
        <f>(DEN!$F172+DEN!$G172+DEN!$L172)*$K$3*FRO_TOT!AH182</f>
        <v>#DIV/0!</v>
      </c>
      <c r="AF36" s="205" t="e">
        <f>IF(FLEX!Q30="ALC",((DEN!$F172+DEN!$G172+DEN!$L172)*$K$5*0.95),0)</f>
        <v>#DIV/0!</v>
      </c>
      <c r="AG36" s="206" t="e">
        <f>AE36+AF36</f>
        <v>#DIV/0!</v>
      </c>
    </row>
    <row r="37" spans="1:33" ht="15.75" thickBot="1">
      <c r="A37" s="130" t="s">
        <v>37</v>
      </c>
      <c r="B37" s="920">
        <f>(DEN!$C29)*ONSV_2013!D28*FRO_TOT!AH31</f>
        <v>43411.962936449898</v>
      </c>
      <c r="C37" s="940">
        <f>DEN!$C29*ONSV_2013!$C28*(COMB_CORR!G29*0.75)/(COMB_CORR!B29-SUM(DIST_GAS_MOT!X38:AA38)+0.75*(COMB_CORR!G29))</f>
        <v>131505.12833920936</v>
      </c>
      <c r="D37" s="204">
        <f t="shared" si="7"/>
        <v>174917.09127565927</v>
      </c>
      <c r="E37" s="920">
        <f>(DEN!$C65)*ONSV_2013!D28*FRO_TOT!AH69</f>
        <v>30499.042736159088</v>
      </c>
      <c r="F37" s="940">
        <f>DEN!$C65*ONSV_2013!$C28*(COMB_CORR!H29*0.75)/(COMB_CORR!C29-SUM(DIST_GAS_MOT!AB38:AE38)+0.75*(COMB_CORR!H29))</f>
        <v>81933.845723728897</v>
      </c>
      <c r="G37" s="204">
        <f t="shared" si="8"/>
        <v>112432.88845988798</v>
      </c>
      <c r="H37" s="920">
        <f>(DEN!$C101)*ONSV_2013!D28*FRO_TOT!AH107</f>
        <v>25740.251193259432</v>
      </c>
      <c r="I37" s="940">
        <f>DEN!$C101*ONSV_2013!$C28*(COMB_CORR!I29*0.75)/(COMB_CORR!D29-SUM(DIST_GAS_MOT!AF38:AI38)+0.75*(COMB_CORR!I29))</f>
        <v>49448.698539146688</v>
      </c>
      <c r="J37" s="204">
        <f t="shared" si="9"/>
        <v>75188.949732406123</v>
      </c>
      <c r="K37" s="938">
        <f>(DEN!$C137)*ONSV_2013!D28*FRO_TOT!AH145</f>
        <v>25555.547350790432</v>
      </c>
      <c r="L37" s="941">
        <f>DEN!$C137*ONSV_2013!$C28*(COMB_CORR!J29*0.75)/(COMB_CORR!E29-SUM(DIST_GAS_MOT!AJ38:AM38)+0.75*(COMB_CORR!J29))</f>
        <v>41656.390466568926</v>
      </c>
      <c r="M37" s="204">
        <f t="shared" si="5"/>
        <v>67211.937817359358</v>
      </c>
      <c r="N37" s="56" t="e">
        <f>(DEN!$C173)*$K$2*FRO_TOT!AH183</f>
        <v>#DIV/0!</v>
      </c>
      <c r="O37" s="205">
        <f>IF(FLEX!Q31="ALC",(DEN!$C173*$K$4*0.95),0)</f>
        <v>0</v>
      </c>
      <c r="P37" s="204" t="e">
        <f>N37+O37</f>
        <v>#DIV/0!</v>
      </c>
      <c r="R37" s="130" t="s">
        <v>37</v>
      </c>
      <c r="S37" s="943">
        <f>(DEN!$F29+DEN!$G29+DEN!$L29)*ONSV_2013!J28*FRO_TOT!AH31</f>
        <v>3690.8260844718084</v>
      </c>
      <c r="T37" s="942">
        <f>(DEN!$F29+DEN!$G29+DEN!$L29)*ONSV_2013!$I28*(COMB_CORR!G29*0.75)/(COMB_CORR!B29-SUM(DIST_GAS_MOT!X38:AA38)+0.75*(COMB_CORR!G29))</f>
        <v>13422.538072254489</v>
      </c>
      <c r="U37" s="204">
        <f>S37+T37</f>
        <v>17113.364156726297</v>
      </c>
      <c r="V37" s="943">
        <f>(DEN!$F65+DEN!$G65+DEN!$L65)*ONSV_2013!J28*FRO_TOT!AH69</f>
        <v>2671.2012411511223</v>
      </c>
      <c r="W37" s="942">
        <f>(DEN!$F65+DEN!$G65+DEN!$L65)*ONSV_2013!$I28*(COMB_CORR!H29*0.75)/(COMB_CORR!C29-SUM(DIST_GAS_MOT!AB38:AE38)+0.75*(COMB_CORR!H29))</f>
        <v>8615.1240732550541</v>
      </c>
      <c r="X37" s="204">
        <f t="shared" si="11"/>
        <v>11286.325314406176</v>
      </c>
      <c r="Y37" s="943">
        <f>(DEN!$F101+DEN!$G101+DEN!$L101)*ONSV_2013!J28*FRO_TOT!AH107</f>
        <v>2342.0475887401403</v>
      </c>
      <c r="Z37" s="942">
        <f>(DEN!$F101+DEN!$G101+DEN!$L101)*ONSV_2013!$I28*(COMB_CORR!I29*0.75)/(COMB_CORR!D29-SUM(DIST_GAS_MOT!AF38:AI38)+0.75*(COMB_CORR!I29))</f>
        <v>5401.5151389441689</v>
      </c>
      <c r="AA37" s="204">
        <f t="shared" si="12"/>
        <v>7743.5627276843097</v>
      </c>
      <c r="AB37" s="943">
        <f>(DEN!$F137+DEN!$G137+DEN!$L137)*ONSV_2013!J28*FRO_TOT!AH145</f>
        <v>2416.4091121058373</v>
      </c>
      <c r="AC37" s="942">
        <f>(DEN!$F137+DEN!$G137+DEN!$L137)*ONSV_2013!$I28*(COMB_CORR!J29*0.75)/(COMB_CORR!E29-SUM(DIST_GAS_MOT!AJ38:AM38)+0.75*(COMB_CORR!J29))</f>
        <v>4728.7321015033503</v>
      </c>
      <c r="AD37" s="206">
        <f t="shared" si="13"/>
        <v>7145.1412136091876</v>
      </c>
      <c r="AE37" s="55" t="e">
        <f>(DEN!$F173+DEN!$G173+DEN!$L173)*$K$3*FRO_TOT!AH183</f>
        <v>#DIV/0!</v>
      </c>
      <c r="AF37" s="205">
        <f>IF(FLEX!Q31="ALC",((DEN!$F173+DEN!$G173+DEN!$L173)*$K$5*0.95),0)</f>
        <v>0</v>
      </c>
      <c r="AG37" s="206" t="e">
        <f>AE37+AF37</f>
        <v>#DIV/0!</v>
      </c>
    </row>
    <row r="38" spans="1:33" ht="15.75" thickBot="1">
      <c r="A38" s="210" t="s">
        <v>38</v>
      </c>
      <c r="B38" s="920">
        <f>(DEN!$C30)*ONSV_2013!D29*FRO_TOT!AH32</f>
        <v>53789.093728760738</v>
      </c>
      <c r="C38" s="940">
        <f>DEN!$C30*ONSV_2013!$C29*(COMB_CORR!G30*0.75)/(COMB_CORR!B30-SUM(DIST_GAS_MOT!X39:AA39)+0.75*(COMB_CORR!G30))</f>
        <v>199925.6988912347</v>
      </c>
      <c r="D38" s="204">
        <f t="shared" si="7"/>
        <v>253714.79261999542</v>
      </c>
      <c r="E38" s="920">
        <f>(DEN!$C66)*ONSV_2013!D29*FRO_TOT!AH70</f>
        <v>36823.801117910516</v>
      </c>
      <c r="F38" s="940">
        <f>DEN!$C66*ONSV_2013!$C29*(COMB_CORR!H30*0.75)/(COMB_CORR!C30-SUM(DIST_GAS_MOT!AB39:AE39)+0.75*(COMB_CORR!H30))</f>
        <v>121064.18879885852</v>
      </c>
      <c r="G38" s="204">
        <f t="shared" si="8"/>
        <v>157887.98991676903</v>
      </c>
      <c r="H38" s="920">
        <f>(DEN!$C102)*ONSV_2013!D29*FRO_TOT!AH108</f>
        <v>23257.921019788315</v>
      </c>
      <c r="I38" s="940">
        <f>DEN!$C102*ONSV_2013!$C29*(COMB_CORR!I30*0.75)/(COMB_CORR!D30-SUM(DIST_GAS_MOT!AF39:AI39)+0.75*(COMB_CORR!I30))</f>
        <v>55794.996053756578</v>
      </c>
      <c r="J38" s="204">
        <f t="shared" si="9"/>
        <v>79052.917073544901</v>
      </c>
      <c r="K38" s="938">
        <f>(DEN!$C138)*ONSV_2013!D29*FRO_TOT!AH146</f>
        <v>21221.86260165061</v>
      </c>
      <c r="L38" s="941">
        <f>DEN!$C138*ONSV_2013!$C29*(COMB_CORR!J30*0.75)/(COMB_CORR!E30-SUM(DIST_GAS_MOT!AJ39:AM39)+0.75*(COMB_CORR!J30))</f>
        <v>42862.234296680967</v>
      </c>
      <c r="M38" s="204">
        <f t="shared" si="5"/>
        <v>64084.096898331576</v>
      </c>
      <c r="N38" s="56" t="e">
        <f>(DEN!$C174)*$K$2*FRO_TOT!AH184</f>
        <v>#DIV/0!</v>
      </c>
      <c r="O38" s="205">
        <f>IF(FLEX!Q32="ALC",(DEN!$C174*$K$4*0.95),0)</f>
        <v>0</v>
      </c>
      <c r="P38" s="204" t="e">
        <f>N38+O38</f>
        <v>#DIV/0!</v>
      </c>
      <c r="R38" s="210" t="s">
        <v>38</v>
      </c>
      <c r="S38" s="943">
        <f>(DEN!$F30+DEN!$G30+DEN!$L30)*ONSV_2013!J29*FRO_TOT!AH32</f>
        <v>4834.2160854346166</v>
      </c>
      <c r="T38" s="942">
        <f>(DEN!$F30+DEN!$G30+DEN!$L30)*ONSV_2013!$I29*(COMB_CORR!G30*0.75)/(COMB_CORR!B30-SUM(DIST_GAS_MOT!X39:AA39)+0.75*(COMB_CORR!G30))</f>
        <v>21571.247906320208</v>
      </c>
      <c r="U38" s="204">
        <f>S38+T38</f>
        <v>26405.463991754827</v>
      </c>
      <c r="V38" s="943">
        <f>(DEN!$F66+DEN!$G66+DEN!$L66)*ONSV_2013!J29*FRO_TOT!AH70</f>
        <v>3417.0026564031173</v>
      </c>
      <c r="W38" s="942">
        <f>(DEN!$F66+DEN!$G66+DEN!$L66)*ONSV_2013!$I29*(COMB_CORR!H30*0.75)/(COMB_CORR!C30-SUM(DIST_GAS_MOT!AB39:AE39)+0.75*(COMB_CORR!H30))</f>
        <v>13486.747029183749</v>
      </c>
      <c r="X38" s="204">
        <f t="shared" si="11"/>
        <v>16903.749685586867</v>
      </c>
      <c r="Y38" s="943">
        <f>(DEN!$F102+DEN!$G102+DEN!$L102)*ONSV_2013!J29*FRO_TOT!AH108</f>
        <v>2251.9072185389532</v>
      </c>
      <c r="Z38" s="942">
        <f>(DEN!$F102+DEN!$G102+DEN!$L102)*ONSV_2013!$I29*(COMB_CORR!I30*0.75)/(COMB_CORR!D30-SUM(DIST_GAS_MOT!AF39:AI39)+0.75*(COMB_CORR!I30))</f>
        <v>6485.5926514595812</v>
      </c>
      <c r="AA38" s="204">
        <f t="shared" si="12"/>
        <v>8737.4998699985335</v>
      </c>
      <c r="AB38" s="943">
        <f>(DEN!$F138+DEN!$G138+DEN!$L138)*ONSV_2013!J29*FRO_TOT!AH146</f>
        <v>2136.1412963233356</v>
      </c>
      <c r="AC38" s="942">
        <f>(DEN!$F138+DEN!$G138+DEN!$L138)*ONSV_2013!$I29*(COMB_CORR!J30*0.75)/(COMB_CORR!E30-SUM(DIST_GAS_MOT!AJ39:AM39)+0.75*(COMB_CORR!J30))</f>
        <v>5179.5985252785349</v>
      </c>
      <c r="AD38" s="206">
        <f t="shared" si="13"/>
        <v>7315.7398216018701</v>
      </c>
      <c r="AE38" s="55" t="e">
        <f>(DEN!$F174+DEN!$G174+DEN!$L174)*$K$3*FRO_TOT!AH184</f>
        <v>#DIV/0!</v>
      </c>
      <c r="AF38" s="205">
        <f>IF(FLEX!Q32="ALC",((DEN!$F174+DEN!$G174+DEN!$L174)*$K$5*0.95),0)</f>
        <v>0</v>
      </c>
      <c r="AG38" s="206" t="e">
        <f>AE38+AF38</f>
        <v>#DIV/0!</v>
      </c>
    </row>
    <row r="39" spans="1:33" ht="26.25" thickBot="1">
      <c r="A39" s="231" t="s">
        <v>73</v>
      </c>
      <c r="B39" s="148">
        <f t="shared" ref="B39:P39" si="24">SUM(B40:B43)</f>
        <v>245881.37674546038</v>
      </c>
      <c r="C39" s="148">
        <f t="shared" si="24"/>
        <v>547401.11129708798</v>
      </c>
      <c r="D39" s="148">
        <f t="shared" si="24"/>
        <v>793282.4880425483</v>
      </c>
      <c r="E39" s="148">
        <f t="shared" si="24"/>
        <v>289337.89048742998</v>
      </c>
      <c r="F39" s="148">
        <f t="shared" si="24"/>
        <v>545920.51696806459</v>
      </c>
      <c r="G39" s="148">
        <f t="shared" si="24"/>
        <v>835258.40745549463</v>
      </c>
      <c r="H39" s="148">
        <f t="shared" si="24"/>
        <v>343874.03939840232</v>
      </c>
      <c r="I39" s="148">
        <f t="shared" si="24"/>
        <v>473532.84310849733</v>
      </c>
      <c r="J39" s="148">
        <f t="shared" si="24"/>
        <v>817406.88250689954</v>
      </c>
      <c r="K39" s="148">
        <f t="shared" si="24"/>
        <v>398835.30321070412</v>
      </c>
      <c r="L39" s="148">
        <f t="shared" si="24"/>
        <v>454364.79547324812</v>
      </c>
      <c r="M39" s="148">
        <f t="shared" si="24"/>
        <v>853200.09868395224</v>
      </c>
      <c r="N39" s="148" t="e">
        <f t="shared" si="24"/>
        <v>#DIV/0!</v>
      </c>
      <c r="O39" s="148" t="e">
        <f t="shared" si="24"/>
        <v>#DIV/0!</v>
      </c>
      <c r="P39" s="148" t="e">
        <f t="shared" si="24"/>
        <v>#DIV/0!</v>
      </c>
      <c r="R39" s="231" t="s">
        <v>73</v>
      </c>
      <c r="S39" s="147">
        <f t="shared" ref="S39:AG39" si="25">SUM(S40:S43)</f>
        <v>29607.539445927716</v>
      </c>
      <c r="T39" s="147">
        <f t="shared" si="25"/>
        <v>78177.705156262702</v>
      </c>
      <c r="U39" s="147">
        <f t="shared" si="25"/>
        <v>107785.24460219042</v>
      </c>
      <c r="V39" s="147">
        <f t="shared" si="25"/>
        <v>35670.531605498822</v>
      </c>
      <c r="W39" s="147">
        <f t="shared" si="25"/>
        <v>80564.76633108579</v>
      </c>
      <c r="X39" s="147">
        <f t="shared" si="25"/>
        <v>116235.2979365846</v>
      </c>
      <c r="Y39" s="147">
        <f t="shared" si="25"/>
        <v>42972.736879848242</v>
      </c>
      <c r="Z39" s="147">
        <f t="shared" si="25"/>
        <v>71144.207813053639</v>
      </c>
      <c r="AA39" s="147">
        <f t="shared" si="25"/>
        <v>114116.94469290187</v>
      </c>
      <c r="AB39" s="147">
        <f t="shared" si="25"/>
        <v>50868.565561223695</v>
      </c>
      <c r="AC39" s="147">
        <f t="shared" si="25"/>
        <v>69715.061187394953</v>
      </c>
      <c r="AD39" s="147">
        <f t="shared" si="25"/>
        <v>120583.62674861866</v>
      </c>
      <c r="AE39" s="147" t="e">
        <f t="shared" si="25"/>
        <v>#DIV/0!</v>
      </c>
      <c r="AF39" s="147" t="e">
        <f t="shared" si="25"/>
        <v>#DIV/0!</v>
      </c>
      <c r="AG39" s="147" t="e">
        <f t="shared" si="25"/>
        <v>#DIV/0!</v>
      </c>
    </row>
    <row r="40" spans="1:33" ht="15.75" thickBot="1">
      <c r="A40" s="190" t="s">
        <v>40</v>
      </c>
      <c r="B40" s="920">
        <f>(DEN!$C32)*ONSV_2013!D31*FRO_TOT!AH34</f>
        <v>25263.148163245529</v>
      </c>
      <c r="C40" s="940">
        <f>DEN!$C32*ONSV_2013!$C31*(COMB_CORR!G32*0.75)/(COMB_CORR!B32-SUM(DIST_GAS_MOT!X41:AA41)+0.75*(COMB_CORR!G32))</f>
        <v>90918.425441338171</v>
      </c>
      <c r="D40" s="204">
        <f t="shared" si="7"/>
        <v>116181.5736045837</v>
      </c>
      <c r="E40" s="920">
        <f>(DEN!$C68)*ONSV_2013!D31*FRO_TOT!AH72</f>
        <v>16561.465785358607</v>
      </c>
      <c r="F40" s="940">
        <f>DEN!$C68*ONSV_2013!$C31*(COMB_CORR!H32*0.75)/(COMB_CORR!C32-SUM(DIST_GAS_MOT!AB41:AE41)+0.75*(COMB_CORR!H32))</f>
        <v>54766.100515140373</v>
      </c>
      <c r="G40" s="204">
        <f t="shared" si="8"/>
        <v>71327.566300498976</v>
      </c>
      <c r="H40" s="920">
        <f>(DEN!$C104)*ONSV_2013!D31*FRO_TOT!AH110</f>
        <v>15560.868496896323</v>
      </c>
      <c r="I40" s="940">
        <f>DEN!$C104*ONSV_2013!$C31*(COMB_CORR!I32*0.75)/(COMB_CORR!D32-SUM(DIST_GAS_MOT!AF41:AI41)+0.75*(COMB_CORR!I32))</f>
        <v>36309.906985175112</v>
      </c>
      <c r="J40" s="204">
        <f t="shared" si="9"/>
        <v>51870.775482071433</v>
      </c>
      <c r="K40" s="938">
        <f>(DEN!$C140)*ONSV_2013!D31*FRO_TOT!AH148</f>
        <v>12668.30118061031</v>
      </c>
      <c r="L40" s="941">
        <f>DEN!$C140*ONSV_2013!$C31*(COMB_CORR!J32*0.75)/(COMB_CORR!E32-SUM(DIST_GAS_MOT!AJ41:AM41)+0.75*(COMB_CORR!J32))</f>
        <v>25827.350999742401</v>
      </c>
      <c r="M40" s="204">
        <f t="shared" si="5"/>
        <v>38495.652180352714</v>
      </c>
      <c r="N40" s="56" t="e">
        <f>(DEN!$C176)*$K$2*FRO_TOT!AH186</f>
        <v>#DIV/0!</v>
      </c>
      <c r="O40" s="205">
        <f>IF(FLEX!Q34="ALC",(DEN!$C176*$K$4*0.95),0)</f>
        <v>0</v>
      </c>
      <c r="P40" s="204" t="e">
        <f>N40+O40</f>
        <v>#DIV/0!</v>
      </c>
      <c r="R40" s="190" t="s">
        <v>40</v>
      </c>
      <c r="S40" s="943">
        <f>(DEN!$F32+DEN!$G32+DEN!$L32)*ONSV_2013!J31*FRO_TOT!AH34</f>
        <v>2032.2334041093309</v>
      </c>
      <c r="T40" s="942">
        <f>(DEN!$F32+DEN!$G32+DEN!$L32)*ONSV_2013!$I31*(COMB_CORR!G32*0.75)/(COMB_CORR!B32-SUM(DIST_GAS_MOT!X41:AA41)+0.75*(COMB_CORR!G32))</f>
        <v>8780.98325143068</v>
      </c>
      <c r="U40" s="204">
        <f>S40+T40</f>
        <v>10813.216655540011</v>
      </c>
      <c r="V40" s="943">
        <f>(DEN!$F68+DEN!$G68+DEN!$L68)*ONSV_2013!J31*FRO_TOT!AH72</f>
        <v>1414.360512356151</v>
      </c>
      <c r="W40" s="942">
        <f>(DEN!$F68+DEN!$G68+DEN!$L68)*ONSV_2013!$I31*(COMB_CORR!H32*0.75)/(COMB_CORR!C32-SUM(DIST_GAS_MOT!AB41:AE41)+0.75*(COMB_CORR!H32))</f>
        <v>5615.3689546882915</v>
      </c>
      <c r="X40" s="204">
        <f t="shared" si="11"/>
        <v>7029.7294670444426</v>
      </c>
      <c r="Y40" s="943">
        <f>(DEN!$F104+DEN!$G104+DEN!$L104)*ONSV_2013!J31*FRO_TOT!AH110</f>
        <v>1410.1119174024027</v>
      </c>
      <c r="Z40" s="942">
        <f>(DEN!$F104+DEN!$G104+DEN!$L104)*ONSV_2013!$I31*(COMB_CORR!I32*0.75)/(COMB_CORR!D32-SUM(DIST_GAS_MOT!AF41:AI41)+0.75*(COMB_CORR!I32))</f>
        <v>3950.4813263458227</v>
      </c>
      <c r="AA40" s="204">
        <f t="shared" si="12"/>
        <v>5360.5932437482252</v>
      </c>
      <c r="AB40" s="943">
        <f>(DEN!$F140+DEN!$G140+DEN!$L140)*ONSV_2013!J31*FRO_TOT!AH148</f>
        <v>1211.8674178347399</v>
      </c>
      <c r="AC40" s="942">
        <f>(DEN!$F140+DEN!$G140+DEN!$L140)*ONSV_2013!$I31*(COMB_CORR!J32*0.75)/(COMB_CORR!E32-SUM(DIST_GAS_MOT!AJ41:AM41)+0.75*(COMB_CORR!J32))</f>
        <v>2966.3454123313895</v>
      </c>
      <c r="AD40" s="206">
        <f t="shared" si="13"/>
        <v>4178.2128301661296</v>
      </c>
      <c r="AE40" s="55" t="e">
        <f>(DEN!$F176+DEN!$G176+DEN!$L176)*$K$3*FRO_TOT!AH186</f>
        <v>#DIV/0!</v>
      </c>
      <c r="AF40" s="205">
        <f>IF(FLEX!Q34="ALC",((DEN!$F176+DEN!$G176+DEN!$L176)*$K$5*0.95),0)</f>
        <v>0</v>
      </c>
      <c r="AG40" s="206" t="e">
        <f>AE40+AF40</f>
        <v>#DIV/0!</v>
      </c>
    </row>
    <row r="41" spans="1:33" ht="15.75" thickBot="1">
      <c r="A41" s="130" t="s">
        <v>41</v>
      </c>
      <c r="B41" s="920">
        <f>(DEN!$C33)*ONSV_2013!D32*FRO_TOT!AH35</f>
        <v>138031.78641335765</v>
      </c>
      <c r="C41" s="940">
        <f>DEN!$C33*ONSV_2013!$C32*(COMB_CORR!G33*0.75)/(COMB_CORR!B33-SUM(DIST_GAS_MOT!X42:AA42)+0.75*(COMB_CORR!G33))</f>
        <v>238810.4497475292</v>
      </c>
      <c r="D41" s="204">
        <f t="shared" si="7"/>
        <v>376842.23616088682</v>
      </c>
      <c r="E41" s="920">
        <f>(DEN!$C69)*ONSV_2013!D32*FRO_TOT!AH73</f>
        <v>178748.70942054581</v>
      </c>
      <c r="F41" s="940">
        <f>DEN!$C69*ONSV_2013!$C32*(COMB_CORR!H33*0.75)/(COMB_CORR!C33-SUM(DIST_GAS_MOT!AB42:AE42)+0.75*(COMB_CORR!H33))</f>
        <v>264624.49860975659</v>
      </c>
      <c r="G41" s="204">
        <f t="shared" si="8"/>
        <v>443373.20803030243</v>
      </c>
      <c r="H41" s="920">
        <f>(DEN!$C105)*ONSV_2013!D32*FRO_TOT!AH111</f>
        <v>221907.09866707379</v>
      </c>
      <c r="I41" s="940">
        <f>DEN!$C105*ONSV_2013!$C32*(COMB_CORR!I33*0.75)/(COMB_CORR!D33-SUM(DIST_GAS_MOT!AF42:AI42)+0.75*(COMB_CORR!I33))</f>
        <v>245145.85005399233</v>
      </c>
      <c r="J41" s="204">
        <f t="shared" si="9"/>
        <v>467052.94872106612</v>
      </c>
      <c r="K41" s="938">
        <f>(DEN!$C141)*ONSV_2013!D32*FRO_TOT!AH149</f>
        <v>255775.30002493033</v>
      </c>
      <c r="L41" s="941">
        <f>DEN!$C141*ONSV_2013!$C32*(COMB_CORR!J33*0.75)/(COMB_CORR!E33-SUM(DIST_GAS_MOT!AJ42:AM42)+0.75*(COMB_CORR!J33))</f>
        <v>241160.07674651226</v>
      </c>
      <c r="M41" s="204">
        <f t="shared" si="5"/>
        <v>496935.37677144259</v>
      </c>
      <c r="N41" s="56" t="e">
        <f>(DEN!$C177)*$K$2*FRO_TOT!AH187</f>
        <v>#DIV/0!</v>
      </c>
      <c r="O41" s="205" t="e">
        <f>IF(FLEX!Q35="ALC",(DEN!$C177*$K$4*0.95),0)</f>
        <v>#DIV/0!</v>
      </c>
      <c r="P41" s="204" t="e">
        <f>N41+O41</f>
        <v>#DIV/0!</v>
      </c>
      <c r="R41" s="130" t="s">
        <v>41</v>
      </c>
      <c r="S41" s="943">
        <f>(DEN!$F33+DEN!$G33+DEN!$L33)*ONSV_2013!J32*FRO_TOT!AH35</f>
        <v>16664.151122941301</v>
      </c>
      <c r="T41" s="942">
        <f>(DEN!$F33+DEN!$G33+DEN!$L33)*ONSV_2013!$I32*(COMB_CORR!G33*0.75)/(COMB_CORR!B33-SUM(DIST_GAS_MOT!X42:AA42)+0.75*(COMB_CORR!G33))</f>
        <v>34611.545455465544</v>
      </c>
      <c r="U41" s="204">
        <f>S41+T41</f>
        <v>51275.696578406845</v>
      </c>
      <c r="V41" s="943">
        <f>(DEN!$F69+DEN!$G69+DEN!$L69)*ONSV_2013!J32*FRO_TOT!AH73</f>
        <v>21842.652581790979</v>
      </c>
      <c r="W41" s="942">
        <f>(DEN!$F69+DEN!$G69+DEN!$L69)*ONSV_2013!$I32*(COMB_CORR!H33*0.75)/(COMB_CORR!C33-SUM(DIST_GAS_MOT!AB42:AE42)+0.75*(COMB_CORR!H33))</f>
        <v>38820.049942487931</v>
      </c>
      <c r="X41" s="204">
        <f t="shared" si="11"/>
        <v>60662.70252427891</v>
      </c>
      <c r="Y41" s="943">
        <f>(DEN!$F105+DEN!$G105+DEN!$L105)*ONSV_2013!J32*FRO_TOT!AH111</f>
        <v>27452.546966529797</v>
      </c>
      <c r="Z41" s="942">
        <f>(DEN!$F105+DEN!$G105+DEN!$L105)*ONSV_2013!$I32*(COMB_CORR!I33*0.75)/(COMB_CORR!D33-SUM(DIST_GAS_MOT!AF42:AI42)+0.75*(COMB_CORR!I33))</f>
        <v>36408.23049553288</v>
      </c>
      <c r="AA41" s="204">
        <f t="shared" si="12"/>
        <v>63860.777462062673</v>
      </c>
      <c r="AB41" s="943">
        <f>(DEN!$F141+DEN!$G141+DEN!$L141)*ONSV_2013!J32*FRO_TOT!AH149</f>
        <v>32119.848632359561</v>
      </c>
      <c r="AC41" s="942">
        <f>(DEN!$F141+DEN!$G141+DEN!$L141)*ONSV_2013!$I32*(COMB_CORR!J33*0.75)/(COMB_CORR!E33-SUM(DIST_GAS_MOT!AJ42:AM42)+0.75*(COMB_CORR!J33))</f>
        <v>36356.651638754054</v>
      </c>
      <c r="AD41" s="206">
        <f t="shared" si="13"/>
        <v>68476.500271113619</v>
      </c>
      <c r="AE41" s="55" t="e">
        <f>(DEN!$F177+DEN!$G177+DEN!$L177)*$K$3*FRO_TOT!AH187</f>
        <v>#DIV/0!</v>
      </c>
      <c r="AF41" s="205" t="e">
        <f>IF(FLEX!Q35="ALC",((DEN!$F177+DEN!$G177+DEN!$L177)*$K$5*0.95),0)</f>
        <v>#DIV/0!</v>
      </c>
      <c r="AG41" s="206" t="e">
        <f>AE41+AF41</f>
        <v>#DIV/0!</v>
      </c>
    </row>
    <row r="42" spans="1:33" ht="15.75" thickBot="1">
      <c r="A42" s="130" t="s">
        <v>42</v>
      </c>
      <c r="B42" s="920">
        <f>(DEN!$C34)*ONSV_2013!D33*FRO_TOT!AH36</f>
        <v>50582.621312517753</v>
      </c>
      <c r="C42" s="940">
        <f>DEN!$C34*ONSV_2013!$C33*(COMB_CORR!G34*0.75)/(COMB_CORR!B34-SUM(DIST_GAS_MOT!X43:AA43)+0.75*(COMB_CORR!G34))</f>
        <v>143384.79438292136</v>
      </c>
      <c r="D42" s="204">
        <f t="shared" si="7"/>
        <v>193967.41569543912</v>
      </c>
      <c r="E42" s="920">
        <f>(DEN!$C70)*ONSV_2013!D33*FRO_TOT!AH74</f>
        <v>63612.931968765508</v>
      </c>
      <c r="F42" s="940">
        <f>DEN!$C70*ONSV_2013!$C33*(COMB_CORR!H34*0.75)/(COMB_CORR!C34-SUM(DIST_GAS_MOT!AB43:AE43)+0.75*(COMB_CORR!H34))</f>
        <v>163228.30561457586</v>
      </c>
      <c r="G42" s="204">
        <f t="shared" si="8"/>
        <v>226841.23758334137</v>
      </c>
      <c r="H42" s="920">
        <f>(DEN!$C106)*ONSV_2013!D33*FRO_TOT!AH112</f>
        <v>77714.0394427094</v>
      </c>
      <c r="I42" s="940">
        <f>DEN!$C106*ONSV_2013!$C33*(COMB_CORR!I34*0.75)/(COMB_CORR!D34-SUM(DIST_GAS_MOT!AF43:AI43)+0.75*(COMB_CORR!I34))</f>
        <v>150014.04636016322</v>
      </c>
      <c r="J42" s="204">
        <f t="shared" si="9"/>
        <v>227728.08580287261</v>
      </c>
      <c r="K42" s="938">
        <f>(DEN!$C142)*ONSV_2013!D33*FRO_TOT!AH150</f>
        <v>101304.42185763219</v>
      </c>
      <c r="L42" s="941">
        <f>DEN!$C142*ONSV_2013!$C33*(COMB_CORR!J34*0.75)/(COMB_CORR!E34-SUM(DIST_GAS_MOT!AJ43:AM43)+0.75*(COMB_CORR!J34))</f>
        <v>152011.81674228952</v>
      </c>
      <c r="M42" s="204">
        <f t="shared" si="5"/>
        <v>253316.23859992169</v>
      </c>
      <c r="N42" s="56" t="e">
        <f>(DEN!$C178)*$K$2*FRO_TOT!AH188</f>
        <v>#DIV/0!</v>
      </c>
      <c r="O42" s="205" t="e">
        <f>IF(FLEX!Q36="ALC",(DEN!$C178*$K$4*0.95),0)</f>
        <v>#DIV/0!</v>
      </c>
      <c r="P42" s="204" t="e">
        <f>N42+O42</f>
        <v>#DIV/0!</v>
      </c>
      <c r="R42" s="130" t="s">
        <v>42</v>
      </c>
      <c r="S42" s="943">
        <f>(DEN!$F34+DEN!$G34+DEN!$L34)*ONSV_2013!J33*FRO_TOT!AH36</f>
        <v>7107.9658943932218</v>
      </c>
      <c r="T42" s="942">
        <f>(DEN!$F34+DEN!$G34+DEN!$L34)*ONSV_2013!$I33*(COMB_CORR!G34*0.75)/(COMB_CORR!B34-SUM(DIST_GAS_MOT!X43:AA43)+0.75*(COMB_CORR!G34))</f>
        <v>24187.454255807465</v>
      </c>
      <c r="U42" s="204">
        <f>S42+T42</f>
        <v>31295.420150200687</v>
      </c>
      <c r="V42" s="943">
        <f>(DEN!$F70+DEN!$G70+DEN!$L70)*ONSV_2013!J33*FRO_TOT!AH74</f>
        <v>8790.1834920102301</v>
      </c>
      <c r="W42" s="942">
        <f>(DEN!$F70+DEN!$G70+DEN!$L70)*ONSV_2013!$I33*(COMB_CORR!H34*0.75)/(COMB_CORR!C34-SUM(DIST_GAS_MOT!AB43:AE43)+0.75*(COMB_CORR!H34))</f>
        <v>27076.408646207841</v>
      </c>
      <c r="X42" s="204">
        <f t="shared" si="11"/>
        <v>35866.592138218068</v>
      </c>
      <c r="Y42" s="943">
        <f>(DEN!$F106+DEN!$G106+DEN!$L106)*ONSV_2013!J33*FRO_TOT!AH112</f>
        <v>10680.878605993514</v>
      </c>
      <c r="Z42" s="942">
        <f>(DEN!$F106+DEN!$G106+DEN!$L106)*ONSV_2013!$I33*(COMB_CORR!I34*0.75)/(COMB_CORR!D34-SUM(DIST_GAS_MOT!AF43:AI43)+0.75*(COMB_CORR!I34))</f>
        <v>24750.414743107234</v>
      </c>
      <c r="AA42" s="204">
        <f t="shared" si="12"/>
        <v>35431.29334910075</v>
      </c>
      <c r="AB42" s="943">
        <f>(DEN!$F142+DEN!$G142+DEN!$L142)*ONSV_2013!J33*FRO_TOT!AH150</f>
        <v>14032.767079059238</v>
      </c>
      <c r="AC42" s="942">
        <f>(DEN!$F142+DEN!$G142+DEN!$L142)*ONSV_2013!$I33*(COMB_CORR!J34*0.75)/(COMB_CORR!E34-SUM(DIST_GAS_MOT!AJ43:AM43)+0.75*(COMB_CORR!J34))</f>
        <v>25277.570094333758</v>
      </c>
      <c r="AD42" s="206">
        <f t="shared" si="13"/>
        <v>39310.337173392996</v>
      </c>
      <c r="AE42" s="55" t="e">
        <f>(DEN!$F178+DEN!$G178+DEN!$L178)*$K$3*FRO_TOT!AH188</f>
        <v>#DIV/0!</v>
      </c>
      <c r="AF42" s="205" t="e">
        <f>IF(FLEX!Q36="ALC",((DEN!$F178+DEN!$G178+DEN!$L178)*$K$5*0.95),0)</f>
        <v>#DIV/0!</v>
      </c>
      <c r="AG42" s="206" t="e">
        <f>AE42+AF42</f>
        <v>#DIV/0!</v>
      </c>
    </row>
    <row r="43" spans="1:33" ht="26.25" thickBot="1">
      <c r="A43" s="131" t="s">
        <v>43</v>
      </c>
      <c r="B43" s="920">
        <f>(DEN!$C35)*ONSV_2013!D34*FRO_TOT!AH37</f>
        <v>32003.820856339433</v>
      </c>
      <c r="C43" s="940">
        <f>DEN!$C35*ONSV_2013!$C34*(COMB_CORR!G35*0.75)/(COMB_CORR!B35-SUM(DIST_GAS_MOT!X44:AA44)+0.75*(COMB_CORR!G35))</f>
        <v>74287.441725299228</v>
      </c>
      <c r="D43" s="204">
        <f t="shared" si="7"/>
        <v>106291.26258163866</v>
      </c>
      <c r="E43" s="920">
        <f>(DEN!$C71)*ONSV_2013!D34*FRO_TOT!AH75</f>
        <v>30414.783312760086</v>
      </c>
      <c r="F43" s="940">
        <f>DEN!$C71*ONSV_2013!$C34*(COMB_CORR!H35*0.75)/(COMB_CORR!C35-SUM(DIST_GAS_MOT!AB44:AE44)+0.75*(COMB_CORR!H35))</f>
        <v>63301.612228591737</v>
      </c>
      <c r="G43" s="204">
        <f t="shared" si="8"/>
        <v>93716.395541351827</v>
      </c>
      <c r="H43" s="920">
        <f>(DEN!$C107)*ONSV_2013!D34*FRO_TOT!AH113</f>
        <v>28692.032791722773</v>
      </c>
      <c r="I43" s="940">
        <f>DEN!$C107*ONSV_2013!$C34*(COMB_CORR!I35*0.75)/(COMB_CORR!D35-SUM(DIST_GAS_MOT!AF44:AI44)+0.75*(COMB_CORR!I35))</f>
        <v>42063.039709166609</v>
      </c>
      <c r="J43" s="204">
        <f t="shared" si="9"/>
        <v>70755.072500889379</v>
      </c>
      <c r="K43" s="938">
        <f>(DEN!$C143)*ONSV_2013!D34*FRO_TOT!AH151</f>
        <v>29087.28014753131</v>
      </c>
      <c r="L43" s="941">
        <f>DEN!$C143*ONSV_2013!$C34*(COMB_CORR!J35*0.75)/(COMB_CORR!E35-SUM(DIST_GAS_MOT!AJ44:AM44)+0.75*(COMB_CORR!J35))</f>
        <v>35365.550984703965</v>
      </c>
      <c r="M43" s="204">
        <f t="shared" si="5"/>
        <v>64452.831132235275</v>
      </c>
      <c r="N43" s="56" t="e">
        <f>(DEN!$C179)*$K$2*FRO_TOT!AH189</f>
        <v>#DIV/0!</v>
      </c>
      <c r="O43" s="205">
        <f>IF(FLEX!Q37="ALC",(DEN!$C179*$K$4*0.95),0)</f>
        <v>0</v>
      </c>
      <c r="P43" s="204" t="e">
        <f>N43+O43</f>
        <v>#DIV/0!</v>
      </c>
      <c r="R43" s="131" t="s">
        <v>43</v>
      </c>
      <c r="S43" s="943">
        <f>(DEN!$F35+DEN!$G35+DEN!$L35)*ONSV_2013!J34*FRO_TOT!AH37</f>
        <v>3803.1890244838601</v>
      </c>
      <c r="T43" s="942">
        <f>(DEN!$F35+DEN!$G35+DEN!$L35)*ONSV_2013!$I34*(COMB_CORR!G35*0.75)/(COMB_CORR!B35-SUM(DIST_GAS_MOT!X44:AA44)+0.75*(COMB_CORR!G35))</f>
        <v>10597.722193559022</v>
      </c>
      <c r="U43" s="204">
        <f>S43+T43</f>
        <v>14400.911218042882</v>
      </c>
      <c r="V43" s="943">
        <f>(DEN!$F71+DEN!$G71+DEN!$L71)*ONSV_2013!J34*FRO_TOT!AH75</f>
        <v>3623.3350193414644</v>
      </c>
      <c r="W43" s="942">
        <f>(DEN!$F71+DEN!$G71+DEN!$L71)*ONSV_2013!$I34*(COMB_CORR!H35*0.75)/(COMB_CORR!C35-SUM(DIST_GAS_MOT!AB44:AE44)+0.75*(COMB_CORR!H35))</f>
        <v>9052.9387877017234</v>
      </c>
      <c r="X43" s="204">
        <f t="shared" si="11"/>
        <v>12676.273807043188</v>
      </c>
      <c r="Y43" s="943">
        <f>(DEN!$F107+DEN!$G107+DEN!$L107)*ONSV_2013!J34*FRO_TOT!AH113</f>
        <v>3429.199389922524</v>
      </c>
      <c r="Z43" s="942">
        <f>(DEN!$F107+DEN!$G107+DEN!$L107)*ONSV_2013!$I34*(COMB_CORR!I35*0.75)/(COMB_CORR!D35-SUM(DIST_GAS_MOT!AF44:AI44)+0.75*(COMB_CORR!I35))</f>
        <v>6035.0812480677087</v>
      </c>
      <c r="AA43" s="204">
        <f t="shared" si="12"/>
        <v>9464.2806379902322</v>
      </c>
      <c r="AB43" s="943">
        <f>(DEN!$F143+DEN!$G143+DEN!$L143)*ONSV_2013!J34*FRO_TOT!AH151</f>
        <v>3504.0824319701574</v>
      </c>
      <c r="AC43" s="942">
        <f>(DEN!$F143+DEN!$G143+DEN!$L143)*ONSV_2013!$I34*(COMB_CORR!J35*0.75)/(COMB_CORR!E35-SUM(DIST_GAS_MOT!AJ44:AM44)+0.75*(COMB_CORR!J35))</f>
        <v>5114.4940419757504</v>
      </c>
      <c r="AD43" s="206">
        <f t="shared" si="13"/>
        <v>8618.5764739459082</v>
      </c>
      <c r="AE43" s="55" t="e">
        <f>(DEN!$F179+DEN!$G179+DEN!$L179)*$K$3*FRO_TOT!AH189</f>
        <v>#DIV/0!</v>
      </c>
      <c r="AF43" s="205">
        <f>IF(FLEX!Q37="ALC",((DEN!$F179+DEN!$G179+DEN!$L179)*$K$5*0.95),0)</f>
        <v>0</v>
      </c>
      <c r="AG43" s="206" t="e">
        <f>AE43+AF43</f>
        <v>#DIV/0!</v>
      </c>
    </row>
    <row r="44" spans="1:33">
      <c r="B44" s="199"/>
      <c r="C44" s="199"/>
      <c r="D44" s="200"/>
      <c r="E44" s="199"/>
      <c r="F44" s="199"/>
      <c r="G44" s="200"/>
      <c r="H44" s="1"/>
    </row>
    <row r="45" spans="1:33" ht="15.75" thickBot="1"/>
    <row r="46" spans="1:33" ht="15.75" customHeight="1" thickBot="1">
      <c r="A46" s="1194" t="s">
        <v>473</v>
      </c>
      <c r="B46" s="1200">
        <v>2004</v>
      </c>
      <c r="C46" s="1201"/>
      <c r="D46" s="1200">
        <v>2005</v>
      </c>
      <c r="E46" s="1201"/>
      <c r="F46" s="1200">
        <v>2006</v>
      </c>
      <c r="G46" s="1201"/>
      <c r="H46" s="1200">
        <v>2007</v>
      </c>
      <c r="I46" s="1201"/>
      <c r="J46" s="1200">
        <v>2008</v>
      </c>
      <c r="K46" s="1201"/>
      <c r="R46" s="1247" t="s">
        <v>451</v>
      </c>
      <c r="S46" s="1245">
        <v>2004</v>
      </c>
      <c r="T46" s="1246"/>
      <c r="U46" s="1245">
        <v>2005</v>
      </c>
      <c r="V46" s="1246"/>
      <c r="W46" s="1245">
        <v>2006</v>
      </c>
      <c r="X46" s="1246"/>
      <c r="Y46" s="1245">
        <v>2007</v>
      </c>
      <c r="Z46" s="1246"/>
      <c r="AA46" s="1245">
        <v>2008</v>
      </c>
      <c r="AB46" s="1246"/>
    </row>
    <row r="47" spans="1:33" ht="15" customHeight="1">
      <c r="A47" s="1195"/>
      <c r="B47" s="1202" t="s">
        <v>78</v>
      </c>
      <c r="C47" s="1202" t="s">
        <v>445</v>
      </c>
      <c r="D47" s="1202" t="s">
        <v>78</v>
      </c>
      <c r="E47" s="1202" t="s">
        <v>445</v>
      </c>
      <c r="F47" s="1202" t="s">
        <v>78</v>
      </c>
      <c r="G47" s="1202" t="s">
        <v>445</v>
      </c>
      <c r="H47" s="1202" t="s">
        <v>78</v>
      </c>
      <c r="I47" s="1202" t="s">
        <v>445</v>
      </c>
      <c r="J47" s="1202" t="s">
        <v>78</v>
      </c>
      <c r="K47" s="1202" t="s">
        <v>445</v>
      </c>
      <c r="R47" s="1249"/>
      <c r="S47" s="1247" t="s">
        <v>78</v>
      </c>
      <c r="T47" s="1247" t="s">
        <v>445</v>
      </c>
      <c r="U47" s="1247" t="s">
        <v>78</v>
      </c>
      <c r="V47" s="1247" t="s">
        <v>445</v>
      </c>
      <c r="W47" s="1247" t="s">
        <v>78</v>
      </c>
      <c r="X47" s="1247" t="s">
        <v>445</v>
      </c>
      <c r="Y47" s="1247" t="s">
        <v>78</v>
      </c>
      <c r="Z47" s="1247" t="s">
        <v>445</v>
      </c>
      <c r="AA47" s="1247" t="s">
        <v>78</v>
      </c>
      <c r="AB47" s="1247" t="s">
        <v>445</v>
      </c>
    </row>
    <row r="48" spans="1:33" ht="15.75" customHeight="1" thickBot="1">
      <c r="A48" s="1196"/>
      <c r="B48" s="1203"/>
      <c r="C48" s="1203"/>
      <c r="D48" s="1203"/>
      <c r="E48" s="1203"/>
      <c r="F48" s="1203"/>
      <c r="G48" s="1203"/>
      <c r="H48" s="1203"/>
      <c r="I48" s="1203"/>
      <c r="J48" s="1203"/>
      <c r="K48" s="1203"/>
      <c r="R48" s="1248"/>
      <c r="S48" s="1248"/>
      <c r="T48" s="1248"/>
      <c r="U48" s="1248"/>
      <c r="V48" s="1248"/>
      <c r="W48" s="1248"/>
      <c r="X48" s="1248"/>
      <c r="Y48" s="1248"/>
      <c r="Z48" s="1248"/>
      <c r="AA48" s="1248"/>
      <c r="AB48" s="1248"/>
    </row>
    <row r="49" spans="1:28" ht="15.75" thickBot="1">
      <c r="A49" s="164" t="s">
        <v>87</v>
      </c>
      <c r="B49" s="176">
        <f>DIST_GAS_LEV!B49</f>
        <v>16596</v>
      </c>
      <c r="C49" s="176">
        <f>DIST_GAS_LEV!C49</f>
        <v>16596</v>
      </c>
      <c r="D49" s="176">
        <f>DIST_GAS_LEV!D49</f>
        <v>16596</v>
      </c>
      <c r="E49" s="176">
        <f>DIST_GAS_LEV!E49</f>
        <v>16596</v>
      </c>
      <c r="F49" s="176">
        <f>DIST_GAS_LEV!F49</f>
        <v>16596</v>
      </c>
      <c r="G49" s="176">
        <f>DIST_GAS_LEV!G49</f>
        <v>16596</v>
      </c>
      <c r="H49" s="176">
        <f>DIST_GAS_LEV!H49</f>
        <v>16596</v>
      </c>
      <c r="I49" s="176">
        <f>DIST_GAS_LEV!I49</f>
        <v>16596</v>
      </c>
      <c r="J49" s="176">
        <f>H49</f>
        <v>16596</v>
      </c>
      <c r="K49" s="176">
        <f>I49</f>
        <v>16596</v>
      </c>
      <c r="R49" s="164" t="s">
        <v>87</v>
      </c>
      <c r="S49" s="176">
        <f t="shared" ref="S49:S57" si="26">B49</f>
        <v>16596</v>
      </c>
      <c r="T49" s="176">
        <f t="shared" ref="T49:T57" si="27">C49</f>
        <v>16596</v>
      </c>
      <c r="U49" s="176">
        <f t="shared" ref="U49:U57" si="28">D49</f>
        <v>16596</v>
      </c>
      <c r="V49" s="176">
        <f t="shared" ref="V49:V57" si="29">E49</f>
        <v>16596</v>
      </c>
      <c r="W49" s="176">
        <f t="shared" ref="W49:W57" si="30">F49</f>
        <v>16596</v>
      </c>
      <c r="X49" s="176">
        <f t="shared" ref="X49:X57" si="31">G49</f>
        <v>16596</v>
      </c>
      <c r="Y49" s="176">
        <f t="shared" ref="Y49:Y57" si="32">H49</f>
        <v>16596</v>
      </c>
      <c r="Z49" s="176">
        <f t="shared" ref="Z49:Z57" si="33">I49</f>
        <v>16596</v>
      </c>
      <c r="AA49" s="176">
        <f t="shared" ref="AA49:AA57" si="34">J49</f>
        <v>16596</v>
      </c>
      <c r="AB49" s="176">
        <f t="shared" ref="AB49:AB57" si="35">K49</f>
        <v>16596</v>
      </c>
    </row>
    <row r="50" spans="1:28" ht="15.75" thickBot="1">
      <c r="A50" s="164" t="s">
        <v>88</v>
      </c>
      <c r="B50" s="176">
        <f>DIST_GAS_LEV!B50</f>
        <v>12622</v>
      </c>
      <c r="C50" s="176">
        <f>DIST_GAS_LEV!C50</f>
        <v>12622</v>
      </c>
      <c r="D50" s="176">
        <f>DIST_GAS_LEV!D50</f>
        <v>12622</v>
      </c>
      <c r="E50" s="176">
        <f>DIST_GAS_LEV!E50</f>
        <v>12622</v>
      </c>
      <c r="F50" s="176">
        <f>DIST_GAS_LEV!F50</f>
        <v>12622</v>
      </c>
      <c r="G50" s="176">
        <f>DIST_GAS_LEV!G50</f>
        <v>12622</v>
      </c>
      <c r="H50" s="176">
        <f>DIST_GAS_LEV!H50</f>
        <v>12622</v>
      </c>
      <c r="I50" s="176">
        <f>DIST_GAS_LEV!I50</f>
        <v>12622</v>
      </c>
      <c r="J50" s="176">
        <f t="shared" ref="J50:J56" si="36">H50</f>
        <v>12622</v>
      </c>
      <c r="K50" s="176">
        <f t="shared" ref="K50:K56" si="37">I50</f>
        <v>12622</v>
      </c>
      <c r="R50" s="164" t="s">
        <v>88</v>
      </c>
      <c r="S50" s="176">
        <f t="shared" si="26"/>
        <v>12622</v>
      </c>
      <c r="T50" s="176">
        <f t="shared" si="27"/>
        <v>12622</v>
      </c>
      <c r="U50" s="176">
        <f t="shared" si="28"/>
        <v>12622</v>
      </c>
      <c r="V50" s="176">
        <f t="shared" si="29"/>
        <v>12622</v>
      </c>
      <c r="W50" s="176">
        <f t="shared" si="30"/>
        <v>12622</v>
      </c>
      <c r="X50" s="176">
        <f t="shared" si="31"/>
        <v>12622</v>
      </c>
      <c r="Y50" s="176">
        <f t="shared" si="32"/>
        <v>12622</v>
      </c>
      <c r="Z50" s="176">
        <f t="shared" si="33"/>
        <v>12622</v>
      </c>
      <c r="AA50" s="176">
        <f t="shared" si="34"/>
        <v>12622</v>
      </c>
      <c r="AB50" s="176">
        <f t="shared" si="35"/>
        <v>12622</v>
      </c>
    </row>
    <row r="51" spans="1:28" ht="15.75" thickBot="1">
      <c r="A51" s="164" t="s">
        <v>208</v>
      </c>
      <c r="B51" s="176">
        <f>DIST_GAS_LEV!B51</f>
        <v>10380</v>
      </c>
      <c r="C51" s="176">
        <f>DIST_GAS_LEV!C51</f>
        <v>10380</v>
      </c>
      <c r="D51" s="176">
        <f>DIST_GAS_LEV!D51</f>
        <v>10380</v>
      </c>
      <c r="E51" s="176">
        <f>DIST_GAS_LEV!E51</f>
        <v>10380</v>
      </c>
      <c r="F51" s="176">
        <f>DIST_GAS_LEV!F51</f>
        <v>10380</v>
      </c>
      <c r="G51" s="176">
        <f>DIST_GAS_LEV!G51</f>
        <v>10380</v>
      </c>
      <c r="H51" s="176">
        <f>DIST_GAS_LEV!H51</f>
        <v>10380</v>
      </c>
      <c r="I51" s="176">
        <f>DIST_GAS_LEV!I51</f>
        <v>10380</v>
      </c>
      <c r="J51" s="176">
        <f t="shared" si="36"/>
        <v>10380</v>
      </c>
      <c r="K51" s="176">
        <f t="shared" si="37"/>
        <v>10380</v>
      </c>
      <c r="R51" s="164" t="s">
        <v>208</v>
      </c>
      <c r="S51" s="176">
        <f t="shared" si="26"/>
        <v>10380</v>
      </c>
      <c r="T51" s="176">
        <f t="shared" si="27"/>
        <v>10380</v>
      </c>
      <c r="U51" s="176">
        <f t="shared" si="28"/>
        <v>10380</v>
      </c>
      <c r="V51" s="176">
        <f t="shared" si="29"/>
        <v>10380</v>
      </c>
      <c r="W51" s="176">
        <f t="shared" si="30"/>
        <v>10380</v>
      </c>
      <c r="X51" s="176">
        <f t="shared" si="31"/>
        <v>10380</v>
      </c>
      <c r="Y51" s="176">
        <f t="shared" si="32"/>
        <v>10380</v>
      </c>
      <c r="Z51" s="176">
        <f t="shared" si="33"/>
        <v>10380</v>
      </c>
      <c r="AA51" s="176">
        <f t="shared" si="34"/>
        <v>10380</v>
      </c>
      <c r="AB51" s="176">
        <f t="shared" si="35"/>
        <v>10380</v>
      </c>
    </row>
    <row r="52" spans="1:28" ht="15.75" thickBot="1">
      <c r="A52" s="164" t="s">
        <v>204</v>
      </c>
      <c r="B52" s="176">
        <f>DIST_GAS_LEV!B52</f>
        <v>9950</v>
      </c>
      <c r="C52" s="176">
        <f>DIST_GAS_LEV!C52</f>
        <v>9950</v>
      </c>
      <c r="D52" s="176">
        <f>DIST_GAS_LEV!D52</f>
        <v>9950</v>
      </c>
      <c r="E52" s="176">
        <f>DIST_GAS_LEV!E52</f>
        <v>9950</v>
      </c>
      <c r="F52" s="176">
        <f>DIST_GAS_LEV!F52</f>
        <v>9950</v>
      </c>
      <c r="G52" s="176">
        <f>DIST_GAS_LEV!G52</f>
        <v>9950</v>
      </c>
      <c r="H52" s="176">
        <f>DIST_GAS_LEV!H52</f>
        <v>9950</v>
      </c>
      <c r="I52" s="176">
        <f>DIST_GAS_LEV!I52</f>
        <v>9950</v>
      </c>
      <c r="J52" s="176">
        <f t="shared" si="36"/>
        <v>9950</v>
      </c>
      <c r="K52" s="176">
        <f t="shared" si="37"/>
        <v>9950</v>
      </c>
      <c r="R52" s="164" t="s">
        <v>204</v>
      </c>
      <c r="S52" s="176">
        <f t="shared" si="26"/>
        <v>9950</v>
      </c>
      <c r="T52" s="176">
        <f t="shared" si="27"/>
        <v>9950</v>
      </c>
      <c r="U52" s="176">
        <f t="shared" si="28"/>
        <v>9950</v>
      </c>
      <c r="V52" s="176">
        <f t="shared" si="29"/>
        <v>9950</v>
      </c>
      <c r="W52" s="176">
        <f t="shared" si="30"/>
        <v>9950</v>
      </c>
      <c r="X52" s="176">
        <f t="shared" si="31"/>
        <v>9950</v>
      </c>
      <c r="Y52" s="176">
        <f t="shared" si="32"/>
        <v>9950</v>
      </c>
      <c r="Z52" s="176">
        <f t="shared" si="33"/>
        <v>9950</v>
      </c>
      <c r="AA52" s="176">
        <f t="shared" si="34"/>
        <v>9950</v>
      </c>
      <c r="AB52" s="176">
        <f t="shared" si="35"/>
        <v>9950</v>
      </c>
    </row>
    <row r="53" spans="1:28" ht="15.75" thickBot="1">
      <c r="A53" s="164" t="s">
        <v>209</v>
      </c>
      <c r="B53" s="176">
        <f>DIST_GAS_LEV!B53</f>
        <v>8747</v>
      </c>
      <c r="C53" s="176">
        <f>DIST_GAS_LEV!C53</f>
        <v>8747</v>
      </c>
      <c r="D53" s="176">
        <f>DIST_GAS_LEV!D53</f>
        <v>8747</v>
      </c>
      <c r="E53" s="176">
        <f>DIST_GAS_LEV!E53</f>
        <v>8747</v>
      </c>
      <c r="F53" s="176">
        <f>DIST_GAS_LEV!F53</f>
        <v>8747</v>
      </c>
      <c r="G53" s="176">
        <f>DIST_GAS_LEV!G53</f>
        <v>8747</v>
      </c>
      <c r="H53" s="176">
        <f>DIST_GAS_LEV!H53</f>
        <v>8747</v>
      </c>
      <c r="I53" s="176">
        <f>DIST_GAS_LEV!I53</f>
        <v>8747</v>
      </c>
      <c r="J53" s="176">
        <f t="shared" si="36"/>
        <v>8747</v>
      </c>
      <c r="K53" s="176">
        <f t="shared" si="37"/>
        <v>8747</v>
      </c>
      <c r="R53" s="164" t="s">
        <v>209</v>
      </c>
      <c r="S53" s="176">
        <f t="shared" si="26"/>
        <v>8747</v>
      </c>
      <c r="T53" s="176">
        <f t="shared" si="27"/>
        <v>8747</v>
      </c>
      <c r="U53" s="176">
        <f t="shared" si="28"/>
        <v>8747</v>
      </c>
      <c r="V53" s="176">
        <f t="shared" si="29"/>
        <v>8747</v>
      </c>
      <c r="W53" s="176">
        <f t="shared" si="30"/>
        <v>8747</v>
      </c>
      <c r="X53" s="176">
        <f t="shared" si="31"/>
        <v>8747</v>
      </c>
      <c r="Y53" s="176">
        <f t="shared" si="32"/>
        <v>8747</v>
      </c>
      <c r="Z53" s="176">
        <f t="shared" si="33"/>
        <v>8747</v>
      </c>
      <c r="AA53" s="176">
        <f t="shared" si="34"/>
        <v>8747</v>
      </c>
      <c r="AB53" s="176">
        <f t="shared" si="35"/>
        <v>8747</v>
      </c>
    </row>
    <row r="54" spans="1:28" ht="15.75" thickBot="1">
      <c r="A54" s="164" t="s">
        <v>202</v>
      </c>
      <c r="B54" s="176">
        <f>DIST_GAS_LEV!B54</f>
        <v>8405</v>
      </c>
      <c r="C54" s="176">
        <f>DIST_GAS_LEV!C54</f>
        <v>8405</v>
      </c>
      <c r="D54" s="176">
        <f>DIST_GAS_LEV!D54</f>
        <v>8405</v>
      </c>
      <c r="E54" s="176">
        <f>DIST_GAS_LEV!E54</f>
        <v>8405</v>
      </c>
      <c r="F54" s="176">
        <f>DIST_GAS_LEV!F54</f>
        <v>8405</v>
      </c>
      <c r="G54" s="176">
        <f>DIST_GAS_LEV!G54</f>
        <v>8405</v>
      </c>
      <c r="H54" s="176">
        <f>DIST_GAS_LEV!H54</f>
        <v>8405</v>
      </c>
      <c r="I54" s="176">
        <f>DIST_GAS_LEV!I54</f>
        <v>8405</v>
      </c>
      <c r="J54" s="176">
        <f t="shared" si="36"/>
        <v>8405</v>
      </c>
      <c r="K54" s="176">
        <f t="shared" si="37"/>
        <v>8405</v>
      </c>
      <c r="R54" s="164" t="s">
        <v>202</v>
      </c>
      <c r="S54" s="176">
        <f t="shared" si="26"/>
        <v>8405</v>
      </c>
      <c r="T54" s="176">
        <f t="shared" si="27"/>
        <v>8405</v>
      </c>
      <c r="U54" s="176">
        <f t="shared" si="28"/>
        <v>8405</v>
      </c>
      <c r="V54" s="176">
        <f t="shared" si="29"/>
        <v>8405</v>
      </c>
      <c r="W54" s="176">
        <f t="shared" si="30"/>
        <v>8405</v>
      </c>
      <c r="X54" s="176">
        <f t="shared" si="31"/>
        <v>8405</v>
      </c>
      <c r="Y54" s="176">
        <f t="shared" si="32"/>
        <v>8405</v>
      </c>
      <c r="Z54" s="176">
        <f t="shared" si="33"/>
        <v>8405</v>
      </c>
      <c r="AA54" s="176">
        <f t="shared" si="34"/>
        <v>8405</v>
      </c>
      <c r="AB54" s="176">
        <f t="shared" si="35"/>
        <v>8405</v>
      </c>
    </row>
    <row r="55" spans="1:28" ht="15.75" thickBot="1">
      <c r="A55" s="164" t="s">
        <v>91</v>
      </c>
      <c r="B55" s="176">
        <f>DIST_GAS_LEV!B55</f>
        <v>9231</v>
      </c>
      <c r="C55" s="176">
        <f>DIST_GAS_LEV!C55</f>
        <v>9231</v>
      </c>
      <c r="D55" s="176">
        <f>DIST_GAS_LEV!D55</f>
        <v>9231</v>
      </c>
      <c r="E55" s="176">
        <f>DIST_GAS_LEV!E55</f>
        <v>9231</v>
      </c>
      <c r="F55" s="176">
        <f>DIST_GAS_LEV!F55</f>
        <v>9231</v>
      </c>
      <c r="G55" s="176">
        <f>DIST_GAS_LEV!G55</f>
        <v>9231</v>
      </c>
      <c r="H55" s="176">
        <f>DIST_GAS_LEV!H55</f>
        <v>9231</v>
      </c>
      <c r="I55" s="176">
        <f>DIST_GAS_LEV!I55</f>
        <v>9231</v>
      </c>
      <c r="J55" s="176">
        <f t="shared" si="36"/>
        <v>9231</v>
      </c>
      <c r="K55" s="176">
        <f t="shared" si="37"/>
        <v>9231</v>
      </c>
      <c r="R55" s="164" t="s">
        <v>91</v>
      </c>
      <c r="S55" s="176">
        <f t="shared" si="26"/>
        <v>9231</v>
      </c>
      <c r="T55" s="176">
        <f t="shared" si="27"/>
        <v>9231</v>
      </c>
      <c r="U55" s="176">
        <f t="shared" si="28"/>
        <v>9231</v>
      </c>
      <c r="V55" s="176">
        <f t="shared" si="29"/>
        <v>9231</v>
      </c>
      <c r="W55" s="176">
        <f t="shared" si="30"/>
        <v>9231</v>
      </c>
      <c r="X55" s="176">
        <f t="shared" si="31"/>
        <v>9231</v>
      </c>
      <c r="Y55" s="176">
        <f t="shared" si="32"/>
        <v>9231</v>
      </c>
      <c r="Z55" s="176">
        <f t="shared" si="33"/>
        <v>9231</v>
      </c>
      <c r="AA55" s="176">
        <f t="shared" si="34"/>
        <v>9231</v>
      </c>
      <c r="AB55" s="176">
        <f t="shared" si="35"/>
        <v>9231</v>
      </c>
    </row>
    <row r="56" spans="1:28" ht="15.75" thickBot="1">
      <c r="A56" s="164" t="s">
        <v>92</v>
      </c>
      <c r="B56" s="176">
        <f>DIST_GAS_LEV!B56</f>
        <v>11779</v>
      </c>
      <c r="C56" s="176">
        <f>DIST_GAS_LEV!C56</f>
        <v>11779</v>
      </c>
      <c r="D56" s="176">
        <f>DIST_GAS_LEV!D56</f>
        <v>11779</v>
      </c>
      <c r="E56" s="176">
        <f>DIST_GAS_LEV!E56</f>
        <v>11779</v>
      </c>
      <c r="F56" s="176">
        <f>DIST_GAS_LEV!F56</f>
        <v>11779</v>
      </c>
      <c r="G56" s="176">
        <f>DIST_GAS_LEV!G56</f>
        <v>11779</v>
      </c>
      <c r="H56" s="176">
        <f>DIST_GAS_LEV!H56</f>
        <v>11779</v>
      </c>
      <c r="I56" s="176">
        <f>DIST_GAS_LEV!I56</f>
        <v>11779</v>
      </c>
      <c r="J56" s="176">
        <f t="shared" si="36"/>
        <v>11779</v>
      </c>
      <c r="K56" s="176">
        <f t="shared" si="37"/>
        <v>11779</v>
      </c>
      <c r="R56" s="164" t="s">
        <v>92</v>
      </c>
      <c r="S56" s="176">
        <f t="shared" si="26"/>
        <v>11779</v>
      </c>
      <c r="T56" s="176">
        <f t="shared" si="27"/>
        <v>11779</v>
      </c>
      <c r="U56" s="176">
        <f t="shared" si="28"/>
        <v>11779</v>
      </c>
      <c r="V56" s="176">
        <f t="shared" si="29"/>
        <v>11779</v>
      </c>
      <c r="W56" s="176">
        <f t="shared" si="30"/>
        <v>11779</v>
      </c>
      <c r="X56" s="176">
        <f t="shared" si="31"/>
        <v>11779</v>
      </c>
      <c r="Y56" s="176">
        <f t="shared" si="32"/>
        <v>11779</v>
      </c>
      <c r="Z56" s="176">
        <f t="shared" si="33"/>
        <v>11779</v>
      </c>
      <c r="AA56" s="176">
        <f t="shared" si="34"/>
        <v>11779</v>
      </c>
      <c r="AB56" s="176">
        <f t="shared" si="35"/>
        <v>11779</v>
      </c>
    </row>
    <row r="57" spans="1:28" ht="15.75" thickBot="1">
      <c r="A57" s="164" t="s">
        <v>448</v>
      </c>
      <c r="B57" s="165">
        <f>TAX!$B12</f>
        <v>6.9529177686967403</v>
      </c>
      <c r="C57" s="165">
        <f>TAX!$B13</f>
        <v>6.7155969699253779</v>
      </c>
      <c r="D57" s="165">
        <f>TAX!$C12</f>
        <v>6.9832080720026219</v>
      </c>
      <c r="E57" s="165">
        <f>TAX!$C13</f>
        <v>6.5893194706994329</v>
      </c>
      <c r="F57" s="165">
        <f>TAX!$D12</f>
        <v>6.9832080720026219</v>
      </c>
      <c r="G57" s="165">
        <f>TAX!$D13</f>
        <v>6.5893194706994329</v>
      </c>
      <c r="H57" s="165">
        <f>TAX!$E12</f>
        <v>6.9832080720026219</v>
      </c>
      <c r="I57" s="165">
        <f>TAX!$E13</f>
        <v>6.5893194706994329</v>
      </c>
      <c r="J57" s="165" t="e">
        <f>TAX!$F12</f>
        <v>#DIV/0!</v>
      </c>
      <c r="K57" s="165" t="e">
        <f>TAX!$F13</f>
        <v>#DIV/0!</v>
      </c>
      <c r="R57" s="164" t="s">
        <v>448</v>
      </c>
      <c r="S57" s="262">
        <f t="shared" si="26"/>
        <v>6.9529177686967403</v>
      </c>
      <c r="T57" s="262">
        <f t="shared" si="27"/>
        <v>6.7155969699253779</v>
      </c>
      <c r="U57" s="262">
        <f t="shared" si="28"/>
        <v>6.9832080720026219</v>
      </c>
      <c r="V57" s="262">
        <f t="shared" si="29"/>
        <v>6.5893194706994329</v>
      </c>
      <c r="W57" s="262">
        <f t="shared" si="30"/>
        <v>6.9832080720026219</v>
      </c>
      <c r="X57" s="262">
        <f t="shared" si="31"/>
        <v>6.5893194706994329</v>
      </c>
      <c r="Y57" s="262">
        <f t="shared" si="32"/>
        <v>6.9832080720026219</v>
      </c>
      <c r="Z57" s="262">
        <f t="shared" si="33"/>
        <v>6.5893194706994329</v>
      </c>
      <c r="AA57" s="262" t="e">
        <f t="shared" si="34"/>
        <v>#DIV/0!</v>
      </c>
      <c r="AB57" s="262" t="e">
        <f t="shared" si="35"/>
        <v>#DIV/0!</v>
      </c>
    </row>
    <row r="58" spans="1:28" ht="15.75" thickBot="1">
      <c r="A58" s="125" t="s">
        <v>11</v>
      </c>
      <c r="B58" s="147">
        <f>B59+B67+B77+B82+B86</f>
        <v>12786853007.848795</v>
      </c>
      <c r="C58" s="147">
        <f>C59+C67+C77+C82+C86</f>
        <v>1537385244.5713727</v>
      </c>
      <c r="D58" s="147">
        <f>D59+D67+D77+D82+D86</f>
        <v>11999364758.600163</v>
      </c>
      <c r="E58" s="147">
        <f>E59+E67+E77+E82+E86</f>
        <v>1500932226.8950081</v>
      </c>
      <c r="F58" s="147">
        <f t="shared" ref="F58:K58" si="38">F59+F67+F77+F82+F86</f>
        <v>10640189443.167727</v>
      </c>
      <c r="G58" s="147">
        <f t="shared" si="38"/>
        <v>1356368798.6669021</v>
      </c>
      <c r="H58" s="147">
        <f t="shared" si="38"/>
        <v>10580930758.315851</v>
      </c>
      <c r="I58" s="224">
        <f t="shared" si="38"/>
        <v>1390143729.6728826</v>
      </c>
      <c r="J58" s="147" t="e">
        <f t="shared" si="38"/>
        <v>#VALUE!</v>
      </c>
      <c r="K58" s="224" t="e">
        <f t="shared" si="38"/>
        <v>#DIV/0!</v>
      </c>
      <c r="R58" s="125" t="s">
        <v>11</v>
      </c>
      <c r="S58" s="264">
        <f>B58/COMB_CORR!$G3</f>
        <v>0.77566593920829818</v>
      </c>
      <c r="T58" s="264">
        <f>C58/COMB_CORR!$G3</f>
        <v>9.3259644802631048E-2</v>
      </c>
      <c r="U58" s="264">
        <f>D58/COMB_CORR!$H3</f>
        <v>0.74170878715540633</v>
      </c>
      <c r="V58" s="264">
        <f>E58/COMB_CORR!$H3</f>
        <v>9.2776129737607141E-2</v>
      </c>
      <c r="W58" s="264">
        <f>F58/COMB_CORR!$I3</f>
        <v>0.86972285786886772</v>
      </c>
      <c r="X58" s="264">
        <f>G58/COMB_CORR!$I3</f>
        <v>0.11086879178248343</v>
      </c>
      <c r="Y58" s="264">
        <f>H58/COMB_CORR!$J3</f>
        <v>0.93479377668662011</v>
      </c>
      <c r="Z58" s="264">
        <f>I58/COMB_CORR!$J3</f>
        <v>0.12281506578963537</v>
      </c>
      <c r="AA58" s="264" t="e">
        <f>J58/COMB_CORR!$K3</f>
        <v>#VALUE!</v>
      </c>
      <c r="AB58" s="264" t="e">
        <f>K58/COMB_CORR!$K3</f>
        <v>#DIV/0!</v>
      </c>
    </row>
    <row r="59" spans="1:28" ht="15.75" thickBot="1">
      <c r="A59" s="4" t="s">
        <v>46</v>
      </c>
      <c r="B59" s="147">
        <f>SUM(B60:B66)</f>
        <v>289317239.18396878</v>
      </c>
      <c r="C59" s="147">
        <f>SUM(C60:C66)</f>
        <v>48523002.427290082</v>
      </c>
      <c r="D59" s="147">
        <f>SUM(D60:D66)</f>
        <v>249755912.9567461</v>
      </c>
      <c r="E59" s="147">
        <f>SUM(E60:E66)</f>
        <v>42336899.844356082</v>
      </c>
      <c r="F59" s="147">
        <f t="shared" ref="F59:K59" si="39">SUM(F60:F66)</f>
        <v>204848396.99871963</v>
      </c>
      <c r="G59" s="147">
        <f t="shared" si="39"/>
        <v>34780315.467116065</v>
      </c>
      <c r="H59" s="147">
        <f t="shared" si="39"/>
        <v>177580587.41935697</v>
      </c>
      <c r="I59" s="224">
        <f t="shared" si="39"/>
        <v>30608054.954877883</v>
      </c>
      <c r="J59" s="147" t="e">
        <f t="shared" si="39"/>
        <v>#VALUE!</v>
      </c>
      <c r="K59" s="224" t="e">
        <f t="shared" si="39"/>
        <v>#DIV/0!</v>
      </c>
      <c r="R59" s="4" t="s">
        <v>46</v>
      </c>
      <c r="S59" s="264">
        <f>B59/COMB_CORR!$G4</f>
        <v>1.047937989982874</v>
      </c>
      <c r="T59" s="264">
        <f>C59/COMB_CORR!$G4</f>
        <v>0.17575550553091984</v>
      </c>
      <c r="U59" s="264">
        <f>D59/COMB_CORR!$H4</f>
        <v>1.0513277531027088</v>
      </c>
      <c r="V59" s="264">
        <f>E59/COMB_CORR!$H4</f>
        <v>0.17821382989402834</v>
      </c>
      <c r="W59" s="264">
        <f>F59/COMB_CORR!$I4</f>
        <v>1.1845107393657746</v>
      </c>
      <c r="X59" s="264">
        <f>G59/COMB_CORR!$I4</f>
        <v>0.20111290980512789</v>
      </c>
      <c r="Y59" s="264">
        <f>H59/COMB_CORR!$J4</f>
        <v>1.1947319101662297</v>
      </c>
      <c r="Z59" s="264">
        <f>I59/COMB_CORR!$J4</f>
        <v>0.2059257742872411</v>
      </c>
      <c r="AA59" s="264" t="e">
        <f>J59/COMB_CORR!$K4</f>
        <v>#VALUE!</v>
      </c>
      <c r="AB59" s="264" t="e">
        <f>K59/COMB_CORR!$K4</f>
        <v>#DIV/0!</v>
      </c>
    </row>
    <row r="60" spans="1:28" ht="15.75" thickBot="1">
      <c r="A60" s="127" t="s">
        <v>13</v>
      </c>
      <c r="B60" s="167">
        <f>B$49*D13/B$57</f>
        <v>13162222.78146836</v>
      </c>
      <c r="C60" s="167">
        <f>C$49*U13/C$57</f>
        <v>2036135.6650164321</v>
      </c>
      <c r="D60" s="167">
        <f>D$49*G13/D$57</f>
        <v>10858837.05318475</v>
      </c>
      <c r="E60" s="167">
        <f>E$49*X13/E$57</f>
        <v>1691150.1774730585</v>
      </c>
      <c r="F60" s="167">
        <f>F$49*J13/F$57</f>
        <v>11543440.718033826</v>
      </c>
      <c r="G60" s="167">
        <f>G$49*AA13/G$57</f>
        <v>1779821.3527926924</v>
      </c>
      <c r="H60" s="167">
        <f>H$49*M13/H$57</f>
        <v>8438596.6830916945</v>
      </c>
      <c r="I60" s="225">
        <f>I$49*AD13/I$57</f>
        <v>1305503.6278220266</v>
      </c>
      <c r="J60" s="167" t="e">
        <f>J$49*P13/J$57</f>
        <v>#VALUE!</v>
      </c>
      <c r="K60" s="225" t="e">
        <f>K$49*AG13/K$57</f>
        <v>#DIV/0!</v>
      </c>
      <c r="R60" s="127" t="s">
        <v>13</v>
      </c>
      <c r="S60" s="264">
        <f>B60/COMB_CORR!$G5</f>
        <v>1.1003175549428932</v>
      </c>
      <c r="T60" s="264">
        <f>C60/COMB_CORR!$G5</f>
        <v>0.1702140932926047</v>
      </c>
      <c r="U60" s="264">
        <f>D60/COMB_CORR!$H5</f>
        <v>1.0656684426090641</v>
      </c>
      <c r="V60" s="264">
        <f>E60/COMB_CORR!$H5</f>
        <v>0.16596670223697613</v>
      </c>
      <c r="W60" s="264">
        <f>F60/COMB_CORR!$I5</f>
        <v>1.1979651303053471</v>
      </c>
      <c r="X60" s="264">
        <f>G60/COMB_CORR!$I5</f>
        <v>0.18470783286369272</v>
      </c>
      <c r="Y60" s="264">
        <f>H60/COMB_CORR!$J5</f>
        <v>1.2781409892199063</v>
      </c>
      <c r="Z60" s="264">
        <f>I60/COMB_CORR!$J5</f>
        <v>0.19773639634158707</v>
      </c>
      <c r="AA60" s="264" t="e">
        <f>J60/COMB_CORR!$K5</f>
        <v>#VALUE!</v>
      </c>
      <c r="AB60" s="264" t="e">
        <f>K60/COMB_CORR!$K5</f>
        <v>#DIV/0!</v>
      </c>
    </row>
    <row r="61" spans="1:28" ht="15.75" thickBot="1">
      <c r="A61" s="127" t="s">
        <v>14</v>
      </c>
      <c r="B61" s="167">
        <f t="shared" ref="B61:B66" si="40">B$49*D14/B$57</f>
        <v>6705969.8164275754</v>
      </c>
      <c r="C61" s="167">
        <f t="shared" ref="C61:C66" si="41">C$49*U14/C$57</f>
        <v>1176586.2893786379</v>
      </c>
      <c r="D61" s="167">
        <f t="shared" ref="D61:D66" si="42">D$49*G14/D$57</f>
        <v>5866368.3840883225</v>
      </c>
      <c r="E61" s="167">
        <f t="shared" ref="E61:E66" si="43">E$49*X14/E$57</f>
        <v>1063896.1947533197</v>
      </c>
      <c r="F61" s="167">
        <f t="shared" ref="F61:F66" si="44">F$49*J14/F$57</f>
        <v>4975174.8440766102</v>
      </c>
      <c r="G61" s="167">
        <f t="shared" ref="G61:G66" si="45">G$49*AA14/G$57</f>
        <v>907081.30821160739</v>
      </c>
      <c r="H61" s="167">
        <f t="shared" ref="H61:H66" si="46">H$49*M14/H$57</f>
        <v>3253091.0409900844</v>
      </c>
      <c r="I61" s="225">
        <f t="shared" ref="I61:I66" si="47">I$49*AD14/I$57</f>
        <v>615666.0144591633</v>
      </c>
      <c r="J61" s="167" t="e">
        <f t="shared" ref="J61:J66" si="48">J$49*P14/J$57</f>
        <v>#DIV/0!</v>
      </c>
      <c r="K61" s="225" t="e">
        <f t="shared" ref="K61:K66" si="49">K$49*AG14/K$57</f>
        <v>#DIV/0!</v>
      </c>
      <c r="R61" s="127" t="s">
        <v>14</v>
      </c>
      <c r="S61" s="264">
        <f>B61/COMB_CORR!$G6</f>
        <v>0.80754142508285887</v>
      </c>
      <c r="T61" s="264">
        <f>C61/COMB_CORR!$G6</f>
        <v>0.14168601930331098</v>
      </c>
      <c r="U61" s="264">
        <f>D61/COMB_CORR!$H6</f>
        <v>0.81321660469521917</v>
      </c>
      <c r="V61" s="264">
        <f>E61/COMB_CORR!$H6</f>
        <v>0.1474810299319301</v>
      </c>
      <c r="W61" s="264">
        <f>F61/COMB_CORR!$I6</f>
        <v>0.89839558367312811</v>
      </c>
      <c r="X61" s="264">
        <f>G61/COMB_CORR!$I6</f>
        <v>0.16379682460808068</v>
      </c>
      <c r="Y61" s="264">
        <f>H61/COMB_CORR!$J6</f>
        <v>0.8550121111528336</v>
      </c>
      <c r="Z61" s="264">
        <f>I61/COMB_CORR!$J6</f>
        <v>0.16181591358954675</v>
      </c>
      <c r="AA61" s="264" t="e">
        <f>J61/COMB_CORR!$K6</f>
        <v>#DIV/0!</v>
      </c>
      <c r="AB61" s="264" t="e">
        <f>K61/COMB_CORR!$K6</f>
        <v>#DIV/0!</v>
      </c>
    </row>
    <row r="62" spans="1:28" ht="15.75" thickBot="1">
      <c r="A62" s="127" t="s">
        <v>15</v>
      </c>
      <c r="B62" s="167">
        <f t="shared" si="40"/>
        <v>62675543.889588632</v>
      </c>
      <c r="C62" s="167">
        <f t="shared" si="41"/>
        <v>11301336.04102429</v>
      </c>
      <c r="D62" s="167">
        <f t="shared" si="42"/>
        <v>47208295.640243001</v>
      </c>
      <c r="E62" s="167">
        <f t="shared" si="43"/>
        <v>8940824.7900259737</v>
      </c>
      <c r="F62" s="167">
        <f t="shared" si="44"/>
        <v>40955565.280806519</v>
      </c>
      <c r="G62" s="167">
        <f t="shared" si="45"/>
        <v>7919419.6428715521</v>
      </c>
      <c r="H62" s="167">
        <f t="shared" si="46"/>
        <v>43319727.11121165</v>
      </c>
      <c r="I62" s="225">
        <f t="shared" si="47"/>
        <v>8585833.0683346707</v>
      </c>
      <c r="J62" s="167" t="e">
        <f t="shared" si="48"/>
        <v>#DIV/0!</v>
      </c>
      <c r="K62" s="225" t="e">
        <f t="shared" si="49"/>
        <v>#DIV/0!</v>
      </c>
      <c r="R62" s="127" t="s">
        <v>15</v>
      </c>
      <c r="S62" s="264">
        <f>B62/COMB_CORR!$G7</f>
        <v>0.78670283379296646</v>
      </c>
      <c r="T62" s="264">
        <f>C62/COMB_CORR!$G7</f>
        <v>0.14185426304050455</v>
      </c>
      <c r="U62" s="264">
        <f>D62/COMB_CORR!$H7</f>
        <v>0.80158694300818356</v>
      </c>
      <c r="V62" s="264">
        <f>E62/COMB_CORR!$H7</f>
        <v>0.15181332675139581</v>
      </c>
      <c r="W62" s="264">
        <f>F62/COMB_CORR!$I7</f>
        <v>0.90053217941812669</v>
      </c>
      <c r="X62" s="264">
        <f>G62/COMB_CORR!$I7</f>
        <v>0.17413243308508425</v>
      </c>
      <c r="Y62" s="264">
        <f>H62/COMB_CORR!$J7</f>
        <v>0.94082853414318479</v>
      </c>
      <c r="Z62" s="264">
        <f>I62/COMB_CORR!$J7</f>
        <v>0.18646924343133184</v>
      </c>
      <c r="AA62" s="264" t="e">
        <f>J62/COMB_CORR!$K7</f>
        <v>#DIV/0!</v>
      </c>
      <c r="AB62" s="264" t="e">
        <f>K62/COMB_CORR!$K7</f>
        <v>#DIV/0!</v>
      </c>
    </row>
    <row r="63" spans="1:28" ht="15.75" thickBot="1">
      <c r="A63" s="127" t="s">
        <v>16</v>
      </c>
      <c r="B63" s="167">
        <f t="shared" si="40"/>
        <v>52692965.899333306</v>
      </c>
      <c r="C63" s="167">
        <f t="shared" si="41"/>
        <v>7340140.4622691954</v>
      </c>
      <c r="D63" s="167">
        <f t="shared" si="42"/>
        <v>57215941.99265638</v>
      </c>
      <c r="E63" s="167">
        <f t="shared" si="43"/>
        <v>8216143.9839622546</v>
      </c>
      <c r="F63" s="167">
        <f t="shared" si="44"/>
        <v>47013889.234953426</v>
      </c>
      <c r="G63" s="167">
        <f t="shared" si="45"/>
        <v>6846493.4312766753</v>
      </c>
      <c r="H63" s="167">
        <f t="shared" si="46"/>
        <v>43552761.404166989</v>
      </c>
      <c r="I63" s="225">
        <f t="shared" si="47"/>
        <v>6543512.3223938681</v>
      </c>
      <c r="J63" s="167" t="e">
        <f t="shared" si="48"/>
        <v>#DIV/0!</v>
      </c>
      <c r="K63" s="225" t="e">
        <f t="shared" si="49"/>
        <v>#DIV/0!</v>
      </c>
      <c r="R63" s="127" t="s">
        <v>16</v>
      </c>
      <c r="S63" s="264">
        <f>B63/COMB_CORR!$G8</f>
        <v>1.1397572677177288</v>
      </c>
      <c r="T63" s="264">
        <f>C63/COMB_CORR!$G8</f>
        <v>0.15876841045392995</v>
      </c>
      <c r="U63" s="264">
        <f>D63/COMB_CORR!$H8</f>
        <v>1.1351160006612462</v>
      </c>
      <c r="V63" s="264">
        <f>E63/COMB_CORR!$H8</f>
        <v>0.16300136247217972</v>
      </c>
      <c r="W63" s="264">
        <f>F63/COMB_CORR!$I8</f>
        <v>1.2478049605493045</v>
      </c>
      <c r="X63" s="264">
        <f>G63/COMB_CORR!$I8</f>
        <v>0.18171414033033736</v>
      </c>
      <c r="Y63" s="264">
        <f>H63/COMB_CORR!$J8</f>
        <v>1.2339577099411394</v>
      </c>
      <c r="Z63" s="264">
        <f>I63/COMB_CORR!$J8</f>
        <v>0.1853939272732367</v>
      </c>
      <c r="AA63" s="264" t="e">
        <f>J63/COMB_CORR!$K8</f>
        <v>#DIV/0!</v>
      </c>
      <c r="AB63" s="264" t="e">
        <f>K63/COMB_CORR!$K8</f>
        <v>#DIV/0!</v>
      </c>
    </row>
    <row r="64" spans="1:28" ht="15.75" thickBot="1">
      <c r="A64" s="127" t="s">
        <v>17</v>
      </c>
      <c r="B64" s="167">
        <f t="shared" si="40"/>
        <v>76222384.823884651</v>
      </c>
      <c r="C64" s="167">
        <f t="shared" si="41"/>
        <v>13550999.865628134</v>
      </c>
      <c r="D64" s="167">
        <f t="shared" si="42"/>
        <v>58001207.288258143</v>
      </c>
      <c r="E64" s="167">
        <f t="shared" si="43"/>
        <v>10264854.793459533</v>
      </c>
      <c r="F64" s="167">
        <f t="shared" si="44"/>
        <v>45823472.850241698</v>
      </c>
      <c r="G64" s="167">
        <f t="shared" si="45"/>
        <v>8050513.6102276575</v>
      </c>
      <c r="H64" s="167">
        <f t="shared" si="46"/>
        <v>36657912.525233813</v>
      </c>
      <c r="I64" s="225">
        <f t="shared" si="47"/>
        <v>6427859.5783542208</v>
      </c>
      <c r="J64" s="167" t="e">
        <f t="shared" si="48"/>
        <v>#DIV/0!</v>
      </c>
      <c r="K64" s="225" t="e">
        <f t="shared" si="49"/>
        <v>#DIV/0!</v>
      </c>
      <c r="R64" s="127" t="s">
        <v>17</v>
      </c>
      <c r="S64" s="264">
        <f>B64/COMB_CORR!$G9</f>
        <v>1.3317103043356115</v>
      </c>
      <c r="T64" s="264">
        <f>C64/COMB_CORR!$G9</f>
        <v>0.2367546777341539</v>
      </c>
      <c r="U64" s="264">
        <f>D64/COMB_CORR!$H9</f>
        <v>1.3483849209953256</v>
      </c>
      <c r="V64" s="264">
        <f>E64/COMB_CORR!$H9</f>
        <v>0.23863254002489379</v>
      </c>
      <c r="W64" s="264">
        <f>F64/COMB_CORR!$I9</f>
        <v>1.5399939338395878</v>
      </c>
      <c r="X64" s="264">
        <f>G64/COMB_CORR!$I9</f>
        <v>0.2705543982788341</v>
      </c>
      <c r="Y64" s="264">
        <f>H64/COMB_CORR!$J9</f>
        <v>1.6196112652518833</v>
      </c>
      <c r="Z64" s="264">
        <f>I64/COMB_CORR!$J9</f>
        <v>0.28399417935741594</v>
      </c>
      <c r="AA64" s="264" t="e">
        <f>J64/COMB_CORR!$K9</f>
        <v>#DIV/0!</v>
      </c>
      <c r="AB64" s="264" t="e">
        <f>K64/COMB_CORR!$K9</f>
        <v>#DIV/0!</v>
      </c>
    </row>
    <row r="65" spans="1:28" ht="15.75" thickBot="1">
      <c r="A65" s="127" t="s">
        <v>18</v>
      </c>
      <c r="B65" s="167">
        <f t="shared" si="40"/>
        <v>2377366.3893679339</v>
      </c>
      <c r="C65" s="167">
        <f t="shared" si="41"/>
        <v>510438.40625747398</v>
      </c>
      <c r="D65" s="167">
        <f t="shared" si="42"/>
        <v>2433192.8916523941</v>
      </c>
      <c r="E65" s="167">
        <f t="shared" si="43"/>
        <v>521800.78382190055</v>
      </c>
      <c r="F65" s="167">
        <f t="shared" si="44"/>
        <v>2732059.3678977797</v>
      </c>
      <c r="G65" s="167">
        <f t="shared" si="45"/>
        <v>583990.90453294606</v>
      </c>
      <c r="H65" s="167">
        <f t="shared" si="46"/>
        <v>2160978.4052117788</v>
      </c>
      <c r="I65" s="225">
        <f t="shared" si="47"/>
        <v>472366.77440000913</v>
      </c>
      <c r="J65" s="167" t="e">
        <f t="shared" si="48"/>
        <v>#DIV/0!</v>
      </c>
      <c r="K65" s="225" t="e">
        <f t="shared" si="49"/>
        <v>#DIV/0!</v>
      </c>
      <c r="R65" s="127" t="s">
        <v>18</v>
      </c>
      <c r="S65" s="264">
        <f>B65/COMB_CORR!$G10</f>
        <v>0.8168091410824122</v>
      </c>
      <c r="T65" s="264">
        <f>C65/COMB_CORR!$G10</f>
        <v>0.17537505285480684</v>
      </c>
      <c r="U65" s="264">
        <f>D65/COMB_CORR!$H10</f>
        <v>0.8225456810289834</v>
      </c>
      <c r="V65" s="264">
        <f>E65/COMB_CORR!$H10</f>
        <v>0.17639578948414861</v>
      </c>
      <c r="W65" s="264">
        <f>F65/COMB_CORR!$I10</f>
        <v>0.97875314861928964</v>
      </c>
      <c r="X65" s="264">
        <f>G65/COMB_CORR!$I10</f>
        <v>0.20921321962943293</v>
      </c>
      <c r="Y65" s="264">
        <f>H65/COMB_CORR!$J10</f>
        <v>0.97498644813212365</v>
      </c>
      <c r="Z65" s="264">
        <f>I65/COMB_CORR!$J10</f>
        <v>0.21312161309763689</v>
      </c>
      <c r="AA65" s="264" t="e">
        <f>J65/COMB_CORR!$K10</f>
        <v>#DIV/0!</v>
      </c>
      <c r="AB65" s="264" t="e">
        <f>K65/COMB_CORR!$K10</f>
        <v>#DIV/0!</v>
      </c>
    </row>
    <row r="66" spans="1:28" ht="15.75" thickBot="1">
      <c r="A66" s="128" t="s">
        <v>19</v>
      </c>
      <c r="B66" s="167">
        <f t="shared" si="40"/>
        <v>75480785.583898306</v>
      </c>
      <c r="C66" s="167">
        <f t="shared" si="41"/>
        <v>12607365.697715916</v>
      </c>
      <c r="D66" s="167">
        <f t="shared" si="42"/>
        <v>68172069.706663117</v>
      </c>
      <c r="E66" s="167">
        <f t="shared" si="43"/>
        <v>11638229.120860042</v>
      </c>
      <c r="F66" s="167">
        <f t="shared" si="44"/>
        <v>51804794.702709801</v>
      </c>
      <c r="G66" s="167">
        <f t="shared" si="45"/>
        <v>8692995.2172029335</v>
      </c>
      <c r="H66" s="167">
        <f t="shared" si="46"/>
        <v>40197520.249450989</v>
      </c>
      <c r="I66" s="225">
        <f t="shared" si="47"/>
        <v>6657313.5691139204</v>
      </c>
      <c r="J66" s="167" t="e">
        <f t="shared" si="48"/>
        <v>#DIV/0!</v>
      </c>
      <c r="K66" s="225" t="e">
        <f t="shared" si="49"/>
        <v>#DIV/0!</v>
      </c>
      <c r="R66" s="128" t="s">
        <v>19</v>
      </c>
      <c r="S66" s="264">
        <f>B66/COMB_CORR!$G11</f>
        <v>1.0818729473062523</v>
      </c>
      <c r="T66" s="264">
        <f>C66/COMB_CORR!$G11</f>
        <v>0.18070251627144271</v>
      </c>
      <c r="U66" s="264">
        <f>D66/COMB_CORR!$H11</f>
        <v>1.0506350951143886</v>
      </c>
      <c r="V66" s="264">
        <f>E66/COMB_CORR!$H11</f>
        <v>0.17936278027015398</v>
      </c>
      <c r="W66" s="264">
        <f>F66/COMB_CORR!$I11</f>
        <v>1.2316299858411022</v>
      </c>
      <c r="X66" s="264">
        <f>G66/COMB_CORR!$I11</f>
        <v>0.20667109362601874</v>
      </c>
      <c r="Y66" s="264">
        <f>H66/COMB_CORR!$J11</f>
        <v>1.2546132734922346</v>
      </c>
      <c r="Z66" s="264">
        <f>I66/COMB_CORR!$J11</f>
        <v>0.20778281639709759</v>
      </c>
      <c r="AA66" s="264" t="e">
        <f>J66/COMB_CORR!$K11</f>
        <v>#DIV/0!</v>
      </c>
      <c r="AB66" s="264" t="e">
        <f>K66/COMB_CORR!$K11</f>
        <v>#DIV/0!</v>
      </c>
    </row>
    <row r="67" spans="1:28" ht="15.75" thickBot="1">
      <c r="A67" s="4" t="s">
        <v>54</v>
      </c>
      <c r="B67" s="147">
        <f t="shared" ref="B67:K67" si="50">SUM(B68:B76)</f>
        <v>2280707755.3812714</v>
      </c>
      <c r="C67" s="147">
        <f t="shared" si="50"/>
        <v>299400906.33687294</v>
      </c>
      <c r="D67" s="147">
        <f t="shared" si="50"/>
        <v>1456641350.932642</v>
      </c>
      <c r="E67" s="147">
        <f t="shared" si="50"/>
        <v>203464500.04193467</v>
      </c>
      <c r="F67" s="147">
        <f t="shared" si="50"/>
        <v>1037718308.8043288</v>
      </c>
      <c r="G67" s="147">
        <f t="shared" si="50"/>
        <v>144966402.48408347</v>
      </c>
      <c r="H67" s="147">
        <f t="shared" si="50"/>
        <v>893581186.60872996</v>
      </c>
      <c r="I67" s="224">
        <f t="shared" si="50"/>
        <v>126660587.08106576</v>
      </c>
      <c r="J67" s="224" t="e">
        <f t="shared" si="50"/>
        <v>#DIV/0!</v>
      </c>
      <c r="K67" s="224" t="e">
        <f t="shared" si="50"/>
        <v>#DIV/0!</v>
      </c>
      <c r="R67" s="4" t="s">
        <v>54</v>
      </c>
      <c r="S67" s="264">
        <f>B67/COMB_CORR!$G12</f>
        <v>1.4020003750183676</v>
      </c>
      <c r="T67" s="264">
        <f>C67/COMB_CORR!$G12</f>
        <v>0.18404821133909929</v>
      </c>
      <c r="U67" s="264">
        <f>D67/COMB_CORR!$H12</f>
        <v>0.99796849307827296</v>
      </c>
      <c r="V67" s="264">
        <f>E67/COMB_CORR!$H12</f>
        <v>0.13939681196868842</v>
      </c>
      <c r="W67" s="264">
        <f>F67/COMB_CORR!$I12</f>
        <v>1.165114434515794</v>
      </c>
      <c r="X67" s="264">
        <f>G67/COMB_CORR!$I12</f>
        <v>0.16276329194638889</v>
      </c>
      <c r="Y67" s="264">
        <f>H67/COMB_CORR!$J12</f>
        <v>1.2044341137792098</v>
      </c>
      <c r="Z67" s="264">
        <f>I67/COMB_CORR!$J12</f>
        <v>0.17072240803401834</v>
      </c>
      <c r="AA67" s="264" t="e">
        <f>J67/COMB_CORR!$K12</f>
        <v>#DIV/0!</v>
      </c>
      <c r="AB67" s="264" t="e">
        <f>K67/COMB_CORR!$K12</f>
        <v>#DIV/0!</v>
      </c>
    </row>
    <row r="68" spans="1:28" ht="15.75" thickBot="1">
      <c r="A68" s="127" t="s">
        <v>21</v>
      </c>
      <c r="B68" s="167">
        <f>B$50*D21/B$57</f>
        <v>88282086.296584874</v>
      </c>
      <c r="C68" s="167">
        <f>C$50*U21/C$57</f>
        <v>12244214.06254917</v>
      </c>
      <c r="D68" s="167">
        <f>D$50*G21/D$57</f>
        <v>88274220.524427265</v>
      </c>
      <c r="E68" s="167">
        <f>E$50*X21/E$57</f>
        <v>11946413.831361962</v>
      </c>
      <c r="F68" s="167">
        <f>F$50*J21/F$57</f>
        <v>72087004.81839633</v>
      </c>
      <c r="G68" s="167">
        <f>G$50*AA21/G$57</f>
        <v>9793907.3539397474</v>
      </c>
      <c r="H68" s="167">
        <f>H$50*M21/H$57</f>
        <v>56936718.776557125</v>
      </c>
      <c r="I68" s="225">
        <f>I$50*AD21/I$57</f>
        <v>7825788.2647273112</v>
      </c>
      <c r="J68" s="167" t="e">
        <f>J$50*P21/J$57</f>
        <v>#DIV/0!</v>
      </c>
      <c r="K68" s="225" t="e">
        <f>K$50*AG21/K$57</f>
        <v>#DIV/0!</v>
      </c>
      <c r="R68" s="127" t="s">
        <v>21</v>
      </c>
      <c r="S68" s="264">
        <f>B68/COMB_CORR!$G13</f>
        <v>0.8439682955733111</v>
      </c>
      <c r="T68" s="264">
        <f>C68/COMB_CORR!$G13</f>
        <v>0.11705351455206991</v>
      </c>
      <c r="U68" s="264">
        <f>D68/COMB_CORR!$H13</f>
        <v>1.0808339520677912</v>
      </c>
      <c r="V68" s="264">
        <f>E68/COMB_CORR!$H13</f>
        <v>0.14627248587049529</v>
      </c>
      <c r="W68" s="264">
        <f>F68/COMB_CORR!$I13</f>
        <v>1.206310976215796</v>
      </c>
      <c r="X68" s="264">
        <f>G68/COMB_CORR!$I13</f>
        <v>0.1638922018033839</v>
      </c>
      <c r="Y68" s="264">
        <f>H68/COMB_CORR!$J13</f>
        <v>1.2526877225009698</v>
      </c>
      <c r="Z68" s="264">
        <f>I68/COMB_CORR!$J13</f>
        <v>0.17217832514353509</v>
      </c>
      <c r="AA68" s="264" t="e">
        <f>J68/COMB_CORR!$K13</f>
        <v>#DIV/0!</v>
      </c>
      <c r="AB68" s="264" t="e">
        <f>K68/COMB_CORR!$K13</f>
        <v>#DIV/0!</v>
      </c>
    </row>
    <row r="69" spans="1:28" ht="15.75" thickBot="1">
      <c r="A69" s="127" t="s">
        <v>22</v>
      </c>
      <c r="B69" s="167">
        <f t="shared" ref="B69:B76" si="51">B$50*D22/B$57</f>
        <v>967112554.80420399</v>
      </c>
      <c r="C69" s="167">
        <f t="shared" ref="C69:C76" si="52">C$50*U22/C$57</f>
        <v>134030665.67665085</v>
      </c>
      <c r="D69" s="167">
        <f t="shared" ref="D69:D76" si="53">D$50*G22/D$57</f>
        <v>473311856.52907687</v>
      </c>
      <c r="E69" s="167">
        <f t="shared" ref="E69:E76" si="54">E$50*X22/E$57</f>
        <v>73086409.930876791</v>
      </c>
      <c r="F69" s="167">
        <f t="shared" ref="F69:F76" si="55">F$50*J22/F$57</f>
        <v>290226518.70371574</v>
      </c>
      <c r="G69" s="167">
        <f t="shared" ref="G69:G76" si="56">G$50*AA22/G$57</f>
        <v>45565709.491000973</v>
      </c>
      <c r="H69" s="167">
        <f t="shared" ref="H69:H76" si="57">H$50*M22/H$57</f>
        <v>239287089.78280073</v>
      </c>
      <c r="I69" s="225">
        <f t="shared" ref="I69:I76" si="58">I$50*AD22/I$57</f>
        <v>38300434.21587114</v>
      </c>
      <c r="J69" s="167" t="e">
        <f t="shared" ref="J69:J76" si="59">J$50*P22/J$57</f>
        <v>#DIV/0!</v>
      </c>
      <c r="K69" s="225" t="e">
        <f t="shared" ref="K69:K76" si="60">K$50*AG22/K$57</f>
        <v>#DIV/0!</v>
      </c>
      <c r="R69" s="127" t="s">
        <v>22</v>
      </c>
      <c r="S69" s="264">
        <f>B69/COMB_CORR!$G14</f>
        <v>1.7855549675237254</v>
      </c>
      <c r="T69" s="264">
        <f>C69/COMB_CORR!$G14</f>
        <v>0.24745736130776091</v>
      </c>
      <c r="U69" s="264">
        <f>D69/COMB_CORR!$H14</f>
        <v>0.88494474066282658</v>
      </c>
      <c r="V69" s="264">
        <f>E69/COMB_CORR!$H14</f>
        <v>0.13664866660335495</v>
      </c>
      <c r="W69" s="264">
        <f>F69/COMB_CORR!$I14</f>
        <v>1.0170438067423473</v>
      </c>
      <c r="X69" s="264">
        <f>G69/COMB_CORR!$I14</f>
        <v>0.15967638947891294</v>
      </c>
      <c r="Y69" s="264">
        <f>H69/COMB_CORR!$J14</f>
        <v>1.0537592502585746</v>
      </c>
      <c r="Z69" s="264">
        <f>I69/COMB_CORR!$J14</f>
        <v>0.16866533368151293</v>
      </c>
      <c r="AA69" s="264" t="e">
        <f>J69/COMB_CORR!$K14</f>
        <v>#DIV/0!</v>
      </c>
      <c r="AB69" s="264" t="e">
        <f>K69/COMB_CORR!$K14</f>
        <v>#DIV/0!</v>
      </c>
    </row>
    <row r="70" spans="1:28" ht="15.75" thickBot="1">
      <c r="A70" s="127" t="s">
        <v>23</v>
      </c>
      <c r="B70" s="167">
        <f t="shared" si="51"/>
        <v>220530249.33560637</v>
      </c>
      <c r="C70" s="167">
        <f t="shared" si="52"/>
        <v>28155411.09525368</v>
      </c>
      <c r="D70" s="167">
        <f t="shared" si="53"/>
        <v>216628481.84866127</v>
      </c>
      <c r="E70" s="167">
        <f t="shared" si="54"/>
        <v>28466924.859735616</v>
      </c>
      <c r="F70" s="167">
        <f t="shared" si="55"/>
        <v>185983138.43757024</v>
      </c>
      <c r="G70" s="167">
        <f t="shared" si="56"/>
        <v>24642152.080005649</v>
      </c>
      <c r="H70" s="167">
        <f t="shared" si="57"/>
        <v>156158884.04832003</v>
      </c>
      <c r="I70" s="225">
        <f t="shared" si="58"/>
        <v>20868164.995001733</v>
      </c>
      <c r="J70" s="167" t="e">
        <f t="shared" si="59"/>
        <v>#DIV/0!</v>
      </c>
      <c r="K70" s="225" t="e">
        <f t="shared" si="60"/>
        <v>#DIV/0!</v>
      </c>
      <c r="R70" s="127" t="s">
        <v>23</v>
      </c>
      <c r="S70" s="264">
        <f>B70/COMB_CORR!$G15</f>
        <v>1.2620429689211443</v>
      </c>
      <c r="T70" s="264">
        <f>C70/COMB_CORR!$G15</f>
        <v>0.16112682372101295</v>
      </c>
      <c r="U70" s="264">
        <f>D70/COMB_CORR!$H15</f>
        <v>1.2815362752568078</v>
      </c>
      <c r="V70" s="264">
        <f>E70/COMB_CORR!$H15</f>
        <v>0.16840535714157503</v>
      </c>
      <c r="W70" s="264">
        <f>F70/COMB_CORR!$I15</f>
        <v>1.4584861777437286</v>
      </c>
      <c r="X70" s="264">
        <f>G70/COMB_CORR!$I15</f>
        <v>0.19324460540067359</v>
      </c>
      <c r="Y70" s="264">
        <f>H70/COMB_CORR!$J15</f>
        <v>1.4546973733809709</v>
      </c>
      <c r="Z70" s="264">
        <f>I70/COMB_CORR!$J15</f>
        <v>0.19439729600088881</v>
      </c>
      <c r="AA70" s="264" t="e">
        <f>J70/COMB_CORR!$K15</f>
        <v>#DIV/0!</v>
      </c>
      <c r="AB70" s="264" t="e">
        <f>K70/COMB_CORR!$K15</f>
        <v>#DIV/0!</v>
      </c>
    </row>
    <row r="71" spans="1:28" ht="15.75" thickBot="1">
      <c r="A71" s="127" t="s">
        <v>24</v>
      </c>
      <c r="B71" s="167">
        <f t="shared" si="51"/>
        <v>72853111.956606954</v>
      </c>
      <c r="C71" s="167">
        <f t="shared" si="52"/>
        <v>12819430.331274288</v>
      </c>
      <c r="D71" s="167">
        <f t="shared" si="53"/>
        <v>51868547.030097313</v>
      </c>
      <c r="E71" s="167">
        <f t="shared" si="54"/>
        <v>9530262.7356979921</v>
      </c>
      <c r="F71" s="167">
        <f t="shared" si="55"/>
        <v>24716543.673206545</v>
      </c>
      <c r="G71" s="167">
        <f t="shared" si="56"/>
        <v>4689965.9800785715</v>
      </c>
      <c r="H71" s="167">
        <f t="shared" si="57"/>
        <v>16927864.263103239</v>
      </c>
      <c r="I71" s="225">
        <f t="shared" si="58"/>
        <v>3332343.0292293355</v>
      </c>
      <c r="J71" s="167" t="e">
        <f t="shared" si="59"/>
        <v>#DIV/0!</v>
      </c>
      <c r="K71" s="225" t="e">
        <f t="shared" si="60"/>
        <v>#DIV/0!</v>
      </c>
      <c r="R71" s="127" t="s">
        <v>24</v>
      </c>
      <c r="S71" s="264">
        <f>B71/COMB_CORR!$G16</f>
        <v>0.5102834997562905</v>
      </c>
      <c r="T71" s="264">
        <f>C71/COMB_CORR!$G16</f>
        <v>8.9790862718683667E-2</v>
      </c>
      <c r="U71" s="264">
        <f>D71/COMB_CORR!$H16</f>
        <v>0.54636331550935124</v>
      </c>
      <c r="V71" s="264">
        <f>E71/COMB_CORR!$H16</f>
        <v>0.10038812043317431</v>
      </c>
      <c r="W71" s="264">
        <f>F71/COMB_CORR!$I16</f>
        <v>0.62557296308457666</v>
      </c>
      <c r="X71" s="264">
        <f>G71/COMB_CORR!$I16</f>
        <v>0.11870251576089351</v>
      </c>
      <c r="Y71" s="264">
        <f>H71/COMB_CORR!$J16</f>
        <v>0.61797028157903633</v>
      </c>
      <c r="Z71" s="264">
        <f>I71/COMB_CORR!$J16</f>
        <v>0.12165084313555807</v>
      </c>
      <c r="AA71" s="264" t="e">
        <f>J71/COMB_CORR!$K16</f>
        <v>#DIV/0!</v>
      </c>
      <c r="AB71" s="264" t="e">
        <f>K71/COMB_CORR!$K16</f>
        <v>#DIV/0!</v>
      </c>
    </row>
    <row r="72" spans="1:28" ht="15.75" thickBot="1">
      <c r="A72" s="127" t="s">
        <v>25</v>
      </c>
      <c r="B72" s="167">
        <f t="shared" si="51"/>
        <v>117931976.6253494</v>
      </c>
      <c r="C72" s="167">
        <f t="shared" si="52"/>
        <v>14418276.892681215</v>
      </c>
      <c r="D72" s="167">
        <f t="shared" si="53"/>
        <v>90291241.224420622</v>
      </c>
      <c r="E72" s="167">
        <f t="shared" si="54"/>
        <v>11438383.399522398</v>
      </c>
      <c r="F72" s="167">
        <f t="shared" si="55"/>
        <v>73406411.003957167</v>
      </c>
      <c r="G72" s="167">
        <f t="shared" si="56"/>
        <v>9300008.2058796193</v>
      </c>
      <c r="H72" s="167">
        <f t="shared" si="57"/>
        <v>60758232.071785182</v>
      </c>
      <c r="I72" s="225">
        <f t="shared" si="58"/>
        <v>7841154.4895949392</v>
      </c>
      <c r="J72" s="167" t="e">
        <f t="shared" si="59"/>
        <v>#DIV/0!</v>
      </c>
      <c r="K72" s="225" t="e">
        <f t="shared" si="60"/>
        <v>#DIV/0!</v>
      </c>
      <c r="R72" s="127" t="s">
        <v>25</v>
      </c>
      <c r="S72" s="264">
        <f>B72/COMB_CORR!$G17</f>
        <v>1.0429720233602433</v>
      </c>
      <c r="T72" s="264">
        <f>C72/COMB_CORR!$G17</f>
        <v>0.12751299396855517</v>
      </c>
      <c r="U72" s="264">
        <f>D72/COMB_CORR!$H17</f>
        <v>0.9719446986193665</v>
      </c>
      <c r="V72" s="264">
        <f>E72/COMB_CORR!$H17</f>
        <v>0.12312906495890183</v>
      </c>
      <c r="W72" s="264">
        <f>F72/COMB_CORR!$I17</f>
        <v>1.1271772404650351</v>
      </c>
      <c r="X72" s="264">
        <f>G72/COMB_CORR!$I17</f>
        <v>0.14280438782438865</v>
      </c>
      <c r="Y72" s="264">
        <f>H72/COMB_CORR!$J17</f>
        <v>1.1824058780817444</v>
      </c>
      <c r="Z72" s="264">
        <f>I72/COMB_CORR!$J17</f>
        <v>0.15259540712919409</v>
      </c>
      <c r="AA72" s="264" t="e">
        <f>J72/COMB_CORR!$K17</f>
        <v>#DIV/0!</v>
      </c>
      <c r="AB72" s="264" t="e">
        <f>K72/COMB_CORR!$K17</f>
        <v>#DIV/0!</v>
      </c>
    </row>
    <row r="73" spans="1:28" ht="15.75" thickBot="1">
      <c r="A73" s="127" t="s">
        <v>26</v>
      </c>
      <c r="B73" s="167">
        <f t="shared" si="51"/>
        <v>611713735.34466887</v>
      </c>
      <c r="C73" s="167">
        <f t="shared" si="52"/>
        <v>72753227.590840876</v>
      </c>
      <c r="D73" s="167">
        <f t="shared" si="53"/>
        <v>383125191.5441336</v>
      </c>
      <c r="E73" s="167">
        <f t="shared" si="54"/>
        <v>49437342.425454721</v>
      </c>
      <c r="F73" s="167">
        <f t="shared" si="55"/>
        <v>268031378.68164322</v>
      </c>
      <c r="G73" s="167">
        <f t="shared" si="56"/>
        <v>35063087.740030579</v>
      </c>
      <c r="H73" s="167">
        <f t="shared" si="57"/>
        <v>250061232.51057681</v>
      </c>
      <c r="I73" s="225">
        <f t="shared" si="58"/>
        <v>33555450.158553466</v>
      </c>
      <c r="J73" s="167" t="e">
        <f t="shared" si="59"/>
        <v>#DIV/0!</v>
      </c>
      <c r="K73" s="225" t="e">
        <f t="shared" si="60"/>
        <v>#DIV/0!</v>
      </c>
      <c r="R73" s="127" t="s">
        <v>26</v>
      </c>
      <c r="S73" s="264">
        <f>B73/COMB_CORR!$G18</f>
        <v>1.6722675420283348</v>
      </c>
      <c r="T73" s="264">
        <f>C73/COMB_CORR!$G18</f>
        <v>0.19888855529688707</v>
      </c>
      <c r="U73" s="264">
        <f>D73/COMB_CORR!$H18</f>
        <v>1.1318296503879424</v>
      </c>
      <c r="V73" s="264">
        <f>E73/COMB_CORR!$H18</f>
        <v>0.14604795306723073</v>
      </c>
      <c r="W73" s="264">
        <f>F73/COMB_CORR!$I18</f>
        <v>1.2920332688616114</v>
      </c>
      <c r="X73" s="264">
        <f>G73/COMB_CORR!$I18</f>
        <v>0.16902004568256868</v>
      </c>
      <c r="Y73" s="264">
        <f>H73/COMB_CORR!$J18</f>
        <v>1.3322478232311781</v>
      </c>
      <c r="Z73" s="264">
        <f>I73/COMB_CORR!$J18</f>
        <v>0.17877291486749869</v>
      </c>
      <c r="AA73" s="264" t="e">
        <f>J73/COMB_CORR!$K18</f>
        <v>#DIV/0!</v>
      </c>
      <c r="AB73" s="264" t="e">
        <f>K73/COMB_CORR!$K18</f>
        <v>#DIV/0!</v>
      </c>
    </row>
    <row r="74" spans="1:28" ht="15.75" thickBot="1">
      <c r="A74" s="127" t="s">
        <v>27</v>
      </c>
      <c r="B74" s="167">
        <f t="shared" si="51"/>
        <v>31152736.651342705</v>
      </c>
      <c r="C74" s="167">
        <f t="shared" si="52"/>
        <v>4492808.2344257291</v>
      </c>
      <c r="D74" s="167">
        <f t="shared" si="53"/>
        <v>22190282.721345808</v>
      </c>
      <c r="E74" s="167">
        <f t="shared" si="54"/>
        <v>3191940.5857614684</v>
      </c>
      <c r="F74" s="167">
        <f t="shared" si="55"/>
        <v>20113614.353961866</v>
      </c>
      <c r="G74" s="167">
        <f t="shared" si="56"/>
        <v>2836057.3834245717</v>
      </c>
      <c r="H74" s="167">
        <f t="shared" si="57"/>
        <v>22661603.255954094</v>
      </c>
      <c r="I74" s="225">
        <f t="shared" si="58"/>
        <v>3220439.1662335014</v>
      </c>
      <c r="J74" s="167" t="e">
        <f t="shared" si="59"/>
        <v>#DIV/0!</v>
      </c>
      <c r="K74" s="225" t="e">
        <f t="shared" si="60"/>
        <v>#DIV/0!</v>
      </c>
      <c r="R74" s="127" t="s">
        <v>27</v>
      </c>
      <c r="S74" s="264">
        <f>B74/COMB_CORR!$G19</f>
        <v>0.94013822100662492</v>
      </c>
      <c r="T74" s="264">
        <f>C74/COMB_CORR!$G19</f>
        <v>0.13558554383551627</v>
      </c>
      <c r="U74" s="264">
        <f>D74/COMB_CORR!$H19</f>
        <v>1.0739977232598947</v>
      </c>
      <c r="V74" s="264">
        <f>E74/COMB_CORR!$H19</f>
        <v>0.15448820391057913</v>
      </c>
      <c r="W74" s="264">
        <f>F74/COMB_CORR!$I19</f>
        <v>1.2928555705346674</v>
      </c>
      <c r="X74" s="264">
        <f>G74/COMB_CORR!$I19</f>
        <v>0.18229506253778807</v>
      </c>
      <c r="Y74" s="264">
        <f>H74/COMB_CORR!$J19</f>
        <v>1.2340441763150671</v>
      </c>
      <c r="Z74" s="264">
        <f>I74/COMB_CORR!$J19</f>
        <v>0.17536994860340402</v>
      </c>
      <c r="AA74" s="264" t="e">
        <f>J74/COMB_CORR!$K19</f>
        <v>#DIV/0!</v>
      </c>
      <c r="AB74" s="264" t="e">
        <f>K74/COMB_CORR!$K19</f>
        <v>#DIV/0!</v>
      </c>
    </row>
    <row r="75" spans="1:28" ht="26.25" thickBot="1">
      <c r="A75" s="127" t="s">
        <v>28</v>
      </c>
      <c r="B75" s="167">
        <f t="shared" si="51"/>
        <v>120585492.21188347</v>
      </c>
      <c r="C75" s="167">
        <f t="shared" si="52"/>
        <v>15183163.21881487</v>
      </c>
      <c r="D75" s="167">
        <f t="shared" si="53"/>
        <v>86471952.052779511</v>
      </c>
      <c r="E75" s="167">
        <f t="shared" si="54"/>
        <v>11589628.438030591</v>
      </c>
      <c r="F75" s="167">
        <f t="shared" si="55"/>
        <v>69107181.638621017</v>
      </c>
      <c r="G75" s="167">
        <f t="shared" si="56"/>
        <v>9319539.104803564</v>
      </c>
      <c r="H75" s="167">
        <f t="shared" si="57"/>
        <v>60573497.850417845</v>
      </c>
      <c r="I75" s="225">
        <f t="shared" si="58"/>
        <v>8262125.9012981309</v>
      </c>
      <c r="J75" s="167" t="e">
        <f t="shared" si="59"/>
        <v>#DIV/0!</v>
      </c>
      <c r="K75" s="225" t="e">
        <f t="shared" si="60"/>
        <v>#DIV/0!</v>
      </c>
      <c r="R75" s="127" t="s">
        <v>28</v>
      </c>
      <c r="S75" s="264">
        <f>B75/COMB_CORR!$G20</f>
        <v>1.2247450638387791</v>
      </c>
      <c r="T75" s="264">
        <f>C75/COMB_CORR!$G20</f>
        <v>0.1542101281390256</v>
      </c>
      <c r="U75" s="264">
        <f>D75/COMB_CORR!$H20</f>
        <v>1.0178963417657498</v>
      </c>
      <c r="V75" s="264">
        <f>E75/COMB_CORR!$H20</f>
        <v>0.13642620652642526</v>
      </c>
      <c r="W75" s="264">
        <f>F75/COMB_CORR!$I20</f>
        <v>1.1139141750349666</v>
      </c>
      <c r="X75" s="264">
        <f>G75/COMB_CORR!$I20</f>
        <v>0.15021834876611129</v>
      </c>
      <c r="Y75" s="264">
        <f>H75/COMB_CORR!$J20</f>
        <v>1.1446682863963384</v>
      </c>
      <c r="Z75" s="264">
        <f>I75/COMB_CORR!$J20</f>
        <v>0.15613087956030092</v>
      </c>
      <c r="AA75" s="264" t="e">
        <f>J75/COMB_CORR!$K20</f>
        <v>#DIV/0!</v>
      </c>
      <c r="AB75" s="264" t="e">
        <f>K75/COMB_CORR!$K20</f>
        <v>#DIV/0!</v>
      </c>
    </row>
    <row r="76" spans="1:28" ht="15.75" thickBot="1">
      <c r="A76" s="128" t="s">
        <v>29</v>
      </c>
      <c r="B76" s="167">
        <f t="shared" si="51"/>
        <v>50545812.155024923</v>
      </c>
      <c r="C76" s="167">
        <f t="shared" si="52"/>
        <v>5303709.2343822466</v>
      </c>
      <c r="D76" s="167">
        <f t="shared" si="53"/>
        <v>44479577.457699612</v>
      </c>
      <c r="E76" s="167">
        <f t="shared" si="54"/>
        <v>4777193.8354931027</v>
      </c>
      <c r="F76" s="167">
        <f t="shared" si="55"/>
        <v>34046517.493256658</v>
      </c>
      <c r="G76" s="167">
        <f t="shared" si="56"/>
        <v>3755975.1449202006</v>
      </c>
      <c r="H76" s="167">
        <f t="shared" si="57"/>
        <v>30216064.049214691</v>
      </c>
      <c r="I76" s="225">
        <f t="shared" si="58"/>
        <v>3454686.8605562034</v>
      </c>
      <c r="J76" s="167" t="e">
        <f t="shared" si="59"/>
        <v>#DIV/0!</v>
      </c>
      <c r="K76" s="225" t="e">
        <f t="shared" si="60"/>
        <v>#DIV/0!</v>
      </c>
      <c r="R76" s="128" t="s">
        <v>29</v>
      </c>
      <c r="S76" s="264">
        <f>B76/COMB_CORR!$G21</f>
        <v>0.96202239180984472</v>
      </c>
      <c r="T76" s="264">
        <f>C76/COMB_CORR!$G21</f>
        <v>0.1009438136531581</v>
      </c>
      <c r="U76" s="264">
        <f>D76/COMB_CORR!$H21</f>
        <v>1.056481698842779</v>
      </c>
      <c r="V76" s="264">
        <f>E76/COMB_CORR!$H21</f>
        <v>0.11346820602832285</v>
      </c>
      <c r="W76" s="264">
        <f>F76/COMB_CORR!$I21</f>
        <v>1.2014552544679438</v>
      </c>
      <c r="X76" s="264">
        <f>G76/COMB_CORR!$I21</f>
        <v>0.1325432498172289</v>
      </c>
      <c r="Y76" s="264">
        <f>H76/COMB_CORR!$J21</f>
        <v>1.244888122707281</v>
      </c>
      <c r="Z76" s="264">
        <f>I76/COMB_CORR!$J21</f>
        <v>0.14233153045262678</v>
      </c>
      <c r="AA76" s="264" t="e">
        <f>J76/COMB_CORR!$K21</f>
        <v>#DIV/0!</v>
      </c>
      <c r="AB76" s="264" t="e">
        <f>K76/COMB_CORR!$K21</f>
        <v>#DIV/0!</v>
      </c>
    </row>
    <row r="77" spans="1:28" ht="15.75" thickBot="1">
      <c r="A77" s="125" t="s">
        <v>64</v>
      </c>
      <c r="B77" s="147">
        <f t="shared" ref="B77:K77" si="61">SUM(B78:B81)</f>
        <v>7335273455.2872543</v>
      </c>
      <c r="C77" s="147">
        <f t="shared" si="61"/>
        <v>828562925.4721446</v>
      </c>
      <c r="D77" s="147">
        <f t="shared" si="61"/>
        <v>7408642258.3685932</v>
      </c>
      <c r="E77" s="147">
        <f t="shared" si="61"/>
        <v>874652501.24081945</v>
      </c>
      <c r="F77" s="147">
        <f t="shared" si="61"/>
        <v>6975225847.6215696</v>
      </c>
      <c r="G77" s="147">
        <f t="shared" si="61"/>
        <v>847837832.44570935</v>
      </c>
      <c r="H77" s="147">
        <f t="shared" si="61"/>
        <v>6999505685.6733818</v>
      </c>
      <c r="I77" s="147">
        <f t="shared" si="61"/>
        <v>885239913.928725</v>
      </c>
      <c r="J77" s="147" t="e">
        <f t="shared" si="61"/>
        <v>#DIV/0!</v>
      </c>
      <c r="K77" s="147" t="e">
        <f t="shared" si="61"/>
        <v>#DIV/0!</v>
      </c>
      <c r="R77" s="4" t="s">
        <v>64</v>
      </c>
      <c r="S77" s="264">
        <f>B77/COMB_CORR!$G22</f>
        <v>0.674859168885932</v>
      </c>
      <c r="T77" s="264">
        <f>C77/COMB_CORR!$G22</f>
        <v>7.6229371769471505E-2</v>
      </c>
      <c r="U77" s="264">
        <f>D77/COMB_CORR!$H22</f>
        <v>0.68725328967640675</v>
      </c>
      <c r="V77" s="264">
        <f>E77/COMB_CORR!$H22</f>
        <v>8.1136028416334466E-2</v>
      </c>
      <c r="W77" s="264">
        <f>F77/COMB_CORR!$I22</f>
        <v>0.81267868619040906</v>
      </c>
      <c r="X77" s="264">
        <f>G77/COMB_CORR!$I22</f>
        <v>9.8780993021100091E-2</v>
      </c>
      <c r="Y77" s="264">
        <f>H77/COMB_CORR!$J22</f>
        <v>0.89037142852405582</v>
      </c>
      <c r="Z77" s="264">
        <f>I77/COMB_CORR!$J22</f>
        <v>0.11260685570475448</v>
      </c>
      <c r="AA77" s="264" t="e">
        <f>J77/COMB_CORR!$K22</f>
        <v>#DIV/0!</v>
      </c>
      <c r="AB77" s="264" t="e">
        <f>K77/COMB_CORR!$K22</f>
        <v>#DIV/0!</v>
      </c>
    </row>
    <row r="78" spans="1:28" ht="15.75" thickBot="1">
      <c r="A78" s="260" t="s">
        <v>31</v>
      </c>
      <c r="B78" s="167">
        <f>B51*D31/B$57</f>
        <v>153357873.19705632</v>
      </c>
      <c r="C78" s="167">
        <f>C51*U31/C$57</f>
        <v>20430050.248085015</v>
      </c>
      <c r="D78" s="167">
        <f>D51*G31/D$57</f>
        <v>82227362.823609561</v>
      </c>
      <c r="E78" s="167">
        <f>E51*X31/E$57</f>
        <v>11427714.010255191</v>
      </c>
      <c r="F78" s="167">
        <f>F51*J31/F$57</f>
        <v>61087978.641500391</v>
      </c>
      <c r="G78" s="167">
        <f>G51*AA31/G$57</f>
        <v>8643404.906735003</v>
      </c>
      <c r="H78" s="167">
        <f>H51*M31/H$57</f>
        <v>52971767.857351214</v>
      </c>
      <c r="I78" s="225">
        <f>I51*AD31/I$57</f>
        <v>7672869.5835404163</v>
      </c>
      <c r="J78" s="167" t="e">
        <f>J51*P31/J$57</f>
        <v>#DIV/0!</v>
      </c>
      <c r="K78" s="225" t="e">
        <f>K51*AG31/K$57</f>
        <v>#DIV/0!</v>
      </c>
      <c r="R78" s="127" t="s">
        <v>31</v>
      </c>
      <c r="S78" s="264">
        <f>B78/COMB_CORR!$G23</f>
        <v>0.886567395981956</v>
      </c>
      <c r="T78" s="264">
        <f>C78/COMB_CORR!$G23</f>
        <v>0.11810685731766468</v>
      </c>
      <c r="U78" s="264">
        <f>D78/COMB_CORR!$H23</f>
        <v>0.89340490547165652</v>
      </c>
      <c r="V78" s="264">
        <f>E78/COMB_CORR!$H23</f>
        <v>0.12416275318217716</v>
      </c>
      <c r="W78" s="264">
        <f>F78/COMB_CORR!$I23</f>
        <v>0.97650171093294724</v>
      </c>
      <c r="X78" s="264">
        <f>G78/COMB_CORR!$I23</f>
        <v>0.13816629502910097</v>
      </c>
      <c r="Y78" s="264">
        <f>H78/COMB_CORR!$J23</f>
        <v>0.97312365172598903</v>
      </c>
      <c r="Z78" s="264">
        <f>I78/COMB_CORR!$J23</f>
        <v>0.14095528939980292</v>
      </c>
      <c r="AA78" s="264" t="e">
        <f>J78/COMB_CORR!$K23</f>
        <v>#DIV/0!</v>
      </c>
      <c r="AB78" s="264" t="e">
        <f>K78/COMB_CORR!$K23</f>
        <v>#DIV/0!</v>
      </c>
    </row>
    <row r="79" spans="1:28" ht="15.75" thickBot="1">
      <c r="A79" s="127" t="s">
        <v>32</v>
      </c>
      <c r="B79" s="167">
        <f>B52*D32/B$57</f>
        <v>930061774.49624157</v>
      </c>
      <c r="C79" s="167">
        <f>C52*U32/C$57</f>
        <v>116918420.90902528</v>
      </c>
      <c r="D79" s="167">
        <f>D52*G32/D$57</f>
        <v>699506922.57502425</v>
      </c>
      <c r="E79" s="167">
        <f>E52*X32/E$57</f>
        <v>90888966.741927192</v>
      </c>
      <c r="F79" s="167">
        <f t="shared" ref="F79:F81" si="62">F52*J32/F$57</f>
        <v>582998531.15094078</v>
      </c>
      <c r="G79" s="167">
        <f>G52*AA32/G$57</f>
        <v>77092599.433888152</v>
      </c>
      <c r="H79" s="167">
        <f>H52*M32/H$57</f>
        <v>587766893.85293698</v>
      </c>
      <c r="I79" s="225">
        <f>I52*AD32/I$57</f>
        <v>79768702.445947438</v>
      </c>
      <c r="J79" s="167" t="e">
        <f t="shared" ref="J79:J81" si="63">J52*P32/J$57</f>
        <v>#DIV/0!</v>
      </c>
      <c r="K79" s="225" t="e">
        <f t="shared" ref="K79:K81" si="64">K52*AG32/K$57</f>
        <v>#DIV/0!</v>
      </c>
      <c r="R79" s="127" t="s">
        <v>32</v>
      </c>
      <c r="S79" s="264">
        <f>B79/COMB_CORR!$G24</f>
        <v>0.77154284787395</v>
      </c>
      <c r="T79" s="264">
        <f>C79/COMB_CORR!$G24</f>
        <v>9.6990946097031627E-2</v>
      </c>
      <c r="U79" s="264">
        <f>D79/COMB_CORR!$H24</f>
        <v>0.77763694470716194</v>
      </c>
      <c r="V79" s="264">
        <f>E79/COMB_CORR!$H24</f>
        <v>0.10104062751030547</v>
      </c>
      <c r="W79" s="264">
        <f>F79/COMB_CORR!$I24</f>
        <v>0.91319115849139498</v>
      </c>
      <c r="X79" s="264">
        <f>G79/COMB_CORR!$I24</f>
        <v>0.12075550181775407</v>
      </c>
      <c r="Y79" s="264">
        <f>H79/COMB_CORR!$J24</f>
        <v>0.97596340447696872</v>
      </c>
      <c r="Z79" s="264">
        <f>I79/COMB_CORR!$J24</f>
        <v>0.1324527380225945</v>
      </c>
      <c r="AA79" s="264" t="e">
        <f>J79/COMB_CORR!$K24</f>
        <v>#DIV/0!</v>
      </c>
      <c r="AB79" s="264" t="e">
        <f>K79/COMB_CORR!$K24</f>
        <v>#DIV/0!</v>
      </c>
    </row>
    <row r="80" spans="1:28" ht="15.75" thickBot="1">
      <c r="A80" s="127" t="s">
        <v>33</v>
      </c>
      <c r="B80" s="167">
        <f>B53*D33/B$57</f>
        <v>655071122.79487503</v>
      </c>
      <c r="C80" s="167">
        <f>C53*U33/C$57</f>
        <v>65114786.112127736</v>
      </c>
      <c r="D80" s="167">
        <f>D53*G33/D$57</f>
        <v>613566834.10947084</v>
      </c>
      <c r="E80" s="167">
        <f>E53*X33/E$57</f>
        <v>64422825.182692423</v>
      </c>
      <c r="F80" s="167">
        <f t="shared" si="62"/>
        <v>510811159.33918685</v>
      </c>
      <c r="G80" s="167">
        <f>G53*AA33/G$57</f>
        <v>55504616.854865797</v>
      </c>
      <c r="H80" s="167">
        <f>H53*M33/H$57</f>
        <v>463239710.26743454</v>
      </c>
      <c r="I80" s="225">
        <f>I53*AD33/I$57</f>
        <v>52623579.539903343</v>
      </c>
      <c r="J80" s="167" t="e">
        <f t="shared" si="63"/>
        <v>#DIV/0!</v>
      </c>
      <c r="K80" s="225" t="e">
        <f t="shared" si="64"/>
        <v>#DIV/0!</v>
      </c>
      <c r="R80" s="127" t="s">
        <v>33</v>
      </c>
      <c r="S80" s="264">
        <f>B80/COMB_CORR!$G25</f>
        <v>0.74988812337059463</v>
      </c>
      <c r="T80" s="264">
        <f>C80/COMB_CORR!$G25</f>
        <v>7.4539699678673021E-2</v>
      </c>
      <c r="U80" s="264">
        <f>D80/COMB_CORR!$H25</f>
        <v>0.76589477386891491</v>
      </c>
      <c r="V80" s="264">
        <f>E80/COMB_CORR!$H25</f>
        <v>8.0416838691922427E-2</v>
      </c>
      <c r="W80" s="264">
        <f>F80/COMB_CORR!$I25</f>
        <v>0.85579886770424762</v>
      </c>
      <c r="X80" s="264">
        <f>G80/COMB_CORR!$I25</f>
        <v>9.2990897689474619E-2</v>
      </c>
      <c r="Y80" s="264">
        <f>H80/COMB_CORR!$J25</f>
        <v>0.92613886002481405</v>
      </c>
      <c r="Z80" s="264">
        <f>I80/COMB_CORR!$J25</f>
        <v>0.10520847173782841</v>
      </c>
      <c r="AA80" s="264" t="e">
        <f>J80/COMB_CORR!$K25</f>
        <v>#DIV/0!</v>
      </c>
      <c r="AB80" s="264" t="e">
        <f>K80/COMB_CORR!$K25</f>
        <v>#DIV/0!</v>
      </c>
    </row>
    <row r="81" spans="1:28" ht="15.75" thickBot="1">
      <c r="A81" s="128" t="s">
        <v>34</v>
      </c>
      <c r="B81" s="167">
        <f>B54*D34/B$57</f>
        <v>5596782684.7990808</v>
      </c>
      <c r="C81" s="167">
        <f>C54*U34/C$57</f>
        <v>626099668.20290649</v>
      </c>
      <c r="D81" s="167">
        <f>D54*G34/D$57</f>
        <v>6013341138.8604889</v>
      </c>
      <c r="E81" s="167">
        <f>E54*X34/E$57</f>
        <v>707912995.30594468</v>
      </c>
      <c r="F81" s="167">
        <f t="shared" si="62"/>
        <v>5820328178.4899416</v>
      </c>
      <c r="G81" s="167">
        <f>G54*AA34/G$57</f>
        <v>706597211.25022042</v>
      </c>
      <c r="H81" s="167">
        <f>H54*M34/H$57</f>
        <v>5895527313.6956596</v>
      </c>
      <c r="I81" s="225">
        <f>I54*AD34/I$57</f>
        <v>745174762.35933375</v>
      </c>
      <c r="J81" s="167" t="e">
        <f t="shared" si="63"/>
        <v>#DIV/0!</v>
      </c>
      <c r="K81" s="225" t="e">
        <f t="shared" si="64"/>
        <v>#DIV/0!</v>
      </c>
      <c r="R81" s="128" t="s">
        <v>34</v>
      </c>
      <c r="S81" s="264">
        <f>B81/COMB_CORR!$G26</f>
        <v>0.64947880311706407</v>
      </c>
      <c r="T81" s="264">
        <f>C81/COMB_CORR!$G26</f>
        <v>7.2655753499389727E-2</v>
      </c>
      <c r="U81" s="264">
        <f>D81/COMB_CORR!$H26</f>
        <v>0.66908594953767075</v>
      </c>
      <c r="V81" s="264">
        <f>E81/COMB_CORR!$H26</f>
        <v>7.8767298863754609E-2</v>
      </c>
      <c r="W81" s="264">
        <f>F81/COMB_CORR!$I26</f>
        <v>0.79893082617195987</v>
      </c>
      <c r="X81" s="264">
        <f>G81/COMB_CORR!$I26</f>
        <v>9.6991488528298808E-2</v>
      </c>
      <c r="Y81" s="264">
        <f>H81/COMB_CORR!$J26</f>
        <v>0.87934266289377649</v>
      </c>
      <c r="Z81" s="264">
        <f>I81/COMB_CORR!$J26</f>
        <v>0.11114594589903376</v>
      </c>
      <c r="AA81" s="264" t="e">
        <f>J81/COMB_CORR!$K26</f>
        <v>#DIV/0!</v>
      </c>
      <c r="AB81" s="264" t="e">
        <f>K81/COMB_CORR!$K26</f>
        <v>#DIV/0!</v>
      </c>
    </row>
    <row r="82" spans="1:28" ht="15.75" thickBot="1">
      <c r="A82" s="125" t="s">
        <v>69</v>
      </c>
      <c r="B82" s="147">
        <f>SUM(B83:B85)</f>
        <v>1537647620.2899704</v>
      </c>
      <c r="C82" s="147">
        <f t="shared" ref="C82:H82" si="65">SUM(C83:C85)</f>
        <v>171845612.51904172</v>
      </c>
      <c r="D82" s="147">
        <f t="shared" si="65"/>
        <v>1475444292.2295103</v>
      </c>
      <c r="E82" s="147">
        <f t="shared" si="65"/>
        <v>172697297.62331754</v>
      </c>
      <c r="F82" s="147">
        <f t="shared" si="65"/>
        <v>1043627193.9566246</v>
      </c>
      <c r="G82" s="147">
        <f t="shared" si="65"/>
        <v>124789966.68828522</v>
      </c>
      <c r="H82" s="147">
        <f t="shared" si="65"/>
        <v>1071119017.250272</v>
      </c>
      <c r="I82" s="224">
        <f>SUM(I83:I85)</f>
        <v>132081117.51351352</v>
      </c>
      <c r="J82" s="224" t="e">
        <f t="shared" ref="J82:K82" si="66">SUM(J83:J85)</f>
        <v>#DIV/0!</v>
      </c>
      <c r="K82" s="224" t="e">
        <f t="shared" si="66"/>
        <v>#DIV/0!</v>
      </c>
      <c r="R82" s="4" t="s">
        <v>69</v>
      </c>
      <c r="S82" s="264">
        <f>B82/COMB_CORR!$G27</f>
        <v>0.73343723789202919</v>
      </c>
      <c r="T82" s="264">
        <f>C82/COMB_CORR!$G27</f>
        <v>8.1968046336950443E-2</v>
      </c>
      <c r="U82" s="264">
        <f>D82/COMB_CORR!$H27</f>
        <v>0.73185812007955764</v>
      </c>
      <c r="V82" s="264">
        <f>E82/COMB_CORR!$H27</f>
        <v>8.566227830292128E-2</v>
      </c>
      <c r="W82" s="264">
        <f>F82/COMB_CORR!$I27</f>
        <v>0.86765978913106057</v>
      </c>
      <c r="X82" s="264">
        <f>G82/COMB_CORR!$I27</f>
        <v>0.10374896017411536</v>
      </c>
      <c r="Y82" s="264">
        <f>H82/COMB_CORR!$J27</f>
        <v>0.90983097753732356</v>
      </c>
      <c r="Z82" s="264">
        <f>I82/COMB_CORR!$J27</f>
        <v>0.11219247378320375</v>
      </c>
      <c r="AA82" s="264" t="e">
        <f>J82/COMB_CORR!$K27</f>
        <v>#DIV/0!</v>
      </c>
      <c r="AB82" s="264" t="e">
        <f>K82/COMB_CORR!$K27</f>
        <v>#DIV/0!</v>
      </c>
    </row>
    <row r="83" spans="1:28" ht="15.75" thickBot="1">
      <c r="A83" s="260" t="s">
        <v>36</v>
      </c>
      <c r="B83" s="167">
        <f>B$55*D36/B$57</f>
        <v>968577044.18528068</v>
      </c>
      <c r="C83" s="167">
        <f>C$55*U36/C$57</f>
        <v>112026313.58885396</v>
      </c>
      <c r="D83" s="167">
        <f>D$55*G36/D$57</f>
        <v>1118111100.5837805</v>
      </c>
      <c r="E83" s="167">
        <f>E$55*X36/E$57</f>
        <v>133205725.92428835</v>
      </c>
      <c r="F83" s="167">
        <f>F$55*J36/F$57</f>
        <v>839737139.72866595</v>
      </c>
      <c r="G83" s="167">
        <f>G$55*AA36/G$57</f>
        <v>101701590.18511021</v>
      </c>
      <c r="H83" s="167">
        <f>H$55*M36/H$57</f>
        <v>897560720.83923995</v>
      </c>
      <c r="I83" s="225">
        <f>I$55*AD36/I$57</f>
        <v>111822820.21443538</v>
      </c>
      <c r="J83" s="167" t="e">
        <f>J$55*P36/J$57</f>
        <v>#DIV/0!</v>
      </c>
      <c r="K83" s="225" t="e">
        <f>K$55*AG36/K$57</f>
        <v>#DIV/0!</v>
      </c>
      <c r="R83" s="127" t="s">
        <v>36</v>
      </c>
      <c r="S83" s="264">
        <f>B83/COMB_CORR!$G28</f>
        <v>0.81117112761783072</v>
      </c>
      <c r="T83" s="264">
        <f>C83/COMB_CORR!$G28</f>
        <v>9.3820632712988627E-2</v>
      </c>
      <c r="U83" s="264">
        <f>D83/COMB_CORR!$H28</f>
        <v>0.77344516517053241</v>
      </c>
      <c r="V83" s="264">
        <f>E83/COMB_CORR!$H28</f>
        <v>9.2144085355542887E-2</v>
      </c>
      <c r="W83" s="264">
        <f>F83/COMB_CORR!$I28</f>
        <v>0.92204147031113093</v>
      </c>
      <c r="X83" s="264">
        <f>G83/COMB_CORR!$I28</f>
        <v>0.11166956814314401</v>
      </c>
      <c r="Y83" s="264">
        <f>H83/COMB_CORR!$J28</f>
        <v>0.95883278908017899</v>
      </c>
      <c r="Z83" s="264">
        <f>I83/COMB_CORR!$J28</f>
        <v>0.119456415704963</v>
      </c>
      <c r="AA83" s="264" t="e">
        <f>J83/COMB_CORR!$K28</f>
        <v>#DIV/0!</v>
      </c>
      <c r="AB83" s="264" t="e">
        <f>K83/COMB_CORR!$K28</f>
        <v>#DIV/0!</v>
      </c>
    </row>
    <row r="84" spans="1:28" ht="15.75" thickBot="1">
      <c r="A84" s="127" t="s">
        <v>37</v>
      </c>
      <c r="B84" s="167">
        <f>B$55*D37/B$57</f>
        <v>232227637.84653008</v>
      </c>
      <c r="C84" s="167">
        <f>C$55*U37/C$57</f>
        <v>23523368.843931057</v>
      </c>
      <c r="D84" s="167">
        <f>D$55*G37/D$57</f>
        <v>148623380.92635259</v>
      </c>
      <c r="E84" s="167">
        <f>E$55*X37/E$57</f>
        <v>15811051.420492843</v>
      </c>
      <c r="F84" s="167">
        <f t="shared" ref="F84:F85" si="67">F$55*J37/F$57</f>
        <v>99391166.326911107</v>
      </c>
      <c r="G84" s="167">
        <f>G$55*AA37/G$57</f>
        <v>10847983.294345634</v>
      </c>
      <c r="H84" s="167">
        <f>H$55*M37/H$57</f>
        <v>88846471.649543494</v>
      </c>
      <c r="I84" s="225">
        <f>I$55*AD37/I$57</f>
        <v>10009652.565202661</v>
      </c>
      <c r="J84" s="167" t="e">
        <f t="shared" ref="J84:J85" si="68">J$55*P37/J$57</f>
        <v>#DIV/0!</v>
      </c>
      <c r="K84" s="225" t="e">
        <f t="shared" ref="K84:K85" si="69">K$55*AG37/K$57</f>
        <v>#DIV/0!</v>
      </c>
      <c r="R84" s="127" t="s">
        <v>37</v>
      </c>
      <c r="S84" s="264">
        <f>B84/COMB_CORR!$G29</f>
        <v>0.5757155702144422</v>
      </c>
      <c r="T84" s="264">
        <f>C84/COMB_CORR!$G29</f>
        <v>5.8316787066913567E-2</v>
      </c>
      <c r="U84" s="264">
        <f>D84/COMB_CORR!$H29</f>
        <v>0.57487675115974946</v>
      </c>
      <c r="V84" s="264">
        <f>E84/COMB_CORR!$H29</f>
        <v>6.1157307930821095E-2</v>
      </c>
      <c r="W84" s="264">
        <f>F84/COMB_CORR!$I29</f>
        <v>0.645755162907651</v>
      </c>
      <c r="X84" s="264">
        <f>G84/COMB_CORR!$I29</f>
        <v>7.048052134149202E-2</v>
      </c>
      <c r="Y84" s="264">
        <f>H84/COMB_CORR!$J29</f>
        <v>0.67106408991160238</v>
      </c>
      <c r="Z84" s="264">
        <f>I84/COMB_CORR!$J29</f>
        <v>7.5603659484586555E-2</v>
      </c>
      <c r="AA84" s="264" t="e">
        <f>J84/COMB_CORR!$K29</f>
        <v>#DIV/0!</v>
      </c>
      <c r="AB84" s="264" t="e">
        <f>K84/COMB_CORR!$K29</f>
        <v>#DIV/0!</v>
      </c>
    </row>
    <row r="85" spans="1:28" ht="15.75" thickBot="1">
      <c r="A85" s="128" t="s">
        <v>38</v>
      </c>
      <c r="B85" s="167">
        <f>B$55*D38/B$57</f>
        <v>336842938.2581597</v>
      </c>
      <c r="C85" s="167">
        <f>C$55*U38/C$57</f>
        <v>36295930.086256698</v>
      </c>
      <c r="D85" s="167">
        <f>D$55*G38/D$57</f>
        <v>208709810.71937731</v>
      </c>
      <c r="E85" s="167">
        <f>E$55*X38/E$57</f>
        <v>23680520.278536357</v>
      </c>
      <c r="F85" s="167">
        <f t="shared" si="67"/>
        <v>104498887.90104763</v>
      </c>
      <c r="G85" s="167">
        <f>G$55*AA38/G$57</f>
        <v>12240393.208829368</v>
      </c>
      <c r="H85" s="167">
        <f>H$55*M38/H$57</f>
        <v>84711824.761488602</v>
      </c>
      <c r="I85" s="225">
        <f>I$55*AD38/I$57</f>
        <v>10248644.733875472</v>
      </c>
      <c r="J85" s="167" t="e">
        <f t="shared" si="68"/>
        <v>#DIV/0!</v>
      </c>
      <c r="K85" s="225" t="e">
        <f t="shared" si="69"/>
        <v>#DIV/0!</v>
      </c>
      <c r="R85" s="128" t="s">
        <v>38</v>
      </c>
      <c r="S85" s="264">
        <f>B85/COMB_CORR!$G30</f>
        <v>0.67493415074075958</v>
      </c>
      <c r="T85" s="264">
        <f>C85/COMB_CORR!$G30</f>
        <v>7.2726365809511584E-2</v>
      </c>
      <c r="U85" s="264">
        <f>D85/COMB_CORR!$H30</f>
        <v>0.66922074201926951</v>
      </c>
      <c r="V85" s="264">
        <f>E85/COMB_CORR!$H30</f>
        <v>7.5930763856196265E-2</v>
      </c>
      <c r="W85" s="264">
        <f>F85/COMB_CORR!$I30</f>
        <v>0.75638633897493168</v>
      </c>
      <c r="X85" s="264">
        <f>G85/COMB_CORR!$I30</f>
        <v>8.859870562074415E-2</v>
      </c>
      <c r="Y85" s="264">
        <f>H85/COMB_CORR!$J30</f>
        <v>0.77875239648160821</v>
      </c>
      <c r="Z85" s="264">
        <f>I85/COMB_CORR!$J30</f>
        <v>9.4215378663670385E-2</v>
      </c>
      <c r="AA85" s="264" t="e">
        <f>J85/COMB_CORR!$K30</f>
        <v>#DIV/0!</v>
      </c>
      <c r="AB85" s="264" t="e">
        <f>K85/COMB_CORR!$K30</f>
        <v>#DIV/0!</v>
      </c>
    </row>
    <row r="86" spans="1:28" ht="26.25" thickBot="1">
      <c r="A86" s="125" t="s">
        <v>73</v>
      </c>
      <c r="B86" s="147">
        <f t="shared" ref="B86:K86" si="70">SUM(B87:B90)</f>
        <v>1343906937.7063315</v>
      </c>
      <c r="C86" s="147">
        <f t="shared" si="70"/>
        <v>189052797.81602329</v>
      </c>
      <c r="D86" s="147">
        <f t="shared" si="70"/>
        <v>1408880944.1126699</v>
      </c>
      <c r="E86" s="147">
        <f t="shared" si="70"/>
        <v>207781028.14458036</v>
      </c>
      <c r="F86" s="147">
        <f t="shared" si="70"/>
        <v>1378769695.7864833</v>
      </c>
      <c r="G86" s="147">
        <f t="shared" si="70"/>
        <v>203994281.58170801</v>
      </c>
      <c r="H86" s="147">
        <f t="shared" si="70"/>
        <v>1439144281.3641112</v>
      </c>
      <c r="I86" s="147">
        <f t="shared" si="70"/>
        <v>215554056.19470042</v>
      </c>
      <c r="J86" s="147" t="e">
        <f t="shared" si="70"/>
        <v>#DIV/0!</v>
      </c>
      <c r="K86" s="147" t="e">
        <f t="shared" si="70"/>
        <v>#DIV/0!</v>
      </c>
      <c r="R86" s="126" t="s">
        <v>73</v>
      </c>
      <c r="S86" s="264">
        <f>B86/COMB_CORR!$G31</f>
        <v>0.8314556439649734</v>
      </c>
      <c r="T86" s="264">
        <f>C86/COMB_CORR!$G31</f>
        <v>0.1169642118373008</v>
      </c>
      <c r="U86" s="264">
        <f>D86/COMB_CORR!$H31</f>
        <v>0.83626478914661351</v>
      </c>
      <c r="V86" s="264">
        <f>E86/COMB_CORR!$H31</f>
        <v>0.12333189572624262</v>
      </c>
      <c r="W86" s="264">
        <f>F86/COMB_CORR!$I31</f>
        <v>0.9957962041558257</v>
      </c>
      <c r="X86" s="264">
        <f>G86/COMB_CORR!$I31</f>
        <v>0.14733187992842087</v>
      </c>
      <c r="Y86" s="264">
        <f>H86/COMB_CORR!$J31</f>
        <v>1.035467904091923</v>
      </c>
      <c r="Z86" s="264">
        <f>I86/COMB_CORR!$J31</f>
        <v>0.1550916816866178</v>
      </c>
      <c r="AA86" s="264" t="e">
        <f>J86/COMB_CORR!$K31</f>
        <v>#DIV/0!</v>
      </c>
      <c r="AB86" s="264" t="e">
        <f>K86/COMB_CORR!$K31</f>
        <v>#DIV/0!</v>
      </c>
    </row>
    <row r="87" spans="1:28" ht="15.75" thickBot="1">
      <c r="A87" s="260" t="s">
        <v>40</v>
      </c>
      <c r="B87" s="167">
        <f>B$56*D40/B$57</f>
        <v>196824239.98305169</v>
      </c>
      <c r="C87" s="167">
        <f>C$56*U40/C$57</f>
        <v>18966129.080706444</v>
      </c>
      <c r="D87" s="167">
        <f>D$56*G40/D$57</f>
        <v>120312526.1041573</v>
      </c>
      <c r="E87" s="167">
        <f>E$56*X40/E$57</f>
        <v>12566272.398920009</v>
      </c>
      <c r="F87" s="167">
        <f>F$56*J40/F$57</f>
        <v>87493578.610797837</v>
      </c>
      <c r="G87" s="167">
        <f>G$56*AA40/G$57</f>
        <v>9582541.5809453838</v>
      </c>
      <c r="H87" s="167">
        <f>H$56*M40/H$57</f>
        <v>64932948.060122527</v>
      </c>
      <c r="I87" s="225">
        <f>I$56*AD40/I$57</f>
        <v>7468930.4632095527</v>
      </c>
      <c r="J87" s="167" t="e">
        <f>J$56*P40/J$57</f>
        <v>#DIV/0!</v>
      </c>
      <c r="K87" s="225" t="e">
        <f>K$56*AG40/K$57</f>
        <v>#DIV/0!</v>
      </c>
      <c r="R87" s="127" t="s">
        <v>40</v>
      </c>
      <c r="S87" s="264">
        <f>B87/COMB_CORR!$G32</f>
        <v>0.82161383053378378</v>
      </c>
      <c r="T87" s="264">
        <f>C87/COMB_CORR!$G32</f>
        <v>7.9171315310244475E-2</v>
      </c>
      <c r="U87" s="264">
        <f>D87/COMB_CORR!$H32</f>
        <v>0.83576148535220407</v>
      </c>
      <c r="V87" s="264">
        <f>E87/COMB_CORR!$H32</f>
        <v>8.7292710289946188E-2</v>
      </c>
      <c r="W87" s="264">
        <f>F87/COMB_CORR!$I32</f>
        <v>0.92773003815865818</v>
      </c>
      <c r="X87" s="264">
        <f>G87/COMB_CORR!$I32</f>
        <v>0.10160759003918772</v>
      </c>
      <c r="Y87" s="264">
        <f>H87/COMB_CORR!$J32</f>
        <v>0.97201688529321928</v>
      </c>
      <c r="Z87" s="264">
        <f>I87/COMB_CORR!$J32</f>
        <v>0.11180651336819793</v>
      </c>
      <c r="AA87" s="264" t="e">
        <f>J87/COMB_CORR!$K32</f>
        <v>#DIV/0!</v>
      </c>
      <c r="AB87" s="264" t="e">
        <f>K87/COMB_CORR!$K32</f>
        <v>#DIV/0!</v>
      </c>
    </row>
    <row r="88" spans="1:28" ht="15.75" thickBot="1">
      <c r="A88" s="127" t="s">
        <v>41</v>
      </c>
      <c r="B88" s="167">
        <f>B$56*D41/B$57</f>
        <v>638411793.06383514</v>
      </c>
      <c r="C88" s="167">
        <f>C$56*U41/C$57</f>
        <v>89936372.403206542</v>
      </c>
      <c r="D88" s="167">
        <f>D$56*G41/D$57</f>
        <v>747864443.32472003</v>
      </c>
      <c r="E88" s="167">
        <f>E$56*X41/E$57</f>
        <v>108440025.74330103</v>
      </c>
      <c r="F88" s="167">
        <f t="shared" ref="F88:F90" si="71">F$56*J41/F$57</f>
        <v>787806496.13491452</v>
      </c>
      <c r="G88" s="167">
        <f>G$56*AA41/G$57</f>
        <v>114156871.74836451</v>
      </c>
      <c r="H88" s="167">
        <f>H$56*M41/H$57</f>
        <v>838210997.38650668</v>
      </c>
      <c r="I88" s="225">
        <f>I$56*AD41/I$57</f>
        <v>122407890.56898333</v>
      </c>
      <c r="J88" s="167" t="e">
        <f t="shared" ref="J88:J90" si="72">J$56*P41/J$57</f>
        <v>#DIV/0!</v>
      </c>
      <c r="K88" s="225" t="e">
        <f t="shared" ref="K88:K90" si="73">K$56*AG41/K$57</f>
        <v>#DIV/0!</v>
      </c>
      <c r="R88" s="127" t="s">
        <v>41</v>
      </c>
      <c r="S88" s="264">
        <f>B88/COMB_CORR!$G33</f>
        <v>0.82445764686698708</v>
      </c>
      <c r="T88" s="264">
        <f>C88/COMB_CORR!$G33</f>
        <v>0.1161456144214531</v>
      </c>
      <c r="U88" s="264">
        <f>D88/COMB_CORR!$H33</f>
        <v>0.81877829743083341</v>
      </c>
      <c r="V88" s="264">
        <f>E88/COMB_CORR!$H33</f>
        <v>0.11872250438426607</v>
      </c>
      <c r="W88" s="264">
        <f>F88/COMB_CORR!$I33</f>
        <v>0.99543903386883759</v>
      </c>
      <c r="X88" s="264">
        <f>G88/COMB_CORR!$I33</f>
        <v>0.14424380438622353</v>
      </c>
      <c r="Y88" s="264">
        <f>H88/COMB_CORR!$J33</f>
        <v>1.0590890312520964</v>
      </c>
      <c r="Z88" s="264">
        <f>I88/COMB_CORR!$J33</f>
        <v>0.15466374772525041</v>
      </c>
      <c r="AA88" s="264" t="e">
        <f>J88/COMB_CORR!$K33</f>
        <v>#DIV/0!</v>
      </c>
      <c r="AB88" s="264" t="e">
        <f>K88/COMB_CORR!$K33</f>
        <v>#DIV/0!</v>
      </c>
    </row>
    <row r="89" spans="1:28" ht="15.75" thickBot="1">
      <c r="A89" s="127" t="s">
        <v>42</v>
      </c>
      <c r="B89" s="167">
        <f>B$56*D42/B$57</f>
        <v>328601928.78490365</v>
      </c>
      <c r="C89" s="167">
        <f>C$56*U42/C$57</f>
        <v>54891434.908922181</v>
      </c>
      <c r="D89" s="167">
        <f>D$56*G42/D$57</f>
        <v>382626854.29734313</v>
      </c>
      <c r="E89" s="167">
        <f>E$56*X42/E$57</f>
        <v>64114752.771461338</v>
      </c>
      <c r="F89" s="167">
        <f t="shared" si="71"/>
        <v>384122754.90207237</v>
      </c>
      <c r="G89" s="167">
        <f>G$56*AA42/G$57</f>
        <v>63336617.114234105</v>
      </c>
      <c r="H89" s="167">
        <f>H$56*M42/H$57</f>
        <v>427283841.99681878</v>
      </c>
      <c r="I89" s="225">
        <f>I$56*AD42/I$57</f>
        <v>70270756.126542225</v>
      </c>
      <c r="J89" s="167" t="e">
        <f t="shared" si="72"/>
        <v>#DIV/0!</v>
      </c>
      <c r="K89" s="225" t="e">
        <f t="shared" si="73"/>
        <v>#DIV/0!</v>
      </c>
      <c r="R89" s="127" t="s">
        <v>42</v>
      </c>
      <c r="S89" s="264">
        <f>B89/COMB_CORR!$G34</f>
        <v>0.83342973228090622</v>
      </c>
      <c r="T89" s="264">
        <f>C89/COMB_CORR!$G34</f>
        <v>0.13922058847866242</v>
      </c>
      <c r="U89" s="264">
        <f>D89/COMB_CORR!$H34</f>
        <v>0.85638660306203385</v>
      </c>
      <c r="V89" s="264">
        <f>E89/COMB_CORR!$H34</f>
        <v>0.14350016135941443</v>
      </c>
      <c r="W89" s="264">
        <f>F89/COMB_CORR!$I34</f>
        <v>1.0105384946040648</v>
      </c>
      <c r="X89" s="264">
        <f>G89/COMB_CORR!$I34</f>
        <v>0.16662405154375526</v>
      </c>
      <c r="Y89" s="264">
        <f>H89/COMB_CORR!$J34</f>
        <v>0.9999405298587053</v>
      </c>
      <c r="Z89" s="264">
        <f>I89/COMB_CORR!$J34</f>
        <v>0.16444941326676621</v>
      </c>
      <c r="AA89" s="264" t="e">
        <f>J89/COMB_CORR!$K34</f>
        <v>#DIV/0!</v>
      </c>
      <c r="AB89" s="264" t="e">
        <f>K89/COMB_CORR!$K34</f>
        <v>#DIV/0!</v>
      </c>
    </row>
    <row r="90" spans="1:28" ht="26.25" thickBot="1">
      <c r="A90" s="128" t="s">
        <v>43</v>
      </c>
      <c r="B90" s="167">
        <f>B$56*D43/B$57</f>
        <v>180068975.87454113</v>
      </c>
      <c r="C90" s="167">
        <f>C$56*U43/C$57</f>
        <v>25258861.423188113</v>
      </c>
      <c r="D90" s="167">
        <f>D$56*G43/D$57</f>
        <v>158077120.38644934</v>
      </c>
      <c r="E90" s="167">
        <f>E$56*X43/E$57</f>
        <v>22659977.230897956</v>
      </c>
      <c r="F90" s="167">
        <f t="shared" si="71"/>
        <v>119346866.13869853</v>
      </c>
      <c r="G90" s="167">
        <f>G$56*AA43/G$57</f>
        <v>16918251.13816401</v>
      </c>
      <c r="H90" s="167">
        <f>H$56*M43/H$57</f>
        <v>108716493.92066321</v>
      </c>
      <c r="I90" s="225">
        <f>I$56*AD43/I$57</f>
        <v>15406479.035965312</v>
      </c>
      <c r="J90" s="167" t="e">
        <f t="shared" si="72"/>
        <v>#DIV/0!</v>
      </c>
      <c r="K90" s="225" t="e">
        <f t="shared" si="73"/>
        <v>#DIV/0!</v>
      </c>
      <c r="R90" s="128" t="s">
        <v>43</v>
      </c>
      <c r="S90" s="264">
        <f>B90/COMB_CORR!$G35</f>
        <v>0.86507589628608805</v>
      </c>
      <c r="T90" s="264">
        <f>C90/COMB_CORR!$G35</f>
        <v>0.121347012047509</v>
      </c>
      <c r="U90" s="264">
        <f>D90/COMB_CORR!$H35</f>
        <v>0.87532616652465489</v>
      </c>
      <c r="V90" s="264">
        <f>E90/COMB_CORR!$H35</f>
        <v>0.1254759129883426</v>
      </c>
      <c r="W90" s="264">
        <f>F90/COMB_CORR!$I35</f>
        <v>1.0050439435954253</v>
      </c>
      <c r="X90" s="264">
        <f>G90/COMB_CORR!$I35</f>
        <v>0.14247199271137534</v>
      </c>
      <c r="Y90" s="264">
        <f>H90/COMB_CORR!$J35</f>
        <v>1.0424196980635538</v>
      </c>
      <c r="Z90" s="264">
        <f>I90/COMB_CORR!$J35</f>
        <v>0.14772383329997163</v>
      </c>
      <c r="AA90" s="264" t="e">
        <f>J90/COMB_CORR!$K35</f>
        <v>#DIV/0!</v>
      </c>
      <c r="AB90" s="264" t="e">
        <f>K90/COMB_CORR!$K35</f>
        <v>#DIV/0!</v>
      </c>
    </row>
  </sheetData>
  <mergeCells count="49">
    <mergeCell ref="AA46:AB46"/>
    <mergeCell ref="AA47:AA48"/>
    <mergeCell ref="AB47:AB48"/>
    <mergeCell ref="F1:G1"/>
    <mergeCell ref="H47:H48"/>
    <mergeCell ref="S47:S48"/>
    <mergeCell ref="J46:K46"/>
    <mergeCell ref="J47:J48"/>
    <mergeCell ref="J1:K1"/>
    <mergeCell ref="N9:P9"/>
    <mergeCell ref="B8:P8"/>
    <mergeCell ref="D1:E1"/>
    <mergeCell ref="H1:I1"/>
    <mergeCell ref="B1:C1"/>
    <mergeCell ref="K47:K48"/>
    <mergeCell ref="R46:R48"/>
    <mergeCell ref="A46:A48"/>
    <mergeCell ref="B46:C46"/>
    <mergeCell ref="D46:E46"/>
    <mergeCell ref="F46:G46"/>
    <mergeCell ref="H46:I46"/>
    <mergeCell ref="I47:I48"/>
    <mergeCell ref="B47:B48"/>
    <mergeCell ref="C47:C48"/>
    <mergeCell ref="D47:D48"/>
    <mergeCell ref="E47:E48"/>
    <mergeCell ref="F47:F48"/>
    <mergeCell ref="G47:G48"/>
    <mergeCell ref="AE9:AG9"/>
    <mergeCell ref="S8:AG8"/>
    <mergeCell ref="Y9:AA9"/>
    <mergeCell ref="AB9:AD9"/>
    <mergeCell ref="B9:D9"/>
    <mergeCell ref="E9:G9"/>
    <mergeCell ref="H9:J9"/>
    <mergeCell ref="K9:M9"/>
    <mergeCell ref="S9:U9"/>
    <mergeCell ref="V9:X9"/>
    <mergeCell ref="U46:V46"/>
    <mergeCell ref="W46:X46"/>
    <mergeCell ref="Y46:Z46"/>
    <mergeCell ref="T47:T48"/>
    <mergeCell ref="U47:U48"/>
    <mergeCell ref="V47:V48"/>
    <mergeCell ref="W47:W48"/>
    <mergeCell ref="X47:X48"/>
    <mergeCell ref="Y47:Y48"/>
    <mergeCell ref="Z47:Z48"/>
    <mergeCell ref="S46:T46"/>
  </mergeCells>
  <pageMargins left="0.511811024" right="0.511811024" top="0.78740157499999996" bottom="0.78740157499999996" header="0.31496062000000002" footer="0.31496062000000002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theme="6" tint="-0.249977111117893"/>
  </sheetPr>
  <dimension ref="A1:BP371"/>
  <sheetViews>
    <sheetView workbookViewId="0">
      <selection activeCell="O29" sqref="O29:R31"/>
    </sheetView>
  </sheetViews>
  <sheetFormatPr defaultColWidth="8.85546875" defaultRowHeight="15"/>
  <cols>
    <col min="1" max="1" width="19.7109375" customWidth="1"/>
    <col min="2" max="2" width="12.7109375" bestFit="1" customWidth="1"/>
    <col min="3" max="3" width="13.42578125" customWidth="1"/>
    <col min="5" max="5" width="14.28515625" customWidth="1"/>
    <col min="6" max="6" width="13.140625" customWidth="1"/>
    <col min="8" max="8" width="13.28515625" customWidth="1"/>
    <col min="9" max="9" width="14.42578125" customWidth="1"/>
    <col min="11" max="11" width="13" customWidth="1"/>
    <col min="12" max="12" width="13.85546875" customWidth="1"/>
    <col min="14" max="14" width="13" customWidth="1"/>
    <col min="15" max="15" width="13.85546875" customWidth="1"/>
    <col min="17" max="17" width="8.85546875" style="1"/>
    <col min="18" max="18" width="15.140625" customWidth="1"/>
    <col min="19" max="19" width="13.28515625" customWidth="1"/>
    <col min="20" max="20" width="12.7109375" customWidth="1"/>
    <col min="22" max="23" width="13.42578125" customWidth="1"/>
    <col min="25" max="25" width="13.42578125" customWidth="1"/>
    <col min="26" max="26" width="14.42578125" customWidth="1"/>
    <col min="28" max="28" width="13.28515625" customWidth="1"/>
    <col min="29" max="29" width="12.140625" customWidth="1"/>
    <col min="31" max="31" width="13.28515625" customWidth="1"/>
    <col min="32" max="32" width="12.140625" customWidth="1"/>
    <col min="34" max="68" width="8.85546875" style="1"/>
  </cols>
  <sheetData>
    <row r="1" spans="1:33" ht="15.75" thickBot="1">
      <c r="A1" s="1194" t="s">
        <v>447</v>
      </c>
      <c r="B1" s="1212">
        <v>2004</v>
      </c>
      <c r="C1" s="1225"/>
      <c r="D1" s="1213"/>
      <c r="E1" s="1212">
        <v>2005</v>
      </c>
      <c r="F1" s="1225"/>
      <c r="G1" s="1213"/>
      <c r="H1" s="1212">
        <v>2006</v>
      </c>
      <c r="I1" s="1225"/>
      <c r="J1" s="1213"/>
      <c r="K1" s="1212">
        <v>2007</v>
      </c>
      <c r="L1" s="1225"/>
      <c r="M1" s="1213"/>
      <c r="N1" s="1212">
        <v>2008</v>
      </c>
      <c r="O1" s="1225"/>
      <c r="P1" s="1213"/>
      <c r="R1" s="1194" t="s">
        <v>451</v>
      </c>
      <c r="S1" s="1212">
        <v>2004</v>
      </c>
      <c r="T1" s="1225"/>
      <c r="U1" s="1213"/>
      <c r="V1" s="1212">
        <v>2005</v>
      </c>
      <c r="W1" s="1225"/>
      <c r="X1" s="1213"/>
      <c r="Y1" s="1212">
        <v>2006</v>
      </c>
      <c r="Z1" s="1225"/>
      <c r="AA1" s="1213"/>
      <c r="AB1" s="1212">
        <v>2007</v>
      </c>
      <c r="AC1" s="1225"/>
      <c r="AD1" s="1213"/>
      <c r="AE1" s="1212">
        <v>2008</v>
      </c>
      <c r="AF1" s="1225"/>
      <c r="AG1" s="1213"/>
    </row>
    <row r="2" spans="1:33">
      <c r="A2" s="1195"/>
      <c r="B2" s="1202" t="s">
        <v>78</v>
      </c>
      <c r="C2" s="1202" t="s">
        <v>445</v>
      </c>
      <c r="D2" s="1202" t="s">
        <v>96</v>
      </c>
      <c r="E2" s="1202" t="s">
        <v>78</v>
      </c>
      <c r="F2" s="1202" t="s">
        <v>445</v>
      </c>
      <c r="G2" s="1202" t="s">
        <v>96</v>
      </c>
      <c r="H2" s="1202" t="s">
        <v>78</v>
      </c>
      <c r="I2" s="1202" t="s">
        <v>445</v>
      </c>
      <c r="J2" s="1202" t="s">
        <v>96</v>
      </c>
      <c r="K2" s="1202" t="s">
        <v>78</v>
      </c>
      <c r="L2" s="1202" t="s">
        <v>445</v>
      </c>
      <c r="M2" s="1202" t="s">
        <v>96</v>
      </c>
      <c r="N2" s="1202" t="s">
        <v>78</v>
      </c>
      <c r="O2" s="1202" t="s">
        <v>445</v>
      </c>
      <c r="P2" s="1202" t="s">
        <v>96</v>
      </c>
      <c r="R2" s="1195"/>
      <c r="S2" s="1202" t="s">
        <v>78</v>
      </c>
      <c r="T2" s="1202" t="s">
        <v>445</v>
      </c>
      <c r="U2" s="1202" t="s">
        <v>96</v>
      </c>
      <c r="V2" s="1202" t="s">
        <v>78</v>
      </c>
      <c r="W2" s="1202" t="s">
        <v>445</v>
      </c>
      <c r="X2" s="1202" t="s">
        <v>96</v>
      </c>
      <c r="Y2" s="1202" t="s">
        <v>78</v>
      </c>
      <c r="Z2" s="1202" t="s">
        <v>445</v>
      </c>
      <c r="AA2" s="1202" t="s">
        <v>96</v>
      </c>
      <c r="AB2" s="1202" t="s">
        <v>78</v>
      </c>
      <c r="AC2" s="1202" t="s">
        <v>445</v>
      </c>
      <c r="AD2" s="1202" t="s">
        <v>96</v>
      </c>
      <c r="AE2" s="1202" t="s">
        <v>78</v>
      </c>
      <c r="AF2" s="1202" t="s">
        <v>445</v>
      </c>
      <c r="AG2" s="1202" t="s">
        <v>96</v>
      </c>
    </row>
    <row r="3" spans="1:33" ht="15.75" thickBot="1">
      <c r="A3" s="1196"/>
      <c r="B3" s="1203"/>
      <c r="C3" s="1203"/>
      <c r="D3" s="1203"/>
      <c r="E3" s="1203"/>
      <c r="F3" s="1203"/>
      <c r="G3" s="1203"/>
      <c r="H3" s="1203"/>
      <c r="I3" s="1203"/>
      <c r="J3" s="1203"/>
      <c r="K3" s="1203"/>
      <c r="L3" s="1203"/>
      <c r="M3" s="1203"/>
      <c r="N3" s="1203"/>
      <c r="O3" s="1203"/>
      <c r="P3" s="1203"/>
      <c r="R3" s="1196"/>
      <c r="S3" s="1203"/>
      <c r="T3" s="1203"/>
      <c r="U3" s="1203"/>
      <c r="V3" s="1203"/>
      <c r="W3" s="1203"/>
      <c r="X3" s="1203"/>
      <c r="Y3" s="1203"/>
      <c r="Z3" s="1203"/>
      <c r="AA3" s="1203"/>
      <c r="AB3" s="1203"/>
      <c r="AC3" s="1203"/>
      <c r="AD3" s="1203"/>
      <c r="AE3" s="1203"/>
      <c r="AF3" s="1203"/>
      <c r="AG3" s="1203"/>
    </row>
    <row r="4" spans="1:33" ht="15.75" thickBot="1">
      <c r="A4" s="125" t="s">
        <v>11</v>
      </c>
      <c r="B4" s="265">
        <f>DIST_ALC_LEV!S58</f>
        <v>0.77566593920829818</v>
      </c>
      <c r="C4" s="265">
        <f>DIST_ALC_LEV!T58</f>
        <v>9.3259644802631048E-2</v>
      </c>
      <c r="D4" s="265">
        <f>SUM(B4:C4)</f>
        <v>0.86892558401092923</v>
      </c>
      <c r="E4" s="265">
        <f>DIST_ALC_LEV!U58</f>
        <v>0.74170878715540633</v>
      </c>
      <c r="F4" s="265">
        <f>DIST_ALC_LEV!V58</f>
        <v>9.2776129737607141E-2</v>
      </c>
      <c r="G4" s="265">
        <f>SUM(E4:F4)</f>
        <v>0.83448491689301352</v>
      </c>
      <c r="H4" s="265">
        <f>DIST_ALC_LEV!W58</f>
        <v>0.86972285786886772</v>
      </c>
      <c r="I4" s="265">
        <f>DIST_ALC_LEV!X58</f>
        <v>0.11086879178248343</v>
      </c>
      <c r="J4" s="265">
        <f>SUM(H4:I4)</f>
        <v>0.98059164965135115</v>
      </c>
      <c r="K4" s="265">
        <f>DIST_ALC_LEV!Y58</f>
        <v>0.93479377668662011</v>
      </c>
      <c r="L4" s="265">
        <f>DIST_ALC_LEV!Z58</f>
        <v>0.12281506578963537</v>
      </c>
      <c r="M4" s="265">
        <f>SUM(K4:L4)</f>
        <v>1.0576088424762555</v>
      </c>
      <c r="N4" s="265" t="e">
        <f>DIST_ALC_LEV!AA58</f>
        <v>#VALUE!</v>
      </c>
      <c r="O4" s="265" t="e">
        <f>DIST_ALC_LEV!AB58</f>
        <v>#DIV/0!</v>
      </c>
      <c r="P4" s="265" t="e">
        <f>SUM(N4:O4)</f>
        <v>#VALUE!</v>
      </c>
      <c r="R4" s="125" t="s">
        <v>11</v>
      </c>
      <c r="S4" s="265">
        <f>B4/$D4</f>
        <v>0.89267246065865857</v>
      </c>
      <c r="T4" s="265">
        <f>C4/$D4</f>
        <v>0.10732753934134139</v>
      </c>
      <c r="U4" s="265">
        <f>SUM(S4:T4)</f>
        <v>1</v>
      </c>
      <c r="V4" s="265">
        <f>E4/$G4</f>
        <v>0.88882228083518289</v>
      </c>
      <c r="W4" s="265">
        <f>F4/$G4</f>
        <v>0.11117771916481704</v>
      </c>
      <c r="X4" s="265">
        <f>SUM(V4:W4)</f>
        <v>0.99999999999999989</v>
      </c>
      <c r="Y4" s="265">
        <f>H4/$J4</f>
        <v>0.8869368387728952</v>
      </c>
      <c r="Z4" s="265">
        <f>I4/$J4</f>
        <v>0.11306316122710486</v>
      </c>
      <c r="AA4" s="265">
        <f>SUM(Y4:Z4)</f>
        <v>1</v>
      </c>
      <c r="AB4" s="265">
        <f>K4/$M4</f>
        <v>0.88387477405911274</v>
      </c>
      <c r="AC4" s="265">
        <f>L4/$M4</f>
        <v>0.11612522594088721</v>
      </c>
      <c r="AD4" s="265">
        <f>SUM(AB4:AC4)</f>
        <v>1</v>
      </c>
      <c r="AE4" s="265" t="e">
        <f>N4/$P4</f>
        <v>#VALUE!</v>
      </c>
      <c r="AF4" s="265" t="e">
        <f>O4/$P4</f>
        <v>#DIV/0!</v>
      </c>
      <c r="AG4" s="265" t="e">
        <f>SUM(AE4:AF4)</f>
        <v>#VALUE!</v>
      </c>
    </row>
    <row r="5" spans="1:33" ht="15.75" thickBot="1">
      <c r="A5" s="4" t="s">
        <v>46</v>
      </c>
      <c r="B5" s="265">
        <f>DIST_ALC_LEV!S59</f>
        <v>1.047937989982874</v>
      </c>
      <c r="C5" s="265">
        <f>DIST_ALC_LEV!T59</f>
        <v>0.17575550553091984</v>
      </c>
      <c r="D5" s="265">
        <f t="shared" ref="D5:D36" si="0">SUM(B5:C5)</f>
        <v>1.2236934955137939</v>
      </c>
      <c r="E5" s="265">
        <f>DIST_ALC_LEV!U59</f>
        <v>1.0513277531027088</v>
      </c>
      <c r="F5" s="265">
        <f>DIST_ALC_LEV!V59</f>
        <v>0.17821382989402834</v>
      </c>
      <c r="G5" s="265">
        <f t="shared" ref="G5:G36" si="1">SUM(E5:F5)</f>
        <v>1.2295415829967371</v>
      </c>
      <c r="H5" s="265">
        <f>DIST_ALC_LEV!W59</f>
        <v>1.1845107393657746</v>
      </c>
      <c r="I5" s="265">
        <f>DIST_ALC_LEV!X59</f>
        <v>0.20111290980512789</v>
      </c>
      <c r="J5" s="265">
        <f t="shared" ref="J5:J36" si="2">SUM(H5:I5)</f>
        <v>1.3856236491709024</v>
      </c>
      <c r="K5" s="265">
        <f>DIST_ALC_LEV!Y59</f>
        <v>1.1947319101662297</v>
      </c>
      <c r="L5" s="265">
        <f>DIST_ALC_LEV!Z59</f>
        <v>0.2059257742872411</v>
      </c>
      <c r="M5" s="265">
        <f t="shared" ref="M5:M36" si="3">SUM(K5:L5)</f>
        <v>1.4006576844534708</v>
      </c>
      <c r="N5" s="265" t="e">
        <f>DIST_ALC_LEV!AA59</f>
        <v>#VALUE!</v>
      </c>
      <c r="O5" s="265" t="e">
        <f>DIST_ALC_LEV!AB59</f>
        <v>#DIV/0!</v>
      </c>
      <c r="P5" s="265" t="e">
        <f t="shared" ref="P5:P36" si="4">SUM(N5:O5)</f>
        <v>#VALUE!</v>
      </c>
      <c r="R5" s="4" t="s">
        <v>46</v>
      </c>
      <c r="S5" s="265">
        <f t="shared" ref="S5:S36" si="5">B5/$D5</f>
        <v>0.85637293474611043</v>
      </c>
      <c r="T5" s="265">
        <f t="shared" ref="T5:T36" si="6">C5/$D5</f>
        <v>0.14362706525388952</v>
      </c>
      <c r="U5" s="265">
        <f t="shared" ref="U5:U36" si="7">SUM(S5:T5)</f>
        <v>1</v>
      </c>
      <c r="V5" s="265">
        <f t="shared" ref="V5:V36" si="8">E5/$G5</f>
        <v>0.85505668750163677</v>
      </c>
      <c r="W5" s="265">
        <f t="shared" ref="W5:W36" si="9">F5/$G5</f>
        <v>0.14494331249836329</v>
      </c>
      <c r="X5" s="265">
        <f t="shared" ref="X5:X36" si="10">SUM(V5:W5)</f>
        <v>1</v>
      </c>
      <c r="Y5" s="265">
        <f t="shared" ref="Y5:Y36" si="11">H5/$J5</f>
        <v>0.85485747885043306</v>
      </c>
      <c r="Z5" s="265">
        <f t="shared" ref="Z5:Z36" si="12">I5/$J5</f>
        <v>0.14514252114956699</v>
      </c>
      <c r="AA5" s="265">
        <f t="shared" ref="AA5:AA36" si="13">SUM(Y5:Z5)</f>
        <v>1</v>
      </c>
      <c r="AB5" s="265">
        <f t="shared" ref="AB5:AB36" si="14">K5/$M5</f>
        <v>0.85297922784924263</v>
      </c>
      <c r="AC5" s="265">
        <f t="shared" ref="AC5:AC36" si="15">L5/$M5</f>
        <v>0.14702077215075735</v>
      </c>
      <c r="AD5" s="265">
        <f t="shared" ref="AD5:AD36" si="16">SUM(AB5:AC5)</f>
        <v>1</v>
      </c>
      <c r="AE5" s="265" t="e">
        <f t="shared" ref="AE5:AE36" si="17">N5/$P5</f>
        <v>#VALUE!</v>
      </c>
      <c r="AF5" s="265" t="e">
        <f t="shared" ref="AF5:AF36" si="18">O5/$P5</f>
        <v>#DIV/0!</v>
      </c>
      <c r="AG5" s="265" t="e">
        <f t="shared" ref="AG5:AG36" si="19">SUM(AE5:AF5)</f>
        <v>#VALUE!</v>
      </c>
    </row>
    <row r="6" spans="1:33" ht="15.75" thickBot="1">
      <c r="A6" s="127" t="s">
        <v>13</v>
      </c>
      <c r="B6" s="265">
        <f>DIST_ALC_LEV!S60</f>
        <v>1.1003175549428932</v>
      </c>
      <c r="C6" s="265">
        <f>DIST_ALC_LEV!T60</f>
        <v>0.1702140932926047</v>
      </c>
      <c r="D6" s="265">
        <f t="shared" si="0"/>
        <v>1.2705316482354978</v>
      </c>
      <c r="E6" s="265">
        <f>DIST_ALC_LEV!U60</f>
        <v>1.0656684426090641</v>
      </c>
      <c r="F6" s="265">
        <f>DIST_ALC_LEV!V60</f>
        <v>0.16596670223697613</v>
      </c>
      <c r="G6" s="265">
        <f t="shared" si="1"/>
        <v>1.2316351448460403</v>
      </c>
      <c r="H6" s="265">
        <f>DIST_ALC_LEV!W60</f>
        <v>1.1979651303053471</v>
      </c>
      <c r="I6" s="265">
        <f>DIST_ALC_LEV!X60</f>
        <v>0.18470783286369272</v>
      </c>
      <c r="J6" s="265">
        <f t="shared" si="2"/>
        <v>1.3826729631690398</v>
      </c>
      <c r="K6" s="265">
        <f>DIST_ALC_LEV!Y60</f>
        <v>1.2781409892199063</v>
      </c>
      <c r="L6" s="265">
        <f>DIST_ALC_LEV!Z60</f>
        <v>0.19773639634158707</v>
      </c>
      <c r="M6" s="265">
        <f t="shared" si="3"/>
        <v>1.4758773855614933</v>
      </c>
      <c r="N6" s="265" t="e">
        <f>DIST_ALC_LEV!AA60</f>
        <v>#VALUE!</v>
      </c>
      <c r="O6" s="265" t="e">
        <f>DIST_ALC_LEV!AB60</f>
        <v>#DIV/0!</v>
      </c>
      <c r="P6" s="265" t="e">
        <f t="shared" si="4"/>
        <v>#VALUE!</v>
      </c>
      <c r="R6" s="127" t="s">
        <v>13</v>
      </c>
      <c r="S6" s="265">
        <f t="shared" si="5"/>
        <v>0.86602923781631391</v>
      </c>
      <c r="T6" s="265">
        <f t="shared" si="6"/>
        <v>0.13397076218368617</v>
      </c>
      <c r="U6" s="265">
        <f t="shared" si="7"/>
        <v>1</v>
      </c>
      <c r="V6" s="265">
        <f t="shared" si="8"/>
        <v>0.86524686070262902</v>
      </c>
      <c r="W6" s="265">
        <f t="shared" si="9"/>
        <v>0.13475313929737096</v>
      </c>
      <c r="X6" s="265">
        <f t="shared" si="10"/>
        <v>1</v>
      </c>
      <c r="Y6" s="265">
        <f t="shared" si="11"/>
        <v>0.86641249392745157</v>
      </c>
      <c r="Z6" s="265">
        <f t="shared" si="12"/>
        <v>0.13358750607254849</v>
      </c>
      <c r="AA6" s="265">
        <f t="shared" si="13"/>
        <v>1</v>
      </c>
      <c r="AB6" s="265">
        <f t="shared" si="14"/>
        <v>0.8660211218926166</v>
      </c>
      <c r="AC6" s="265">
        <f t="shared" si="15"/>
        <v>0.13397887810738346</v>
      </c>
      <c r="AD6" s="265">
        <f t="shared" si="16"/>
        <v>1</v>
      </c>
      <c r="AE6" s="265" t="e">
        <f t="shared" si="17"/>
        <v>#VALUE!</v>
      </c>
      <c r="AF6" s="265" t="e">
        <f t="shared" si="18"/>
        <v>#DIV/0!</v>
      </c>
      <c r="AG6" s="265" t="e">
        <f t="shared" si="19"/>
        <v>#VALUE!</v>
      </c>
    </row>
    <row r="7" spans="1:33" ht="15.75" thickBot="1">
      <c r="A7" s="127" t="s">
        <v>14</v>
      </c>
      <c r="B7" s="265">
        <f>DIST_ALC_LEV!S61</f>
        <v>0.80754142508285887</v>
      </c>
      <c r="C7" s="265">
        <f>DIST_ALC_LEV!T61</f>
        <v>0.14168601930331098</v>
      </c>
      <c r="D7" s="265">
        <f t="shared" si="0"/>
        <v>0.94922744438616991</v>
      </c>
      <c r="E7" s="265">
        <f>DIST_ALC_LEV!U61</f>
        <v>0.81321660469521917</v>
      </c>
      <c r="F7" s="265">
        <f>DIST_ALC_LEV!V61</f>
        <v>0.1474810299319301</v>
      </c>
      <c r="G7" s="265">
        <f t="shared" si="1"/>
        <v>0.9606976346271493</v>
      </c>
      <c r="H7" s="265">
        <f>DIST_ALC_LEV!W61</f>
        <v>0.89839558367312811</v>
      </c>
      <c r="I7" s="265">
        <f>DIST_ALC_LEV!X61</f>
        <v>0.16379682460808068</v>
      </c>
      <c r="J7" s="265">
        <f t="shared" si="2"/>
        <v>1.0621924082812089</v>
      </c>
      <c r="K7" s="265">
        <f>DIST_ALC_LEV!Y61</f>
        <v>0.8550121111528336</v>
      </c>
      <c r="L7" s="265">
        <f>DIST_ALC_LEV!Z61</f>
        <v>0.16181591358954675</v>
      </c>
      <c r="M7" s="265">
        <f t="shared" si="3"/>
        <v>1.0168280247423804</v>
      </c>
      <c r="N7" s="265" t="e">
        <f>DIST_ALC_LEV!AA61</f>
        <v>#DIV/0!</v>
      </c>
      <c r="O7" s="265" t="e">
        <f>DIST_ALC_LEV!AB61</f>
        <v>#DIV/0!</v>
      </c>
      <c r="P7" s="265" t="e">
        <f t="shared" si="4"/>
        <v>#DIV/0!</v>
      </c>
      <c r="R7" s="127" t="s">
        <v>14</v>
      </c>
      <c r="S7" s="265">
        <f t="shared" si="5"/>
        <v>0.85073543739042001</v>
      </c>
      <c r="T7" s="265">
        <f t="shared" si="6"/>
        <v>0.1492645626095799</v>
      </c>
      <c r="U7" s="265">
        <f t="shared" si="7"/>
        <v>0.99999999999999989</v>
      </c>
      <c r="V7" s="265">
        <f t="shared" si="8"/>
        <v>0.84648548657125811</v>
      </c>
      <c r="W7" s="265">
        <f t="shared" si="9"/>
        <v>0.15351451342874192</v>
      </c>
      <c r="X7" s="265">
        <f t="shared" si="10"/>
        <v>1</v>
      </c>
      <c r="Y7" s="265">
        <f t="shared" si="11"/>
        <v>0.84579364027546644</v>
      </c>
      <c r="Z7" s="265">
        <f t="shared" si="12"/>
        <v>0.15420635972453353</v>
      </c>
      <c r="AA7" s="265">
        <f t="shared" si="13"/>
        <v>1</v>
      </c>
      <c r="AB7" s="265">
        <f t="shared" si="14"/>
        <v>0.84086206354260951</v>
      </c>
      <c r="AC7" s="265">
        <f t="shared" si="15"/>
        <v>0.15913793645739041</v>
      </c>
      <c r="AD7" s="265">
        <f t="shared" si="16"/>
        <v>0.99999999999999989</v>
      </c>
      <c r="AE7" s="265" t="e">
        <f t="shared" si="17"/>
        <v>#DIV/0!</v>
      </c>
      <c r="AF7" s="265" t="e">
        <f t="shared" si="18"/>
        <v>#DIV/0!</v>
      </c>
      <c r="AG7" s="265" t="e">
        <f t="shared" si="19"/>
        <v>#DIV/0!</v>
      </c>
    </row>
    <row r="8" spans="1:33" ht="15.75" thickBot="1">
      <c r="A8" s="127" t="s">
        <v>15</v>
      </c>
      <c r="B8" s="265">
        <f>DIST_ALC_LEV!S62</f>
        <v>0.78670283379296646</v>
      </c>
      <c r="C8" s="265">
        <f>DIST_ALC_LEV!T62</f>
        <v>0.14185426304050455</v>
      </c>
      <c r="D8" s="265">
        <f t="shared" si="0"/>
        <v>0.92855709683347099</v>
      </c>
      <c r="E8" s="265">
        <f>DIST_ALC_LEV!U62</f>
        <v>0.80158694300818356</v>
      </c>
      <c r="F8" s="265">
        <f>DIST_ALC_LEV!V62</f>
        <v>0.15181332675139581</v>
      </c>
      <c r="G8" s="265">
        <f t="shared" si="1"/>
        <v>0.95340026975957937</v>
      </c>
      <c r="H8" s="265">
        <f>DIST_ALC_LEV!W62</f>
        <v>0.90053217941812669</v>
      </c>
      <c r="I8" s="265">
        <f>DIST_ALC_LEV!X62</f>
        <v>0.17413243308508425</v>
      </c>
      <c r="J8" s="265">
        <f t="shared" si="2"/>
        <v>1.0746646125032109</v>
      </c>
      <c r="K8" s="265">
        <f>DIST_ALC_LEV!Y62</f>
        <v>0.94082853414318479</v>
      </c>
      <c r="L8" s="265">
        <f>DIST_ALC_LEV!Z62</f>
        <v>0.18646924343133184</v>
      </c>
      <c r="M8" s="265">
        <f t="shared" si="3"/>
        <v>1.1272977775745165</v>
      </c>
      <c r="N8" s="265" t="e">
        <f>DIST_ALC_LEV!AA62</f>
        <v>#DIV/0!</v>
      </c>
      <c r="O8" s="265" t="e">
        <f>DIST_ALC_LEV!AB62</f>
        <v>#DIV/0!</v>
      </c>
      <c r="P8" s="265" t="e">
        <f t="shared" si="4"/>
        <v>#DIV/0!</v>
      </c>
      <c r="R8" s="127" t="s">
        <v>15</v>
      </c>
      <c r="S8" s="265">
        <f t="shared" si="5"/>
        <v>0.84723151271553432</v>
      </c>
      <c r="T8" s="265">
        <f t="shared" si="6"/>
        <v>0.15276848728446576</v>
      </c>
      <c r="U8" s="265">
        <f t="shared" si="7"/>
        <v>1</v>
      </c>
      <c r="V8" s="265">
        <f t="shared" si="8"/>
        <v>0.84076643193138723</v>
      </c>
      <c r="W8" s="265">
        <f t="shared" si="9"/>
        <v>0.15923356806861283</v>
      </c>
      <c r="X8" s="265">
        <f t="shared" si="10"/>
        <v>1</v>
      </c>
      <c r="Y8" s="265">
        <f t="shared" si="11"/>
        <v>0.8379657885268238</v>
      </c>
      <c r="Z8" s="265">
        <f t="shared" si="12"/>
        <v>0.16203421147317623</v>
      </c>
      <c r="AA8" s="265">
        <f t="shared" si="13"/>
        <v>1</v>
      </c>
      <c r="AB8" s="265">
        <f t="shared" si="14"/>
        <v>0.83458741147122883</v>
      </c>
      <c r="AC8" s="265">
        <f t="shared" si="15"/>
        <v>0.16541258852877128</v>
      </c>
      <c r="AD8" s="265">
        <f t="shared" si="16"/>
        <v>1</v>
      </c>
      <c r="AE8" s="265" t="e">
        <f t="shared" si="17"/>
        <v>#DIV/0!</v>
      </c>
      <c r="AF8" s="265" t="e">
        <f t="shared" si="18"/>
        <v>#DIV/0!</v>
      </c>
      <c r="AG8" s="265" t="e">
        <f t="shared" si="19"/>
        <v>#DIV/0!</v>
      </c>
    </row>
    <row r="9" spans="1:33" ht="15.75" thickBot="1">
      <c r="A9" s="127" t="s">
        <v>16</v>
      </c>
      <c r="B9" s="265">
        <f>DIST_ALC_LEV!S63</f>
        <v>1.1397572677177288</v>
      </c>
      <c r="C9" s="265">
        <f>DIST_ALC_LEV!T63</f>
        <v>0.15876841045392995</v>
      </c>
      <c r="D9" s="265">
        <f t="shared" si="0"/>
        <v>1.2985256781716588</v>
      </c>
      <c r="E9" s="265">
        <f>DIST_ALC_LEV!U63</f>
        <v>1.1351160006612462</v>
      </c>
      <c r="F9" s="265">
        <f>DIST_ALC_LEV!V63</f>
        <v>0.16300136247217972</v>
      </c>
      <c r="G9" s="265">
        <f t="shared" si="1"/>
        <v>1.298117363133426</v>
      </c>
      <c r="H9" s="265">
        <f>DIST_ALC_LEV!W63</f>
        <v>1.2478049605493045</v>
      </c>
      <c r="I9" s="265">
        <f>DIST_ALC_LEV!X63</f>
        <v>0.18171414033033736</v>
      </c>
      <c r="J9" s="265">
        <f t="shared" si="2"/>
        <v>1.4295191008796417</v>
      </c>
      <c r="K9" s="265">
        <f>DIST_ALC_LEV!Y63</f>
        <v>1.2339577099411394</v>
      </c>
      <c r="L9" s="265">
        <f>DIST_ALC_LEV!Z63</f>
        <v>0.1853939272732367</v>
      </c>
      <c r="M9" s="265">
        <f t="shared" si="3"/>
        <v>1.4193516372143762</v>
      </c>
      <c r="N9" s="265" t="e">
        <f>DIST_ALC_LEV!AA63</f>
        <v>#DIV/0!</v>
      </c>
      <c r="O9" s="265" t="e">
        <f>DIST_ALC_LEV!AB63</f>
        <v>#DIV/0!</v>
      </c>
      <c r="P9" s="265" t="e">
        <f t="shared" si="4"/>
        <v>#DIV/0!</v>
      </c>
      <c r="R9" s="127" t="s">
        <v>16</v>
      </c>
      <c r="S9" s="265">
        <f t="shared" si="5"/>
        <v>0.87773178988845413</v>
      </c>
      <c r="T9" s="265">
        <f t="shared" si="6"/>
        <v>0.12226821011154586</v>
      </c>
      <c r="U9" s="265">
        <f t="shared" si="7"/>
        <v>1</v>
      </c>
      <c r="V9" s="265">
        <f t="shared" si="8"/>
        <v>0.87443249192914019</v>
      </c>
      <c r="W9" s="265">
        <f t="shared" si="9"/>
        <v>0.12556750807085981</v>
      </c>
      <c r="X9" s="265">
        <f t="shared" si="10"/>
        <v>1</v>
      </c>
      <c r="Y9" s="265">
        <f t="shared" si="11"/>
        <v>0.87288442650502462</v>
      </c>
      <c r="Z9" s="265">
        <f t="shared" si="12"/>
        <v>0.12711557349497549</v>
      </c>
      <c r="AA9" s="265">
        <f t="shared" si="13"/>
        <v>1</v>
      </c>
      <c r="AB9" s="265">
        <f t="shared" si="14"/>
        <v>0.86938125661580845</v>
      </c>
      <c r="AC9" s="265">
        <f t="shared" si="15"/>
        <v>0.13061874338419152</v>
      </c>
      <c r="AD9" s="265">
        <f t="shared" si="16"/>
        <v>1</v>
      </c>
      <c r="AE9" s="265" t="e">
        <f t="shared" si="17"/>
        <v>#DIV/0!</v>
      </c>
      <c r="AF9" s="265" t="e">
        <f t="shared" si="18"/>
        <v>#DIV/0!</v>
      </c>
      <c r="AG9" s="265" t="e">
        <f t="shared" si="19"/>
        <v>#DIV/0!</v>
      </c>
    </row>
    <row r="10" spans="1:33" ht="15.75" thickBot="1">
      <c r="A10" s="127" t="s">
        <v>17</v>
      </c>
      <c r="B10" s="265">
        <f>DIST_ALC_LEV!S64</f>
        <v>1.3317103043356115</v>
      </c>
      <c r="C10" s="265">
        <f>DIST_ALC_LEV!T64</f>
        <v>0.2367546777341539</v>
      </c>
      <c r="D10" s="265">
        <f t="shared" si="0"/>
        <v>1.5684649820697654</v>
      </c>
      <c r="E10" s="265">
        <f>DIST_ALC_LEV!U64</f>
        <v>1.3483849209953256</v>
      </c>
      <c r="F10" s="265">
        <f>DIST_ALC_LEV!V64</f>
        <v>0.23863254002489379</v>
      </c>
      <c r="G10" s="265">
        <f t="shared" si="1"/>
        <v>1.5870174610202195</v>
      </c>
      <c r="H10" s="265">
        <f>DIST_ALC_LEV!W64</f>
        <v>1.5399939338395878</v>
      </c>
      <c r="I10" s="265">
        <f>DIST_ALC_LEV!X64</f>
        <v>0.2705543982788341</v>
      </c>
      <c r="J10" s="265">
        <f t="shared" si="2"/>
        <v>1.8105483321184219</v>
      </c>
      <c r="K10" s="265">
        <f>DIST_ALC_LEV!Y64</f>
        <v>1.6196112652518833</v>
      </c>
      <c r="L10" s="265">
        <f>DIST_ALC_LEV!Z64</f>
        <v>0.28399417935741594</v>
      </c>
      <c r="M10" s="265">
        <f t="shared" si="3"/>
        <v>1.9036054446092991</v>
      </c>
      <c r="N10" s="265" t="e">
        <f>DIST_ALC_LEV!AA64</f>
        <v>#DIV/0!</v>
      </c>
      <c r="O10" s="265" t="e">
        <f>DIST_ALC_LEV!AB64</f>
        <v>#DIV/0!</v>
      </c>
      <c r="P10" s="265" t="e">
        <f t="shared" si="4"/>
        <v>#DIV/0!</v>
      </c>
      <c r="R10" s="127" t="s">
        <v>17</v>
      </c>
      <c r="S10" s="265">
        <f t="shared" si="5"/>
        <v>0.84905325879719074</v>
      </c>
      <c r="T10" s="265">
        <f t="shared" si="6"/>
        <v>0.15094674120280938</v>
      </c>
      <c r="U10" s="265">
        <f t="shared" si="7"/>
        <v>1</v>
      </c>
      <c r="V10" s="265">
        <f t="shared" si="8"/>
        <v>0.84963458444150441</v>
      </c>
      <c r="W10" s="265">
        <f t="shared" si="9"/>
        <v>0.15036541555849553</v>
      </c>
      <c r="X10" s="265">
        <f t="shared" si="10"/>
        <v>1</v>
      </c>
      <c r="Y10" s="265">
        <f t="shared" si="11"/>
        <v>0.85056770179547014</v>
      </c>
      <c r="Z10" s="265">
        <f t="shared" si="12"/>
        <v>0.1494322982045298</v>
      </c>
      <c r="AA10" s="265">
        <f t="shared" si="13"/>
        <v>1</v>
      </c>
      <c r="AB10" s="265">
        <f t="shared" si="14"/>
        <v>0.85081247788944858</v>
      </c>
      <c r="AC10" s="265">
        <f t="shared" si="15"/>
        <v>0.14918752211055145</v>
      </c>
      <c r="AD10" s="265">
        <f t="shared" si="16"/>
        <v>1</v>
      </c>
      <c r="AE10" s="265" t="e">
        <f t="shared" si="17"/>
        <v>#DIV/0!</v>
      </c>
      <c r="AF10" s="265" t="e">
        <f t="shared" si="18"/>
        <v>#DIV/0!</v>
      </c>
      <c r="AG10" s="265" t="e">
        <f t="shared" si="19"/>
        <v>#DIV/0!</v>
      </c>
    </row>
    <row r="11" spans="1:33" ht="15.75" thickBot="1">
      <c r="A11" s="127" t="s">
        <v>18</v>
      </c>
      <c r="B11" s="265">
        <f>DIST_ALC_LEV!S65</f>
        <v>0.8168091410824122</v>
      </c>
      <c r="C11" s="265">
        <f>DIST_ALC_LEV!T65</f>
        <v>0.17537505285480684</v>
      </c>
      <c r="D11" s="265">
        <f t="shared" si="0"/>
        <v>0.99218419393721902</v>
      </c>
      <c r="E11" s="265">
        <f>DIST_ALC_LEV!U65</f>
        <v>0.8225456810289834</v>
      </c>
      <c r="F11" s="265">
        <f>DIST_ALC_LEV!V65</f>
        <v>0.17639578948414861</v>
      </c>
      <c r="G11" s="265">
        <f t="shared" si="1"/>
        <v>0.99894147051313198</v>
      </c>
      <c r="H11" s="265">
        <f>DIST_ALC_LEV!W65</f>
        <v>0.97875314861928964</v>
      </c>
      <c r="I11" s="265">
        <f>DIST_ALC_LEV!X65</f>
        <v>0.20921321962943293</v>
      </c>
      <c r="J11" s="265">
        <f t="shared" si="2"/>
        <v>1.1879663682487225</v>
      </c>
      <c r="K11" s="265">
        <f>DIST_ALC_LEV!Y65</f>
        <v>0.97498644813212365</v>
      </c>
      <c r="L11" s="265">
        <f>DIST_ALC_LEV!Z65</f>
        <v>0.21312161309763689</v>
      </c>
      <c r="M11" s="265">
        <f t="shared" si="3"/>
        <v>1.1881080612297605</v>
      </c>
      <c r="N11" s="265" t="e">
        <f>DIST_ALC_LEV!AA65</f>
        <v>#DIV/0!</v>
      </c>
      <c r="O11" s="265" t="e">
        <f>DIST_ALC_LEV!AB65</f>
        <v>#DIV/0!</v>
      </c>
      <c r="P11" s="265" t="e">
        <f t="shared" si="4"/>
        <v>#DIV/0!</v>
      </c>
      <c r="R11" s="127" t="s">
        <v>18</v>
      </c>
      <c r="S11" s="265">
        <f t="shared" si="5"/>
        <v>0.82324345224763396</v>
      </c>
      <c r="T11" s="265">
        <f t="shared" si="6"/>
        <v>0.17675654775236602</v>
      </c>
      <c r="U11" s="265">
        <f t="shared" si="7"/>
        <v>1</v>
      </c>
      <c r="V11" s="265">
        <f t="shared" si="8"/>
        <v>0.82341729251310558</v>
      </c>
      <c r="W11" s="265">
        <f t="shared" si="9"/>
        <v>0.17658270748689447</v>
      </c>
      <c r="X11" s="265">
        <f t="shared" si="10"/>
        <v>1</v>
      </c>
      <c r="Y11" s="265">
        <f t="shared" si="11"/>
        <v>0.82388961066477751</v>
      </c>
      <c r="Z11" s="265">
        <f t="shared" si="12"/>
        <v>0.17611038933522258</v>
      </c>
      <c r="AA11" s="265">
        <f t="shared" si="13"/>
        <v>1</v>
      </c>
      <c r="AB11" s="265">
        <f t="shared" si="14"/>
        <v>0.82062101920506814</v>
      </c>
      <c r="AC11" s="265">
        <f t="shared" si="15"/>
        <v>0.17937898079493181</v>
      </c>
      <c r="AD11" s="265">
        <f t="shared" si="16"/>
        <v>1</v>
      </c>
      <c r="AE11" s="265" t="e">
        <f t="shared" si="17"/>
        <v>#DIV/0!</v>
      </c>
      <c r="AF11" s="265" t="e">
        <f t="shared" si="18"/>
        <v>#DIV/0!</v>
      </c>
      <c r="AG11" s="265" t="e">
        <f t="shared" si="19"/>
        <v>#DIV/0!</v>
      </c>
    </row>
    <row r="12" spans="1:33" ht="15.75" thickBot="1">
      <c r="A12" s="128" t="s">
        <v>19</v>
      </c>
      <c r="B12" s="265">
        <f>DIST_ALC_LEV!S66</f>
        <v>1.0818729473062523</v>
      </c>
      <c r="C12" s="265">
        <f>DIST_ALC_LEV!T66</f>
        <v>0.18070251627144271</v>
      </c>
      <c r="D12" s="265">
        <f t="shared" si="0"/>
        <v>1.2625754635776949</v>
      </c>
      <c r="E12" s="265">
        <f>DIST_ALC_LEV!U66</f>
        <v>1.0506350951143886</v>
      </c>
      <c r="F12" s="265">
        <f>DIST_ALC_LEV!V66</f>
        <v>0.17936278027015398</v>
      </c>
      <c r="G12" s="265">
        <f t="shared" si="1"/>
        <v>1.2299978753845426</v>
      </c>
      <c r="H12" s="265">
        <f>DIST_ALC_LEV!W66</f>
        <v>1.2316299858411022</v>
      </c>
      <c r="I12" s="265">
        <f>DIST_ALC_LEV!X66</f>
        <v>0.20667109362601874</v>
      </c>
      <c r="J12" s="265">
        <f t="shared" si="2"/>
        <v>1.4383010794671209</v>
      </c>
      <c r="K12" s="265">
        <f>DIST_ALC_LEV!Y66</f>
        <v>1.2546132734922346</v>
      </c>
      <c r="L12" s="265">
        <f>DIST_ALC_LEV!Z66</f>
        <v>0.20778281639709759</v>
      </c>
      <c r="M12" s="265">
        <f t="shared" si="3"/>
        <v>1.4623960898893322</v>
      </c>
      <c r="N12" s="265" t="e">
        <f>DIST_ALC_LEV!AA66</f>
        <v>#DIV/0!</v>
      </c>
      <c r="O12" s="265" t="e">
        <f>DIST_ALC_LEV!AB66</f>
        <v>#DIV/0!</v>
      </c>
      <c r="P12" s="265" t="e">
        <f t="shared" si="4"/>
        <v>#DIV/0!</v>
      </c>
      <c r="R12" s="128" t="s">
        <v>19</v>
      </c>
      <c r="S12" s="265">
        <f t="shared" si="5"/>
        <v>0.85687784890148644</v>
      </c>
      <c r="T12" s="265">
        <f t="shared" si="6"/>
        <v>0.14312215109851362</v>
      </c>
      <c r="U12" s="265">
        <f t="shared" si="7"/>
        <v>1</v>
      </c>
      <c r="V12" s="265">
        <f t="shared" si="8"/>
        <v>0.85417634952086507</v>
      </c>
      <c r="W12" s="265">
        <f t="shared" si="9"/>
        <v>0.14582365047913484</v>
      </c>
      <c r="X12" s="265">
        <f t="shared" si="10"/>
        <v>0.99999999999999989</v>
      </c>
      <c r="Y12" s="265">
        <f t="shared" si="11"/>
        <v>0.8563088795688113</v>
      </c>
      <c r="Z12" s="265">
        <f t="shared" si="12"/>
        <v>0.14369112043118867</v>
      </c>
      <c r="AA12" s="265">
        <f t="shared" si="13"/>
        <v>1</v>
      </c>
      <c r="AB12" s="265">
        <f t="shared" si="14"/>
        <v>0.85791618438146833</v>
      </c>
      <c r="AC12" s="265">
        <f t="shared" si="15"/>
        <v>0.1420838156185317</v>
      </c>
      <c r="AD12" s="265">
        <f t="shared" si="16"/>
        <v>1</v>
      </c>
      <c r="AE12" s="265" t="e">
        <f t="shared" si="17"/>
        <v>#DIV/0!</v>
      </c>
      <c r="AF12" s="265" t="e">
        <f t="shared" si="18"/>
        <v>#DIV/0!</v>
      </c>
      <c r="AG12" s="265" t="e">
        <f t="shared" si="19"/>
        <v>#DIV/0!</v>
      </c>
    </row>
    <row r="13" spans="1:33" ht="26.25" thickBot="1">
      <c r="A13" s="4" t="s">
        <v>54</v>
      </c>
      <c r="B13" s="265">
        <f>DIST_ALC_LEV!S67</f>
        <v>1.4020003750183676</v>
      </c>
      <c r="C13" s="265">
        <f>DIST_ALC_LEV!T67</f>
        <v>0.18404821133909929</v>
      </c>
      <c r="D13" s="265">
        <f t="shared" si="0"/>
        <v>1.5860485863574669</v>
      </c>
      <c r="E13" s="265">
        <f>DIST_ALC_LEV!U67</f>
        <v>0.99796849307827296</v>
      </c>
      <c r="F13" s="265">
        <f>DIST_ALC_LEV!V67</f>
        <v>0.13939681196868842</v>
      </c>
      <c r="G13" s="265">
        <f t="shared" si="1"/>
        <v>1.1373653050469614</v>
      </c>
      <c r="H13" s="265">
        <f>DIST_ALC_LEV!W67</f>
        <v>1.165114434515794</v>
      </c>
      <c r="I13" s="265">
        <f>DIST_ALC_LEV!X67</f>
        <v>0.16276329194638889</v>
      </c>
      <c r="J13" s="265">
        <f t="shared" si="2"/>
        <v>1.3278777264621828</v>
      </c>
      <c r="K13" s="265">
        <f>DIST_ALC_LEV!Y67</f>
        <v>1.2044341137792098</v>
      </c>
      <c r="L13" s="265">
        <f>DIST_ALC_LEV!Z67</f>
        <v>0.17072240803401834</v>
      </c>
      <c r="M13" s="265">
        <f t="shared" si="3"/>
        <v>1.3751565218132282</v>
      </c>
      <c r="N13" s="265" t="e">
        <f>DIST_ALC_LEV!AA67</f>
        <v>#DIV/0!</v>
      </c>
      <c r="O13" s="265" t="e">
        <f>DIST_ALC_LEV!AB67</f>
        <v>#DIV/0!</v>
      </c>
      <c r="P13" s="265" t="e">
        <f t="shared" si="4"/>
        <v>#DIV/0!</v>
      </c>
      <c r="R13" s="4" t="s">
        <v>54</v>
      </c>
      <c r="S13" s="265">
        <f t="shared" si="5"/>
        <v>0.88395802441223692</v>
      </c>
      <c r="T13" s="265">
        <f t="shared" si="6"/>
        <v>0.11604197558776307</v>
      </c>
      <c r="U13" s="265">
        <f t="shared" si="7"/>
        <v>1</v>
      </c>
      <c r="V13" s="265">
        <f t="shared" si="8"/>
        <v>0.87743883926287625</v>
      </c>
      <c r="W13" s="265">
        <f t="shared" si="9"/>
        <v>0.12256116073712374</v>
      </c>
      <c r="X13" s="265">
        <f t="shared" si="10"/>
        <v>1</v>
      </c>
      <c r="Y13" s="265">
        <f t="shared" si="11"/>
        <v>0.87742599434962043</v>
      </c>
      <c r="Z13" s="265">
        <f t="shared" si="12"/>
        <v>0.12257400565037965</v>
      </c>
      <c r="AA13" s="265">
        <f t="shared" si="13"/>
        <v>1</v>
      </c>
      <c r="AB13" s="265">
        <f t="shared" si="14"/>
        <v>0.8758523809283103</v>
      </c>
      <c r="AC13" s="265">
        <f t="shared" si="15"/>
        <v>0.12414761907168965</v>
      </c>
      <c r="AD13" s="265">
        <f t="shared" si="16"/>
        <v>1</v>
      </c>
      <c r="AE13" s="265" t="e">
        <f t="shared" si="17"/>
        <v>#DIV/0!</v>
      </c>
      <c r="AF13" s="265" t="e">
        <f t="shared" si="18"/>
        <v>#DIV/0!</v>
      </c>
      <c r="AG13" s="265" t="e">
        <f t="shared" si="19"/>
        <v>#DIV/0!</v>
      </c>
    </row>
    <row r="14" spans="1:33" ht="15.75" thickBot="1">
      <c r="A14" s="127" t="s">
        <v>21</v>
      </c>
      <c r="B14" s="265">
        <f>DIST_ALC_LEV!S68</f>
        <v>0.8439682955733111</v>
      </c>
      <c r="C14" s="265">
        <f>DIST_ALC_LEV!T68</f>
        <v>0.11705351455206991</v>
      </c>
      <c r="D14" s="265">
        <f t="shared" si="0"/>
        <v>0.96102181012538102</v>
      </c>
      <c r="E14" s="265">
        <f>DIST_ALC_LEV!U68</f>
        <v>1.0808339520677912</v>
      </c>
      <c r="F14" s="265">
        <f>DIST_ALC_LEV!V68</f>
        <v>0.14627248587049529</v>
      </c>
      <c r="G14" s="265">
        <f t="shared" si="1"/>
        <v>1.2271064379382866</v>
      </c>
      <c r="H14" s="265">
        <f>DIST_ALC_LEV!W68</f>
        <v>1.206310976215796</v>
      </c>
      <c r="I14" s="265">
        <f>DIST_ALC_LEV!X68</f>
        <v>0.1638922018033839</v>
      </c>
      <c r="J14" s="265">
        <f t="shared" si="2"/>
        <v>1.3702031780191799</v>
      </c>
      <c r="K14" s="265">
        <f>DIST_ALC_LEV!Y68</f>
        <v>1.2526877225009698</v>
      </c>
      <c r="L14" s="265">
        <f>DIST_ALC_LEV!Z68</f>
        <v>0.17217832514353509</v>
      </c>
      <c r="M14" s="265">
        <f t="shared" si="3"/>
        <v>1.424866047644505</v>
      </c>
      <c r="N14" s="265" t="e">
        <f>DIST_ALC_LEV!AA68</f>
        <v>#DIV/0!</v>
      </c>
      <c r="O14" s="265" t="e">
        <f>DIST_ALC_LEV!AB68</f>
        <v>#DIV/0!</v>
      </c>
      <c r="P14" s="265" t="e">
        <f t="shared" si="4"/>
        <v>#DIV/0!</v>
      </c>
      <c r="R14" s="127" t="s">
        <v>21</v>
      </c>
      <c r="S14" s="265">
        <f t="shared" si="5"/>
        <v>0.87819889900646653</v>
      </c>
      <c r="T14" s="265">
        <f t="shared" si="6"/>
        <v>0.1218011009935335</v>
      </c>
      <c r="U14" s="265">
        <f t="shared" si="7"/>
        <v>1</v>
      </c>
      <c r="V14" s="265">
        <f t="shared" si="8"/>
        <v>0.88079886035293409</v>
      </c>
      <c r="W14" s="265">
        <f t="shared" si="9"/>
        <v>0.1192011396470659</v>
      </c>
      <c r="X14" s="265">
        <f t="shared" si="10"/>
        <v>1</v>
      </c>
      <c r="Y14" s="265">
        <f t="shared" si="11"/>
        <v>0.88038839463187279</v>
      </c>
      <c r="Z14" s="265">
        <f t="shared" si="12"/>
        <v>0.11961160536812721</v>
      </c>
      <c r="AA14" s="265">
        <f t="shared" si="13"/>
        <v>1</v>
      </c>
      <c r="AB14" s="265">
        <f t="shared" si="14"/>
        <v>0.87916174616682807</v>
      </c>
      <c r="AC14" s="265">
        <f t="shared" si="15"/>
        <v>0.1208382538331719</v>
      </c>
      <c r="AD14" s="265">
        <f t="shared" si="16"/>
        <v>1</v>
      </c>
      <c r="AE14" s="265" t="e">
        <f t="shared" si="17"/>
        <v>#DIV/0!</v>
      </c>
      <c r="AF14" s="265" t="e">
        <f t="shared" si="18"/>
        <v>#DIV/0!</v>
      </c>
      <c r="AG14" s="265" t="e">
        <f t="shared" si="19"/>
        <v>#DIV/0!</v>
      </c>
    </row>
    <row r="15" spans="1:33" ht="15.75" thickBot="1">
      <c r="A15" s="127" t="s">
        <v>22</v>
      </c>
      <c r="B15" s="265">
        <f>DIST_ALC_LEV!S69</f>
        <v>1.7855549675237254</v>
      </c>
      <c r="C15" s="265">
        <f>DIST_ALC_LEV!T69</f>
        <v>0.24745736130776091</v>
      </c>
      <c r="D15" s="265">
        <f t="shared" si="0"/>
        <v>2.0330123288314863</v>
      </c>
      <c r="E15" s="265">
        <f>DIST_ALC_LEV!U69</f>
        <v>0.88494474066282658</v>
      </c>
      <c r="F15" s="265">
        <f>DIST_ALC_LEV!V69</f>
        <v>0.13664866660335495</v>
      </c>
      <c r="G15" s="265">
        <f t="shared" si="1"/>
        <v>1.0215934072661814</v>
      </c>
      <c r="H15" s="265">
        <f>DIST_ALC_LEV!W69</f>
        <v>1.0170438067423473</v>
      </c>
      <c r="I15" s="265">
        <f>DIST_ALC_LEV!X69</f>
        <v>0.15967638947891294</v>
      </c>
      <c r="J15" s="265">
        <f t="shared" si="2"/>
        <v>1.1767201962212601</v>
      </c>
      <c r="K15" s="265">
        <f>DIST_ALC_LEV!Y69</f>
        <v>1.0537592502585746</v>
      </c>
      <c r="L15" s="265">
        <f>DIST_ALC_LEV!Z69</f>
        <v>0.16866533368151293</v>
      </c>
      <c r="M15" s="265">
        <f t="shared" si="3"/>
        <v>1.2224245839400876</v>
      </c>
      <c r="N15" s="265" t="e">
        <f>DIST_ALC_LEV!AA69</f>
        <v>#DIV/0!</v>
      </c>
      <c r="O15" s="265" t="e">
        <f>DIST_ALC_LEV!AB69</f>
        <v>#DIV/0!</v>
      </c>
      <c r="P15" s="265" t="e">
        <f t="shared" si="4"/>
        <v>#DIV/0!</v>
      </c>
      <c r="R15" s="127" t="s">
        <v>22</v>
      </c>
      <c r="S15" s="265">
        <f t="shared" si="5"/>
        <v>0.87828044237685865</v>
      </c>
      <c r="T15" s="265">
        <f t="shared" si="6"/>
        <v>0.12171955762314136</v>
      </c>
      <c r="U15" s="265">
        <f t="shared" si="7"/>
        <v>1</v>
      </c>
      <c r="V15" s="265">
        <f t="shared" si="8"/>
        <v>0.86623967457950679</v>
      </c>
      <c r="W15" s="265">
        <f t="shared" si="9"/>
        <v>0.13376032542049329</v>
      </c>
      <c r="X15" s="265">
        <f t="shared" si="10"/>
        <v>1</v>
      </c>
      <c r="Y15" s="265">
        <f t="shared" si="11"/>
        <v>0.86430385915728036</v>
      </c>
      <c r="Z15" s="265">
        <f t="shared" si="12"/>
        <v>0.13569614084271975</v>
      </c>
      <c r="AA15" s="265">
        <f t="shared" si="13"/>
        <v>1</v>
      </c>
      <c r="AB15" s="265">
        <f t="shared" si="14"/>
        <v>0.86202393513890641</v>
      </c>
      <c r="AC15" s="265">
        <f t="shared" si="15"/>
        <v>0.13797606486109365</v>
      </c>
      <c r="AD15" s="265">
        <f t="shared" si="16"/>
        <v>1</v>
      </c>
      <c r="AE15" s="265" t="e">
        <f t="shared" si="17"/>
        <v>#DIV/0!</v>
      </c>
      <c r="AF15" s="265" t="e">
        <f t="shared" si="18"/>
        <v>#DIV/0!</v>
      </c>
      <c r="AG15" s="265" t="e">
        <f t="shared" si="19"/>
        <v>#DIV/0!</v>
      </c>
    </row>
    <row r="16" spans="1:33" ht="15.75" thickBot="1">
      <c r="A16" s="127" t="s">
        <v>23</v>
      </c>
      <c r="B16" s="265">
        <f>DIST_ALC_LEV!S70</f>
        <v>1.2620429689211443</v>
      </c>
      <c r="C16" s="265">
        <f>DIST_ALC_LEV!T70</f>
        <v>0.16112682372101295</v>
      </c>
      <c r="D16" s="265">
        <f t="shared" si="0"/>
        <v>1.4231697926421574</v>
      </c>
      <c r="E16" s="265">
        <f>DIST_ALC_LEV!U70</f>
        <v>1.2815362752568078</v>
      </c>
      <c r="F16" s="265">
        <f>DIST_ALC_LEV!V70</f>
        <v>0.16840535714157503</v>
      </c>
      <c r="G16" s="265">
        <f t="shared" si="1"/>
        <v>1.4499416323983829</v>
      </c>
      <c r="H16" s="265">
        <f>DIST_ALC_LEV!W70</f>
        <v>1.4584861777437286</v>
      </c>
      <c r="I16" s="265">
        <f>DIST_ALC_LEV!X70</f>
        <v>0.19324460540067359</v>
      </c>
      <c r="J16" s="265">
        <f t="shared" si="2"/>
        <v>1.6517307831444021</v>
      </c>
      <c r="K16" s="265">
        <f>DIST_ALC_LEV!Y70</f>
        <v>1.4546973733809709</v>
      </c>
      <c r="L16" s="265">
        <f>DIST_ALC_LEV!Z70</f>
        <v>0.19439729600088881</v>
      </c>
      <c r="M16" s="265">
        <f t="shared" si="3"/>
        <v>1.6490946693818598</v>
      </c>
      <c r="N16" s="265" t="e">
        <f>DIST_ALC_LEV!AA70</f>
        <v>#DIV/0!</v>
      </c>
      <c r="O16" s="265" t="e">
        <f>DIST_ALC_LEV!AB70</f>
        <v>#DIV/0!</v>
      </c>
      <c r="P16" s="265" t="e">
        <f t="shared" si="4"/>
        <v>#DIV/0!</v>
      </c>
      <c r="R16" s="127" t="s">
        <v>23</v>
      </c>
      <c r="S16" s="265">
        <f t="shared" si="5"/>
        <v>0.88678313399142894</v>
      </c>
      <c r="T16" s="265">
        <f t="shared" si="6"/>
        <v>0.11321686600857103</v>
      </c>
      <c r="U16" s="265">
        <f t="shared" si="7"/>
        <v>1</v>
      </c>
      <c r="V16" s="265">
        <f t="shared" si="8"/>
        <v>0.88385369908786482</v>
      </c>
      <c r="W16" s="265">
        <f t="shared" si="9"/>
        <v>0.11614630091213515</v>
      </c>
      <c r="X16" s="265">
        <f t="shared" si="10"/>
        <v>1</v>
      </c>
      <c r="Y16" s="265">
        <f t="shared" si="11"/>
        <v>0.88300478057762322</v>
      </c>
      <c r="Z16" s="265">
        <f t="shared" si="12"/>
        <v>0.1169952194223768</v>
      </c>
      <c r="AA16" s="265">
        <f t="shared" si="13"/>
        <v>1</v>
      </c>
      <c r="AB16" s="265">
        <f t="shared" si="14"/>
        <v>0.88211877728417132</v>
      </c>
      <c r="AC16" s="265">
        <f t="shared" si="15"/>
        <v>0.11788122271582864</v>
      </c>
      <c r="AD16" s="265">
        <f t="shared" si="16"/>
        <v>1</v>
      </c>
      <c r="AE16" s="265" t="e">
        <f t="shared" si="17"/>
        <v>#DIV/0!</v>
      </c>
      <c r="AF16" s="265" t="e">
        <f t="shared" si="18"/>
        <v>#DIV/0!</v>
      </c>
      <c r="AG16" s="265" t="e">
        <f t="shared" si="19"/>
        <v>#DIV/0!</v>
      </c>
    </row>
    <row r="17" spans="1:33" ht="15.75" thickBot="1">
      <c r="A17" s="127" t="s">
        <v>24</v>
      </c>
      <c r="B17" s="265">
        <f>DIST_ALC_LEV!S71</f>
        <v>0.5102834997562905</v>
      </c>
      <c r="C17" s="265">
        <f>DIST_ALC_LEV!T71</f>
        <v>8.9790862718683667E-2</v>
      </c>
      <c r="D17" s="265">
        <f t="shared" si="0"/>
        <v>0.60007436247497414</v>
      </c>
      <c r="E17" s="265">
        <f>DIST_ALC_LEV!U71</f>
        <v>0.54636331550935124</v>
      </c>
      <c r="F17" s="265">
        <f>DIST_ALC_LEV!V71</f>
        <v>0.10038812043317431</v>
      </c>
      <c r="G17" s="265">
        <f t="shared" si="1"/>
        <v>0.6467514359425256</v>
      </c>
      <c r="H17" s="265">
        <f>DIST_ALC_LEV!W71</f>
        <v>0.62557296308457666</v>
      </c>
      <c r="I17" s="265">
        <f>DIST_ALC_LEV!X71</f>
        <v>0.11870251576089351</v>
      </c>
      <c r="J17" s="265">
        <f t="shared" si="2"/>
        <v>0.74427547884547018</v>
      </c>
      <c r="K17" s="265">
        <f>DIST_ALC_LEV!Y71</f>
        <v>0.61797028157903633</v>
      </c>
      <c r="L17" s="265">
        <f>DIST_ALC_LEV!Z71</f>
        <v>0.12165084313555807</v>
      </c>
      <c r="M17" s="265">
        <f t="shared" si="3"/>
        <v>0.7396211247145944</v>
      </c>
      <c r="N17" s="265" t="e">
        <f>DIST_ALC_LEV!AA71</f>
        <v>#DIV/0!</v>
      </c>
      <c r="O17" s="265" t="e">
        <f>DIST_ALC_LEV!AB71</f>
        <v>#DIV/0!</v>
      </c>
      <c r="P17" s="265" t="e">
        <f t="shared" si="4"/>
        <v>#DIV/0!</v>
      </c>
      <c r="R17" s="127" t="s">
        <v>24</v>
      </c>
      <c r="S17" s="265">
        <f t="shared" si="5"/>
        <v>0.85036710725593057</v>
      </c>
      <c r="T17" s="265">
        <f t="shared" si="6"/>
        <v>0.14963289274406946</v>
      </c>
      <c r="U17" s="265">
        <f t="shared" si="7"/>
        <v>1</v>
      </c>
      <c r="V17" s="265">
        <f t="shared" si="8"/>
        <v>0.84478098562413473</v>
      </c>
      <c r="W17" s="265">
        <f t="shared" si="9"/>
        <v>0.15521901437586516</v>
      </c>
      <c r="X17" s="265">
        <f t="shared" si="10"/>
        <v>0.99999999999999989</v>
      </c>
      <c r="Y17" s="265">
        <f t="shared" si="11"/>
        <v>0.8405126607892196</v>
      </c>
      <c r="Z17" s="265">
        <f t="shared" si="12"/>
        <v>0.1594873392107804</v>
      </c>
      <c r="AA17" s="265">
        <f t="shared" si="13"/>
        <v>1</v>
      </c>
      <c r="AB17" s="265">
        <f t="shared" si="14"/>
        <v>0.83552275743543591</v>
      </c>
      <c r="AC17" s="265">
        <f t="shared" si="15"/>
        <v>0.16447724256456411</v>
      </c>
      <c r="AD17" s="265">
        <f t="shared" si="16"/>
        <v>1</v>
      </c>
      <c r="AE17" s="265" t="e">
        <f t="shared" si="17"/>
        <v>#DIV/0!</v>
      </c>
      <c r="AF17" s="265" t="e">
        <f t="shared" si="18"/>
        <v>#DIV/0!</v>
      </c>
      <c r="AG17" s="265" t="e">
        <f t="shared" si="19"/>
        <v>#DIV/0!</v>
      </c>
    </row>
    <row r="18" spans="1:33" ht="15.75" thickBot="1">
      <c r="A18" s="127" t="s">
        <v>25</v>
      </c>
      <c r="B18" s="265">
        <f>DIST_ALC_LEV!S72</f>
        <v>1.0429720233602433</v>
      </c>
      <c r="C18" s="265">
        <f>DIST_ALC_LEV!T72</f>
        <v>0.12751299396855517</v>
      </c>
      <c r="D18" s="265">
        <f t="shared" si="0"/>
        <v>1.1704850173287984</v>
      </c>
      <c r="E18" s="265">
        <f>DIST_ALC_LEV!U72</f>
        <v>0.9719446986193665</v>
      </c>
      <c r="F18" s="265">
        <f>DIST_ALC_LEV!V72</f>
        <v>0.12312906495890183</v>
      </c>
      <c r="G18" s="265">
        <f t="shared" si="1"/>
        <v>1.0950737635782684</v>
      </c>
      <c r="H18" s="265">
        <f>DIST_ALC_LEV!W72</f>
        <v>1.1271772404650351</v>
      </c>
      <c r="I18" s="265">
        <f>DIST_ALC_LEV!X72</f>
        <v>0.14280438782438865</v>
      </c>
      <c r="J18" s="265">
        <f t="shared" si="2"/>
        <v>1.2699816282894236</v>
      </c>
      <c r="K18" s="265">
        <f>DIST_ALC_LEV!Y72</f>
        <v>1.1824058780817444</v>
      </c>
      <c r="L18" s="265">
        <f>DIST_ALC_LEV!Z72</f>
        <v>0.15259540712919409</v>
      </c>
      <c r="M18" s="265">
        <f t="shared" si="3"/>
        <v>1.3350012852109385</v>
      </c>
      <c r="N18" s="265" t="e">
        <f>DIST_ALC_LEV!AA72</f>
        <v>#DIV/0!</v>
      </c>
      <c r="O18" s="265" t="e">
        <f>DIST_ALC_LEV!AB72</f>
        <v>#DIV/0!</v>
      </c>
      <c r="P18" s="265" t="e">
        <f t="shared" si="4"/>
        <v>#DIV/0!</v>
      </c>
      <c r="R18" s="127" t="s">
        <v>25</v>
      </c>
      <c r="S18" s="265">
        <f t="shared" si="5"/>
        <v>0.89105969569815036</v>
      </c>
      <c r="T18" s="265">
        <f t="shared" si="6"/>
        <v>0.10894030430184974</v>
      </c>
      <c r="U18" s="265">
        <f t="shared" si="7"/>
        <v>1</v>
      </c>
      <c r="V18" s="265">
        <f t="shared" si="8"/>
        <v>0.88756093967901784</v>
      </c>
      <c r="W18" s="265">
        <f t="shared" si="9"/>
        <v>0.11243906032098212</v>
      </c>
      <c r="X18" s="265">
        <f t="shared" si="10"/>
        <v>1</v>
      </c>
      <c r="Y18" s="265">
        <f t="shared" si="11"/>
        <v>0.88755397350374587</v>
      </c>
      <c r="Z18" s="265">
        <f t="shared" si="12"/>
        <v>0.11244602649625425</v>
      </c>
      <c r="AA18" s="265">
        <f t="shared" si="13"/>
        <v>1.0000000000000002</v>
      </c>
      <c r="AB18" s="265">
        <f t="shared" si="14"/>
        <v>0.88569643428838862</v>
      </c>
      <c r="AC18" s="265">
        <f t="shared" si="15"/>
        <v>0.11430356571161134</v>
      </c>
      <c r="AD18" s="265">
        <f t="shared" si="16"/>
        <v>1</v>
      </c>
      <c r="AE18" s="265" t="e">
        <f t="shared" si="17"/>
        <v>#DIV/0!</v>
      </c>
      <c r="AF18" s="265" t="e">
        <f t="shared" si="18"/>
        <v>#DIV/0!</v>
      </c>
      <c r="AG18" s="265" t="e">
        <f t="shared" si="19"/>
        <v>#DIV/0!</v>
      </c>
    </row>
    <row r="19" spans="1:33" ht="15.75" thickBot="1">
      <c r="A19" s="127" t="s">
        <v>26</v>
      </c>
      <c r="B19" s="265">
        <f>DIST_ALC_LEV!S73</f>
        <v>1.6722675420283348</v>
      </c>
      <c r="C19" s="265">
        <f>DIST_ALC_LEV!T73</f>
        <v>0.19888855529688707</v>
      </c>
      <c r="D19" s="265">
        <f t="shared" si="0"/>
        <v>1.8711560973252219</v>
      </c>
      <c r="E19" s="265">
        <f>DIST_ALC_LEV!U73</f>
        <v>1.1318296503879424</v>
      </c>
      <c r="F19" s="265">
        <f>DIST_ALC_LEV!V73</f>
        <v>0.14604795306723073</v>
      </c>
      <c r="G19" s="265">
        <f t="shared" si="1"/>
        <v>1.2778776034551731</v>
      </c>
      <c r="H19" s="265">
        <f>DIST_ALC_LEV!W73</f>
        <v>1.2920332688616114</v>
      </c>
      <c r="I19" s="265">
        <f>DIST_ALC_LEV!X73</f>
        <v>0.16902004568256868</v>
      </c>
      <c r="J19" s="265">
        <f t="shared" si="2"/>
        <v>1.4610533145441802</v>
      </c>
      <c r="K19" s="265">
        <f>DIST_ALC_LEV!Y73</f>
        <v>1.3322478232311781</v>
      </c>
      <c r="L19" s="265">
        <f>DIST_ALC_LEV!Z73</f>
        <v>0.17877291486749869</v>
      </c>
      <c r="M19" s="265">
        <f t="shared" si="3"/>
        <v>1.5110207380986767</v>
      </c>
      <c r="N19" s="265" t="e">
        <f>DIST_ALC_LEV!AA73</f>
        <v>#DIV/0!</v>
      </c>
      <c r="O19" s="265" t="e">
        <f>DIST_ALC_LEV!AB73</f>
        <v>#DIV/0!</v>
      </c>
      <c r="P19" s="265" t="e">
        <f t="shared" si="4"/>
        <v>#DIV/0!</v>
      </c>
      <c r="R19" s="127" t="s">
        <v>26</v>
      </c>
      <c r="S19" s="265">
        <f t="shared" si="5"/>
        <v>0.89370819699051618</v>
      </c>
      <c r="T19" s="265">
        <f t="shared" si="6"/>
        <v>0.10629180300948385</v>
      </c>
      <c r="U19" s="265">
        <f t="shared" si="7"/>
        <v>1</v>
      </c>
      <c r="V19" s="265">
        <f t="shared" si="8"/>
        <v>0.88571053074853112</v>
      </c>
      <c r="W19" s="265">
        <f t="shared" si="9"/>
        <v>0.11428946925146886</v>
      </c>
      <c r="X19" s="265">
        <f t="shared" si="10"/>
        <v>1</v>
      </c>
      <c r="Y19" s="265">
        <f t="shared" si="11"/>
        <v>0.88431630522990212</v>
      </c>
      <c r="Z19" s="265">
        <f t="shared" si="12"/>
        <v>0.11568369477009782</v>
      </c>
      <c r="AA19" s="265">
        <f t="shared" si="13"/>
        <v>1</v>
      </c>
      <c r="AB19" s="265">
        <f t="shared" si="14"/>
        <v>0.88168731880381124</v>
      </c>
      <c r="AC19" s="265">
        <f t="shared" si="15"/>
        <v>0.11831268119618885</v>
      </c>
      <c r="AD19" s="265">
        <f t="shared" si="16"/>
        <v>1</v>
      </c>
      <c r="AE19" s="265" t="e">
        <f t="shared" si="17"/>
        <v>#DIV/0!</v>
      </c>
      <c r="AF19" s="265" t="e">
        <f t="shared" si="18"/>
        <v>#DIV/0!</v>
      </c>
      <c r="AG19" s="265" t="e">
        <f t="shared" si="19"/>
        <v>#DIV/0!</v>
      </c>
    </row>
    <row r="20" spans="1:33" ht="15.75" thickBot="1">
      <c r="A20" s="127" t="s">
        <v>27</v>
      </c>
      <c r="B20" s="265">
        <f>DIST_ALC_LEV!S74</f>
        <v>0.94013822100662492</v>
      </c>
      <c r="C20" s="265">
        <f>DIST_ALC_LEV!T74</f>
        <v>0.13558554383551627</v>
      </c>
      <c r="D20" s="265">
        <f t="shared" si="0"/>
        <v>1.0757237648421412</v>
      </c>
      <c r="E20" s="265">
        <f>DIST_ALC_LEV!U74</f>
        <v>1.0739977232598947</v>
      </c>
      <c r="F20" s="265">
        <f>DIST_ALC_LEV!V74</f>
        <v>0.15448820391057913</v>
      </c>
      <c r="G20" s="265">
        <f t="shared" si="1"/>
        <v>1.2284859271704738</v>
      </c>
      <c r="H20" s="265">
        <f>DIST_ALC_LEV!W74</f>
        <v>1.2928555705346674</v>
      </c>
      <c r="I20" s="265">
        <f>DIST_ALC_LEV!X74</f>
        <v>0.18229506253778807</v>
      </c>
      <c r="J20" s="265">
        <f t="shared" si="2"/>
        <v>1.4751506330724555</v>
      </c>
      <c r="K20" s="265">
        <f>DIST_ALC_LEV!Y74</f>
        <v>1.2340441763150671</v>
      </c>
      <c r="L20" s="265">
        <f>DIST_ALC_LEV!Z74</f>
        <v>0.17536994860340402</v>
      </c>
      <c r="M20" s="265">
        <f t="shared" si="3"/>
        <v>1.4094141249184711</v>
      </c>
      <c r="N20" s="265" t="e">
        <f>DIST_ALC_LEV!AA74</f>
        <v>#DIV/0!</v>
      </c>
      <c r="O20" s="265" t="e">
        <f>DIST_ALC_LEV!AB74</f>
        <v>#DIV/0!</v>
      </c>
      <c r="P20" s="265" t="e">
        <f t="shared" si="4"/>
        <v>#DIV/0!</v>
      </c>
      <c r="R20" s="127" t="s">
        <v>27</v>
      </c>
      <c r="S20" s="265">
        <f t="shared" si="5"/>
        <v>0.87395877244060616</v>
      </c>
      <c r="T20" s="265">
        <f t="shared" si="6"/>
        <v>0.12604122755939393</v>
      </c>
      <c r="U20" s="265">
        <f t="shared" si="7"/>
        <v>1</v>
      </c>
      <c r="V20" s="265">
        <f t="shared" si="8"/>
        <v>0.8742450357030902</v>
      </c>
      <c r="W20" s="265">
        <f t="shared" si="9"/>
        <v>0.12575496429690985</v>
      </c>
      <c r="X20" s="265">
        <f t="shared" si="10"/>
        <v>1</v>
      </c>
      <c r="Y20" s="265">
        <f t="shared" si="11"/>
        <v>0.87642274731082714</v>
      </c>
      <c r="Z20" s="265">
        <f t="shared" si="12"/>
        <v>0.1235772526891728</v>
      </c>
      <c r="AA20" s="265">
        <f t="shared" si="13"/>
        <v>1</v>
      </c>
      <c r="AB20" s="265">
        <f t="shared" si="14"/>
        <v>0.87557244850689409</v>
      </c>
      <c r="AC20" s="265">
        <f t="shared" si="15"/>
        <v>0.12442755149310603</v>
      </c>
      <c r="AD20" s="265">
        <f t="shared" si="16"/>
        <v>1</v>
      </c>
      <c r="AE20" s="265" t="e">
        <f t="shared" si="17"/>
        <v>#DIV/0!</v>
      </c>
      <c r="AF20" s="265" t="e">
        <f t="shared" si="18"/>
        <v>#DIV/0!</v>
      </c>
      <c r="AG20" s="265" t="e">
        <f t="shared" si="19"/>
        <v>#DIV/0!</v>
      </c>
    </row>
    <row r="21" spans="1:33" ht="26.25" thickBot="1">
      <c r="A21" s="127" t="s">
        <v>28</v>
      </c>
      <c r="B21" s="265">
        <f>DIST_ALC_LEV!S75</f>
        <v>1.2247450638387791</v>
      </c>
      <c r="C21" s="265">
        <f>DIST_ALC_LEV!T75</f>
        <v>0.1542101281390256</v>
      </c>
      <c r="D21" s="265">
        <f t="shared" si="0"/>
        <v>1.3789551919778047</v>
      </c>
      <c r="E21" s="265">
        <f>DIST_ALC_LEV!U75</f>
        <v>1.0178963417657498</v>
      </c>
      <c r="F21" s="265">
        <f>DIST_ALC_LEV!V75</f>
        <v>0.13642620652642526</v>
      </c>
      <c r="G21" s="265">
        <f t="shared" si="1"/>
        <v>1.1543225482921751</v>
      </c>
      <c r="H21" s="265">
        <f>DIST_ALC_LEV!W75</f>
        <v>1.1139141750349666</v>
      </c>
      <c r="I21" s="265">
        <f>DIST_ALC_LEV!X75</f>
        <v>0.15021834876611129</v>
      </c>
      <c r="J21" s="265">
        <f t="shared" si="2"/>
        <v>1.2641325238010779</v>
      </c>
      <c r="K21" s="265">
        <f>DIST_ALC_LEV!Y75</f>
        <v>1.1446682863963384</v>
      </c>
      <c r="L21" s="265">
        <f>DIST_ALC_LEV!Z75</f>
        <v>0.15613087956030092</v>
      </c>
      <c r="M21" s="265">
        <f t="shared" si="3"/>
        <v>1.3007991659566394</v>
      </c>
      <c r="N21" s="265" t="e">
        <f>DIST_ALC_LEV!AA75</f>
        <v>#DIV/0!</v>
      </c>
      <c r="O21" s="265" t="e">
        <f>DIST_ALC_LEV!AB75</f>
        <v>#DIV/0!</v>
      </c>
      <c r="P21" s="265" t="e">
        <f t="shared" si="4"/>
        <v>#DIV/0!</v>
      </c>
      <c r="R21" s="127" t="s">
        <v>28</v>
      </c>
      <c r="S21" s="265">
        <f t="shared" si="5"/>
        <v>0.88816886216741719</v>
      </c>
      <c r="T21" s="265">
        <f t="shared" si="6"/>
        <v>0.11183113783258283</v>
      </c>
      <c r="U21" s="265">
        <f t="shared" si="7"/>
        <v>1</v>
      </c>
      <c r="V21" s="265">
        <f t="shared" si="8"/>
        <v>0.8818127509262742</v>
      </c>
      <c r="W21" s="265">
        <f t="shared" si="9"/>
        <v>0.11818724907372588</v>
      </c>
      <c r="X21" s="265">
        <f t="shared" si="10"/>
        <v>1</v>
      </c>
      <c r="Y21" s="265">
        <f t="shared" si="11"/>
        <v>0.88116882847502032</v>
      </c>
      <c r="Z21" s="265">
        <f t="shared" si="12"/>
        <v>0.11883117152497964</v>
      </c>
      <c r="AA21" s="265">
        <f t="shared" si="13"/>
        <v>1</v>
      </c>
      <c r="AB21" s="265">
        <f t="shared" si="14"/>
        <v>0.87997310911136806</v>
      </c>
      <c r="AC21" s="265">
        <f t="shared" si="15"/>
        <v>0.12002689088863189</v>
      </c>
      <c r="AD21" s="265">
        <f t="shared" si="16"/>
        <v>1</v>
      </c>
      <c r="AE21" s="265" t="e">
        <f t="shared" si="17"/>
        <v>#DIV/0!</v>
      </c>
      <c r="AF21" s="265" t="e">
        <f t="shared" si="18"/>
        <v>#DIV/0!</v>
      </c>
      <c r="AG21" s="265" t="e">
        <f t="shared" si="19"/>
        <v>#DIV/0!</v>
      </c>
    </row>
    <row r="22" spans="1:33" ht="15.75" thickBot="1">
      <c r="A22" s="128" t="s">
        <v>29</v>
      </c>
      <c r="B22" s="265">
        <f>DIST_ALC_LEV!S76</f>
        <v>0.96202239180984472</v>
      </c>
      <c r="C22" s="265">
        <f>DIST_ALC_LEV!T76</f>
        <v>0.1009438136531581</v>
      </c>
      <c r="D22" s="265">
        <f t="shared" si="0"/>
        <v>1.0629662054630029</v>
      </c>
      <c r="E22" s="265">
        <f>DIST_ALC_LEV!U76</f>
        <v>1.056481698842779</v>
      </c>
      <c r="F22" s="265">
        <f>DIST_ALC_LEV!V76</f>
        <v>0.11346820602832285</v>
      </c>
      <c r="G22" s="265">
        <f t="shared" si="1"/>
        <v>1.1699499048711017</v>
      </c>
      <c r="H22" s="265">
        <f>DIST_ALC_LEV!W76</f>
        <v>1.2014552544679438</v>
      </c>
      <c r="I22" s="265">
        <f>DIST_ALC_LEV!X76</f>
        <v>0.1325432498172289</v>
      </c>
      <c r="J22" s="265">
        <f t="shared" si="2"/>
        <v>1.3339985042851727</v>
      </c>
      <c r="K22" s="265">
        <f>DIST_ALC_LEV!Y76</f>
        <v>1.244888122707281</v>
      </c>
      <c r="L22" s="265">
        <f>DIST_ALC_LEV!Z76</f>
        <v>0.14233153045262678</v>
      </c>
      <c r="M22" s="265">
        <f t="shared" si="3"/>
        <v>1.3872196531599077</v>
      </c>
      <c r="N22" s="265" t="e">
        <f>DIST_ALC_LEV!AA76</f>
        <v>#DIV/0!</v>
      </c>
      <c r="O22" s="265" t="e">
        <f>DIST_ALC_LEV!AB76</f>
        <v>#DIV/0!</v>
      </c>
      <c r="P22" s="265" t="e">
        <f t="shared" si="4"/>
        <v>#DIV/0!</v>
      </c>
      <c r="R22" s="128" t="s">
        <v>29</v>
      </c>
      <c r="S22" s="265">
        <f t="shared" si="5"/>
        <v>0.90503572631531648</v>
      </c>
      <c r="T22" s="265">
        <f t="shared" si="6"/>
        <v>9.4964273684683478E-2</v>
      </c>
      <c r="U22" s="265">
        <f t="shared" si="7"/>
        <v>1</v>
      </c>
      <c r="V22" s="265">
        <f t="shared" si="8"/>
        <v>0.90301447476007612</v>
      </c>
      <c r="W22" s="265">
        <f t="shared" si="9"/>
        <v>9.6985525239923931E-2</v>
      </c>
      <c r="X22" s="265">
        <f t="shared" si="10"/>
        <v>1</v>
      </c>
      <c r="Y22" s="265">
        <f t="shared" si="11"/>
        <v>0.90064213011374195</v>
      </c>
      <c r="Z22" s="265">
        <f t="shared" si="12"/>
        <v>9.9357869886257943E-2</v>
      </c>
      <c r="AA22" s="265">
        <f t="shared" si="13"/>
        <v>0.99999999999999989</v>
      </c>
      <c r="AB22" s="265">
        <f t="shared" si="14"/>
        <v>0.89739798587165787</v>
      </c>
      <c r="AC22" s="265">
        <f t="shared" si="15"/>
        <v>0.10260201412834218</v>
      </c>
      <c r="AD22" s="265">
        <f t="shared" si="16"/>
        <v>1</v>
      </c>
      <c r="AE22" s="265" t="e">
        <f t="shared" si="17"/>
        <v>#DIV/0!</v>
      </c>
      <c r="AF22" s="265" t="e">
        <f t="shared" si="18"/>
        <v>#DIV/0!</v>
      </c>
      <c r="AG22" s="265" t="e">
        <f t="shared" si="19"/>
        <v>#DIV/0!</v>
      </c>
    </row>
    <row r="23" spans="1:33" ht="26.25" thickBot="1">
      <c r="A23" s="125" t="s">
        <v>64</v>
      </c>
      <c r="B23" s="265">
        <f>DIST_ALC_LEV!S77</f>
        <v>0.674859168885932</v>
      </c>
      <c r="C23" s="265">
        <f>DIST_ALC_LEV!T77</f>
        <v>7.6229371769471505E-2</v>
      </c>
      <c r="D23" s="265">
        <f t="shared" si="0"/>
        <v>0.75108854065540354</v>
      </c>
      <c r="E23" s="265">
        <f>DIST_ALC_LEV!U77</f>
        <v>0.68725328967640675</v>
      </c>
      <c r="F23" s="265">
        <f>DIST_ALC_LEV!V77</f>
        <v>8.1136028416334466E-2</v>
      </c>
      <c r="G23" s="265">
        <f t="shared" si="1"/>
        <v>0.76838931809274125</v>
      </c>
      <c r="H23" s="265">
        <f>DIST_ALC_LEV!W77</f>
        <v>0.81267868619040906</v>
      </c>
      <c r="I23" s="265">
        <f>DIST_ALC_LEV!X77</f>
        <v>9.8780993021100091E-2</v>
      </c>
      <c r="J23" s="265">
        <f t="shared" si="2"/>
        <v>0.91145967921150917</v>
      </c>
      <c r="K23" s="265">
        <f>DIST_ALC_LEV!Y77</f>
        <v>0.89037142852405582</v>
      </c>
      <c r="L23" s="265">
        <f>DIST_ALC_LEV!Z77</f>
        <v>0.11260685570475448</v>
      </c>
      <c r="M23" s="265">
        <f t="shared" si="3"/>
        <v>1.0029782842288104</v>
      </c>
      <c r="N23" s="265" t="e">
        <f>DIST_ALC_LEV!AA77</f>
        <v>#DIV/0!</v>
      </c>
      <c r="O23" s="265" t="e">
        <f>DIST_ALC_LEV!AB77</f>
        <v>#DIV/0!</v>
      </c>
      <c r="P23" s="265" t="e">
        <f t="shared" si="4"/>
        <v>#DIV/0!</v>
      </c>
      <c r="R23" s="125" t="s">
        <v>64</v>
      </c>
      <c r="S23" s="265">
        <f t="shared" si="5"/>
        <v>0.89850814165936632</v>
      </c>
      <c r="T23" s="265">
        <f t="shared" si="6"/>
        <v>0.10149185834063369</v>
      </c>
      <c r="U23" s="265">
        <f t="shared" si="7"/>
        <v>1</v>
      </c>
      <c r="V23" s="265">
        <f t="shared" si="8"/>
        <v>0.89440765702244995</v>
      </c>
      <c r="W23" s="265">
        <f t="shared" si="9"/>
        <v>0.10559234297754995</v>
      </c>
      <c r="X23" s="265">
        <f t="shared" si="10"/>
        <v>0.99999999999999989</v>
      </c>
      <c r="Y23" s="265">
        <f t="shared" si="11"/>
        <v>0.89162329911669358</v>
      </c>
      <c r="Z23" s="265">
        <f t="shared" si="12"/>
        <v>0.10837670088330635</v>
      </c>
      <c r="AA23" s="265">
        <f t="shared" si="13"/>
        <v>0.99999999999999989</v>
      </c>
      <c r="AB23" s="265">
        <f t="shared" si="14"/>
        <v>0.88772752364091512</v>
      </c>
      <c r="AC23" s="265">
        <f t="shared" si="15"/>
        <v>0.11227247635908473</v>
      </c>
      <c r="AD23" s="265">
        <f t="shared" si="16"/>
        <v>0.99999999999999989</v>
      </c>
      <c r="AE23" s="265" t="e">
        <f t="shared" si="17"/>
        <v>#DIV/0!</v>
      </c>
      <c r="AF23" s="265" t="e">
        <f t="shared" si="18"/>
        <v>#DIV/0!</v>
      </c>
      <c r="AG23" s="265" t="e">
        <f t="shared" si="19"/>
        <v>#DIV/0!</v>
      </c>
    </row>
    <row r="24" spans="1:33" ht="15.75" thickBot="1">
      <c r="A24" s="260" t="s">
        <v>31</v>
      </c>
      <c r="B24" s="265">
        <f>DIST_ALC_LEV!S78</f>
        <v>0.886567395981956</v>
      </c>
      <c r="C24" s="265">
        <f>DIST_ALC_LEV!T78</f>
        <v>0.11810685731766468</v>
      </c>
      <c r="D24" s="265">
        <f t="shared" si="0"/>
        <v>1.0046742532996207</v>
      </c>
      <c r="E24" s="265">
        <f>DIST_ALC_LEV!U78</f>
        <v>0.89340490547165652</v>
      </c>
      <c r="F24" s="265">
        <f>DIST_ALC_LEV!V78</f>
        <v>0.12416275318217716</v>
      </c>
      <c r="G24" s="265">
        <f t="shared" si="1"/>
        <v>1.0175676586538336</v>
      </c>
      <c r="H24" s="265">
        <f>DIST_ALC_LEV!W78</f>
        <v>0.97650171093294724</v>
      </c>
      <c r="I24" s="265">
        <f>DIST_ALC_LEV!X78</f>
        <v>0.13816629502910097</v>
      </c>
      <c r="J24" s="265">
        <f t="shared" si="2"/>
        <v>1.1146680059620482</v>
      </c>
      <c r="K24" s="265">
        <f>DIST_ALC_LEV!Y78</f>
        <v>0.97312365172598903</v>
      </c>
      <c r="L24" s="265">
        <f>DIST_ALC_LEV!Z78</f>
        <v>0.14095528939980292</v>
      </c>
      <c r="M24" s="265">
        <f t="shared" si="3"/>
        <v>1.1140789411257919</v>
      </c>
      <c r="N24" s="265" t="e">
        <f>DIST_ALC_LEV!AA78</f>
        <v>#DIV/0!</v>
      </c>
      <c r="O24" s="265" t="e">
        <f>DIST_ALC_LEV!AB78</f>
        <v>#DIV/0!</v>
      </c>
      <c r="P24" s="265" t="e">
        <f t="shared" si="4"/>
        <v>#DIV/0!</v>
      </c>
      <c r="R24" s="260" t="s">
        <v>31</v>
      </c>
      <c r="S24" s="265">
        <f t="shared" si="5"/>
        <v>0.88244263558086622</v>
      </c>
      <c r="T24" s="265">
        <f t="shared" si="6"/>
        <v>0.11755736441913384</v>
      </c>
      <c r="U24" s="265">
        <f t="shared" si="7"/>
        <v>1</v>
      </c>
      <c r="V24" s="265">
        <f t="shared" si="8"/>
        <v>0.87798083780843117</v>
      </c>
      <c r="W24" s="265">
        <f t="shared" si="9"/>
        <v>0.12201916219156893</v>
      </c>
      <c r="X24" s="265">
        <f t="shared" si="10"/>
        <v>1</v>
      </c>
      <c r="Y24" s="265">
        <f t="shared" si="11"/>
        <v>0.87604713305658011</v>
      </c>
      <c r="Z24" s="265">
        <f t="shared" si="12"/>
        <v>0.12395286694341992</v>
      </c>
      <c r="AA24" s="265">
        <f t="shared" si="13"/>
        <v>1</v>
      </c>
      <c r="AB24" s="265">
        <f t="shared" si="14"/>
        <v>0.87347818525555687</v>
      </c>
      <c r="AC24" s="265">
        <f t="shared" si="15"/>
        <v>0.12652181474444324</v>
      </c>
      <c r="AD24" s="265">
        <f t="shared" si="16"/>
        <v>1</v>
      </c>
      <c r="AE24" s="265" t="e">
        <f t="shared" si="17"/>
        <v>#DIV/0!</v>
      </c>
      <c r="AF24" s="265" t="e">
        <f t="shared" si="18"/>
        <v>#DIV/0!</v>
      </c>
      <c r="AG24" s="265" t="e">
        <f t="shared" si="19"/>
        <v>#DIV/0!</v>
      </c>
    </row>
    <row r="25" spans="1:33" ht="15.75" thickBot="1">
      <c r="A25" s="127" t="s">
        <v>32</v>
      </c>
      <c r="B25" s="265">
        <f>DIST_ALC_LEV!S79</f>
        <v>0.77154284787395</v>
      </c>
      <c r="C25" s="265">
        <f>DIST_ALC_LEV!T79</f>
        <v>9.6990946097031627E-2</v>
      </c>
      <c r="D25" s="265">
        <f t="shared" si="0"/>
        <v>0.86853379397098163</v>
      </c>
      <c r="E25" s="265">
        <f>DIST_ALC_LEV!U79</f>
        <v>0.77763694470716194</v>
      </c>
      <c r="F25" s="265">
        <f>DIST_ALC_LEV!V79</f>
        <v>0.10104062751030547</v>
      </c>
      <c r="G25" s="265">
        <f t="shared" si="1"/>
        <v>0.87867757221746745</v>
      </c>
      <c r="H25" s="265">
        <f>DIST_ALC_LEV!W79</f>
        <v>0.91319115849139498</v>
      </c>
      <c r="I25" s="265">
        <f>DIST_ALC_LEV!X79</f>
        <v>0.12075550181775407</v>
      </c>
      <c r="J25" s="265">
        <f t="shared" si="2"/>
        <v>1.0339466603091489</v>
      </c>
      <c r="K25" s="265">
        <f>DIST_ALC_LEV!Y79</f>
        <v>0.97596340447696872</v>
      </c>
      <c r="L25" s="265">
        <f>DIST_ALC_LEV!Z79</f>
        <v>0.1324527380225945</v>
      </c>
      <c r="M25" s="265">
        <f t="shared" si="3"/>
        <v>1.1084161424995633</v>
      </c>
      <c r="N25" s="265" t="e">
        <f>DIST_ALC_LEV!AA79</f>
        <v>#DIV/0!</v>
      </c>
      <c r="O25" s="265" t="e">
        <f>DIST_ALC_LEV!AB79</f>
        <v>#DIV/0!</v>
      </c>
      <c r="P25" s="265" t="e">
        <f t="shared" si="4"/>
        <v>#DIV/0!</v>
      </c>
      <c r="R25" s="127" t="s">
        <v>32</v>
      </c>
      <c r="S25" s="265">
        <f t="shared" si="5"/>
        <v>0.88832795364981254</v>
      </c>
      <c r="T25" s="265">
        <f t="shared" si="6"/>
        <v>0.11167204635018746</v>
      </c>
      <c r="U25" s="265">
        <f t="shared" si="7"/>
        <v>1</v>
      </c>
      <c r="V25" s="265">
        <f t="shared" si="8"/>
        <v>0.88500830030825173</v>
      </c>
      <c r="W25" s="265">
        <f t="shared" si="9"/>
        <v>0.11499169969174827</v>
      </c>
      <c r="X25" s="265">
        <f t="shared" si="10"/>
        <v>1</v>
      </c>
      <c r="Y25" s="265">
        <f t="shared" si="11"/>
        <v>0.88320915724835536</v>
      </c>
      <c r="Z25" s="265">
        <f t="shared" si="12"/>
        <v>0.11679084275164475</v>
      </c>
      <c r="AA25" s="265">
        <f t="shared" si="13"/>
        <v>1</v>
      </c>
      <c r="AB25" s="265">
        <f t="shared" si="14"/>
        <v>0.88050269845050833</v>
      </c>
      <c r="AC25" s="265">
        <f t="shared" si="15"/>
        <v>0.11949730154949154</v>
      </c>
      <c r="AD25" s="265">
        <f t="shared" si="16"/>
        <v>0.99999999999999989</v>
      </c>
      <c r="AE25" s="265" t="e">
        <f t="shared" si="17"/>
        <v>#DIV/0!</v>
      </c>
      <c r="AF25" s="265" t="e">
        <f t="shared" si="18"/>
        <v>#DIV/0!</v>
      </c>
      <c r="AG25" s="265" t="e">
        <f t="shared" si="19"/>
        <v>#DIV/0!</v>
      </c>
    </row>
    <row r="26" spans="1:33" ht="15.75" thickBot="1">
      <c r="A26" s="127" t="s">
        <v>33</v>
      </c>
      <c r="B26" s="265">
        <f>DIST_ALC_LEV!S80</f>
        <v>0.74988812337059463</v>
      </c>
      <c r="C26" s="265">
        <f>DIST_ALC_LEV!T80</f>
        <v>7.4539699678673021E-2</v>
      </c>
      <c r="D26" s="265">
        <f t="shared" si="0"/>
        <v>0.82442782304926765</v>
      </c>
      <c r="E26" s="265">
        <f>DIST_ALC_LEV!U80</f>
        <v>0.76589477386891491</v>
      </c>
      <c r="F26" s="265">
        <f>DIST_ALC_LEV!V80</f>
        <v>8.0416838691922427E-2</v>
      </c>
      <c r="G26" s="265">
        <f t="shared" si="1"/>
        <v>0.84631161256083731</v>
      </c>
      <c r="H26" s="265">
        <f>DIST_ALC_LEV!W80</f>
        <v>0.85579886770424762</v>
      </c>
      <c r="I26" s="265">
        <f>DIST_ALC_LEV!X80</f>
        <v>9.2990897689474619E-2</v>
      </c>
      <c r="J26" s="265">
        <f t="shared" si="2"/>
        <v>0.94878976539372228</v>
      </c>
      <c r="K26" s="265">
        <f>DIST_ALC_LEV!Y80</f>
        <v>0.92613886002481405</v>
      </c>
      <c r="L26" s="265">
        <f>DIST_ALC_LEV!Z80</f>
        <v>0.10520847173782841</v>
      </c>
      <c r="M26" s="265">
        <f t="shared" si="3"/>
        <v>1.0313473317626425</v>
      </c>
      <c r="N26" s="265" t="e">
        <f>DIST_ALC_LEV!AA80</f>
        <v>#DIV/0!</v>
      </c>
      <c r="O26" s="265" t="e">
        <f>DIST_ALC_LEV!AB80</f>
        <v>#DIV/0!</v>
      </c>
      <c r="P26" s="265" t="e">
        <f t="shared" si="4"/>
        <v>#DIV/0!</v>
      </c>
      <c r="R26" s="127" t="s">
        <v>33</v>
      </c>
      <c r="S26" s="265">
        <f t="shared" si="5"/>
        <v>0.90958614254068115</v>
      </c>
      <c r="T26" s="265">
        <f t="shared" si="6"/>
        <v>9.0413857459318847E-2</v>
      </c>
      <c r="U26" s="265">
        <f t="shared" si="7"/>
        <v>1</v>
      </c>
      <c r="V26" s="265">
        <f t="shared" si="8"/>
        <v>0.90497963457148989</v>
      </c>
      <c r="W26" s="265">
        <f t="shared" si="9"/>
        <v>9.5020365428510112E-2</v>
      </c>
      <c r="X26" s="265">
        <f t="shared" si="10"/>
        <v>1</v>
      </c>
      <c r="Y26" s="265">
        <f t="shared" si="11"/>
        <v>0.90198998652679818</v>
      </c>
      <c r="Z26" s="265">
        <f t="shared" si="12"/>
        <v>9.8010013473201721E-2</v>
      </c>
      <c r="AA26" s="265">
        <f t="shared" si="13"/>
        <v>0.99999999999999989</v>
      </c>
      <c r="AB26" s="265">
        <f t="shared" si="14"/>
        <v>0.89798929177620501</v>
      </c>
      <c r="AC26" s="265">
        <f t="shared" si="15"/>
        <v>0.10201070822379499</v>
      </c>
      <c r="AD26" s="265">
        <f t="shared" si="16"/>
        <v>1</v>
      </c>
      <c r="AE26" s="265" t="e">
        <f t="shared" si="17"/>
        <v>#DIV/0!</v>
      </c>
      <c r="AF26" s="265" t="e">
        <f t="shared" si="18"/>
        <v>#DIV/0!</v>
      </c>
      <c r="AG26" s="265" t="e">
        <f t="shared" si="19"/>
        <v>#DIV/0!</v>
      </c>
    </row>
    <row r="27" spans="1:33" ht="15.75" thickBot="1">
      <c r="A27" s="128" t="s">
        <v>34</v>
      </c>
      <c r="B27" s="265">
        <f>DIST_ALC_LEV!S81</f>
        <v>0.64947880311706407</v>
      </c>
      <c r="C27" s="265">
        <f>DIST_ALC_LEV!T81</f>
        <v>7.2655753499389727E-2</v>
      </c>
      <c r="D27" s="265">
        <f t="shared" si="0"/>
        <v>0.72213455661645376</v>
      </c>
      <c r="E27" s="265">
        <f>DIST_ALC_LEV!U81</f>
        <v>0.66908594953767075</v>
      </c>
      <c r="F27" s="265">
        <f>DIST_ALC_LEV!V81</f>
        <v>7.8767298863754609E-2</v>
      </c>
      <c r="G27" s="265">
        <f t="shared" si="1"/>
        <v>0.74785324840142531</v>
      </c>
      <c r="H27" s="265">
        <f>DIST_ALC_LEV!W81</f>
        <v>0.79893082617195987</v>
      </c>
      <c r="I27" s="265">
        <f>DIST_ALC_LEV!X81</f>
        <v>9.6991488528298808E-2</v>
      </c>
      <c r="J27" s="265">
        <f t="shared" si="2"/>
        <v>0.89592231470025863</v>
      </c>
      <c r="K27" s="265">
        <f>DIST_ALC_LEV!Y81</f>
        <v>0.87934266289377649</v>
      </c>
      <c r="L27" s="265">
        <f>DIST_ALC_LEV!Z81</f>
        <v>0.11114594589903376</v>
      </c>
      <c r="M27" s="265">
        <f t="shared" si="3"/>
        <v>0.9904886087928102</v>
      </c>
      <c r="N27" s="265" t="e">
        <f>DIST_ALC_LEV!AA81</f>
        <v>#DIV/0!</v>
      </c>
      <c r="O27" s="265" t="e">
        <f>DIST_ALC_LEV!AB81</f>
        <v>#DIV/0!</v>
      </c>
      <c r="P27" s="265" t="e">
        <f t="shared" si="4"/>
        <v>#DIV/0!</v>
      </c>
      <c r="R27" s="128" t="s">
        <v>34</v>
      </c>
      <c r="S27" s="265">
        <f t="shared" si="5"/>
        <v>0.89938751326370991</v>
      </c>
      <c r="T27" s="265">
        <f t="shared" si="6"/>
        <v>0.10061248673629015</v>
      </c>
      <c r="U27" s="265">
        <f t="shared" si="7"/>
        <v>1</v>
      </c>
      <c r="V27" s="265">
        <f t="shared" si="8"/>
        <v>0.89467546068413328</v>
      </c>
      <c r="W27" s="265">
        <f t="shared" si="9"/>
        <v>0.10532453931586679</v>
      </c>
      <c r="X27" s="265">
        <f t="shared" si="10"/>
        <v>1</v>
      </c>
      <c r="Y27" s="265">
        <f t="shared" si="11"/>
        <v>0.89174118454595208</v>
      </c>
      <c r="Z27" s="265">
        <f t="shared" si="12"/>
        <v>0.10825881545404799</v>
      </c>
      <c r="AA27" s="265">
        <f t="shared" si="13"/>
        <v>1</v>
      </c>
      <c r="AB27" s="265">
        <f t="shared" si="14"/>
        <v>0.88778674998140927</v>
      </c>
      <c r="AC27" s="265">
        <f t="shared" si="15"/>
        <v>0.11221325001859077</v>
      </c>
      <c r="AD27" s="265">
        <f t="shared" si="16"/>
        <v>1</v>
      </c>
      <c r="AE27" s="265" t="e">
        <f t="shared" si="17"/>
        <v>#DIV/0!</v>
      </c>
      <c r="AF27" s="265" t="e">
        <f t="shared" si="18"/>
        <v>#DIV/0!</v>
      </c>
      <c r="AG27" s="265" t="e">
        <f t="shared" si="19"/>
        <v>#DIV/0!</v>
      </c>
    </row>
    <row r="28" spans="1:33" ht="15.75" thickBot="1">
      <c r="A28" s="125" t="s">
        <v>69</v>
      </c>
      <c r="B28" s="265">
        <f>DIST_ALC_LEV!S82</f>
        <v>0.73343723789202919</v>
      </c>
      <c r="C28" s="265">
        <f>DIST_ALC_LEV!T82</f>
        <v>8.1968046336950443E-2</v>
      </c>
      <c r="D28" s="265">
        <f t="shared" si="0"/>
        <v>0.81540528422897962</v>
      </c>
      <c r="E28" s="265">
        <f>DIST_ALC_LEV!U82</f>
        <v>0.73185812007955764</v>
      </c>
      <c r="F28" s="265">
        <f>DIST_ALC_LEV!V82</f>
        <v>8.566227830292128E-2</v>
      </c>
      <c r="G28" s="265">
        <f t="shared" si="1"/>
        <v>0.81752039838247892</v>
      </c>
      <c r="H28" s="265">
        <f>DIST_ALC_LEV!W82</f>
        <v>0.86765978913106057</v>
      </c>
      <c r="I28" s="265">
        <f>DIST_ALC_LEV!X82</f>
        <v>0.10374896017411536</v>
      </c>
      <c r="J28" s="265">
        <f t="shared" si="2"/>
        <v>0.97140874930517596</v>
      </c>
      <c r="K28" s="265">
        <f>DIST_ALC_LEV!Y82</f>
        <v>0.90983097753732356</v>
      </c>
      <c r="L28" s="265">
        <f>DIST_ALC_LEV!Z82</f>
        <v>0.11219247378320375</v>
      </c>
      <c r="M28" s="265">
        <f t="shared" si="3"/>
        <v>1.0220234513205273</v>
      </c>
      <c r="N28" s="265" t="e">
        <f>DIST_ALC_LEV!AA82</f>
        <v>#DIV/0!</v>
      </c>
      <c r="O28" s="265" t="e">
        <f>DIST_ALC_LEV!AB82</f>
        <v>#DIV/0!</v>
      </c>
      <c r="P28" s="265" t="e">
        <f t="shared" si="4"/>
        <v>#DIV/0!</v>
      </c>
      <c r="R28" s="125" t="s">
        <v>69</v>
      </c>
      <c r="S28" s="265">
        <f t="shared" si="5"/>
        <v>0.89947569886739609</v>
      </c>
      <c r="T28" s="265">
        <f t="shared" si="6"/>
        <v>0.10052430113260392</v>
      </c>
      <c r="U28" s="265">
        <f t="shared" si="7"/>
        <v>1</v>
      </c>
      <c r="V28" s="265">
        <f t="shared" si="8"/>
        <v>0.89521695302966131</v>
      </c>
      <c r="W28" s="265">
        <f t="shared" si="9"/>
        <v>0.10478304697033868</v>
      </c>
      <c r="X28" s="265">
        <f t="shared" si="10"/>
        <v>1</v>
      </c>
      <c r="Y28" s="265">
        <f t="shared" si="11"/>
        <v>0.89319742050056228</v>
      </c>
      <c r="Z28" s="265">
        <f t="shared" si="12"/>
        <v>0.10680257949943765</v>
      </c>
      <c r="AA28" s="265">
        <f t="shared" si="13"/>
        <v>0.99999999999999989</v>
      </c>
      <c r="AB28" s="265">
        <f t="shared" si="14"/>
        <v>0.89022514734055946</v>
      </c>
      <c r="AC28" s="265">
        <f t="shared" si="15"/>
        <v>0.10977485265944051</v>
      </c>
      <c r="AD28" s="265">
        <f t="shared" si="16"/>
        <v>1</v>
      </c>
      <c r="AE28" s="265" t="e">
        <f t="shared" si="17"/>
        <v>#DIV/0!</v>
      </c>
      <c r="AF28" s="265" t="e">
        <f t="shared" si="18"/>
        <v>#DIV/0!</v>
      </c>
      <c r="AG28" s="265" t="e">
        <f t="shared" si="19"/>
        <v>#DIV/0!</v>
      </c>
    </row>
    <row r="29" spans="1:33" ht="15.75" thickBot="1">
      <c r="A29" s="260" t="s">
        <v>36</v>
      </c>
      <c r="B29" s="265">
        <f>DIST_ALC_LEV!S83</f>
        <v>0.81117112761783072</v>
      </c>
      <c r="C29" s="265">
        <f>DIST_ALC_LEV!T83</f>
        <v>9.3820632712988627E-2</v>
      </c>
      <c r="D29" s="265">
        <f t="shared" si="0"/>
        <v>0.90499176033081929</v>
      </c>
      <c r="E29" s="265">
        <f>DIST_ALC_LEV!U83</f>
        <v>0.77344516517053241</v>
      </c>
      <c r="F29" s="265">
        <f>DIST_ALC_LEV!V83</f>
        <v>9.2144085355542887E-2</v>
      </c>
      <c r="G29" s="265">
        <f t="shared" si="1"/>
        <v>0.86558925052607527</v>
      </c>
      <c r="H29" s="265">
        <f>DIST_ALC_LEV!W83</f>
        <v>0.92204147031113093</v>
      </c>
      <c r="I29" s="265">
        <f>DIST_ALC_LEV!X83</f>
        <v>0.11166956814314401</v>
      </c>
      <c r="J29" s="265">
        <f t="shared" si="2"/>
        <v>1.0337110384542749</v>
      </c>
      <c r="K29" s="265">
        <f>DIST_ALC_LEV!Y83</f>
        <v>0.95883278908017899</v>
      </c>
      <c r="L29" s="265">
        <f>DIST_ALC_LEV!Z83</f>
        <v>0.119456415704963</v>
      </c>
      <c r="M29" s="265">
        <f t="shared" si="3"/>
        <v>1.078289204785142</v>
      </c>
      <c r="N29" s="265" t="e">
        <f>DIST_ALC_LEV!AA83</f>
        <v>#DIV/0!</v>
      </c>
      <c r="O29" s="265" t="e">
        <f>DIST_ALC_LEV!AB83</f>
        <v>#DIV/0!</v>
      </c>
      <c r="P29" s="265" t="e">
        <f t="shared" si="4"/>
        <v>#DIV/0!</v>
      </c>
      <c r="R29" s="260" t="s">
        <v>36</v>
      </c>
      <c r="S29" s="265">
        <f t="shared" si="5"/>
        <v>0.89632984870636556</v>
      </c>
      <c r="T29" s="265">
        <f t="shared" si="6"/>
        <v>0.10367015129363448</v>
      </c>
      <c r="U29" s="265">
        <f t="shared" si="7"/>
        <v>1</v>
      </c>
      <c r="V29" s="265">
        <f t="shared" si="8"/>
        <v>0.8935475627735201</v>
      </c>
      <c r="W29" s="265">
        <f t="shared" si="9"/>
        <v>0.10645243722647998</v>
      </c>
      <c r="X29" s="265">
        <f t="shared" si="10"/>
        <v>1</v>
      </c>
      <c r="Y29" s="265">
        <f t="shared" si="11"/>
        <v>0.89197216244287636</v>
      </c>
      <c r="Z29" s="265">
        <f t="shared" si="12"/>
        <v>0.10802783755712365</v>
      </c>
      <c r="AA29" s="265">
        <f t="shared" si="13"/>
        <v>1</v>
      </c>
      <c r="AB29" s="265">
        <f t="shared" si="14"/>
        <v>0.88921671924855661</v>
      </c>
      <c r="AC29" s="265">
        <f t="shared" si="15"/>
        <v>0.11078328075144336</v>
      </c>
      <c r="AD29" s="265">
        <f t="shared" si="16"/>
        <v>1</v>
      </c>
      <c r="AE29" s="265" t="e">
        <f t="shared" si="17"/>
        <v>#DIV/0!</v>
      </c>
      <c r="AF29" s="265" t="e">
        <f t="shared" si="18"/>
        <v>#DIV/0!</v>
      </c>
      <c r="AG29" s="265" t="e">
        <f t="shared" si="19"/>
        <v>#DIV/0!</v>
      </c>
    </row>
    <row r="30" spans="1:33" ht="26.25" thickBot="1">
      <c r="A30" s="127" t="s">
        <v>37</v>
      </c>
      <c r="B30" s="265">
        <f>DIST_ALC_LEV!S84</f>
        <v>0.5757155702144422</v>
      </c>
      <c r="C30" s="265">
        <f>DIST_ALC_LEV!T84</f>
        <v>5.8316787066913567E-2</v>
      </c>
      <c r="D30" s="265">
        <f t="shared" si="0"/>
        <v>0.63403235728135576</v>
      </c>
      <c r="E30" s="265">
        <f>DIST_ALC_LEV!U84</f>
        <v>0.57487675115974946</v>
      </c>
      <c r="F30" s="265">
        <f>DIST_ALC_LEV!V84</f>
        <v>6.1157307930821095E-2</v>
      </c>
      <c r="G30" s="265">
        <f t="shared" si="1"/>
        <v>0.63603405909057054</v>
      </c>
      <c r="H30" s="265">
        <f>DIST_ALC_LEV!W84</f>
        <v>0.645755162907651</v>
      </c>
      <c r="I30" s="265">
        <f>DIST_ALC_LEV!X84</f>
        <v>7.048052134149202E-2</v>
      </c>
      <c r="J30" s="265">
        <f t="shared" si="2"/>
        <v>0.71623568424914308</v>
      </c>
      <c r="K30" s="265">
        <f>DIST_ALC_LEV!Y84</f>
        <v>0.67106408991160238</v>
      </c>
      <c r="L30" s="265">
        <f>DIST_ALC_LEV!Z84</f>
        <v>7.5603659484586555E-2</v>
      </c>
      <c r="M30" s="265">
        <f t="shared" si="3"/>
        <v>0.74666774939618896</v>
      </c>
      <c r="N30" s="265" t="e">
        <f>DIST_ALC_LEV!AA84</f>
        <v>#DIV/0!</v>
      </c>
      <c r="O30" s="265" t="e">
        <f>DIST_ALC_LEV!AB84</f>
        <v>#DIV/0!</v>
      </c>
      <c r="P30" s="265" t="e">
        <f t="shared" si="4"/>
        <v>#DIV/0!</v>
      </c>
      <c r="R30" s="127" t="s">
        <v>37</v>
      </c>
      <c r="S30" s="265">
        <f t="shared" si="5"/>
        <v>0.90802238025048443</v>
      </c>
      <c r="T30" s="265">
        <f t="shared" si="6"/>
        <v>9.1977619749515613E-2</v>
      </c>
      <c r="U30" s="265">
        <f t="shared" si="7"/>
        <v>1</v>
      </c>
      <c r="V30" s="265">
        <f t="shared" si="8"/>
        <v>0.90384586004990597</v>
      </c>
      <c r="W30" s="265">
        <f t="shared" si="9"/>
        <v>9.6154139950094031E-2</v>
      </c>
      <c r="X30" s="265">
        <f t="shared" si="10"/>
        <v>1</v>
      </c>
      <c r="Y30" s="265">
        <f t="shared" si="11"/>
        <v>0.90159590915191634</v>
      </c>
      <c r="Z30" s="265">
        <f t="shared" si="12"/>
        <v>9.8404090848083631E-2</v>
      </c>
      <c r="AA30" s="265">
        <f t="shared" si="13"/>
        <v>1</v>
      </c>
      <c r="AB30" s="265">
        <f t="shared" si="14"/>
        <v>0.89874524573248904</v>
      </c>
      <c r="AC30" s="265">
        <f t="shared" si="15"/>
        <v>0.10125475426751095</v>
      </c>
      <c r="AD30" s="265">
        <f t="shared" si="16"/>
        <v>1</v>
      </c>
      <c r="AE30" s="265" t="e">
        <f t="shared" si="17"/>
        <v>#DIV/0!</v>
      </c>
      <c r="AF30" s="265" t="e">
        <f t="shared" si="18"/>
        <v>#DIV/0!</v>
      </c>
      <c r="AG30" s="265" t="e">
        <f t="shared" si="19"/>
        <v>#DIV/0!</v>
      </c>
    </row>
    <row r="31" spans="1:33" ht="15.75" thickBot="1">
      <c r="A31" s="128" t="s">
        <v>38</v>
      </c>
      <c r="B31" s="265">
        <f>DIST_ALC_LEV!S85</f>
        <v>0.67493415074075958</v>
      </c>
      <c r="C31" s="265">
        <f>DIST_ALC_LEV!T85</f>
        <v>7.2726365809511584E-2</v>
      </c>
      <c r="D31" s="265">
        <f t="shared" si="0"/>
        <v>0.74766051655027121</v>
      </c>
      <c r="E31" s="265">
        <f>DIST_ALC_LEV!U85</f>
        <v>0.66922074201926951</v>
      </c>
      <c r="F31" s="265">
        <f>DIST_ALC_LEV!V85</f>
        <v>7.5930763856196265E-2</v>
      </c>
      <c r="G31" s="265">
        <f t="shared" si="1"/>
        <v>0.74515150587546575</v>
      </c>
      <c r="H31" s="265">
        <f>DIST_ALC_LEV!W85</f>
        <v>0.75638633897493168</v>
      </c>
      <c r="I31" s="265">
        <f>DIST_ALC_LEV!X85</f>
        <v>8.859870562074415E-2</v>
      </c>
      <c r="J31" s="265">
        <f t="shared" si="2"/>
        <v>0.8449850445956758</v>
      </c>
      <c r="K31" s="265">
        <f>DIST_ALC_LEV!Y85</f>
        <v>0.77875239648160821</v>
      </c>
      <c r="L31" s="265">
        <f>DIST_ALC_LEV!Z85</f>
        <v>9.4215378663670385E-2</v>
      </c>
      <c r="M31" s="265">
        <f t="shared" si="3"/>
        <v>0.87296777514527857</v>
      </c>
      <c r="N31" s="265" t="e">
        <f>DIST_ALC_LEV!AA85</f>
        <v>#DIV/0!</v>
      </c>
      <c r="O31" s="265" t="e">
        <f>DIST_ALC_LEV!AB85</f>
        <v>#DIV/0!</v>
      </c>
      <c r="P31" s="265" t="e">
        <f t="shared" si="4"/>
        <v>#DIV/0!</v>
      </c>
      <c r="R31" s="128" t="s">
        <v>38</v>
      </c>
      <c r="S31" s="265">
        <f t="shared" si="5"/>
        <v>0.90272809089200889</v>
      </c>
      <c r="T31" s="265">
        <f t="shared" si="6"/>
        <v>9.7271909107991009E-2</v>
      </c>
      <c r="U31" s="265">
        <f t="shared" si="7"/>
        <v>0.99999999999999989</v>
      </c>
      <c r="V31" s="265">
        <f t="shared" si="8"/>
        <v>0.89810023430471841</v>
      </c>
      <c r="W31" s="265">
        <f t="shared" si="9"/>
        <v>0.10189976569528167</v>
      </c>
      <c r="X31" s="265">
        <f t="shared" si="10"/>
        <v>1</v>
      </c>
      <c r="Y31" s="265">
        <f t="shared" si="11"/>
        <v>0.89514760505242019</v>
      </c>
      <c r="Z31" s="265">
        <f t="shared" si="12"/>
        <v>0.10485239494757982</v>
      </c>
      <c r="AA31" s="265">
        <f t="shared" si="13"/>
        <v>1</v>
      </c>
      <c r="AB31" s="265">
        <f t="shared" si="14"/>
        <v>0.89207462022525275</v>
      </c>
      <c r="AC31" s="265">
        <f t="shared" si="15"/>
        <v>0.10792537977474728</v>
      </c>
      <c r="AD31" s="265">
        <f t="shared" si="16"/>
        <v>1</v>
      </c>
      <c r="AE31" s="265" t="e">
        <f t="shared" si="17"/>
        <v>#DIV/0!</v>
      </c>
      <c r="AF31" s="265" t="e">
        <f t="shared" si="18"/>
        <v>#DIV/0!</v>
      </c>
      <c r="AG31" s="265" t="e">
        <f t="shared" si="19"/>
        <v>#DIV/0!</v>
      </c>
    </row>
    <row r="32" spans="1:33" ht="26.25" thickBot="1">
      <c r="A32" s="125" t="s">
        <v>73</v>
      </c>
      <c r="B32" s="265">
        <f>DIST_ALC_LEV!S86</f>
        <v>0.8314556439649734</v>
      </c>
      <c r="C32" s="265">
        <f>DIST_ALC_LEV!T86</f>
        <v>0.1169642118373008</v>
      </c>
      <c r="D32" s="265">
        <f t="shared" si="0"/>
        <v>0.94841985580227417</v>
      </c>
      <c r="E32" s="265">
        <f>DIST_ALC_LEV!U86</f>
        <v>0.83626478914661351</v>
      </c>
      <c r="F32" s="265">
        <f>DIST_ALC_LEV!V86</f>
        <v>0.12333189572624262</v>
      </c>
      <c r="G32" s="265">
        <f t="shared" si="1"/>
        <v>0.9595966848728561</v>
      </c>
      <c r="H32" s="265">
        <f>DIST_ALC_LEV!W86</f>
        <v>0.9957962041558257</v>
      </c>
      <c r="I32" s="265">
        <f>DIST_ALC_LEV!X86</f>
        <v>0.14733187992842087</v>
      </c>
      <c r="J32" s="265">
        <f t="shared" si="2"/>
        <v>1.1431280840842466</v>
      </c>
      <c r="K32" s="265">
        <f>DIST_ALC_LEV!Y86</f>
        <v>1.035467904091923</v>
      </c>
      <c r="L32" s="265">
        <f>DIST_ALC_LEV!Z86</f>
        <v>0.1550916816866178</v>
      </c>
      <c r="M32" s="265">
        <f t="shared" si="3"/>
        <v>1.1905595857785407</v>
      </c>
      <c r="N32" s="265" t="e">
        <f>DIST_ALC_LEV!AA86</f>
        <v>#DIV/0!</v>
      </c>
      <c r="O32" s="265" t="e">
        <f>DIST_ALC_LEV!AB86</f>
        <v>#DIV/0!</v>
      </c>
      <c r="P32" s="265" t="e">
        <f t="shared" si="4"/>
        <v>#DIV/0!</v>
      </c>
      <c r="R32" s="125" t="s">
        <v>73</v>
      </c>
      <c r="S32" s="265">
        <f t="shared" si="5"/>
        <v>0.87667464876264112</v>
      </c>
      <c r="T32" s="265">
        <f t="shared" si="6"/>
        <v>0.12332535123735895</v>
      </c>
      <c r="U32" s="265">
        <f t="shared" si="7"/>
        <v>1</v>
      </c>
      <c r="V32" s="265">
        <f t="shared" si="8"/>
        <v>0.87147527948933701</v>
      </c>
      <c r="W32" s="265">
        <f t="shared" si="9"/>
        <v>0.12852472051066302</v>
      </c>
      <c r="X32" s="265">
        <f t="shared" si="10"/>
        <v>1</v>
      </c>
      <c r="Y32" s="265">
        <f t="shared" si="11"/>
        <v>0.87111516025218849</v>
      </c>
      <c r="Z32" s="265">
        <f t="shared" si="12"/>
        <v>0.12888483974781145</v>
      </c>
      <c r="AA32" s="265">
        <f t="shared" si="13"/>
        <v>1</v>
      </c>
      <c r="AB32" s="265">
        <f t="shared" si="14"/>
        <v>0.86973211291629826</v>
      </c>
      <c r="AC32" s="265">
        <f t="shared" si="15"/>
        <v>0.13026788708370185</v>
      </c>
      <c r="AD32" s="265">
        <f t="shared" si="16"/>
        <v>1</v>
      </c>
      <c r="AE32" s="265" t="e">
        <f t="shared" si="17"/>
        <v>#DIV/0!</v>
      </c>
      <c r="AF32" s="265" t="e">
        <f t="shared" si="18"/>
        <v>#DIV/0!</v>
      </c>
      <c r="AG32" s="265" t="e">
        <f t="shared" si="19"/>
        <v>#DIV/0!</v>
      </c>
    </row>
    <row r="33" spans="1:33" ht="15.75" thickBot="1">
      <c r="A33" s="260" t="s">
        <v>40</v>
      </c>
      <c r="B33" s="265">
        <f>DIST_ALC_LEV!S87</f>
        <v>0.82161383053378378</v>
      </c>
      <c r="C33" s="265">
        <f>DIST_ALC_LEV!T87</f>
        <v>7.9171315310244475E-2</v>
      </c>
      <c r="D33" s="265">
        <f t="shared" si="0"/>
        <v>0.90078514584402825</v>
      </c>
      <c r="E33" s="265">
        <f>DIST_ALC_LEV!U87</f>
        <v>0.83576148535220407</v>
      </c>
      <c r="F33" s="265">
        <f>DIST_ALC_LEV!V87</f>
        <v>8.7292710289946188E-2</v>
      </c>
      <c r="G33" s="265">
        <f t="shared" si="1"/>
        <v>0.9230541956421503</v>
      </c>
      <c r="H33" s="265">
        <f>DIST_ALC_LEV!W87</f>
        <v>0.92773003815865818</v>
      </c>
      <c r="I33" s="265">
        <f>DIST_ALC_LEV!X87</f>
        <v>0.10160759003918772</v>
      </c>
      <c r="J33" s="265">
        <f t="shared" si="2"/>
        <v>1.0293376281978459</v>
      </c>
      <c r="K33" s="265">
        <f>DIST_ALC_LEV!Y87</f>
        <v>0.97201688529321928</v>
      </c>
      <c r="L33" s="265">
        <f>DIST_ALC_LEV!Z87</f>
        <v>0.11180651336819793</v>
      </c>
      <c r="M33" s="265">
        <f t="shared" si="3"/>
        <v>1.0838233986614172</v>
      </c>
      <c r="N33" s="265" t="e">
        <f>DIST_ALC_LEV!AA87</f>
        <v>#DIV/0!</v>
      </c>
      <c r="O33" s="265" t="e">
        <f>DIST_ALC_LEV!AB87</f>
        <v>#DIV/0!</v>
      </c>
      <c r="P33" s="265" t="e">
        <f t="shared" si="4"/>
        <v>#DIV/0!</v>
      </c>
      <c r="R33" s="260" t="s">
        <v>40</v>
      </c>
      <c r="S33" s="265">
        <f t="shared" si="5"/>
        <v>0.91210854699867239</v>
      </c>
      <c r="T33" s="265">
        <f t="shared" si="6"/>
        <v>8.7891453001327641E-2</v>
      </c>
      <c r="U33" s="265">
        <f t="shared" si="7"/>
        <v>1</v>
      </c>
      <c r="V33" s="265">
        <f t="shared" si="8"/>
        <v>0.90543056875526318</v>
      </c>
      <c r="W33" s="265">
        <f t="shared" si="9"/>
        <v>9.4569431244736823E-2</v>
      </c>
      <c r="X33" s="265">
        <f t="shared" si="10"/>
        <v>1</v>
      </c>
      <c r="Y33" s="265">
        <f t="shared" si="11"/>
        <v>0.90128837491632241</v>
      </c>
      <c r="Z33" s="265">
        <f t="shared" si="12"/>
        <v>9.8711625083677632E-2</v>
      </c>
      <c r="AA33" s="265">
        <f t="shared" si="13"/>
        <v>1</v>
      </c>
      <c r="AB33" s="265">
        <f t="shared" si="14"/>
        <v>0.8968406536468162</v>
      </c>
      <c r="AC33" s="265">
        <f t="shared" si="15"/>
        <v>0.10315934635318379</v>
      </c>
      <c r="AD33" s="265">
        <f t="shared" si="16"/>
        <v>1</v>
      </c>
      <c r="AE33" s="265" t="e">
        <f t="shared" si="17"/>
        <v>#DIV/0!</v>
      </c>
      <c r="AF33" s="265" t="e">
        <f t="shared" si="18"/>
        <v>#DIV/0!</v>
      </c>
      <c r="AG33" s="265" t="e">
        <f t="shared" si="19"/>
        <v>#DIV/0!</v>
      </c>
    </row>
    <row r="34" spans="1:33" ht="15.75" thickBot="1">
      <c r="A34" s="127" t="s">
        <v>41</v>
      </c>
      <c r="B34" s="265">
        <f>DIST_ALC_LEV!S88</f>
        <v>0.82445764686698708</v>
      </c>
      <c r="C34" s="265">
        <f>DIST_ALC_LEV!T88</f>
        <v>0.1161456144214531</v>
      </c>
      <c r="D34" s="265">
        <f t="shared" si="0"/>
        <v>0.94060326128844018</v>
      </c>
      <c r="E34" s="265">
        <f>DIST_ALC_LEV!U88</f>
        <v>0.81877829743083341</v>
      </c>
      <c r="F34" s="265">
        <f>DIST_ALC_LEV!V88</f>
        <v>0.11872250438426607</v>
      </c>
      <c r="G34" s="265">
        <f t="shared" si="1"/>
        <v>0.93750080181509943</v>
      </c>
      <c r="H34" s="265">
        <f>DIST_ALC_LEV!W88</f>
        <v>0.99543903386883759</v>
      </c>
      <c r="I34" s="265">
        <f>DIST_ALC_LEV!X88</f>
        <v>0.14424380438622353</v>
      </c>
      <c r="J34" s="265">
        <f t="shared" si="2"/>
        <v>1.139682838255061</v>
      </c>
      <c r="K34" s="265">
        <f>DIST_ALC_LEV!Y88</f>
        <v>1.0590890312520964</v>
      </c>
      <c r="L34" s="265">
        <f>DIST_ALC_LEV!Z88</f>
        <v>0.15466374772525041</v>
      </c>
      <c r="M34" s="265">
        <f t="shared" si="3"/>
        <v>1.2137527789773468</v>
      </c>
      <c r="N34" s="265" t="e">
        <f>DIST_ALC_LEV!AA88</f>
        <v>#DIV/0!</v>
      </c>
      <c r="O34" s="265" t="e">
        <f>DIST_ALC_LEV!AB88</f>
        <v>#DIV/0!</v>
      </c>
      <c r="P34" s="265" t="e">
        <f t="shared" si="4"/>
        <v>#DIV/0!</v>
      </c>
      <c r="R34" s="127" t="s">
        <v>41</v>
      </c>
      <c r="S34" s="265">
        <f t="shared" si="5"/>
        <v>0.87652008109948865</v>
      </c>
      <c r="T34" s="265">
        <f t="shared" si="6"/>
        <v>0.12347991890051137</v>
      </c>
      <c r="U34" s="265">
        <f t="shared" si="7"/>
        <v>1</v>
      </c>
      <c r="V34" s="265">
        <f t="shared" si="8"/>
        <v>0.87336277029906872</v>
      </c>
      <c r="W34" s="265">
        <f t="shared" si="9"/>
        <v>0.12663722970093136</v>
      </c>
      <c r="X34" s="265">
        <f t="shared" si="10"/>
        <v>1</v>
      </c>
      <c r="Y34" s="265">
        <f t="shared" si="11"/>
        <v>0.87343513515824156</v>
      </c>
      <c r="Z34" s="265">
        <f t="shared" si="12"/>
        <v>0.12656486484175852</v>
      </c>
      <c r="AA34" s="265">
        <f t="shared" si="13"/>
        <v>1</v>
      </c>
      <c r="AB34" s="265">
        <f t="shared" si="14"/>
        <v>0.87257392905368825</v>
      </c>
      <c r="AC34" s="265">
        <f t="shared" si="15"/>
        <v>0.12742607094631173</v>
      </c>
      <c r="AD34" s="265">
        <f t="shared" si="16"/>
        <v>1</v>
      </c>
      <c r="AE34" s="265" t="e">
        <f t="shared" si="17"/>
        <v>#DIV/0!</v>
      </c>
      <c r="AF34" s="265" t="e">
        <f t="shared" si="18"/>
        <v>#DIV/0!</v>
      </c>
      <c r="AG34" s="265" t="e">
        <f t="shared" si="19"/>
        <v>#DIV/0!</v>
      </c>
    </row>
    <row r="35" spans="1:33" ht="15.75" thickBot="1">
      <c r="A35" s="127" t="s">
        <v>42</v>
      </c>
      <c r="B35" s="265">
        <f>DIST_ALC_LEV!S89</f>
        <v>0.83342973228090622</v>
      </c>
      <c r="C35" s="265">
        <f>DIST_ALC_LEV!T89</f>
        <v>0.13922058847866242</v>
      </c>
      <c r="D35" s="265">
        <f t="shared" si="0"/>
        <v>0.9726503207595687</v>
      </c>
      <c r="E35" s="265">
        <f>DIST_ALC_LEV!U89</f>
        <v>0.85638660306203385</v>
      </c>
      <c r="F35" s="265">
        <f>DIST_ALC_LEV!V89</f>
        <v>0.14350016135941443</v>
      </c>
      <c r="G35" s="265">
        <f t="shared" si="1"/>
        <v>0.9998867644214483</v>
      </c>
      <c r="H35" s="265">
        <f>DIST_ALC_LEV!W89</f>
        <v>1.0105384946040648</v>
      </c>
      <c r="I35" s="265">
        <f>DIST_ALC_LEV!X89</f>
        <v>0.16662405154375526</v>
      </c>
      <c r="J35" s="265">
        <f t="shared" si="2"/>
        <v>1.1771625461478199</v>
      </c>
      <c r="K35" s="265">
        <f>DIST_ALC_LEV!Y89</f>
        <v>0.9999405298587053</v>
      </c>
      <c r="L35" s="265">
        <f>DIST_ALC_LEV!Z89</f>
        <v>0.16444941326676621</v>
      </c>
      <c r="M35" s="265">
        <f t="shared" si="3"/>
        <v>1.1643899431254714</v>
      </c>
      <c r="N35" s="265" t="e">
        <f>DIST_ALC_LEV!AA89</f>
        <v>#DIV/0!</v>
      </c>
      <c r="O35" s="265" t="e">
        <f>DIST_ALC_LEV!AB89</f>
        <v>#DIV/0!</v>
      </c>
      <c r="P35" s="265" t="e">
        <f t="shared" si="4"/>
        <v>#DIV/0!</v>
      </c>
      <c r="R35" s="127" t="s">
        <v>42</v>
      </c>
      <c r="S35" s="265">
        <f t="shared" si="5"/>
        <v>0.85686470717457697</v>
      </c>
      <c r="T35" s="265">
        <f t="shared" si="6"/>
        <v>0.14313529282542295</v>
      </c>
      <c r="U35" s="265">
        <f t="shared" si="7"/>
        <v>0.99999999999999989</v>
      </c>
      <c r="V35" s="265">
        <f t="shared" si="8"/>
        <v>0.85648358747658182</v>
      </c>
      <c r="W35" s="265">
        <f t="shared" si="9"/>
        <v>0.14351641252341818</v>
      </c>
      <c r="X35" s="265">
        <f t="shared" si="10"/>
        <v>1</v>
      </c>
      <c r="Y35" s="265">
        <f t="shared" si="11"/>
        <v>0.85845280918168831</v>
      </c>
      <c r="Z35" s="265">
        <f t="shared" si="12"/>
        <v>0.14154719081831182</v>
      </c>
      <c r="AA35" s="265">
        <f t="shared" si="13"/>
        <v>1.0000000000000002</v>
      </c>
      <c r="AB35" s="265">
        <f t="shared" si="14"/>
        <v>0.85876774852129967</v>
      </c>
      <c r="AC35" s="265">
        <f t="shared" si="15"/>
        <v>0.14123225147870039</v>
      </c>
      <c r="AD35" s="265">
        <f t="shared" si="16"/>
        <v>1</v>
      </c>
      <c r="AE35" s="265" t="e">
        <f t="shared" si="17"/>
        <v>#DIV/0!</v>
      </c>
      <c r="AF35" s="265" t="e">
        <f t="shared" si="18"/>
        <v>#DIV/0!</v>
      </c>
      <c r="AG35" s="265" t="e">
        <f t="shared" si="19"/>
        <v>#DIV/0!</v>
      </c>
    </row>
    <row r="36" spans="1:33" ht="26.25" thickBot="1">
      <c r="A36" s="128" t="s">
        <v>43</v>
      </c>
      <c r="B36" s="265">
        <f>DIST_ALC_LEV!S90</f>
        <v>0.86507589628608805</v>
      </c>
      <c r="C36" s="265">
        <f>DIST_ALC_LEV!T90</f>
        <v>0.121347012047509</v>
      </c>
      <c r="D36" s="265">
        <f t="shared" si="0"/>
        <v>0.98642290833359703</v>
      </c>
      <c r="E36" s="265">
        <f>DIST_ALC_LEV!U90</f>
        <v>0.87532616652465489</v>
      </c>
      <c r="F36" s="265">
        <f>DIST_ALC_LEV!V90</f>
        <v>0.1254759129883426</v>
      </c>
      <c r="G36" s="265">
        <f t="shared" si="1"/>
        <v>1.0008020795129975</v>
      </c>
      <c r="H36" s="265">
        <f>DIST_ALC_LEV!W90</f>
        <v>1.0050439435954253</v>
      </c>
      <c r="I36" s="265">
        <f>DIST_ALC_LEV!X90</f>
        <v>0.14247199271137534</v>
      </c>
      <c r="J36" s="265">
        <f t="shared" si="2"/>
        <v>1.1475159363068006</v>
      </c>
      <c r="K36" s="265">
        <f>DIST_ALC_LEV!Y90</f>
        <v>1.0424196980635538</v>
      </c>
      <c r="L36" s="265">
        <f>DIST_ALC_LEV!Z90</f>
        <v>0.14772383329997163</v>
      </c>
      <c r="M36" s="265">
        <f t="shared" si="3"/>
        <v>1.1901435313635256</v>
      </c>
      <c r="N36" s="265" t="e">
        <f>DIST_ALC_LEV!AA90</f>
        <v>#DIV/0!</v>
      </c>
      <c r="O36" s="265" t="e">
        <f>DIST_ALC_LEV!AB90</f>
        <v>#DIV/0!</v>
      </c>
      <c r="P36" s="265" t="e">
        <f t="shared" si="4"/>
        <v>#DIV/0!</v>
      </c>
      <c r="R36" s="128" t="s">
        <v>43</v>
      </c>
      <c r="S36" s="265">
        <f t="shared" si="5"/>
        <v>0.87698277176824158</v>
      </c>
      <c r="T36" s="265">
        <f t="shared" si="6"/>
        <v>0.1230172282317584</v>
      </c>
      <c r="U36" s="265">
        <f t="shared" si="7"/>
        <v>1</v>
      </c>
      <c r="V36" s="265">
        <f t="shared" si="8"/>
        <v>0.87462464801292106</v>
      </c>
      <c r="W36" s="265">
        <f t="shared" si="9"/>
        <v>0.12537535198707891</v>
      </c>
      <c r="X36" s="265">
        <f t="shared" si="10"/>
        <v>1</v>
      </c>
      <c r="Y36" s="265">
        <f t="shared" si="11"/>
        <v>0.87584312495919536</v>
      </c>
      <c r="Z36" s="265">
        <f t="shared" si="12"/>
        <v>0.12415687504080461</v>
      </c>
      <c r="AA36" s="265">
        <f t="shared" si="13"/>
        <v>1</v>
      </c>
      <c r="AB36" s="265">
        <f t="shared" si="14"/>
        <v>0.8758772959672122</v>
      </c>
      <c r="AC36" s="265">
        <f t="shared" si="15"/>
        <v>0.12412270403278766</v>
      </c>
      <c r="AD36" s="265">
        <f t="shared" si="16"/>
        <v>0.99999999999999989</v>
      </c>
      <c r="AE36" s="265" t="e">
        <f t="shared" si="17"/>
        <v>#DIV/0!</v>
      </c>
      <c r="AF36" s="265" t="e">
        <f t="shared" si="18"/>
        <v>#DIV/0!</v>
      </c>
      <c r="AG36" s="265" t="e">
        <f t="shared" si="19"/>
        <v>#DIV/0!</v>
      </c>
    </row>
    <row r="37" spans="1:33" s="1" customFormat="1"/>
    <row r="38" spans="1:33" s="1" customFormat="1"/>
    <row r="39" spans="1:33" s="1" customFormat="1"/>
    <row r="40" spans="1:33" s="1" customFormat="1"/>
    <row r="41" spans="1:33" s="1" customFormat="1"/>
    <row r="42" spans="1:33" s="1" customFormat="1"/>
    <row r="43" spans="1:33" s="1" customFormat="1"/>
    <row r="44" spans="1:33" s="1" customFormat="1"/>
    <row r="45" spans="1:33" s="1" customFormat="1"/>
    <row r="46" spans="1:33" s="1" customFormat="1"/>
    <row r="47" spans="1:33" s="1" customFormat="1"/>
    <row r="48" spans="1:33" s="1" customFormat="1"/>
    <row r="49" s="1" customFormat="1"/>
    <row r="50" s="1" customFormat="1"/>
    <row r="51" s="1" customFormat="1"/>
    <row r="52" s="1" customFormat="1"/>
    <row r="53" s="1" customFormat="1"/>
    <row r="54" s="1" customFormat="1"/>
    <row r="55" s="1" customFormat="1"/>
    <row r="56" s="1" customFormat="1"/>
    <row r="57" s="1" customFormat="1"/>
    <row r="58" s="1" customFormat="1"/>
    <row r="59" s="1" customFormat="1"/>
    <row r="60" s="1" customFormat="1"/>
    <row r="61" s="1" customFormat="1"/>
    <row r="62" s="1" customFormat="1"/>
    <row r="63" s="1" customFormat="1"/>
    <row r="64" s="1" customFormat="1"/>
    <row r="65" s="1" customFormat="1"/>
    <row r="66" s="1" customFormat="1"/>
    <row r="67" s="1" customFormat="1"/>
    <row r="68" s="1" customFormat="1"/>
    <row r="69" s="1" customFormat="1"/>
    <row r="70" s="1" customFormat="1"/>
    <row r="71" s="1" customFormat="1"/>
    <row r="72" s="1" customFormat="1"/>
    <row r="73" s="1" customFormat="1"/>
    <row r="74" s="1" customFormat="1"/>
    <row r="75" s="1" customFormat="1"/>
    <row r="76" s="1" customFormat="1"/>
    <row r="77" s="1" customFormat="1"/>
    <row r="78" s="1" customFormat="1"/>
    <row r="79" s="1" customFormat="1"/>
    <row r="80" s="1" customFormat="1"/>
    <row r="81" s="1" customFormat="1"/>
    <row r="82" s="1" customFormat="1"/>
    <row r="83" s="1" customFormat="1"/>
    <row r="84" s="1" customFormat="1"/>
    <row r="85" s="1" customFormat="1"/>
    <row r="86" s="1" customFormat="1"/>
    <row r="87" s="1" customFormat="1"/>
    <row r="88" s="1" customFormat="1"/>
    <row r="89" s="1" customFormat="1"/>
    <row r="90" s="1" customFormat="1"/>
    <row r="91" s="1" customFormat="1"/>
    <row r="92" s="1" customFormat="1"/>
    <row r="93" s="1" customFormat="1"/>
    <row r="94" s="1" customFormat="1"/>
    <row r="95" s="1" customFormat="1"/>
    <row r="96" s="1" customFormat="1"/>
    <row r="97" s="1" customFormat="1"/>
    <row r="98" s="1" customFormat="1"/>
    <row r="99" s="1" customFormat="1"/>
    <row r="100" s="1" customFormat="1"/>
    <row r="101" s="1" customFormat="1"/>
    <row r="102" s="1" customFormat="1"/>
    <row r="103" s="1" customFormat="1"/>
    <row r="104" s="1" customFormat="1"/>
    <row r="105" s="1" customFormat="1"/>
    <row r="106" s="1" customFormat="1"/>
    <row r="107" s="1" customFormat="1"/>
    <row r="108" s="1" customFormat="1"/>
    <row r="109" s="1" customFormat="1"/>
    <row r="110" s="1" customFormat="1"/>
    <row r="111" s="1" customFormat="1"/>
    <row r="112" s="1" customFormat="1"/>
    <row r="113" s="1" customFormat="1"/>
    <row r="114" s="1" customFormat="1"/>
    <row r="115" s="1" customFormat="1"/>
    <row r="116" s="1" customFormat="1"/>
    <row r="117" s="1" customFormat="1"/>
    <row r="118" s="1" customFormat="1"/>
    <row r="119" s="1" customFormat="1"/>
    <row r="120" s="1" customFormat="1"/>
    <row r="121" s="1" customFormat="1"/>
    <row r="122" s="1" customFormat="1"/>
    <row r="123" s="1" customFormat="1"/>
    <row r="124" s="1" customFormat="1"/>
    <row r="125" s="1" customFormat="1"/>
    <row r="126" s="1" customFormat="1"/>
    <row r="127" s="1" customFormat="1"/>
    <row r="128" s="1" customFormat="1"/>
    <row r="129" s="1" customFormat="1"/>
    <row r="130" s="1" customFormat="1"/>
    <row r="131" s="1" customFormat="1"/>
    <row r="132" s="1" customFormat="1"/>
    <row r="133" s="1" customFormat="1"/>
    <row r="134" s="1" customFormat="1"/>
    <row r="135" s="1" customFormat="1"/>
    <row r="136" s="1" customFormat="1"/>
    <row r="137" s="1" customFormat="1"/>
    <row r="138" s="1" customFormat="1"/>
    <row r="139" s="1" customFormat="1"/>
    <row r="140" s="1" customFormat="1"/>
    <row r="141" s="1" customFormat="1"/>
    <row r="142" s="1" customFormat="1"/>
    <row r="143" s="1" customFormat="1"/>
    <row r="144" s="1" customFormat="1"/>
    <row r="145" s="1" customFormat="1"/>
    <row r="146" s="1" customFormat="1"/>
    <row r="147" s="1" customFormat="1"/>
    <row r="148" s="1" customFormat="1"/>
    <row r="149" s="1" customFormat="1"/>
    <row r="150" s="1" customFormat="1"/>
    <row r="151" s="1" customFormat="1"/>
    <row r="152" s="1" customFormat="1"/>
    <row r="153" s="1" customFormat="1"/>
    <row r="154" s="1" customFormat="1"/>
    <row r="155" s="1" customFormat="1"/>
    <row r="156" s="1" customFormat="1"/>
    <row r="157" s="1" customFormat="1"/>
    <row r="158" s="1" customFormat="1"/>
    <row r="159" s="1" customFormat="1"/>
    <row r="160" s="1" customFormat="1"/>
    <row r="161" s="1" customFormat="1"/>
    <row r="162" s="1" customFormat="1"/>
    <row r="163" s="1" customFormat="1"/>
    <row r="164" s="1" customFormat="1"/>
    <row r="165" s="1" customFormat="1"/>
    <row r="166" s="1" customFormat="1"/>
    <row r="167" s="1" customFormat="1"/>
    <row r="168" s="1" customFormat="1"/>
    <row r="169" s="1" customFormat="1"/>
    <row r="170" s="1" customFormat="1"/>
    <row r="171" s="1" customFormat="1"/>
    <row r="172" s="1" customFormat="1"/>
    <row r="173" s="1" customFormat="1"/>
    <row r="174" s="1" customFormat="1"/>
    <row r="175" s="1" customFormat="1"/>
    <row r="176" s="1" customFormat="1"/>
    <row r="177" s="1" customFormat="1"/>
    <row r="178" s="1" customFormat="1"/>
    <row r="179" s="1" customFormat="1"/>
    <row r="180" s="1" customFormat="1"/>
    <row r="181" s="1" customFormat="1"/>
    <row r="182" s="1" customFormat="1"/>
    <row r="183" s="1" customFormat="1"/>
    <row r="184" s="1" customFormat="1"/>
    <row r="185" s="1" customFormat="1"/>
    <row r="186" s="1" customFormat="1"/>
    <row r="187" s="1" customFormat="1"/>
    <row r="188" s="1" customFormat="1"/>
    <row r="189" s="1" customFormat="1"/>
    <row r="190" s="1" customFormat="1"/>
    <row r="191" s="1" customFormat="1"/>
    <row r="192" s="1" customFormat="1"/>
    <row r="193" s="1" customFormat="1"/>
    <row r="194" s="1" customFormat="1"/>
    <row r="195" s="1" customFormat="1"/>
    <row r="196" s="1" customFormat="1"/>
    <row r="197" s="1" customFormat="1"/>
    <row r="198" s="1" customFormat="1"/>
    <row r="199" s="1" customFormat="1"/>
    <row r="200" s="1" customFormat="1"/>
    <row r="201" s="1" customFormat="1"/>
    <row r="202" s="1" customFormat="1"/>
    <row r="203" s="1" customFormat="1"/>
    <row r="204" s="1" customFormat="1"/>
    <row r="205" s="1" customFormat="1"/>
    <row r="206" s="1" customFormat="1"/>
    <row r="207" s="1" customFormat="1"/>
    <row r="208" s="1" customFormat="1"/>
    <row r="209" s="1" customFormat="1"/>
    <row r="210" s="1" customFormat="1"/>
    <row r="211" s="1" customFormat="1"/>
    <row r="212" s="1" customFormat="1"/>
    <row r="213" s="1" customFormat="1"/>
    <row r="214" s="1" customFormat="1"/>
    <row r="215" s="1" customFormat="1"/>
    <row r="216" s="1" customFormat="1"/>
    <row r="217" s="1" customFormat="1"/>
    <row r="218" s="1" customFormat="1"/>
    <row r="219" s="1" customFormat="1"/>
    <row r="220" s="1" customFormat="1"/>
    <row r="221" s="1" customFormat="1"/>
    <row r="222" s="1" customFormat="1"/>
    <row r="223" s="1" customFormat="1"/>
    <row r="224" s="1" customFormat="1"/>
    <row r="225" s="1" customFormat="1"/>
    <row r="226" s="1" customFormat="1"/>
    <row r="227" s="1" customFormat="1"/>
    <row r="228" s="1" customFormat="1"/>
    <row r="229" s="1" customFormat="1"/>
    <row r="230" s="1" customFormat="1"/>
    <row r="231" s="1" customFormat="1"/>
    <row r="232" s="1" customFormat="1"/>
    <row r="233" s="1" customFormat="1"/>
    <row r="234" s="1" customFormat="1"/>
    <row r="235" s="1" customFormat="1"/>
    <row r="236" s="1" customFormat="1"/>
    <row r="237" s="1" customFormat="1"/>
    <row r="238" s="1" customFormat="1"/>
    <row r="239" s="1" customFormat="1"/>
    <row r="240" s="1" customFormat="1"/>
    <row r="241" s="1" customFormat="1"/>
    <row r="242" s="1" customFormat="1"/>
    <row r="243" s="1" customFormat="1"/>
    <row r="244" s="1" customFormat="1"/>
    <row r="245" s="1" customFormat="1"/>
    <row r="246" s="1" customFormat="1"/>
    <row r="247" s="1" customFormat="1"/>
    <row r="248" s="1" customFormat="1"/>
    <row r="249" s="1" customFormat="1"/>
    <row r="250" s="1" customFormat="1"/>
    <row r="251" s="1" customFormat="1"/>
    <row r="252" s="1" customFormat="1"/>
    <row r="253" s="1" customFormat="1"/>
    <row r="254" s="1" customFormat="1"/>
    <row r="255" s="1" customFormat="1"/>
    <row r="256" s="1" customFormat="1"/>
    <row r="257" s="1" customFormat="1"/>
    <row r="258" s="1" customFormat="1"/>
    <row r="259" s="1" customFormat="1"/>
    <row r="260" s="1" customFormat="1"/>
    <row r="261" s="1" customFormat="1"/>
    <row r="262" s="1" customFormat="1"/>
    <row r="263" s="1" customFormat="1"/>
    <row r="264" s="1" customFormat="1"/>
    <row r="265" s="1" customFormat="1"/>
    <row r="266" s="1" customFormat="1"/>
    <row r="267" s="1" customFormat="1"/>
    <row r="268" s="1" customFormat="1"/>
    <row r="269" s="1" customFormat="1"/>
    <row r="270" s="1" customFormat="1"/>
    <row r="271" s="1" customFormat="1"/>
    <row r="272" s="1" customFormat="1"/>
    <row r="273" s="1" customFormat="1"/>
    <row r="274" s="1" customFormat="1"/>
    <row r="275" s="1" customFormat="1"/>
    <row r="276" s="1" customFormat="1"/>
    <row r="277" s="1" customFormat="1"/>
    <row r="278" s="1" customFormat="1"/>
    <row r="279" s="1" customFormat="1"/>
    <row r="280" s="1" customFormat="1"/>
    <row r="281" s="1" customFormat="1"/>
    <row r="282" s="1" customFormat="1"/>
    <row r="283" s="1" customFormat="1"/>
    <row r="284" s="1" customFormat="1"/>
    <row r="285" s="1" customFormat="1"/>
    <row r="286" s="1" customFormat="1"/>
    <row r="287" s="1" customFormat="1"/>
    <row r="288" s="1" customFormat="1"/>
    <row r="289" s="1" customFormat="1"/>
    <row r="290" s="1" customFormat="1"/>
    <row r="291" s="1" customFormat="1"/>
    <row r="292" s="1" customFormat="1"/>
    <row r="293" s="1" customFormat="1"/>
    <row r="294" s="1" customFormat="1"/>
    <row r="295" s="1" customFormat="1"/>
    <row r="296" s="1" customFormat="1"/>
    <row r="297" s="1" customFormat="1"/>
    <row r="298" s="1" customFormat="1"/>
    <row r="299" s="1" customFormat="1"/>
    <row r="300" s="1" customFormat="1"/>
    <row r="301" s="1" customFormat="1"/>
    <row r="302" s="1" customFormat="1"/>
    <row r="303" s="1" customFormat="1"/>
    <row r="304" s="1" customFormat="1"/>
    <row r="305" s="1" customFormat="1"/>
    <row r="306" s="1" customFormat="1"/>
    <row r="307" s="1" customFormat="1"/>
    <row r="308" s="1" customFormat="1"/>
    <row r="309" s="1" customFormat="1"/>
    <row r="310" s="1" customFormat="1"/>
    <row r="311" s="1" customFormat="1"/>
    <row r="312" s="1" customFormat="1"/>
    <row r="313" s="1" customFormat="1"/>
    <row r="314" s="1" customFormat="1"/>
    <row r="315" s="1" customFormat="1"/>
    <row r="316" s="1" customFormat="1"/>
    <row r="317" s="1" customFormat="1"/>
    <row r="318" s="1" customFormat="1"/>
    <row r="319" s="1" customFormat="1"/>
    <row r="320" s="1" customFormat="1"/>
    <row r="321" s="1" customFormat="1"/>
    <row r="322" s="1" customFormat="1"/>
    <row r="323" s="1" customFormat="1"/>
    <row r="324" s="1" customFormat="1"/>
    <row r="325" s="1" customFormat="1"/>
    <row r="326" s="1" customFormat="1"/>
    <row r="327" s="1" customFormat="1"/>
    <row r="328" s="1" customFormat="1"/>
    <row r="329" s="1" customFormat="1"/>
    <row r="330" s="1" customFormat="1"/>
    <row r="331" s="1" customFormat="1"/>
    <row r="332" s="1" customFormat="1"/>
    <row r="333" s="1" customFormat="1"/>
    <row r="334" s="1" customFormat="1"/>
    <row r="335" s="1" customFormat="1"/>
    <row r="336" s="1" customFormat="1"/>
    <row r="337" s="1" customFormat="1"/>
    <row r="338" s="1" customFormat="1"/>
    <row r="339" s="1" customFormat="1"/>
    <row r="340" s="1" customFormat="1"/>
    <row r="341" s="1" customFormat="1"/>
    <row r="342" s="1" customFormat="1"/>
    <row r="343" s="1" customFormat="1"/>
    <row r="344" s="1" customFormat="1"/>
    <row r="345" s="1" customFormat="1"/>
    <row r="346" s="1" customFormat="1"/>
    <row r="347" s="1" customFormat="1"/>
    <row r="348" s="1" customFormat="1"/>
    <row r="349" s="1" customFormat="1"/>
    <row r="350" s="1" customFormat="1"/>
    <row r="351" s="1" customFormat="1"/>
    <row r="352" s="1" customFormat="1"/>
    <row r="353" s="1" customFormat="1"/>
    <row r="354" s="1" customFormat="1"/>
    <row r="355" s="1" customFormat="1"/>
    <row r="356" s="1" customFormat="1"/>
    <row r="357" s="1" customFormat="1"/>
    <row r="358" s="1" customFormat="1"/>
    <row r="359" s="1" customFormat="1"/>
    <row r="360" s="1" customFormat="1"/>
    <row r="361" s="1" customFormat="1"/>
    <row r="362" s="1" customFormat="1"/>
    <row r="363" s="1" customFormat="1"/>
    <row r="364" s="1" customFormat="1"/>
    <row r="365" s="1" customFormat="1"/>
    <row r="366" s="1" customFormat="1"/>
    <row r="367" s="1" customFormat="1"/>
    <row r="368" s="1" customFormat="1"/>
    <row r="369" s="1" customFormat="1"/>
    <row r="370" s="1" customFormat="1"/>
    <row r="371" s="1" customFormat="1"/>
  </sheetData>
  <mergeCells count="42">
    <mergeCell ref="N1:P1"/>
    <mergeCell ref="N2:N3"/>
    <mergeCell ref="O2:O3"/>
    <mergeCell ref="P2:P3"/>
    <mergeCell ref="AE1:AG1"/>
    <mergeCell ref="AE2:AE3"/>
    <mergeCell ref="AF2:AF3"/>
    <mergeCell ref="AG2:AG3"/>
    <mergeCell ref="R1:R3"/>
    <mergeCell ref="S1:U1"/>
    <mergeCell ref="V1:X1"/>
    <mergeCell ref="AB2:AB3"/>
    <mergeCell ref="AC2:AC3"/>
    <mergeCell ref="AD2:AD3"/>
    <mergeCell ref="AB1:AD1"/>
    <mergeCell ref="S2:S3"/>
    <mergeCell ref="A1:A3"/>
    <mergeCell ref="B2:B3"/>
    <mergeCell ref="C2:C3"/>
    <mergeCell ref="E2:E3"/>
    <mergeCell ref="F2:F3"/>
    <mergeCell ref="I2:I3"/>
    <mergeCell ref="K2:K3"/>
    <mergeCell ref="L2:L3"/>
    <mergeCell ref="B1:D1"/>
    <mergeCell ref="E1:G1"/>
    <mergeCell ref="H1:J1"/>
    <mergeCell ref="K1:M1"/>
    <mergeCell ref="D2:D3"/>
    <mergeCell ref="G2:G3"/>
    <mergeCell ref="H2:H3"/>
    <mergeCell ref="M2:M3"/>
    <mergeCell ref="J2:J3"/>
    <mergeCell ref="Y2:Y3"/>
    <mergeCell ref="Z2:Z3"/>
    <mergeCell ref="AA2:AA3"/>
    <mergeCell ref="Y1:AA1"/>
    <mergeCell ref="T2:T3"/>
    <mergeCell ref="U2:U3"/>
    <mergeCell ref="V2:V3"/>
    <mergeCell ref="W2:W3"/>
    <mergeCell ref="X2:X3"/>
  </mergeCells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theme="2" tint="-0.749992370372631"/>
  </sheetPr>
  <dimension ref="A1:AM210"/>
  <sheetViews>
    <sheetView topLeftCell="A114" workbookViewId="0">
      <selection activeCell="H129" sqref="H129"/>
    </sheetView>
  </sheetViews>
  <sheetFormatPr defaultColWidth="8.85546875" defaultRowHeight="15"/>
  <cols>
    <col min="1" max="1" width="17.42578125" customWidth="1"/>
    <col min="2" max="2" width="12" bestFit="1" customWidth="1"/>
    <col min="3" max="3" width="10.140625" customWidth="1"/>
    <col min="5" max="6" width="11.85546875" customWidth="1"/>
    <col min="8" max="8" width="12.42578125" customWidth="1"/>
    <col min="9" max="9" width="10.42578125" customWidth="1"/>
    <col min="10" max="10" width="11.28515625" customWidth="1"/>
    <col min="11" max="11" width="12" customWidth="1"/>
    <col min="14" max="14" width="10.7109375" customWidth="1"/>
    <col min="16" max="16" width="11.7109375" customWidth="1"/>
    <col min="17" max="17" width="10.85546875" customWidth="1"/>
    <col min="18" max="18" width="10.42578125" bestFit="1" customWidth="1"/>
    <col min="19" max="39" width="8.85546875" style="1"/>
  </cols>
  <sheetData>
    <row r="1" spans="1:22" ht="15.75" customHeight="1" thickBot="1">
      <c r="A1" s="1051" t="s">
        <v>474</v>
      </c>
      <c r="B1" s="1250">
        <v>2009</v>
      </c>
      <c r="C1" s="1251"/>
      <c r="D1" s="1251"/>
      <c r="E1" s="1251"/>
      <c r="F1" s="1251"/>
      <c r="G1" s="1251"/>
      <c r="H1" s="1251"/>
      <c r="I1" s="1251"/>
      <c r="J1" s="1251"/>
      <c r="K1" s="1251"/>
      <c r="L1" s="1251"/>
      <c r="M1" s="1251"/>
      <c r="N1" s="1251"/>
      <c r="O1" s="1251"/>
      <c r="P1" s="1251"/>
      <c r="Q1" s="1251"/>
      <c r="R1" s="1252"/>
    </row>
    <row r="2" spans="1:22">
      <c r="A2" s="1052"/>
      <c r="B2" s="1253" t="s">
        <v>97</v>
      </c>
      <c r="C2" s="1254"/>
      <c r="D2" s="1254"/>
      <c r="E2" s="1254"/>
      <c r="F2" s="1254"/>
      <c r="G2" s="1254"/>
      <c r="H2" s="1254" t="s">
        <v>98</v>
      </c>
      <c r="I2" s="1254"/>
      <c r="J2" s="1254" t="s">
        <v>99</v>
      </c>
      <c r="K2" s="1254"/>
      <c r="L2" s="1254"/>
      <c r="M2" s="1254"/>
      <c r="N2" s="1254"/>
      <c r="O2" s="1254"/>
      <c r="P2" s="1254"/>
      <c r="Q2" s="1254"/>
      <c r="R2" s="271" t="s">
        <v>100</v>
      </c>
    </row>
    <row r="3" spans="1:22">
      <c r="A3" s="1052"/>
      <c r="B3" s="1255" t="s">
        <v>101</v>
      </c>
      <c r="C3" s="1257" t="s">
        <v>102</v>
      </c>
      <c r="D3" s="1257" t="s">
        <v>103</v>
      </c>
      <c r="E3" s="1257"/>
      <c r="F3" s="1257"/>
      <c r="G3" s="1257"/>
      <c r="H3" s="1255" t="s">
        <v>101</v>
      </c>
      <c r="I3" s="1257" t="s">
        <v>102</v>
      </c>
      <c r="J3" s="1257" t="s">
        <v>104</v>
      </c>
      <c r="K3" s="1257"/>
      <c r="L3" s="1257"/>
      <c r="M3" s="1257" t="s">
        <v>105</v>
      </c>
      <c r="N3" s="1257"/>
      <c r="O3" s="1257"/>
      <c r="P3" s="1255" t="s">
        <v>101</v>
      </c>
      <c r="Q3" s="1257" t="s">
        <v>102</v>
      </c>
      <c r="R3" s="1255" t="s">
        <v>101</v>
      </c>
    </row>
    <row r="4" spans="1:22" ht="15.75" thickBot="1">
      <c r="A4" s="1053"/>
      <c r="B4" s="1256"/>
      <c r="C4" s="1258"/>
      <c r="D4" s="270" t="s">
        <v>106</v>
      </c>
      <c r="E4" s="270" t="s">
        <v>107</v>
      </c>
      <c r="F4" s="270" t="s">
        <v>108</v>
      </c>
      <c r="G4" s="270" t="s">
        <v>109</v>
      </c>
      <c r="H4" s="1256"/>
      <c r="I4" s="1258"/>
      <c r="J4" s="270" t="s">
        <v>110</v>
      </c>
      <c r="K4" s="270" t="s">
        <v>111</v>
      </c>
      <c r="L4" s="270" t="s">
        <v>112</v>
      </c>
      <c r="M4" s="270" t="s">
        <v>113</v>
      </c>
      <c r="N4" s="270" t="s">
        <v>114</v>
      </c>
      <c r="O4" s="270" t="s">
        <v>115</v>
      </c>
      <c r="P4" s="1256"/>
      <c r="Q4" s="1258"/>
      <c r="R4" s="1256"/>
    </row>
    <row r="5" spans="1:22" ht="15.75" thickBot="1">
      <c r="A5" s="164" t="s">
        <v>11</v>
      </c>
      <c r="B5" s="287">
        <f>DIST_GAS_TOT!AM4</f>
        <v>0.67121542548097568</v>
      </c>
      <c r="C5" s="287">
        <f>DIST_GAS_TOT!AN4</f>
        <v>0.10043114976262026</v>
      </c>
      <c r="D5" s="287">
        <f>DIST_GAS_TOT!AO4</f>
        <v>1.2573764905312959E-2</v>
      </c>
      <c r="E5" s="287">
        <f>DIST_GAS_TOT!AP4</f>
        <v>0.20879423221617341</v>
      </c>
      <c r="F5" s="287">
        <f>DIST_GAS_TOT!AQ4</f>
        <v>4.387431381300994E-3</v>
      </c>
      <c r="G5" s="287">
        <f>DIST_GAS_TOT!AR4</f>
        <v>2.5979962536167569E-3</v>
      </c>
      <c r="H5" s="287">
        <f>DIST_ALC_TOT!S4</f>
        <v>0.89267246065865857</v>
      </c>
      <c r="I5" s="287">
        <f>DIST_ALC_TOT!T4</f>
        <v>0.10732753934134139</v>
      </c>
      <c r="J5" s="287">
        <f>DIST_DSL_TOT!AW4</f>
        <v>0.1375584786764858</v>
      </c>
      <c r="K5" s="287">
        <f>DIST_DSL_TOT!AX4</f>
        <v>0.16067335178413256</v>
      </c>
      <c r="L5" s="287">
        <f>DIST_DSL_TOT!AY4</f>
        <v>0.17352971845885118</v>
      </c>
      <c r="M5" s="287">
        <f>DIST_DSL_TOT!AZ4</f>
        <v>4.6167821296200916E-2</v>
      </c>
      <c r="N5" s="287">
        <f>DIST_DSL_TOT!BA4</f>
        <v>0.35506287583437951</v>
      </c>
      <c r="O5" s="287">
        <f>DIST_DSL_TOT!BB4</f>
        <v>5.6833884921742898E-2</v>
      </c>
      <c r="P5" s="287">
        <f>DIST_DSL_TOT!BC4</f>
        <v>1.691148771994341E-3</v>
      </c>
      <c r="Q5" s="287">
        <f>DIST_DSL_TOT!BD4</f>
        <v>6.8482720256212951E-2</v>
      </c>
      <c r="R5" s="286">
        <f>1</f>
        <v>1</v>
      </c>
      <c r="T5" s="288">
        <f>B5+C5+D5+E5+F5+G5</f>
        <v>1</v>
      </c>
      <c r="U5" s="288">
        <f>H5+I5</f>
        <v>1</v>
      </c>
      <c r="V5" s="288">
        <f>J5+K5+L5+M5+N5+O5+P5+Q5</f>
        <v>1.0000000000000002</v>
      </c>
    </row>
    <row r="6" spans="1:22">
      <c r="A6" s="269" t="s">
        <v>46</v>
      </c>
      <c r="B6" s="287">
        <f>DIST_GAS_TOT!AM5</f>
        <v>0.61212921592519864</v>
      </c>
      <c r="C6" s="287">
        <f>DIST_GAS_TOT!AN5</f>
        <v>0.11400115974376976</v>
      </c>
      <c r="D6" s="287">
        <f>DIST_GAS_TOT!AO5</f>
        <v>2.302026125354141E-2</v>
      </c>
      <c r="E6" s="287">
        <f>DIST_GAS_TOT!AP5</f>
        <v>0.24272853806276032</v>
      </c>
      <c r="F6" s="287">
        <f>DIST_GAS_TOT!AQ5</f>
        <v>5.1006121698639276E-3</v>
      </c>
      <c r="G6" s="287">
        <f>DIST_GAS_TOT!AR5</f>
        <v>3.0202128448658621E-3</v>
      </c>
      <c r="H6" s="287">
        <f>DIST_ALC_TOT!S5</f>
        <v>0.85637293474611043</v>
      </c>
      <c r="I6" s="287">
        <f>DIST_ALC_TOT!T5</f>
        <v>0.14362706525388952</v>
      </c>
      <c r="J6" s="287">
        <f>DIST_DSL_TOT!AW5</f>
        <v>0.19569380486849278</v>
      </c>
      <c r="K6" s="287">
        <f>DIST_DSL_TOT!AX5</f>
        <v>0.22857311310703229</v>
      </c>
      <c r="L6" s="287">
        <f>DIST_DSL_TOT!AY5</f>
        <v>0.17316669753501854</v>
      </c>
      <c r="M6" s="287">
        <f>DIST_DSL_TOT!AZ5</f>
        <v>3.0513086095645486E-2</v>
      </c>
      <c r="N6" s="287">
        <f>DIST_DSL_TOT!BA5</f>
        <v>0.24058967023183647</v>
      </c>
      <c r="O6" s="287">
        <f>DIST_DSL_TOT!BB5</f>
        <v>5.3657423166325768E-2</v>
      </c>
      <c r="P6" s="287">
        <f>DIST_DSL_TOT!BC5</f>
        <v>1.4650914861924044E-3</v>
      </c>
      <c r="Q6" s="287">
        <f>DIST_DSL_TOT!BD5</f>
        <v>7.6341113509456215E-2</v>
      </c>
      <c r="R6" s="286">
        <f>1</f>
        <v>1</v>
      </c>
      <c r="T6" s="288">
        <f t="shared" ref="T6:T69" si="0">B6+C6+D6+E6+F6+G6</f>
        <v>0.99999999999999989</v>
      </c>
      <c r="U6" s="288">
        <f t="shared" ref="U6:U69" si="1">H6+I6</f>
        <v>1</v>
      </c>
      <c r="V6" s="288">
        <f t="shared" ref="V6:V69" si="2">J6+K6+L6+M6+N6+O6+P6+Q6</f>
        <v>1.0000000000000002</v>
      </c>
    </row>
    <row r="7" spans="1:22">
      <c r="A7" s="127" t="s">
        <v>13</v>
      </c>
      <c r="B7" s="287">
        <f>DIST_GAS_TOT!AM6</f>
        <v>0.59159104968120768</v>
      </c>
      <c r="C7" s="287">
        <f>DIST_GAS_TOT!AN6</f>
        <v>0.10396267689227041</v>
      </c>
      <c r="D7" s="287">
        <f>DIST_GAS_TOT!AO6</f>
        <v>2.087227542223798E-2</v>
      </c>
      <c r="E7" s="287">
        <f>DIST_GAS_TOT!AP6</f>
        <v>0.27439258401674999</v>
      </c>
      <c r="F7" s="287">
        <f>DIST_GAS_TOT!AQ6</f>
        <v>5.7667340627946036E-3</v>
      </c>
      <c r="G7" s="287">
        <f>DIST_GAS_TOT!AR6</f>
        <v>3.4146799247392417E-3</v>
      </c>
      <c r="H7" s="287">
        <f>DIST_ALC_TOT!S6</f>
        <v>0.86602923781631391</v>
      </c>
      <c r="I7" s="287">
        <f>DIST_ALC_TOT!T6</f>
        <v>0.13397076218368617</v>
      </c>
      <c r="J7" s="287">
        <f>DIST_DSL_TOT!AW6</f>
        <v>0.24293514757162141</v>
      </c>
      <c r="K7" s="287">
        <f>DIST_DSL_TOT!AX6</f>
        <v>0.28373381166697526</v>
      </c>
      <c r="L7" s="287">
        <f>DIST_DSL_TOT!AY6</f>
        <v>0.13416312694021873</v>
      </c>
      <c r="M7" s="287">
        <f>DIST_DSL_TOT!AZ6</f>
        <v>1.3450624720898368E-2</v>
      </c>
      <c r="N7" s="287">
        <f>DIST_DSL_TOT!BA6</f>
        <v>0.15380178036626532</v>
      </c>
      <c r="O7" s="287">
        <f>DIST_DSL_TOT!BB6</f>
        <v>3.4321222190232162E-2</v>
      </c>
      <c r="P7" s="287">
        <f>DIST_DSL_TOT!BC6</f>
        <v>2.7083950311373233E-3</v>
      </c>
      <c r="Q7" s="287">
        <f>DIST_DSL_TOT!BD6</f>
        <v>0.13488589151265151</v>
      </c>
      <c r="R7" s="286">
        <f>1</f>
        <v>1</v>
      </c>
      <c r="T7" s="288">
        <f t="shared" si="0"/>
        <v>0.99999999999999989</v>
      </c>
      <c r="U7" s="288">
        <f t="shared" si="1"/>
        <v>1</v>
      </c>
      <c r="V7" s="288">
        <f t="shared" si="2"/>
        <v>1</v>
      </c>
    </row>
    <row r="8" spans="1:22">
      <c r="A8" s="127" t="s">
        <v>14</v>
      </c>
      <c r="B8" s="287">
        <f>DIST_GAS_TOT!AM7</f>
        <v>0.68012217471671199</v>
      </c>
      <c r="C8" s="287">
        <f>DIST_GAS_TOT!AN7</f>
        <v>0.13366084891689631</v>
      </c>
      <c r="D8" s="287">
        <f>DIST_GAS_TOT!AO7</f>
        <v>1.1722071841820527E-2</v>
      </c>
      <c r="E8" s="287">
        <f>DIST_GAS_TOT!AP7</f>
        <v>0.16884632194064086</v>
      </c>
      <c r="F8" s="287">
        <f>DIST_GAS_TOT!AQ7</f>
        <v>3.5489449787193838E-3</v>
      </c>
      <c r="G8" s="287">
        <f>DIST_GAS_TOT!AR7</f>
        <v>2.0996376052109444E-3</v>
      </c>
      <c r="H8" s="287">
        <f>DIST_ALC_TOT!S7</f>
        <v>0.85073543739042001</v>
      </c>
      <c r="I8" s="287">
        <f>DIST_ALC_TOT!T7</f>
        <v>0.1492645626095799</v>
      </c>
      <c r="J8" s="287">
        <f>DIST_DSL_TOT!AW7</f>
        <v>0.21746554934264578</v>
      </c>
      <c r="K8" s="287">
        <f>DIST_DSL_TOT!AX7</f>
        <v>0.25394761850882958</v>
      </c>
      <c r="L8" s="287">
        <f>DIST_DSL_TOT!AY7</f>
        <v>9.9246781882331728E-2</v>
      </c>
      <c r="M8" s="287">
        <f>DIST_DSL_TOT!AZ7</f>
        <v>3.4377149708628173E-2</v>
      </c>
      <c r="N8" s="287">
        <f>DIST_DSL_TOT!BA7</f>
        <v>0.22419251187237116</v>
      </c>
      <c r="O8" s="287">
        <f>DIST_DSL_TOT!BB7</f>
        <v>4.9866433063075283E-2</v>
      </c>
      <c r="P8" s="287">
        <f>DIST_DSL_TOT!BC7</f>
        <v>2.1315925219565833E-3</v>
      </c>
      <c r="Q8" s="287">
        <f>DIST_DSL_TOT!BD7</f>
        <v>0.11877236310016165</v>
      </c>
      <c r="R8" s="286">
        <f>1</f>
        <v>1</v>
      </c>
      <c r="T8" s="288">
        <f t="shared" si="0"/>
        <v>1</v>
      </c>
      <c r="U8" s="288">
        <f t="shared" si="1"/>
        <v>0.99999999999999989</v>
      </c>
      <c r="V8" s="288">
        <f t="shared" si="2"/>
        <v>0.99999999999999978</v>
      </c>
    </row>
    <row r="9" spans="1:22">
      <c r="A9" s="127" t="s">
        <v>15</v>
      </c>
      <c r="B9" s="287">
        <f>DIST_GAS_TOT!AM8</f>
        <v>0.71038976585399982</v>
      </c>
      <c r="C9" s="287">
        <f>DIST_GAS_TOT!AN8</f>
        <v>0.14793196499385938</v>
      </c>
      <c r="D9" s="287">
        <f>DIST_GAS_TOT!AO8</f>
        <v>1.0572785980839598E-2</v>
      </c>
      <c r="E9" s="287">
        <f>DIST_GAS_TOT!AP8</f>
        <v>0.12686096684514278</v>
      </c>
      <c r="F9" s="287">
        <f>DIST_GAS_TOT!AQ8</f>
        <v>2.6658517988817619E-3</v>
      </c>
      <c r="G9" s="287">
        <f>DIST_GAS_TOT!AR8</f>
        <v>1.5786645272764307E-3</v>
      </c>
      <c r="H9" s="287">
        <f>DIST_ALC_TOT!S8</f>
        <v>0.84723151271553432</v>
      </c>
      <c r="I9" s="287">
        <f>DIST_ALC_TOT!T8</f>
        <v>0.15276848728446576</v>
      </c>
      <c r="J9" s="287">
        <f>DIST_DSL_TOT!AW8</f>
        <v>0.15533417253085507</v>
      </c>
      <c r="K9" s="287">
        <f>DIST_DSL_TOT!AX8</f>
        <v>0.1814482620026811</v>
      </c>
      <c r="L9" s="287">
        <f>DIST_DSL_TOT!AY8</f>
        <v>0.14033948353862347</v>
      </c>
      <c r="M9" s="287">
        <f>DIST_DSL_TOT!AZ8</f>
        <v>4.0407125895004711E-2</v>
      </c>
      <c r="N9" s="287">
        <f>DIST_DSL_TOT!BA8</f>
        <v>0.33799425650537335</v>
      </c>
      <c r="O9" s="287">
        <f>DIST_DSL_TOT!BB8</f>
        <v>7.5373177004956715E-2</v>
      </c>
      <c r="P9" s="287">
        <f>DIST_DSL_TOT!BC8</f>
        <v>1.1598833522190823E-3</v>
      </c>
      <c r="Q9" s="287">
        <f>DIST_DSL_TOT!BD8</f>
        <v>6.7943639170286563E-2</v>
      </c>
      <c r="R9" s="286">
        <f>1</f>
        <v>1</v>
      </c>
      <c r="T9" s="288">
        <f t="shared" si="0"/>
        <v>0.99999999999999978</v>
      </c>
      <c r="U9" s="288">
        <f t="shared" si="1"/>
        <v>1</v>
      </c>
      <c r="V9" s="288">
        <f t="shared" si="2"/>
        <v>1</v>
      </c>
    </row>
    <row r="10" spans="1:22">
      <c r="A10" s="127" t="s">
        <v>16</v>
      </c>
      <c r="B10" s="287">
        <f>DIST_GAS_TOT!AM9</f>
        <v>0.63145920428759117</v>
      </c>
      <c r="C10" s="287">
        <f>DIST_GAS_TOT!AN9</f>
        <v>9.9254988023521978E-2</v>
      </c>
      <c r="D10" s="287">
        <f>DIST_GAS_TOT!AO9</f>
        <v>1.9859431812621377E-2</v>
      </c>
      <c r="E10" s="287">
        <f>DIST_GAS_TOT!AP9</f>
        <v>0.24135169501973161</v>
      </c>
      <c r="F10" s="287">
        <f>DIST_GAS_TOT!AQ9</f>
        <v>5.0715960305047795E-3</v>
      </c>
      <c r="G10" s="287">
        <f>DIST_GAS_TOT!AR9</f>
        <v>3.0030848260292294E-3</v>
      </c>
      <c r="H10" s="287">
        <f>DIST_ALC_TOT!S9</f>
        <v>0.87773178988845413</v>
      </c>
      <c r="I10" s="287">
        <f>DIST_ALC_TOT!T9</f>
        <v>0.12226821011154586</v>
      </c>
      <c r="J10" s="287">
        <f>DIST_DSL_TOT!AW9</f>
        <v>0.19781357933288135</v>
      </c>
      <c r="K10" s="287">
        <f>DIST_DSL_TOT!AX9</f>
        <v>0.23104826170897733</v>
      </c>
      <c r="L10" s="287">
        <f>DIST_DSL_TOT!AY9</f>
        <v>0.131263295658406</v>
      </c>
      <c r="M10" s="287">
        <f>DIST_DSL_TOT!AZ9</f>
        <v>3.9315574158579093E-2</v>
      </c>
      <c r="N10" s="287">
        <f>DIST_DSL_TOT!BA9</f>
        <v>0.27110277068598576</v>
      </c>
      <c r="O10" s="287">
        <f>DIST_DSL_TOT!BB9</f>
        <v>6.0470766017601624E-2</v>
      </c>
      <c r="P10" s="287">
        <f>DIST_DSL_TOT!BC9</f>
        <v>1.5060652606682726E-3</v>
      </c>
      <c r="Q10" s="287">
        <f>DIST_DSL_TOT!BD9</f>
        <v>6.7479687176900643E-2</v>
      </c>
      <c r="R10" s="286">
        <f>1</f>
        <v>1</v>
      </c>
      <c r="T10" s="288">
        <f t="shared" si="0"/>
        <v>1.0000000000000002</v>
      </c>
      <c r="U10" s="288">
        <f t="shared" si="1"/>
        <v>1</v>
      </c>
      <c r="V10" s="288">
        <f t="shared" si="2"/>
        <v>1</v>
      </c>
    </row>
    <row r="11" spans="1:22">
      <c r="A11" s="127" t="s">
        <v>17</v>
      </c>
      <c r="B11" s="287">
        <f>DIST_GAS_TOT!AM10</f>
        <v>0.47979181688589267</v>
      </c>
      <c r="C11" s="287">
        <f>DIST_GAS_TOT!AN10</f>
        <v>9.5459992815736916E-2</v>
      </c>
      <c r="D11" s="287">
        <f>DIST_GAS_TOT!AO10</f>
        <v>3.730781983013557E-2</v>
      </c>
      <c r="E11" s="287">
        <f>DIST_GAS_TOT!AP10</f>
        <v>0.37489727510375964</v>
      </c>
      <c r="F11" s="287">
        <f>DIST_GAS_TOT!AQ10</f>
        <v>7.8780966898088882E-3</v>
      </c>
      <c r="G11" s="287">
        <f>DIST_GAS_TOT!AR10</f>
        <v>4.6649986746663827E-3</v>
      </c>
      <c r="H11" s="287">
        <f>DIST_ALC_TOT!S10</f>
        <v>0.84905325879719074</v>
      </c>
      <c r="I11" s="287">
        <f>DIST_ALC_TOT!T10</f>
        <v>0.15094674120280938</v>
      </c>
      <c r="J11" s="287">
        <f>DIST_DSL_TOT!AW10</f>
        <v>0.20283510447341332</v>
      </c>
      <c r="K11" s="287">
        <f>DIST_DSL_TOT!AX10</f>
        <v>0.23692914272319077</v>
      </c>
      <c r="L11" s="287">
        <f>DIST_DSL_TOT!AY10</f>
        <v>0.2632230049704361</v>
      </c>
      <c r="M11" s="287">
        <f>DIST_DSL_TOT!AZ10</f>
        <v>1.0604921515352392E-2</v>
      </c>
      <c r="N11" s="287">
        <f>DIST_DSL_TOT!BA10</f>
        <v>0.17236653793645706</v>
      </c>
      <c r="O11" s="287">
        <f>DIST_DSL_TOT!BB10</f>
        <v>3.8458453448076753E-2</v>
      </c>
      <c r="P11" s="287">
        <f>DIST_DSL_TOT!BC10</f>
        <v>1.3104821518621871E-3</v>
      </c>
      <c r="Q11" s="287">
        <f>DIST_DSL_TOT!BD10</f>
        <v>7.4272352781211318E-2</v>
      </c>
      <c r="R11" s="286">
        <f>1</f>
        <v>1</v>
      </c>
      <c r="T11" s="288">
        <f t="shared" si="0"/>
        <v>1</v>
      </c>
      <c r="U11" s="288">
        <f t="shared" si="1"/>
        <v>1</v>
      </c>
      <c r="V11" s="288">
        <f t="shared" si="2"/>
        <v>0.99999999999999989</v>
      </c>
    </row>
    <row r="12" spans="1:22">
      <c r="A12" s="127" t="s">
        <v>18</v>
      </c>
      <c r="B12" s="287">
        <f>DIST_GAS_TOT!AM11</f>
        <v>0.56805904679943975</v>
      </c>
      <c r="C12" s="287">
        <f>DIST_GAS_TOT!AN11</f>
        <v>0.13713026116264126</v>
      </c>
      <c r="D12" s="287">
        <f>DIST_GAS_TOT!AO11</f>
        <v>2.2782308341840043E-2</v>
      </c>
      <c r="E12" s="287">
        <f>DIST_GAS_TOT!AP11</f>
        <v>0.26322339892675234</v>
      </c>
      <c r="F12" s="287">
        <f>DIST_GAS_TOT!AQ11</f>
        <v>5.5313487018212801E-3</v>
      </c>
      <c r="G12" s="287">
        <f>DIST_GAS_TOT!AR11</f>
        <v>3.273636067505368E-3</v>
      </c>
      <c r="H12" s="287">
        <f>DIST_ALC_TOT!S11</f>
        <v>0.82324345224763396</v>
      </c>
      <c r="I12" s="287">
        <f>DIST_ALC_TOT!T11</f>
        <v>0.17675654775236602</v>
      </c>
      <c r="J12" s="287">
        <f>DIST_DSL_TOT!AW11</f>
        <v>0.19483875860037078</v>
      </c>
      <c r="K12" s="287">
        <f>DIST_DSL_TOT!AX11</f>
        <v>0.22748772983291973</v>
      </c>
      <c r="L12" s="287">
        <f>DIST_DSL_TOT!AY11</f>
        <v>0.12466170466895084</v>
      </c>
      <c r="M12" s="287">
        <f>DIST_DSL_TOT!AZ11</f>
        <v>4.09162433647344E-2</v>
      </c>
      <c r="N12" s="287">
        <f>DIST_DSL_TOT!BA11</f>
        <v>0.22070248936260764</v>
      </c>
      <c r="O12" s="287">
        <f>DIST_DSL_TOT!BB11</f>
        <v>4.921025393365034E-2</v>
      </c>
      <c r="P12" s="287">
        <f>DIST_DSL_TOT!BC11</f>
        <v>2.057987199954744E-3</v>
      </c>
      <c r="Q12" s="287">
        <f>DIST_DSL_TOT!BD11</f>
        <v>0.14012483303681142</v>
      </c>
      <c r="R12" s="286">
        <f>1</f>
        <v>1</v>
      </c>
      <c r="T12" s="288">
        <f t="shared" si="0"/>
        <v>1</v>
      </c>
      <c r="U12" s="288">
        <f t="shared" si="1"/>
        <v>1</v>
      </c>
      <c r="V12" s="288">
        <f t="shared" si="2"/>
        <v>0.99999999999999989</v>
      </c>
    </row>
    <row r="13" spans="1:22" ht="15.75" thickBot="1">
      <c r="A13" s="128" t="s">
        <v>19</v>
      </c>
      <c r="B13" s="287">
        <f>DIST_GAS_TOT!AM12</f>
        <v>0.52869413310834956</v>
      </c>
      <c r="C13" s="287">
        <f>DIST_GAS_TOT!AN12</f>
        <v>0.10111666285579599</v>
      </c>
      <c r="D13" s="287">
        <f>DIST_GAS_TOT!AO12</f>
        <v>4.5169295952472661E-2</v>
      </c>
      <c r="E13" s="287">
        <f>DIST_GAS_TOT!AP12</f>
        <v>0.3144983743791489</v>
      </c>
      <c r="F13" s="287">
        <f>DIST_GAS_TOT!AQ12</f>
        <v>6.6079925995855019E-3</v>
      </c>
      <c r="G13" s="287">
        <f>DIST_GAS_TOT!AR12</f>
        <v>3.913541104647594E-3</v>
      </c>
      <c r="H13" s="287">
        <f>DIST_ALC_TOT!S12</f>
        <v>0.85687784890148644</v>
      </c>
      <c r="I13" s="287">
        <f>DIST_ALC_TOT!T12</f>
        <v>0.14312215109851362</v>
      </c>
      <c r="J13" s="287">
        <f>DIST_DSL_TOT!AW12</f>
        <v>0.21560892540941229</v>
      </c>
      <c r="K13" s="287">
        <f>DIST_DSL_TOT!AX12</f>
        <v>0.2518281487279363</v>
      </c>
      <c r="L13" s="287">
        <f>DIST_DSL_TOT!AY12</f>
        <v>0.22728280093696698</v>
      </c>
      <c r="M13" s="287">
        <f>DIST_DSL_TOT!AZ12</f>
        <v>2.4546721544046208E-2</v>
      </c>
      <c r="N13" s="287">
        <f>DIST_DSL_TOT!BA12</f>
        <v>0.16560899928434766</v>
      </c>
      <c r="O13" s="287">
        <f>DIST_DSL_TOT!BB12</f>
        <v>3.6925146698128707E-2</v>
      </c>
      <c r="P13" s="287">
        <f>DIST_DSL_TOT!BC12</f>
        <v>1.4166528951173576E-3</v>
      </c>
      <c r="Q13" s="287">
        <f>DIST_DSL_TOT!BD12</f>
        <v>7.6782604504044533E-2</v>
      </c>
      <c r="R13" s="286">
        <f>1</f>
        <v>1</v>
      </c>
      <c r="T13" s="288">
        <f t="shared" si="0"/>
        <v>1.0000000000000004</v>
      </c>
      <c r="U13" s="288">
        <f t="shared" si="1"/>
        <v>1</v>
      </c>
      <c r="V13" s="288">
        <f t="shared" si="2"/>
        <v>1.0000000000000002</v>
      </c>
    </row>
    <row r="14" spans="1:22">
      <c r="A14" s="269" t="s">
        <v>54</v>
      </c>
      <c r="B14" s="287">
        <f>DIST_GAS_TOT!AM13</f>
        <v>0.57594243579859672</v>
      </c>
      <c r="C14" s="287">
        <f>DIST_GAS_TOT!AN13</f>
        <v>9.8823525086792693E-2</v>
      </c>
      <c r="D14" s="287">
        <f>DIST_GAS_TOT!AO13</f>
        <v>1.38620438670358E-2</v>
      </c>
      <c r="E14" s="287">
        <f>DIST_GAS_TOT!AP13</f>
        <v>0.30129193439330948</v>
      </c>
      <c r="F14" s="287">
        <f>DIST_GAS_TOT!AQ13</f>
        <v>6.3311253547634391E-3</v>
      </c>
      <c r="G14" s="287">
        <f>DIST_GAS_TOT!AR13</f>
        <v>3.7489354995019725E-3</v>
      </c>
      <c r="H14" s="287">
        <f>DIST_ALC_TOT!S13</f>
        <v>0.88395802441223692</v>
      </c>
      <c r="I14" s="287">
        <f>DIST_ALC_TOT!T13</f>
        <v>0.11604197558776307</v>
      </c>
      <c r="J14" s="287">
        <f>DIST_DSL_TOT!AW13</f>
        <v>0.12629737609057656</v>
      </c>
      <c r="K14" s="287">
        <f>DIST_DSL_TOT!AX13</f>
        <v>0.14752096985645929</v>
      </c>
      <c r="L14" s="287">
        <f>DIST_DSL_TOT!AY13</f>
        <v>8.6601901727084762E-2</v>
      </c>
      <c r="M14" s="287">
        <f>DIST_DSL_TOT!AZ13</f>
        <v>6.9246608393444251E-2</v>
      </c>
      <c r="N14" s="287">
        <f>DIST_DSL_TOT!BA13</f>
        <v>0.40205242834689642</v>
      </c>
      <c r="O14" s="287">
        <f>DIST_DSL_TOT!BB13</f>
        <v>7.6086061803617017E-2</v>
      </c>
      <c r="P14" s="287">
        <f>DIST_DSL_TOT!BC13</f>
        <v>2.0701698124488961E-3</v>
      </c>
      <c r="Q14" s="287">
        <f>DIST_DSL_TOT!BD13</f>
        <v>9.0124483969472924E-2</v>
      </c>
      <c r="R14" s="286">
        <f>1</f>
        <v>1</v>
      </c>
      <c r="T14" s="288">
        <f t="shared" si="0"/>
        <v>1.0000000000000002</v>
      </c>
      <c r="U14" s="288">
        <f t="shared" si="1"/>
        <v>1</v>
      </c>
      <c r="V14" s="288">
        <f t="shared" si="2"/>
        <v>1</v>
      </c>
    </row>
    <row r="15" spans="1:22">
      <c r="A15" s="127" t="s">
        <v>21</v>
      </c>
      <c r="B15" s="287">
        <f>DIST_GAS_TOT!AM14</f>
        <v>0.59037297347897921</v>
      </c>
      <c r="C15" s="287">
        <f>DIST_GAS_TOT!AN14</f>
        <v>0.1078204979666387</v>
      </c>
      <c r="D15" s="287">
        <f>DIST_GAS_TOT!AO14</f>
        <v>1.5070848754102101E-2</v>
      </c>
      <c r="E15" s="287">
        <f>DIST_GAS_TOT!AP14</f>
        <v>0.27745335323877723</v>
      </c>
      <c r="F15" s="287">
        <f>DIST_GAS_TOT!AQ14</f>
        <v>5.829926728043203E-3</v>
      </c>
      <c r="G15" s="287">
        <f>DIST_GAS_TOT!AR14</f>
        <v>3.4523998334593693E-3</v>
      </c>
      <c r="H15" s="287">
        <f>DIST_ALC_TOT!S14</f>
        <v>0.87819889900646653</v>
      </c>
      <c r="I15" s="287">
        <f>DIST_ALC_TOT!T14</f>
        <v>0.1218011009935335</v>
      </c>
      <c r="J15" s="287">
        <f>DIST_DSL_TOT!AW14</f>
        <v>0.10848338847626347</v>
      </c>
      <c r="K15" s="287">
        <f>DIST_DSL_TOT!AX14</f>
        <v>0.1267056627514398</v>
      </c>
      <c r="L15" s="287">
        <f>DIST_DSL_TOT!AY14</f>
        <v>7.4313306479655936E-2</v>
      </c>
      <c r="M15" s="287">
        <f>DIST_DSL_TOT!AZ14</f>
        <v>0.10543942137452976</v>
      </c>
      <c r="N15" s="287">
        <f>DIST_DSL_TOT!BA14</f>
        <v>0.42454272616127053</v>
      </c>
      <c r="O15" s="287">
        <f>DIST_DSL_TOT!BB14</f>
        <v>8.0375673416117191E-2</v>
      </c>
      <c r="P15" s="287">
        <f>DIST_DSL_TOT!BC14</f>
        <v>1.8021392999521854E-3</v>
      </c>
      <c r="Q15" s="287">
        <f>DIST_DSL_TOT!BD14</f>
        <v>7.8337682040771031E-2</v>
      </c>
      <c r="R15" s="286">
        <f>1</f>
        <v>1</v>
      </c>
      <c r="T15" s="288">
        <f t="shared" si="0"/>
        <v>0.99999999999999978</v>
      </c>
      <c r="U15" s="288">
        <f t="shared" si="1"/>
        <v>1</v>
      </c>
      <c r="V15" s="288">
        <f t="shared" si="2"/>
        <v>1</v>
      </c>
    </row>
    <row r="16" spans="1:22">
      <c r="A16" s="127" t="s">
        <v>22</v>
      </c>
      <c r="B16" s="287">
        <f>DIST_GAS_TOT!AM15</f>
        <v>0.60745723690893894</v>
      </c>
      <c r="C16" s="287">
        <f>DIST_GAS_TOT!AN15</f>
        <v>0.11628312328827095</v>
      </c>
      <c r="D16" s="287">
        <f>DIST_GAS_TOT!AO15</f>
        <v>1.1487458691142354E-2</v>
      </c>
      <c r="E16" s="287">
        <f>DIST_GAS_TOT!AP15</f>
        <v>0.25620071284338025</v>
      </c>
      <c r="F16" s="287">
        <f>DIST_GAS_TOT!AQ15</f>
        <v>5.3836508464925213E-3</v>
      </c>
      <c r="G16" s="287">
        <f>DIST_GAS_TOT!AR15</f>
        <v>3.1878174217750757E-3</v>
      </c>
      <c r="H16" s="287">
        <f>DIST_ALC_TOT!S15</f>
        <v>0.87828044237685865</v>
      </c>
      <c r="I16" s="287">
        <f>DIST_ALC_TOT!T15</f>
        <v>0.12171955762314136</v>
      </c>
      <c r="J16" s="287">
        <f>DIST_DSL_TOT!AW15</f>
        <v>0.1056186829826837</v>
      </c>
      <c r="K16" s="287">
        <f>DIST_DSL_TOT!AX15</f>
        <v>0.12336713623301515</v>
      </c>
      <c r="L16" s="287">
        <f>DIST_DSL_TOT!AY15</f>
        <v>9.7528109671896304E-2</v>
      </c>
      <c r="M16" s="287">
        <f>DIST_DSL_TOT!AZ15</f>
        <v>6.6447298901423091E-2</v>
      </c>
      <c r="N16" s="287">
        <f>DIST_DSL_TOT!BA15</f>
        <v>0.4463085509846994</v>
      </c>
      <c r="O16" s="287">
        <f>DIST_DSL_TOT!BB15</f>
        <v>8.4457811574774527E-2</v>
      </c>
      <c r="P16" s="287">
        <f>DIST_DSL_TOT!BC15</f>
        <v>1.5475072854259386E-3</v>
      </c>
      <c r="Q16" s="287">
        <f>DIST_DSL_TOT!BD15</f>
        <v>7.4724902366081952E-2</v>
      </c>
      <c r="R16" s="286">
        <f>1</f>
        <v>1</v>
      </c>
      <c r="T16" s="288">
        <f t="shared" si="0"/>
        <v>1</v>
      </c>
      <c r="U16" s="288">
        <f t="shared" si="1"/>
        <v>1</v>
      </c>
      <c r="V16" s="288">
        <f t="shared" si="2"/>
        <v>1</v>
      </c>
    </row>
    <row r="17" spans="1:22">
      <c r="A17" s="127" t="s">
        <v>23</v>
      </c>
      <c r="B17" s="287">
        <f>DIST_GAS_TOT!AM16</f>
        <v>0.53805469570025222</v>
      </c>
      <c r="C17" s="287">
        <f>DIST_GAS_TOT!AN16</f>
        <v>8.672091895737824E-2</v>
      </c>
      <c r="D17" s="287">
        <f>DIST_GAS_TOT!AO16</f>
        <v>1.3336793555543274E-2</v>
      </c>
      <c r="E17" s="287">
        <f>DIST_GAS_TOT!AP16</f>
        <v>0.35017223652150886</v>
      </c>
      <c r="F17" s="287">
        <f>DIST_GAS_TOT!AQ16</f>
        <v>7.3582206341547577E-3</v>
      </c>
      <c r="G17" s="287">
        <f>DIST_GAS_TOT!AR16</f>
        <v>4.3571346311624803E-3</v>
      </c>
      <c r="H17" s="287">
        <f>DIST_ALC_TOT!S16</f>
        <v>0.88678313399142894</v>
      </c>
      <c r="I17" s="287">
        <f>DIST_ALC_TOT!T16</f>
        <v>0.11321686600857103</v>
      </c>
      <c r="J17" s="287">
        <f>DIST_DSL_TOT!AW16</f>
        <v>0.13228873380600142</v>
      </c>
      <c r="K17" s="287">
        <f>DIST_DSL_TOT!AX16</f>
        <v>0.15451693235858649</v>
      </c>
      <c r="L17" s="287">
        <f>DIST_DSL_TOT!AY16</f>
        <v>8.8158446702159859E-2</v>
      </c>
      <c r="M17" s="287">
        <f>DIST_DSL_TOT!AZ16</f>
        <v>6.2879957562921765E-2</v>
      </c>
      <c r="N17" s="287">
        <f>DIST_DSL_TOT!BA16</f>
        <v>0.36401651741886165</v>
      </c>
      <c r="O17" s="287">
        <f>DIST_DSL_TOT!BB16</f>
        <v>6.8874940862401757E-2</v>
      </c>
      <c r="P17" s="287">
        <f>DIST_DSL_TOT!BC16</f>
        <v>3.1023471597506555E-3</v>
      </c>
      <c r="Q17" s="287">
        <f>DIST_DSL_TOT!BD16</f>
        <v>0.12616212412931629</v>
      </c>
      <c r="R17" s="286">
        <f>1</f>
        <v>1</v>
      </c>
      <c r="T17" s="288">
        <f t="shared" si="0"/>
        <v>0.99999999999999989</v>
      </c>
      <c r="U17" s="288">
        <f t="shared" si="1"/>
        <v>1</v>
      </c>
      <c r="V17" s="288">
        <f t="shared" si="2"/>
        <v>0.99999999999999989</v>
      </c>
    </row>
    <row r="18" spans="1:22">
      <c r="A18" s="127" t="s">
        <v>24</v>
      </c>
      <c r="B18" s="287">
        <f>DIST_GAS_TOT!AM17</f>
        <v>0.4855236240811176</v>
      </c>
      <c r="C18" s="287">
        <f>DIST_GAS_TOT!AN17</f>
        <v>9.583791794579008E-2</v>
      </c>
      <c r="D18" s="287">
        <f>DIST_GAS_TOT!AO17</f>
        <v>2.4544602624592866E-2</v>
      </c>
      <c r="E18" s="287">
        <f>DIST_GAS_TOT!AP17</f>
        <v>0.38133547507282894</v>
      </c>
      <c r="F18" s="287">
        <f>DIST_GAS_TOT!AQ17</f>
        <v>8.0130289950297983E-3</v>
      </c>
      <c r="G18" s="287">
        <f>DIST_GAS_TOT!AR17</f>
        <v>4.7453512806406462E-3</v>
      </c>
      <c r="H18" s="287">
        <f>DIST_ALC_TOT!S17</f>
        <v>0.85036710725593057</v>
      </c>
      <c r="I18" s="287">
        <f>DIST_ALC_TOT!T17</f>
        <v>0.14963289274406946</v>
      </c>
      <c r="J18" s="287">
        <f>DIST_DSL_TOT!AW17</f>
        <v>0.14408428186424999</v>
      </c>
      <c r="K18" s="287">
        <f>DIST_DSL_TOT!AX17</f>
        <v>0.16829261197957904</v>
      </c>
      <c r="L18" s="287">
        <f>DIST_DSL_TOT!AY17</f>
        <v>4.9896314046691467E-2</v>
      </c>
      <c r="M18" s="287">
        <f>DIST_DSL_TOT!AZ17</f>
        <v>6.8681901452891922E-2</v>
      </c>
      <c r="N18" s="287">
        <f>DIST_DSL_TOT!BA17</f>
        <v>0.39103879488375531</v>
      </c>
      <c r="O18" s="287">
        <f>DIST_DSL_TOT!BB17</f>
        <v>7.4023760529331004E-2</v>
      </c>
      <c r="P18" s="287">
        <f>DIST_DSL_TOT!BC17</f>
        <v>1.8432901513188887E-3</v>
      </c>
      <c r="Q18" s="287">
        <f>DIST_DSL_TOT!BD17</f>
        <v>0.10213904509218248</v>
      </c>
      <c r="R18" s="286">
        <f>1</f>
        <v>1</v>
      </c>
      <c r="T18" s="288">
        <f t="shared" si="0"/>
        <v>1</v>
      </c>
      <c r="U18" s="288">
        <f t="shared" si="1"/>
        <v>1</v>
      </c>
      <c r="V18" s="288">
        <f t="shared" si="2"/>
        <v>1.0000000000000002</v>
      </c>
    </row>
    <row r="19" spans="1:22">
      <c r="A19" s="127" t="s">
        <v>25</v>
      </c>
      <c r="B19" s="287">
        <f>DIST_GAS_TOT!AM18</f>
        <v>0.59636527672409634</v>
      </c>
      <c r="C19" s="287">
        <f>DIST_GAS_TOT!AN18</f>
        <v>9.2761924829316403E-2</v>
      </c>
      <c r="D19" s="287">
        <f>DIST_GAS_TOT!AO18</f>
        <v>1.3969201046703636E-2</v>
      </c>
      <c r="E19" s="287">
        <f>DIST_GAS_TOT!AP18</f>
        <v>0.28729198471278561</v>
      </c>
      <c r="F19" s="287">
        <f>DIST_GAS_TOT!AQ18</f>
        <v>6.0370475061794554E-3</v>
      </c>
      <c r="G19" s="287">
        <f>DIST_GAS_TOT!AR18</f>
        <v>3.57456518091845E-3</v>
      </c>
      <c r="H19" s="287">
        <f>DIST_ALC_TOT!S18</f>
        <v>0.89105969569815036</v>
      </c>
      <c r="I19" s="287">
        <f>DIST_ALC_TOT!T18</f>
        <v>0.10894030430184974</v>
      </c>
      <c r="J19" s="287">
        <f>DIST_DSL_TOT!AW18</f>
        <v>0.14088107770657685</v>
      </c>
      <c r="K19" s="287">
        <f>DIST_DSL_TOT!AX18</f>
        <v>0.16456572715967865</v>
      </c>
      <c r="L19" s="287">
        <f>DIST_DSL_TOT!AY18</f>
        <v>7.4704445128501121E-2</v>
      </c>
      <c r="M19" s="287">
        <f>DIST_DSL_TOT!AZ18</f>
        <v>6.1470099841452429E-2</v>
      </c>
      <c r="N19" s="287">
        <f>DIST_DSL_TOT!BA18</f>
        <v>0.37862844452663313</v>
      </c>
      <c r="O19" s="287">
        <f>DIST_DSL_TOT!BB18</f>
        <v>7.1657204485374437E-2</v>
      </c>
      <c r="P19" s="287">
        <f>DIST_DSL_TOT!BC18</f>
        <v>2.6257417436927307E-3</v>
      </c>
      <c r="Q19" s="287">
        <f>DIST_DSL_TOT!BD18</f>
        <v>0.1054672594080906</v>
      </c>
      <c r="R19" s="286">
        <f>1</f>
        <v>1</v>
      </c>
      <c r="T19" s="288">
        <f t="shared" si="0"/>
        <v>1</v>
      </c>
      <c r="U19" s="288">
        <f t="shared" si="1"/>
        <v>1</v>
      </c>
      <c r="V19" s="288">
        <f t="shared" si="2"/>
        <v>1</v>
      </c>
    </row>
    <row r="20" spans="1:22">
      <c r="A20" s="127" t="s">
        <v>26</v>
      </c>
      <c r="B20" s="287">
        <f>DIST_GAS_TOT!AM19</f>
        <v>0.60739020080644424</v>
      </c>
      <c r="C20" s="287">
        <f>DIST_GAS_TOT!AN19</f>
        <v>9.577326312818378E-2</v>
      </c>
      <c r="D20" s="287">
        <f>DIST_GAS_TOT!AO19</f>
        <v>8.9257589869106823E-3</v>
      </c>
      <c r="E20" s="287">
        <f>DIST_GAS_TOT!AP19</f>
        <v>0.27859033783238113</v>
      </c>
      <c r="F20" s="287">
        <f>DIST_GAS_TOT!AQ19</f>
        <v>5.8540839972906541E-3</v>
      </c>
      <c r="G20" s="287">
        <f>DIST_GAS_TOT!AR19</f>
        <v>3.466355248789427E-3</v>
      </c>
      <c r="H20" s="287">
        <f>DIST_ALC_TOT!S19</f>
        <v>0.89370819699051618</v>
      </c>
      <c r="I20" s="287">
        <f>DIST_ALC_TOT!T19</f>
        <v>0.10629180300948385</v>
      </c>
      <c r="J20" s="287">
        <f>DIST_DSL_TOT!AW19</f>
        <v>0.14183422347854624</v>
      </c>
      <c r="K20" s="287">
        <f>DIST_DSL_TOT!AX19</f>
        <v>0.16566918832635597</v>
      </c>
      <c r="L20" s="287">
        <f>DIST_DSL_TOT!AY19</f>
        <v>0.10399957153851648</v>
      </c>
      <c r="M20" s="287">
        <f>DIST_DSL_TOT!AZ19</f>
        <v>7.2913523275098951E-2</v>
      </c>
      <c r="N20" s="287">
        <f>DIST_DSL_TOT!BA19</f>
        <v>0.37031554300967245</v>
      </c>
      <c r="O20" s="287">
        <f>DIST_DSL_TOT!BB19</f>
        <v>7.0072542110581698E-2</v>
      </c>
      <c r="P20" s="287">
        <f>DIST_DSL_TOT!BC19</f>
        <v>1.8212090441793595E-3</v>
      </c>
      <c r="Q20" s="287">
        <f>DIST_DSL_TOT!BD19</f>
        <v>7.3374199217048908E-2</v>
      </c>
      <c r="R20" s="286">
        <f>1</f>
        <v>1</v>
      </c>
      <c r="T20" s="288">
        <f t="shared" si="0"/>
        <v>1</v>
      </c>
      <c r="U20" s="288">
        <f t="shared" si="1"/>
        <v>1</v>
      </c>
      <c r="V20" s="288">
        <f t="shared" si="2"/>
        <v>1</v>
      </c>
    </row>
    <row r="21" spans="1:22">
      <c r="A21" s="127" t="s">
        <v>27</v>
      </c>
      <c r="B21" s="287">
        <f>DIST_GAS_TOT!AM20</f>
        <v>0.50226309718163054</v>
      </c>
      <c r="C21" s="287">
        <f>DIST_GAS_TOT!AN20</f>
        <v>8.029647322637401E-2</v>
      </c>
      <c r="D21" s="287">
        <f>DIST_GAS_TOT!AO20</f>
        <v>2.3605781720718921E-2</v>
      </c>
      <c r="E21" s="287">
        <f>DIST_GAS_TOT!AP20</f>
        <v>0.38108501097993125</v>
      </c>
      <c r="F21" s="287">
        <f>DIST_GAS_TOT!AQ20</f>
        <v>8.007868330437793E-3</v>
      </c>
      <c r="G21" s="287">
        <f>DIST_GAS_TOT!AR20</f>
        <v>4.7417685609073513E-3</v>
      </c>
      <c r="H21" s="287">
        <f>DIST_ALC_TOT!S20</f>
        <v>0.87395877244060616</v>
      </c>
      <c r="I21" s="287">
        <f>DIST_ALC_TOT!T20</f>
        <v>0.12604122755939393</v>
      </c>
      <c r="J21" s="287">
        <f>DIST_DSL_TOT!AW20</f>
        <v>0.14115690892874802</v>
      </c>
      <c r="K21" s="287">
        <f>DIST_DSL_TOT!AX20</f>
        <v>0.16487301697847645</v>
      </c>
      <c r="L21" s="287">
        <f>DIST_DSL_TOT!AY20</f>
        <v>6.585352114377567E-2</v>
      </c>
      <c r="M21" s="287">
        <f>DIST_DSL_TOT!AZ20</f>
        <v>5.0553846093232921E-2</v>
      </c>
      <c r="N21" s="287">
        <f>DIST_DSL_TOT!BA20</f>
        <v>0.3626632331469864</v>
      </c>
      <c r="O21" s="287">
        <f>DIST_DSL_TOT!BB20</f>
        <v>6.8641572496574307E-2</v>
      </c>
      <c r="P21" s="287">
        <f>DIST_DSL_TOT!BC20</f>
        <v>3.152180007566595E-3</v>
      </c>
      <c r="Q21" s="287">
        <f>DIST_DSL_TOT!BD20</f>
        <v>0.14310572120463969</v>
      </c>
      <c r="R21" s="286">
        <f>1</f>
        <v>1</v>
      </c>
      <c r="T21" s="288">
        <f t="shared" si="0"/>
        <v>0.99999999999999978</v>
      </c>
      <c r="U21" s="288">
        <f t="shared" si="1"/>
        <v>1</v>
      </c>
      <c r="V21" s="288">
        <f t="shared" si="2"/>
        <v>1</v>
      </c>
    </row>
    <row r="22" spans="1:22" ht="25.5">
      <c r="A22" s="127" t="s">
        <v>28</v>
      </c>
      <c r="B22" s="287">
        <f>DIST_GAS_TOT!AM21</f>
        <v>0.57969123652601262</v>
      </c>
      <c r="C22" s="287">
        <f>DIST_GAS_TOT!AN21</f>
        <v>0.10412009037285239</v>
      </c>
      <c r="D22" s="287">
        <f>DIST_GAS_TOT!AO21</f>
        <v>1.413045165663872E-2</v>
      </c>
      <c r="E22" s="287">
        <f>DIST_GAS_TOT!AP21</f>
        <v>0.29227969608177917</v>
      </c>
      <c r="F22" s="287">
        <f>DIST_GAS_TOT!AQ21</f>
        <v>6.141690602290026E-3</v>
      </c>
      <c r="G22" s="287">
        <f>DIST_GAS_TOT!AR21</f>
        <v>3.6368347604272826E-3</v>
      </c>
      <c r="H22" s="287">
        <f>DIST_ALC_TOT!S21</f>
        <v>0.88816886216741719</v>
      </c>
      <c r="I22" s="287">
        <f>DIST_ALC_TOT!T21</f>
        <v>0.11183113783258283</v>
      </c>
      <c r="J22" s="287">
        <f>DIST_DSL_TOT!AW21</f>
        <v>0.14061973566620584</v>
      </c>
      <c r="K22" s="287">
        <f>DIST_DSL_TOT!AX21</f>
        <v>0.1642619890660682</v>
      </c>
      <c r="L22" s="287">
        <f>DIST_DSL_TOT!AY21</f>
        <v>7.1784055054536888E-2</v>
      </c>
      <c r="M22" s="287">
        <f>DIST_DSL_TOT!AZ21</f>
        <v>7.7131684860063512E-2</v>
      </c>
      <c r="N22" s="287">
        <f>DIST_DSL_TOT!BA21</f>
        <v>0.36755139397093728</v>
      </c>
      <c r="O22" s="287">
        <f>DIST_DSL_TOT!BB21</f>
        <v>6.958927501779047E-2</v>
      </c>
      <c r="P22" s="287">
        <f>DIST_DSL_TOT!BC21</f>
        <v>2.540646338692222E-3</v>
      </c>
      <c r="Q22" s="287">
        <f>DIST_DSL_TOT!BD21</f>
        <v>0.1065212200257054</v>
      </c>
      <c r="R22" s="286">
        <f>1</f>
        <v>1</v>
      </c>
      <c r="T22" s="288">
        <f t="shared" si="0"/>
        <v>1.0000000000000002</v>
      </c>
      <c r="U22" s="288">
        <f t="shared" si="1"/>
        <v>1</v>
      </c>
      <c r="V22" s="288">
        <f t="shared" si="2"/>
        <v>0.99999999999999978</v>
      </c>
    </row>
    <row r="23" spans="1:22" ht="15.75" thickBot="1">
      <c r="A23" s="128" t="s">
        <v>29</v>
      </c>
      <c r="B23" s="287">
        <f>DIST_GAS_TOT!AM22</f>
        <v>0.63321161902413203</v>
      </c>
      <c r="C23" s="287">
        <f>DIST_GAS_TOT!AN22</f>
        <v>8.877210099015076E-2</v>
      </c>
      <c r="D23" s="287">
        <f>DIST_GAS_TOT!AO22</f>
        <v>1.4623711887977666E-2</v>
      </c>
      <c r="E23" s="287">
        <f>DIST_GAS_TOT!AP22</f>
        <v>0.25486537900718054</v>
      </c>
      <c r="F23" s="287">
        <f>DIST_GAS_TOT!AQ22</f>
        <v>5.3557723851262191E-3</v>
      </c>
      <c r="G23" s="287">
        <f>DIST_GAS_TOT!AR22</f>
        <v>3.1714167054329523E-3</v>
      </c>
      <c r="H23" s="287">
        <f>DIST_ALC_TOT!S22</f>
        <v>0.90503572631531648</v>
      </c>
      <c r="I23" s="287">
        <f>DIST_ALC_TOT!T22</f>
        <v>9.4964273684683478E-2</v>
      </c>
      <c r="J23" s="287">
        <f>DIST_DSL_TOT!AW22</f>
        <v>0.1254352072990392</v>
      </c>
      <c r="K23" s="287">
        <f>DIST_DSL_TOT!AX22</f>
        <v>0.14651061429510381</v>
      </c>
      <c r="L23" s="287">
        <f>DIST_DSL_TOT!AY22</f>
        <v>6.1436474282526861E-2</v>
      </c>
      <c r="M23" s="287">
        <f>DIST_DSL_TOT!AZ22</f>
        <v>6.9993383864572628E-2</v>
      </c>
      <c r="N23" s="287">
        <f>DIST_DSL_TOT!BA22</f>
        <v>0.45785368672664212</v>
      </c>
      <c r="O23" s="287">
        <f>DIST_DSL_TOT!BB22</f>
        <v>8.6614538382272996E-2</v>
      </c>
      <c r="P23" s="287">
        <f>DIST_DSL_TOT!BC22</f>
        <v>1.5045298708427793E-3</v>
      </c>
      <c r="Q23" s="287">
        <f>DIST_DSL_TOT!BD22</f>
        <v>5.0651565278999534E-2</v>
      </c>
      <c r="R23" s="286">
        <f>1</f>
        <v>1</v>
      </c>
      <c r="T23" s="288">
        <f t="shared" si="0"/>
        <v>1</v>
      </c>
      <c r="U23" s="288">
        <f t="shared" si="1"/>
        <v>1</v>
      </c>
      <c r="V23" s="288">
        <f t="shared" si="2"/>
        <v>1</v>
      </c>
    </row>
    <row r="24" spans="1:22">
      <c r="A24" s="269" t="s">
        <v>64</v>
      </c>
      <c r="B24" s="287">
        <f>DIST_GAS_TOT!AM23</f>
        <v>0.6891262280622279</v>
      </c>
      <c r="C24" s="287">
        <f>DIST_GAS_TOT!AN23</f>
        <v>0.10293817812606144</v>
      </c>
      <c r="D24" s="287">
        <f>DIST_GAS_TOT!AO23</f>
        <v>9.5612163592734851E-3</v>
      </c>
      <c r="E24" s="287">
        <f>DIST_GAS_TOT!AP23</f>
        <v>0.19195243859058159</v>
      </c>
      <c r="F24" s="287">
        <f>DIST_GAS_TOT!AQ23</f>
        <v>4.0335153236050452E-3</v>
      </c>
      <c r="G24" s="287">
        <f>DIST_GAS_TOT!AR23</f>
        <v>2.3884235382505728E-3</v>
      </c>
      <c r="H24" s="287">
        <f>DIST_ALC_TOT!S23</f>
        <v>0.89850814165936632</v>
      </c>
      <c r="I24" s="287">
        <f>DIST_ALC_TOT!T23</f>
        <v>0.10149185834063369</v>
      </c>
      <c r="J24" s="287">
        <f>DIST_DSL_TOT!AW23</f>
        <v>0.12338850899213942</v>
      </c>
      <c r="K24" s="287">
        <f>DIST_DSL_TOT!AX23</f>
        <v>0.14412178037417023</v>
      </c>
      <c r="L24" s="287">
        <f>DIST_DSL_TOT!AY23</f>
        <v>0.1406797398392472</v>
      </c>
      <c r="M24" s="287">
        <f>DIST_DSL_TOT!AZ23</f>
        <v>5.655290454433947E-2</v>
      </c>
      <c r="N24" s="287">
        <f>DIST_DSL_TOT!BA23</f>
        <v>0.41446709110134239</v>
      </c>
      <c r="O24" s="287">
        <f>DIST_DSL_TOT!BB23</f>
        <v>6.3144743675912648E-2</v>
      </c>
      <c r="P24" s="287">
        <f>DIST_DSL_TOT!BC23</f>
        <v>1.4654972412053236E-3</v>
      </c>
      <c r="Q24" s="287">
        <f>DIST_DSL_TOT!BD23</f>
        <v>5.6179734231643318E-2</v>
      </c>
      <c r="R24" s="286">
        <f>1</f>
        <v>1</v>
      </c>
      <c r="T24" s="288">
        <f t="shared" si="0"/>
        <v>1</v>
      </c>
      <c r="U24" s="288">
        <f t="shared" si="1"/>
        <v>1</v>
      </c>
      <c r="V24" s="288">
        <f t="shared" si="2"/>
        <v>1</v>
      </c>
    </row>
    <row r="25" spans="1:22">
      <c r="A25" s="127" t="s">
        <v>31</v>
      </c>
      <c r="B25" s="287">
        <f>DIST_GAS_TOT!AM24</f>
        <v>0.65244313060571557</v>
      </c>
      <c r="C25" s="287">
        <f>DIST_GAS_TOT!AN24</f>
        <v>0.10899480692039709</v>
      </c>
      <c r="D25" s="287">
        <f>DIST_GAS_TOT!AO24</f>
        <v>1.5077461528860719E-2</v>
      </c>
      <c r="E25" s="287">
        <f>DIST_GAS_TOT!AP24</f>
        <v>0.21624995446808837</v>
      </c>
      <c r="F25" s="287">
        <f>DIST_GAS_TOT!AQ24</f>
        <v>4.5439252206469242E-3</v>
      </c>
      <c r="G25" s="287">
        <f>DIST_GAS_TOT!AR24</f>
        <v>2.6907212562913233E-3</v>
      </c>
      <c r="H25" s="287">
        <f>DIST_ALC_TOT!S24</f>
        <v>0.88244263558086622</v>
      </c>
      <c r="I25" s="287">
        <f>DIST_ALC_TOT!T24</f>
        <v>0.11755736441913384</v>
      </c>
      <c r="J25" s="287">
        <f>DIST_DSL_TOT!AW24</f>
        <v>9.0090036545585284E-2</v>
      </c>
      <c r="K25" s="287">
        <f>DIST_DSL_TOT!AX24</f>
        <v>0.10522986529833658</v>
      </c>
      <c r="L25" s="287">
        <f>DIST_DSL_TOT!AY24</f>
        <v>0.14557701892546873</v>
      </c>
      <c r="M25" s="287">
        <f>DIST_DSL_TOT!AZ24</f>
        <v>4.27403434620338E-2</v>
      </c>
      <c r="N25" s="287">
        <f>DIST_DSL_TOT!BA24</f>
        <v>0.45228340847401316</v>
      </c>
      <c r="O25" s="287">
        <f>DIST_DSL_TOT!BB24</f>
        <v>8.0803018988020919E-2</v>
      </c>
      <c r="P25" s="287">
        <f>DIST_DSL_TOT!BC24</f>
        <v>1.8915497102330451E-3</v>
      </c>
      <c r="Q25" s="287">
        <f>DIST_DSL_TOT!BD24</f>
        <v>8.1384758596308587E-2</v>
      </c>
      <c r="R25" s="286">
        <f>1</f>
        <v>1</v>
      </c>
      <c r="T25" s="288">
        <f t="shared" si="0"/>
        <v>1</v>
      </c>
      <c r="U25" s="288">
        <f t="shared" si="1"/>
        <v>1</v>
      </c>
      <c r="V25" s="288">
        <f t="shared" si="2"/>
        <v>1.0000000000000002</v>
      </c>
    </row>
    <row r="26" spans="1:22">
      <c r="A26" s="127" t="s">
        <v>32</v>
      </c>
      <c r="B26" s="287">
        <f>DIST_GAS_TOT!AM25</f>
        <v>0.66606504293588875</v>
      </c>
      <c r="C26" s="287">
        <f>DIST_GAS_TOT!AN25</f>
        <v>0.10093756466007474</v>
      </c>
      <c r="D26" s="287">
        <f>DIST_GAS_TOT!AO25</f>
        <v>7.3224223379039334E-3</v>
      </c>
      <c r="E26" s="287">
        <f>DIST_GAS_TOT!AP25</f>
        <v>0.21836926099511553</v>
      </c>
      <c r="F26" s="287">
        <f>DIST_GAS_TOT!AQ25</f>
        <v>4.5885873717827173E-3</v>
      </c>
      <c r="G26" s="287">
        <f>DIST_GAS_TOT!AR25</f>
        <v>2.7171216992343283E-3</v>
      </c>
      <c r="H26" s="287">
        <f>DIST_ALC_TOT!S25</f>
        <v>0.88832795364981254</v>
      </c>
      <c r="I26" s="287">
        <f>DIST_ALC_TOT!T25</f>
        <v>0.11167204635018746</v>
      </c>
      <c r="J26" s="287">
        <f>DIST_DSL_TOT!AW25</f>
        <v>0.15385432618610173</v>
      </c>
      <c r="K26" s="287">
        <f>DIST_DSL_TOT!AX25</f>
        <v>0.17970493356576833</v>
      </c>
      <c r="L26" s="287">
        <f>DIST_DSL_TOT!AY25</f>
        <v>0.17121882961550502</v>
      </c>
      <c r="M26" s="287">
        <f>DIST_DSL_TOT!AZ25</f>
        <v>3.498227833984132E-2</v>
      </c>
      <c r="N26" s="287">
        <f>DIST_DSL_TOT!BA25</f>
        <v>0.35514063560835613</v>
      </c>
      <c r="O26" s="287">
        <f>DIST_DSL_TOT!BB25</f>
        <v>4.9900560055046936E-2</v>
      </c>
      <c r="P26" s="287">
        <f>DIST_DSL_TOT!BC25</f>
        <v>1.3049688047291703E-3</v>
      </c>
      <c r="Q26" s="287">
        <f>DIST_DSL_TOT!BD25</f>
        <v>5.3893467824651452E-2</v>
      </c>
      <c r="R26" s="286">
        <f>1</f>
        <v>1</v>
      </c>
      <c r="T26" s="288">
        <f t="shared" si="0"/>
        <v>1</v>
      </c>
      <c r="U26" s="288">
        <f t="shared" si="1"/>
        <v>1</v>
      </c>
      <c r="V26" s="288">
        <f t="shared" si="2"/>
        <v>1.0000000000000002</v>
      </c>
    </row>
    <row r="27" spans="1:22">
      <c r="A27" s="127" t="s">
        <v>33</v>
      </c>
      <c r="B27" s="287">
        <f>DIST_GAS_TOT!AM26</f>
        <v>0.71102557236447972</v>
      </c>
      <c r="C27" s="287">
        <f>DIST_GAS_TOT!AN26</f>
        <v>0.12355660236125014</v>
      </c>
      <c r="D27" s="287">
        <f>DIST_GAS_TOT!AO26</f>
        <v>9.8075389908732144E-3</v>
      </c>
      <c r="E27" s="287">
        <f>DIST_GAS_TOT!AP26</f>
        <v>0.15057278758466683</v>
      </c>
      <c r="F27" s="287">
        <f>DIST_GAS_TOT!AQ26</f>
        <v>3.1640027342344237E-3</v>
      </c>
      <c r="G27" s="287">
        <f>DIST_GAS_TOT!AR26</f>
        <v>1.8734959644958046E-3</v>
      </c>
      <c r="H27" s="287">
        <f>DIST_ALC_TOT!S26</f>
        <v>0.90958614254068115</v>
      </c>
      <c r="I27" s="287">
        <f>DIST_ALC_TOT!T26</f>
        <v>9.0413857459318847E-2</v>
      </c>
      <c r="J27" s="287">
        <f>DIST_DSL_TOT!AW26</f>
        <v>7.9318862044576943E-2</v>
      </c>
      <c r="K27" s="287">
        <f>DIST_DSL_TOT!AX26</f>
        <v>9.264807732939033E-2</v>
      </c>
      <c r="L27" s="287">
        <f>DIST_DSL_TOT!AY26</f>
        <v>5.0196899226630148E-2</v>
      </c>
      <c r="M27" s="287">
        <f>DIST_DSL_TOT!AZ26</f>
        <v>0.11410009726100295</v>
      </c>
      <c r="N27" s="287">
        <f>DIST_DSL_TOT!BA26</f>
        <v>0.52175181443861929</v>
      </c>
      <c r="O27" s="287">
        <f>DIST_DSL_TOT!BB26</f>
        <v>0.10173871382458012</v>
      </c>
      <c r="P27" s="287">
        <f>DIST_DSL_TOT!BC26</f>
        <v>1.192899753547836E-3</v>
      </c>
      <c r="Q27" s="287">
        <f>DIST_DSL_TOT!BD26</f>
        <v>3.9052636121652308E-2</v>
      </c>
      <c r="R27" s="286">
        <f>1</f>
        <v>1</v>
      </c>
      <c r="T27" s="288">
        <f t="shared" si="0"/>
        <v>1</v>
      </c>
      <c r="U27" s="288">
        <f t="shared" si="1"/>
        <v>1</v>
      </c>
      <c r="V27" s="288">
        <f t="shared" si="2"/>
        <v>1</v>
      </c>
    </row>
    <row r="28" spans="1:22" ht="15.75" thickBot="1">
      <c r="A28" s="128" t="s">
        <v>34</v>
      </c>
      <c r="B28" s="287">
        <f>DIST_GAS_TOT!AM27</f>
        <v>0.69707136904123668</v>
      </c>
      <c r="C28" s="287">
        <f>DIST_GAS_TOT!AN27</f>
        <v>9.9149237432224896E-2</v>
      </c>
      <c r="D28" s="287">
        <f>DIST_GAS_TOT!AO27</f>
        <v>1.0055442875486023E-2</v>
      </c>
      <c r="E28" s="287">
        <f>DIST_GAS_TOT!AP27</f>
        <v>0.18745252533785375</v>
      </c>
      <c r="F28" s="287">
        <f>DIST_GAS_TOT!AQ27</f>
        <v>3.9389806234100943E-3</v>
      </c>
      <c r="G28" s="287">
        <f>DIST_GAS_TOT!AR27</f>
        <v>2.332444689788527E-3</v>
      </c>
      <c r="H28" s="287">
        <f>DIST_ALC_TOT!S27</f>
        <v>0.89938751326370991</v>
      </c>
      <c r="I28" s="287">
        <f>DIST_ALC_TOT!T27</f>
        <v>0.10061248673629015</v>
      </c>
      <c r="J28" s="287">
        <f>DIST_DSL_TOT!AW27</f>
        <v>0.1209703098492316</v>
      </c>
      <c r="K28" s="287">
        <f>DIST_DSL_TOT!AX27</f>
        <v>0.14129780478736881</v>
      </c>
      <c r="L28" s="287">
        <f>DIST_DSL_TOT!AY27</f>
        <v>0.14525621586121307</v>
      </c>
      <c r="M28" s="287">
        <f>DIST_DSL_TOT!AZ27</f>
        <v>5.5683486766608746E-2</v>
      </c>
      <c r="N28" s="287">
        <f>DIST_DSL_TOT!BA27</f>
        <v>0.41676369820007159</v>
      </c>
      <c r="O28" s="287">
        <f>DIST_DSL_TOT!BB27</f>
        <v>5.9530535297516569E-2</v>
      </c>
      <c r="P28" s="287">
        <f>DIST_DSL_TOT!BC27</f>
        <v>1.5695084025878412E-3</v>
      </c>
      <c r="Q28" s="287">
        <f>DIST_DSL_TOT!BD27</f>
        <v>5.892844083540192E-2</v>
      </c>
      <c r="R28" s="286">
        <f>1</f>
        <v>1</v>
      </c>
      <c r="T28" s="288">
        <f t="shared" si="0"/>
        <v>1</v>
      </c>
      <c r="U28" s="288">
        <f t="shared" si="1"/>
        <v>1</v>
      </c>
      <c r="V28" s="288">
        <f t="shared" si="2"/>
        <v>1.0000000000000002</v>
      </c>
    </row>
    <row r="29" spans="1:22">
      <c r="A29" s="269" t="s">
        <v>69</v>
      </c>
      <c r="B29" s="287">
        <f>DIST_GAS_TOT!AM28</f>
        <v>0.71804018760406207</v>
      </c>
      <c r="C29" s="287">
        <f>DIST_GAS_TOT!AN28</f>
        <v>9.3199503865919076E-2</v>
      </c>
      <c r="D29" s="287">
        <f>DIST_GAS_TOT!AO28</f>
        <v>1.2424259391702963E-2</v>
      </c>
      <c r="E29" s="287">
        <f>DIST_GAS_TOT!AP28</f>
        <v>0.17062750655651235</v>
      </c>
      <c r="F29" s="287">
        <f>DIST_GAS_TOT!AQ28</f>
        <v>3.5854129713049302E-3</v>
      </c>
      <c r="G29" s="287">
        <f>DIST_GAS_TOT!AR28</f>
        <v>2.1231296104984973E-3</v>
      </c>
      <c r="H29" s="287">
        <f>DIST_ALC_TOT!S28</f>
        <v>0.89947569886739609</v>
      </c>
      <c r="I29" s="287">
        <f>DIST_ALC_TOT!T28</f>
        <v>0.10052430113260392</v>
      </c>
      <c r="J29" s="287">
        <f>DIST_DSL_TOT!AW28</f>
        <v>0.13944972626868929</v>
      </c>
      <c r="K29" s="287">
        <f>DIST_DSL_TOT!AX28</f>
        <v>0.16288483319278949</v>
      </c>
      <c r="L29" s="287">
        <f>DIST_DSL_TOT!AY28</f>
        <v>0.25091256826813624</v>
      </c>
      <c r="M29" s="287">
        <f>DIST_DSL_TOT!AZ28</f>
        <v>3.0563463944333437E-2</v>
      </c>
      <c r="N29" s="287">
        <f>DIST_DSL_TOT!BA28</f>
        <v>0.30038510744681585</v>
      </c>
      <c r="O29" s="287">
        <f>DIST_DSL_TOT!BB28</f>
        <v>4.5180657469650193E-2</v>
      </c>
      <c r="P29" s="287">
        <f>DIST_DSL_TOT!BC28</f>
        <v>1.9331994839510782E-3</v>
      </c>
      <c r="Q29" s="287">
        <f>DIST_DSL_TOT!BD28</f>
        <v>6.8690443925634365E-2</v>
      </c>
      <c r="R29" s="286">
        <f>1</f>
        <v>1</v>
      </c>
      <c r="T29" s="288">
        <f t="shared" si="0"/>
        <v>0.99999999999999989</v>
      </c>
      <c r="U29" s="288">
        <f t="shared" si="1"/>
        <v>1</v>
      </c>
      <c r="V29" s="288">
        <f t="shared" si="2"/>
        <v>0.99999999999999989</v>
      </c>
    </row>
    <row r="30" spans="1:22">
      <c r="A30" s="127" t="s">
        <v>36</v>
      </c>
      <c r="B30" s="287">
        <f>DIST_GAS_TOT!AM29</f>
        <v>0.70355414814059813</v>
      </c>
      <c r="C30" s="287">
        <f>DIST_GAS_TOT!AN29</f>
        <v>9.8362922297764901E-2</v>
      </c>
      <c r="D30" s="287">
        <f>DIST_GAS_TOT!AO29</f>
        <v>1.4318748538011128E-2</v>
      </c>
      <c r="E30" s="287">
        <f>DIST_GAS_TOT!AP29</f>
        <v>0.17781511142363962</v>
      </c>
      <c r="F30" s="287">
        <f>DIST_GAS_TOT!AQ29</f>
        <v>3.7364809643241478E-3</v>
      </c>
      <c r="G30" s="287">
        <f>DIST_GAS_TOT!AR29</f>
        <v>2.2125886356620908E-3</v>
      </c>
      <c r="H30" s="287">
        <f>DIST_ALC_TOT!S29</f>
        <v>0.89632984870636556</v>
      </c>
      <c r="I30" s="287">
        <f>DIST_ALC_TOT!T29</f>
        <v>0.10367015129363448</v>
      </c>
      <c r="J30" s="287">
        <f>DIST_DSL_TOT!AW29</f>
        <v>0.13822439429443001</v>
      </c>
      <c r="K30" s="287">
        <f>DIST_DSL_TOT!AX29</f>
        <v>0.16145436212487768</v>
      </c>
      <c r="L30" s="287">
        <f>DIST_DSL_TOT!AY29</f>
        <v>0.26906366574838098</v>
      </c>
      <c r="M30" s="287">
        <f>DIST_DSL_TOT!AZ29</f>
        <v>2.7356042250441463E-2</v>
      </c>
      <c r="N30" s="287">
        <f>DIST_DSL_TOT!BA29</f>
        <v>0.28894187593318549</v>
      </c>
      <c r="O30" s="287">
        <f>DIST_DSL_TOT!BB29</f>
        <v>4.3457998243560864E-2</v>
      </c>
      <c r="P30" s="287">
        <f>DIST_DSL_TOT!BC29</f>
        <v>1.8195742068603403E-3</v>
      </c>
      <c r="Q30" s="287">
        <f>DIST_DSL_TOT!BD29</f>
        <v>6.9682087198263076E-2</v>
      </c>
      <c r="R30" s="286">
        <f>1</f>
        <v>1</v>
      </c>
      <c r="T30" s="288">
        <f t="shared" si="0"/>
        <v>0.99999999999999989</v>
      </c>
      <c r="U30" s="288">
        <f t="shared" si="1"/>
        <v>1</v>
      </c>
      <c r="V30" s="288">
        <f t="shared" si="2"/>
        <v>0.99999999999999989</v>
      </c>
    </row>
    <row r="31" spans="1:22">
      <c r="A31" s="127" t="s">
        <v>37</v>
      </c>
      <c r="B31" s="287">
        <f>DIST_GAS_TOT!AM30</f>
        <v>0.7458124680727467</v>
      </c>
      <c r="C31" s="287">
        <f>DIST_GAS_TOT!AN30</f>
        <v>9.0028672520566927E-2</v>
      </c>
      <c r="D31" s="287">
        <f>DIST_GAS_TOT!AO30</f>
        <v>8.1717836681747119E-3</v>
      </c>
      <c r="E31" s="287">
        <f>DIST_GAS_TOT!AP30</f>
        <v>0.15093735429144012</v>
      </c>
      <c r="F31" s="287">
        <f>DIST_GAS_TOT!AQ30</f>
        <v>3.1716380234978335E-3</v>
      </c>
      <c r="G31" s="287">
        <f>DIST_GAS_TOT!AR30</f>
        <v>1.8780834235738778E-3</v>
      </c>
      <c r="H31" s="287">
        <f>DIST_ALC_TOT!S30</f>
        <v>0.90802238025048443</v>
      </c>
      <c r="I31" s="287">
        <f>DIST_ALC_TOT!T30</f>
        <v>9.1977619749515613E-2</v>
      </c>
      <c r="J31" s="287">
        <f>DIST_DSL_TOT!AW30</f>
        <v>0.13775706981946984</v>
      </c>
      <c r="K31" s="287">
        <f>DIST_DSL_TOT!AX30</f>
        <v>0.1609074520859344</v>
      </c>
      <c r="L31" s="287">
        <f>DIST_DSL_TOT!AY30</f>
        <v>0.20708904625554525</v>
      </c>
      <c r="M31" s="287">
        <f>DIST_DSL_TOT!AZ30</f>
        <v>3.5041537173871921E-2</v>
      </c>
      <c r="N31" s="287">
        <f>DIST_DSL_TOT!BA30</f>
        <v>0.3395095326732252</v>
      </c>
      <c r="O31" s="287">
        <f>DIST_DSL_TOT!BB30</f>
        <v>5.1069788736594936E-2</v>
      </c>
      <c r="P31" s="287">
        <f>DIST_DSL_TOT!BC30</f>
        <v>2.0185594657699535E-3</v>
      </c>
      <c r="Q31" s="287">
        <f>DIST_DSL_TOT!BD30</f>
        <v>6.6607013789588373E-2</v>
      </c>
      <c r="R31" s="286">
        <f>1</f>
        <v>1</v>
      </c>
      <c r="T31" s="288">
        <f t="shared" si="0"/>
        <v>1.0000000000000002</v>
      </c>
      <c r="U31" s="288">
        <f t="shared" si="1"/>
        <v>1</v>
      </c>
      <c r="V31" s="288">
        <f t="shared" si="2"/>
        <v>0.99999999999999989</v>
      </c>
    </row>
    <row r="32" spans="1:22" ht="15.75" thickBot="1">
      <c r="A32" s="128" t="s">
        <v>38</v>
      </c>
      <c r="B32" s="287">
        <f>DIST_GAS_TOT!AM31</f>
        <v>0.69392742872179403</v>
      </c>
      <c r="C32" s="287">
        <f>DIST_GAS_TOT!AN31</f>
        <v>9.1087905442840802E-2</v>
      </c>
      <c r="D32" s="287">
        <f>DIST_GAS_TOT!AO31</f>
        <v>1.6564947457355494E-2</v>
      </c>
      <c r="E32" s="287">
        <f>DIST_GAS_TOT!AP31</f>
        <v>0.19199623738913793</v>
      </c>
      <c r="F32" s="287">
        <f>DIST_GAS_TOT!AQ31</f>
        <v>4.0344268224507271E-3</v>
      </c>
      <c r="G32" s="287">
        <f>DIST_GAS_TOT!AR31</f>
        <v>2.3890541664209832E-3</v>
      </c>
      <c r="H32" s="287">
        <f>DIST_ALC_TOT!S31</f>
        <v>0.90272809089200889</v>
      </c>
      <c r="I32" s="287">
        <f>DIST_ALC_TOT!T31</f>
        <v>9.7271909107991009E-2</v>
      </c>
      <c r="J32" s="287">
        <f>DIST_DSL_TOT!AW31</f>
        <v>0.14432692581218551</v>
      </c>
      <c r="K32" s="287">
        <f>DIST_DSL_TOT!AX31</f>
        <v>0.1685806413930665</v>
      </c>
      <c r="L32" s="287">
        <f>DIST_DSL_TOT!AY31</f>
        <v>0.2855451220607757</v>
      </c>
      <c r="M32" s="287">
        <f>DIST_DSL_TOT!AZ31</f>
        <v>2.9509921493658567E-2</v>
      </c>
      <c r="N32" s="287">
        <f>DIST_DSL_TOT!BA31</f>
        <v>0.26071732677238735</v>
      </c>
      <c r="O32" s="287">
        <f>DIST_DSL_TOT!BB31</f>
        <v>3.9210084259319593E-2</v>
      </c>
      <c r="P32" s="287">
        <f>DIST_DSL_TOT!BC31</f>
        <v>2.0095540396477614E-3</v>
      </c>
      <c r="Q32" s="287">
        <f>DIST_DSL_TOT!BD31</f>
        <v>7.0100424168959119E-2</v>
      </c>
      <c r="R32" s="286">
        <f>1</f>
        <v>1</v>
      </c>
      <c r="T32" s="288">
        <f t="shared" si="0"/>
        <v>1</v>
      </c>
      <c r="U32" s="288">
        <f t="shared" si="1"/>
        <v>0.99999999999999989</v>
      </c>
      <c r="V32" s="288">
        <f t="shared" si="2"/>
        <v>1.0000000000000002</v>
      </c>
    </row>
    <row r="33" spans="1:22" ht="25.5">
      <c r="A33" s="274" t="s">
        <v>73</v>
      </c>
      <c r="B33" s="287">
        <f>DIST_GAS_TOT!AM32</f>
        <v>0.66329060522021888</v>
      </c>
      <c r="C33" s="287">
        <f>DIST_GAS_TOT!AN32</f>
        <v>9.8949556991743431E-2</v>
      </c>
      <c r="D33" s="287">
        <f>DIST_GAS_TOT!AO32</f>
        <v>1.9301783493653746E-2</v>
      </c>
      <c r="E33" s="287">
        <f>DIST_GAS_TOT!AP32</f>
        <v>0.21138592398316153</v>
      </c>
      <c r="F33" s="287">
        <f>DIST_GAS_TOT!AQ32</f>
        <v>4.4418985902380508E-3</v>
      </c>
      <c r="G33" s="287">
        <f>DIST_GAS_TOT!AR32</f>
        <v>2.6302317209843328E-3</v>
      </c>
      <c r="H33" s="287">
        <f>DIST_ALC_TOT!S32</f>
        <v>0.87667464876264112</v>
      </c>
      <c r="I33" s="287">
        <f>DIST_ALC_TOT!T32</f>
        <v>0.12332535123735895</v>
      </c>
      <c r="J33" s="287">
        <f>DIST_DSL_TOT!AW32</f>
        <v>0.16279716358155957</v>
      </c>
      <c r="K33" s="287">
        <f>DIST_DSL_TOT!AX32</f>
        <v>0.19015247443639838</v>
      </c>
      <c r="L33" s="287">
        <f>DIST_DSL_TOT!AY32</f>
        <v>0.26502846610986885</v>
      </c>
      <c r="M33" s="287">
        <f>DIST_DSL_TOT!AZ32</f>
        <v>1.7333564729017925E-2</v>
      </c>
      <c r="N33" s="287">
        <f>DIST_DSL_TOT!BA32</f>
        <v>0.2473439590334556</v>
      </c>
      <c r="O33" s="287">
        <f>DIST_DSL_TOT!BB32</f>
        <v>3.2834483477637018E-2</v>
      </c>
      <c r="P33" s="287">
        <f>DIST_DSL_TOT!BC32</f>
        <v>1.802005754163438E-3</v>
      </c>
      <c r="Q33" s="287">
        <f>DIST_DSL_TOT!BD32</f>
        <v>8.270788287789925E-2</v>
      </c>
      <c r="R33" s="286">
        <f>1</f>
        <v>1</v>
      </c>
      <c r="T33" s="288">
        <f t="shared" si="0"/>
        <v>0.99999999999999989</v>
      </c>
      <c r="U33" s="288">
        <f t="shared" si="1"/>
        <v>1</v>
      </c>
      <c r="V33" s="288">
        <f t="shared" si="2"/>
        <v>1.0000000000000002</v>
      </c>
    </row>
    <row r="34" spans="1:22">
      <c r="A34" s="127" t="s">
        <v>40</v>
      </c>
      <c r="B34" s="287">
        <f>DIST_GAS_TOT!AM33</f>
        <v>0.83789518902966775</v>
      </c>
      <c r="C34" s="287">
        <f>DIST_GAS_TOT!AN33</f>
        <v>9.3323273177973634E-2</v>
      </c>
      <c r="D34" s="287">
        <f>DIST_GAS_TOT!AO33</f>
        <v>1.9950888250971684E-3</v>
      </c>
      <c r="E34" s="287">
        <f>DIST_GAS_TOT!AP33</f>
        <v>6.4624351595507404E-2</v>
      </c>
      <c r="F34" s="287">
        <f>DIST_GAS_TOT!AQ33</f>
        <v>1.3579215867204127E-3</v>
      </c>
      <c r="G34" s="287">
        <f>DIST_GAS_TOT!AR33</f>
        <v>8.0417578503373817E-4</v>
      </c>
      <c r="H34" s="287">
        <f>DIST_ALC_TOT!S33</f>
        <v>0.91210854699867239</v>
      </c>
      <c r="I34" s="287">
        <f>DIST_ALC_TOT!T33</f>
        <v>8.7891453001327641E-2</v>
      </c>
      <c r="J34" s="287">
        <f>DIST_DSL_TOT!AW33</f>
        <v>0.12812379781993158</v>
      </c>
      <c r="K34" s="287">
        <f>DIST_DSL_TOT!AX33</f>
        <v>0.14965076114565998</v>
      </c>
      <c r="L34" s="287">
        <f>DIST_DSL_TOT!AY33</f>
        <v>9.5159904186336269E-2</v>
      </c>
      <c r="M34" s="287">
        <f>DIST_DSL_TOT!AZ33</f>
        <v>4.6897503683980185E-2</v>
      </c>
      <c r="N34" s="287">
        <f>DIST_DSL_TOT!BA33</f>
        <v>0.44298219728767796</v>
      </c>
      <c r="O34" s="287">
        <f>DIST_DSL_TOT!BB33</f>
        <v>5.879885882435594E-2</v>
      </c>
      <c r="P34" s="287">
        <f>DIST_DSL_TOT!BC33</f>
        <v>2.4326799820437142E-3</v>
      </c>
      <c r="Q34" s="287">
        <f>DIST_DSL_TOT!BD33</f>
        <v>7.5954297070014401E-2</v>
      </c>
      <c r="R34" s="286">
        <f>1</f>
        <v>1</v>
      </c>
      <c r="T34" s="288">
        <f t="shared" si="0"/>
        <v>1</v>
      </c>
      <c r="U34" s="288">
        <f t="shared" si="1"/>
        <v>1</v>
      </c>
      <c r="V34" s="288">
        <f t="shared" si="2"/>
        <v>1</v>
      </c>
    </row>
    <row r="35" spans="1:22">
      <c r="A35" s="127" t="s">
        <v>41</v>
      </c>
      <c r="B35" s="287">
        <f>DIST_GAS_TOT!AM34</f>
        <v>0.6263811330856357</v>
      </c>
      <c r="C35" s="287">
        <f>DIST_GAS_TOT!AN34</f>
        <v>0.10533106727658974</v>
      </c>
      <c r="D35" s="287">
        <f>DIST_GAS_TOT!AO34</f>
        <v>2.2239180870257304E-2</v>
      </c>
      <c r="E35" s="287">
        <f>DIST_GAS_TOT!AP34</f>
        <v>0.2380833882889844</v>
      </c>
      <c r="F35" s="287">
        <f>DIST_GAS_TOT!AQ34</f>
        <v>5.0029220201377725E-3</v>
      </c>
      <c r="G35" s="287">
        <f>DIST_GAS_TOT!AR34</f>
        <v>2.962308458395312E-3</v>
      </c>
      <c r="H35" s="287">
        <f>DIST_ALC_TOT!S34</f>
        <v>0.87652008109948865</v>
      </c>
      <c r="I35" s="287">
        <f>DIST_ALC_TOT!T34</f>
        <v>0.12347991890051137</v>
      </c>
      <c r="J35" s="287">
        <f>DIST_DSL_TOT!AW34</f>
        <v>0.17149541893336484</v>
      </c>
      <c r="K35" s="287">
        <f>DIST_DSL_TOT!AX34</f>
        <v>0.20031395693219894</v>
      </c>
      <c r="L35" s="287">
        <f>DIST_DSL_TOT!AY34</f>
        <v>0.24112919855221177</v>
      </c>
      <c r="M35" s="287">
        <f>DIST_DSL_TOT!AZ34</f>
        <v>1.5739772839416424E-2</v>
      </c>
      <c r="N35" s="287">
        <f>DIST_DSL_TOT!BA34</f>
        <v>0.25812002823746888</v>
      </c>
      <c r="O35" s="287">
        <f>DIST_DSL_TOT!BB34</f>
        <v>3.4265518318959139E-2</v>
      </c>
      <c r="P35" s="287">
        <f>DIST_DSL_TOT!BC34</f>
        <v>1.6496819190051405E-3</v>
      </c>
      <c r="Q35" s="287">
        <f>DIST_DSL_TOT!BD34</f>
        <v>7.728642426737492E-2</v>
      </c>
      <c r="R35" s="286">
        <f>1</f>
        <v>1</v>
      </c>
      <c r="T35" s="288">
        <f t="shared" si="0"/>
        <v>1.0000000000000002</v>
      </c>
      <c r="U35" s="288">
        <f t="shared" si="1"/>
        <v>1</v>
      </c>
      <c r="V35" s="288">
        <f t="shared" si="2"/>
        <v>1.0000000000000002</v>
      </c>
    </row>
    <row r="36" spans="1:22">
      <c r="A36" s="127" t="s">
        <v>42</v>
      </c>
      <c r="B36" s="287">
        <f>DIST_GAS_TOT!AM35</f>
        <v>0.44028364890837807</v>
      </c>
      <c r="C36" s="287">
        <f>DIST_GAS_TOT!AN35</f>
        <v>8.6710408183740026E-2</v>
      </c>
      <c r="D36" s="287">
        <f>DIST_GAS_TOT!AO35</f>
        <v>4.5106774878893578E-2</v>
      </c>
      <c r="E36" s="287">
        <f>DIST_GAS_TOT!AP35</f>
        <v>0.4140466202995518</v>
      </c>
      <c r="F36" s="287">
        <f>DIST_GAS_TOT!AQ35</f>
        <v>8.7003446877822466E-3</v>
      </c>
      <c r="G36" s="287">
        <f>DIST_GAS_TOT!AR35</f>
        <v>5.1522030416543321E-3</v>
      </c>
      <c r="H36" s="287">
        <f>DIST_ALC_TOT!S35</f>
        <v>0.85686470717457697</v>
      </c>
      <c r="I36" s="287">
        <f>DIST_ALC_TOT!T35</f>
        <v>0.14313529282542295</v>
      </c>
      <c r="J36" s="287">
        <f>DIST_DSL_TOT!AW35</f>
        <v>0.1561670817585252</v>
      </c>
      <c r="K36" s="287">
        <f>DIST_DSL_TOT!AX35</f>
        <v>0.18241067131467179</v>
      </c>
      <c r="L36" s="287">
        <f>DIST_DSL_TOT!AY35</f>
        <v>0.37666922740016379</v>
      </c>
      <c r="M36" s="287">
        <f>DIST_DSL_TOT!AZ35</f>
        <v>9.1621045434056823E-3</v>
      </c>
      <c r="N36" s="287">
        <f>DIST_DSL_TOT!BA35</f>
        <v>0.16245802823450711</v>
      </c>
      <c r="O36" s="287">
        <f>DIST_DSL_TOT!BB35</f>
        <v>2.1571741705972657E-2</v>
      </c>
      <c r="P36" s="287">
        <f>DIST_DSL_TOT!BC35</f>
        <v>1.6487434401760302E-3</v>
      </c>
      <c r="Q36" s="287">
        <f>DIST_DSL_TOT!BD35</f>
        <v>8.9912401602577782E-2</v>
      </c>
      <c r="R36" s="286">
        <f>1</f>
        <v>1</v>
      </c>
      <c r="T36" s="288">
        <f t="shared" si="0"/>
        <v>1.0000000000000002</v>
      </c>
      <c r="U36" s="288">
        <f t="shared" si="1"/>
        <v>0.99999999999999989</v>
      </c>
      <c r="V36" s="288">
        <f t="shared" si="2"/>
        <v>1</v>
      </c>
    </row>
    <row r="37" spans="1:22" ht="26.25" thickBot="1">
      <c r="A37" s="128" t="s">
        <v>43</v>
      </c>
      <c r="B37" s="287">
        <f>DIST_GAS_TOT!AM36</f>
        <v>0.61961979624860097</v>
      </c>
      <c r="C37" s="287">
        <f>DIST_GAS_TOT!AN36</f>
        <v>0.10463162296720589</v>
      </c>
      <c r="D37" s="287">
        <f>DIST_GAS_TOT!AO36</f>
        <v>2.2164117697506588E-2</v>
      </c>
      <c r="E37" s="287">
        <f>DIST_GAS_TOT!AP36</f>
        <v>0.24537518542061593</v>
      </c>
      <c r="F37" s="287">
        <f>DIST_GAS_TOT!AQ36</f>
        <v>5.1562405175319707E-3</v>
      </c>
      <c r="G37" s="287">
        <f>DIST_GAS_TOT!AR36</f>
        <v>3.0530371485386664E-3</v>
      </c>
      <c r="H37" s="287">
        <f>DIST_ALC_TOT!S36</f>
        <v>0.87698277176824158</v>
      </c>
      <c r="I37" s="287">
        <f>DIST_ALC_TOT!T36</f>
        <v>0.1230172282317584</v>
      </c>
      <c r="J37" s="287">
        <f>DIST_DSL_TOT!AW36</f>
        <v>0.17667146915992901</v>
      </c>
      <c r="K37" s="287">
        <f>DIST_DSL_TOT!AX36</f>
        <v>0.20635266612162687</v>
      </c>
      <c r="L37" s="287">
        <f>DIST_DSL_TOT!AY36</f>
        <v>0.27277522598793119</v>
      </c>
      <c r="M37" s="287">
        <f>DIST_DSL_TOT!AZ36</f>
        <v>1.2483745126308048E-2</v>
      </c>
      <c r="N37" s="287">
        <f>DIST_DSL_TOT!BA36</f>
        <v>0.21279392100543593</v>
      </c>
      <c r="O37" s="287">
        <f>DIST_DSL_TOT!BB36</f>
        <v>2.8242998357653464E-2</v>
      </c>
      <c r="P37" s="287">
        <f>DIST_DSL_TOT!BC36</f>
        <v>1.9241689523778198E-3</v>
      </c>
      <c r="Q37" s="287">
        <f>DIST_DSL_TOT!BD36</f>
        <v>8.8755805288737763E-2</v>
      </c>
      <c r="R37" s="286">
        <f>1</f>
        <v>1</v>
      </c>
      <c r="T37" s="288">
        <f t="shared" si="0"/>
        <v>0.99999999999999989</v>
      </c>
      <c r="U37" s="288">
        <f t="shared" si="1"/>
        <v>1</v>
      </c>
      <c r="V37" s="288">
        <f t="shared" si="2"/>
        <v>0.99999999999999989</v>
      </c>
    </row>
    <row r="38" spans="1:22" s="1" customFormat="1" ht="15.75" thickBot="1">
      <c r="T38" s="288"/>
      <c r="U38" s="288"/>
      <c r="V38" s="288"/>
    </row>
    <row r="39" spans="1:22" ht="15.75" customHeight="1" thickBot="1">
      <c r="A39" s="1051" t="s">
        <v>475</v>
      </c>
      <c r="B39" s="1250">
        <v>2010</v>
      </c>
      <c r="C39" s="1251"/>
      <c r="D39" s="1251"/>
      <c r="E39" s="1251"/>
      <c r="F39" s="1251"/>
      <c r="G39" s="1251"/>
      <c r="H39" s="1251"/>
      <c r="I39" s="1251"/>
      <c r="J39" s="1251"/>
      <c r="K39" s="1251"/>
      <c r="L39" s="1251"/>
      <c r="M39" s="1251"/>
      <c r="N39" s="1251"/>
      <c r="O39" s="1251"/>
      <c r="P39" s="1251"/>
      <c r="Q39" s="1251"/>
      <c r="R39" s="1252"/>
      <c r="T39" s="288"/>
      <c r="U39" s="288"/>
      <c r="V39" s="288"/>
    </row>
    <row r="40" spans="1:22">
      <c r="A40" s="1052"/>
      <c r="B40" s="1253" t="s">
        <v>97</v>
      </c>
      <c r="C40" s="1254"/>
      <c r="D40" s="1254"/>
      <c r="E40" s="1254"/>
      <c r="F40" s="1254"/>
      <c r="G40" s="1254"/>
      <c r="H40" s="1254" t="s">
        <v>98</v>
      </c>
      <c r="I40" s="1254"/>
      <c r="J40" s="1254" t="s">
        <v>99</v>
      </c>
      <c r="K40" s="1254"/>
      <c r="L40" s="1254"/>
      <c r="M40" s="1254"/>
      <c r="N40" s="1254"/>
      <c r="O40" s="1254"/>
      <c r="P40" s="1254"/>
      <c r="Q40" s="1254"/>
      <c r="R40" s="271" t="s">
        <v>100</v>
      </c>
      <c r="T40" s="288"/>
      <c r="U40" s="288"/>
      <c r="V40" s="288"/>
    </row>
    <row r="41" spans="1:22">
      <c r="A41" s="1052"/>
      <c r="B41" s="1255" t="s">
        <v>101</v>
      </c>
      <c r="C41" s="1257" t="s">
        <v>102</v>
      </c>
      <c r="D41" s="1257" t="s">
        <v>103</v>
      </c>
      <c r="E41" s="1257"/>
      <c r="F41" s="1257"/>
      <c r="G41" s="1257"/>
      <c r="H41" s="1255" t="s">
        <v>101</v>
      </c>
      <c r="I41" s="1257" t="s">
        <v>102</v>
      </c>
      <c r="J41" s="1257" t="s">
        <v>104</v>
      </c>
      <c r="K41" s="1257"/>
      <c r="L41" s="1257"/>
      <c r="M41" s="1257" t="s">
        <v>105</v>
      </c>
      <c r="N41" s="1257"/>
      <c r="O41" s="1257"/>
      <c r="P41" s="1255" t="s">
        <v>101</v>
      </c>
      <c r="Q41" s="1257" t="s">
        <v>102</v>
      </c>
      <c r="R41" s="1255" t="s">
        <v>101</v>
      </c>
      <c r="T41" s="288"/>
      <c r="U41" s="288"/>
      <c r="V41" s="288"/>
    </row>
    <row r="42" spans="1:22" ht="15.75" thickBot="1">
      <c r="A42" s="1053"/>
      <c r="B42" s="1256"/>
      <c r="C42" s="1258"/>
      <c r="D42" s="270" t="s">
        <v>106</v>
      </c>
      <c r="E42" s="270" t="s">
        <v>107</v>
      </c>
      <c r="F42" s="270" t="s">
        <v>108</v>
      </c>
      <c r="G42" s="270" t="s">
        <v>109</v>
      </c>
      <c r="H42" s="1256"/>
      <c r="I42" s="1258"/>
      <c r="J42" s="270" t="s">
        <v>110</v>
      </c>
      <c r="K42" s="270" t="s">
        <v>111</v>
      </c>
      <c r="L42" s="270" t="s">
        <v>112</v>
      </c>
      <c r="M42" s="270" t="s">
        <v>113</v>
      </c>
      <c r="N42" s="270" t="s">
        <v>114</v>
      </c>
      <c r="O42" s="270" t="s">
        <v>115</v>
      </c>
      <c r="P42" s="1256"/>
      <c r="Q42" s="1258"/>
      <c r="R42" s="1256"/>
      <c r="T42" s="288"/>
      <c r="U42" s="288"/>
      <c r="V42" s="288"/>
    </row>
    <row r="43" spans="1:22" ht="15.75" thickBot="1">
      <c r="A43" s="164" t="s">
        <v>11</v>
      </c>
      <c r="B43" s="287">
        <f>DIST_GAS_TOT!AT4</f>
        <v>0.66876295658178309</v>
      </c>
      <c r="C43" s="287">
        <f>DIST_GAS_TOT!AU4</f>
        <v>0.10309600676355084</v>
      </c>
      <c r="D43" s="287">
        <f>DIST_GAS_TOT!AV4</f>
        <v>1.2416116732451363E-2</v>
      </c>
      <c r="E43" s="287">
        <f>DIST_GAS_TOT!AW4</f>
        <v>0.20874126348327524</v>
      </c>
      <c r="F43" s="287">
        <f>DIST_GAS_TOT!AX4</f>
        <v>4.3863192375560084E-3</v>
      </c>
      <c r="G43" s="287">
        <f>DIST_GAS_TOT!AY4</f>
        <v>2.5973372013835547E-3</v>
      </c>
      <c r="H43" s="287">
        <f>DIST_ALC_TOT!V4</f>
        <v>0.88882228083518289</v>
      </c>
      <c r="I43" s="287">
        <f>DIST_ALC_TOT!W4</f>
        <v>0.11117771916481704</v>
      </c>
      <c r="J43" s="287">
        <f>DIST_DSL_TOT!BF4</f>
        <v>0.13543972066576587</v>
      </c>
      <c r="K43" s="287">
        <f>DIST_DSL_TOT!BG4</f>
        <v>0.15819855675278968</v>
      </c>
      <c r="L43" s="287">
        <f>DIST_DSL_TOT!BH4</f>
        <v>0.17882249581259477</v>
      </c>
      <c r="M43" s="287">
        <f>DIST_DSL_TOT!BI4</f>
        <v>4.6425224866270459E-2</v>
      </c>
      <c r="N43" s="287">
        <f>DIST_DSL_TOT!BJ4</f>
        <v>0.35209378090433224</v>
      </c>
      <c r="O43" s="287">
        <f>DIST_DSL_TOT!BK4</f>
        <v>5.6496048412912371E-2</v>
      </c>
      <c r="P43" s="287">
        <f>DIST_DSL_TOT!BL4</f>
        <v>1.7105472893940562E-3</v>
      </c>
      <c r="Q43" s="287">
        <f>DIST_DSL_TOT!BM4</f>
        <v>7.0813625295940416E-2</v>
      </c>
      <c r="R43" s="286">
        <f>R5</f>
        <v>1</v>
      </c>
      <c r="T43" s="288">
        <f t="shared" si="0"/>
        <v>1.0000000000000002</v>
      </c>
      <c r="U43" s="288">
        <f t="shared" si="1"/>
        <v>0.99999999999999989</v>
      </c>
      <c r="V43" s="288">
        <f t="shared" si="2"/>
        <v>0.99999999999999978</v>
      </c>
    </row>
    <row r="44" spans="1:22">
      <c r="A44" s="269" t="s">
        <v>46</v>
      </c>
      <c r="B44" s="287">
        <f>DIST_GAS_TOT!AT5</f>
        <v>0.60814014907909986</v>
      </c>
      <c r="C44" s="287">
        <f>DIST_GAS_TOT!AU5</f>
        <v>0.11553395182460824</v>
      </c>
      <c r="D44" s="287">
        <f>DIST_GAS_TOT!AV5</f>
        <v>2.200196045077743E-2</v>
      </c>
      <c r="E44" s="287">
        <f>DIST_GAS_TOT!AW5</f>
        <v>0.24609062646138363</v>
      </c>
      <c r="F44" s="287">
        <f>DIST_GAS_TOT!AX5</f>
        <v>5.1712653390448508E-3</v>
      </c>
      <c r="G44" s="287">
        <f>DIST_GAS_TOT!AY5</f>
        <v>3.0620468450859827E-3</v>
      </c>
      <c r="H44" s="287">
        <f>DIST_ALC_TOT!V5</f>
        <v>0.85505668750163677</v>
      </c>
      <c r="I44" s="287">
        <f>DIST_ALC_TOT!W5</f>
        <v>0.14494331249836329</v>
      </c>
      <c r="J44" s="287">
        <f>DIST_DSL_TOT!BF5</f>
        <v>0.19245699793900722</v>
      </c>
      <c r="K44" s="287">
        <f>DIST_DSL_TOT!BG5</f>
        <v>0.22479252068221392</v>
      </c>
      <c r="L44" s="287">
        <f>DIST_DSL_TOT!BH5</f>
        <v>0.1736891035473323</v>
      </c>
      <c r="M44" s="287">
        <f>DIST_DSL_TOT!BI5</f>
        <v>3.0483782509203899E-2</v>
      </c>
      <c r="N44" s="287">
        <f>DIST_DSL_TOT!BJ5</f>
        <v>0.24390918198818076</v>
      </c>
      <c r="O44" s="287">
        <f>DIST_DSL_TOT!BK5</f>
        <v>5.4397842190705537E-2</v>
      </c>
      <c r="P44" s="287">
        <f>DIST_DSL_TOT!BL5</f>
        <v>1.5075409447655491E-3</v>
      </c>
      <c r="Q44" s="287">
        <f>DIST_DSL_TOT!BM5</f>
        <v>7.8763030198590767E-2</v>
      </c>
      <c r="R44" s="286">
        <f t="shared" ref="R44:R75" si="3">R6</f>
        <v>1</v>
      </c>
      <c r="T44" s="288">
        <f t="shared" si="0"/>
        <v>0.99999999999999989</v>
      </c>
      <c r="U44" s="288">
        <f t="shared" si="1"/>
        <v>1</v>
      </c>
      <c r="V44" s="288">
        <f t="shared" si="2"/>
        <v>1</v>
      </c>
    </row>
    <row r="45" spans="1:22">
      <c r="A45" s="127" t="s">
        <v>13</v>
      </c>
      <c r="B45" s="287">
        <f>DIST_GAS_TOT!AT6</f>
        <v>0.58324758255440934</v>
      </c>
      <c r="C45" s="287">
        <f>DIST_GAS_TOT!AU6</f>
        <v>0.10226779414673784</v>
      </c>
      <c r="D45" s="287">
        <f>DIST_GAS_TOT!AV6</f>
        <v>1.981278377726171E-2</v>
      </c>
      <c r="E45" s="287">
        <f>DIST_GAS_TOT!AW6</f>
        <v>0.28513110529293662</v>
      </c>
      <c r="F45" s="287">
        <f>DIST_GAS_TOT!AX6</f>
        <v>5.9924187205973459E-3</v>
      </c>
      <c r="G45" s="287">
        <f>DIST_GAS_TOT!AY6</f>
        <v>3.5483155080571253E-3</v>
      </c>
      <c r="H45" s="287">
        <f>DIST_ALC_TOT!V6</f>
        <v>0.86524686070262902</v>
      </c>
      <c r="I45" s="287">
        <f>DIST_ALC_TOT!W6</f>
        <v>0.13475313929737096</v>
      </c>
      <c r="J45" s="287">
        <f>DIST_DSL_TOT!BF6</f>
        <v>0.24318666473333958</v>
      </c>
      <c r="K45" s="287">
        <f>DIST_DSL_TOT!BG6</f>
        <v>0.28402756876102825</v>
      </c>
      <c r="L45" s="287">
        <f>DIST_DSL_TOT!BH6</f>
        <v>0.13863520153160414</v>
      </c>
      <c r="M45" s="287">
        <f>DIST_DSL_TOT!BI6</f>
        <v>1.3844946845823996E-2</v>
      </c>
      <c r="N45" s="287">
        <f>DIST_DSL_TOT!BJ6</f>
        <v>0.1455174913605109</v>
      </c>
      <c r="O45" s="287">
        <f>DIST_DSL_TOT!BK6</f>
        <v>3.2472563982391553E-2</v>
      </c>
      <c r="P45" s="287">
        <f>DIST_DSL_TOT!BL6</f>
        <v>2.8359311915731275E-3</v>
      </c>
      <c r="Q45" s="287">
        <f>DIST_DSL_TOT!BM6</f>
        <v>0.13947963159372853</v>
      </c>
      <c r="R45" s="286">
        <f t="shared" si="3"/>
        <v>1</v>
      </c>
      <c r="T45" s="288">
        <f t="shared" si="0"/>
        <v>0.99999999999999989</v>
      </c>
      <c r="U45" s="288">
        <f t="shared" si="1"/>
        <v>1</v>
      </c>
      <c r="V45" s="288">
        <f t="shared" si="2"/>
        <v>1</v>
      </c>
    </row>
    <row r="46" spans="1:22">
      <c r="A46" s="127" t="s">
        <v>14</v>
      </c>
      <c r="B46" s="287">
        <f>DIST_GAS_TOT!AT7</f>
        <v>0.67452897795639566</v>
      </c>
      <c r="C46" s="287">
        <f>DIST_GAS_TOT!AU7</f>
        <v>0.13548492182185215</v>
      </c>
      <c r="D46" s="287">
        <f>DIST_GAS_TOT!AV7</f>
        <v>1.1593513685775589E-2</v>
      </c>
      <c r="E46" s="287">
        <f>DIST_GAS_TOT!AW7</f>
        <v>0.17261783190829916</v>
      </c>
      <c r="F46" s="287">
        <f>DIST_GAS_TOT!AX7</f>
        <v>3.6282175456789213E-3</v>
      </c>
      <c r="G46" s="287">
        <f>DIST_GAS_TOT!AY7</f>
        <v>2.1465370819985243E-3</v>
      </c>
      <c r="H46" s="287">
        <f>DIST_ALC_TOT!V7</f>
        <v>0.84648548657125811</v>
      </c>
      <c r="I46" s="287">
        <f>DIST_ALC_TOT!W7</f>
        <v>0.15351451342874192</v>
      </c>
      <c r="J46" s="287">
        <f>DIST_DSL_TOT!BF7</f>
        <v>0.21574192607026438</v>
      </c>
      <c r="K46" s="287">
        <f>DIST_DSL_TOT!BG7</f>
        <v>0.25193483981100473</v>
      </c>
      <c r="L46" s="287">
        <f>DIST_DSL_TOT!BH7</f>
        <v>9.5075997108097721E-2</v>
      </c>
      <c r="M46" s="287">
        <f>DIST_DSL_TOT!BI7</f>
        <v>3.5732610398712561E-2</v>
      </c>
      <c r="N46" s="287">
        <f>DIST_DSL_TOT!BJ7</f>
        <v>0.22254273301502248</v>
      </c>
      <c r="O46" s="287">
        <f>DIST_DSL_TOT!BK7</f>
        <v>4.9499477957073844E-2</v>
      </c>
      <c r="P46" s="287">
        <f>DIST_DSL_TOT!BL7</f>
        <v>2.2577438362754534E-3</v>
      </c>
      <c r="Q46" s="287">
        <f>DIST_DSL_TOT!BM7</f>
        <v>0.12721467180354887</v>
      </c>
      <c r="R46" s="286">
        <f t="shared" si="3"/>
        <v>1</v>
      </c>
      <c r="T46" s="288">
        <f t="shared" si="0"/>
        <v>0.99999999999999989</v>
      </c>
      <c r="U46" s="288">
        <f t="shared" si="1"/>
        <v>1</v>
      </c>
      <c r="V46" s="288">
        <f t="shared" si="2"/>
        <v>1</v>
      </c>
    </row>
    <row r="47" spans="1:22">
      <c r="A47" s="127" t="s">
        <v>15</v>
      </c>
      <c r="B47" s="287">
        <f>DIST_GAS_TOT!AT8</f>
        <v>0.70477097735238126</v>
      </c>
      <c r="C47" s="287">
        <f>DIST_GAS_TOT!AU8</f>
        <v>0.15258300616881412</v>
      </c>
      <c r="D47" s="287">
        <f>DIST_GAS_TOT!AV8</f>
        <v>1.0318263181936063E-2</v>
      </c>
      <c r="E47" s="287">
        <f>DIST_GAS_TOT!AW8</f>
        <v>0.12804366619626628</v>
      </c>
      <c r="F47" s="287">
        <f>DIST_GAS_TOT!AX8</f>
        <v>2.690705000549202E-3</v>
      </c>
      <c r="G47" s="287">
        <f>DIST_GAS_TOT!AY8</f>
        <v>1.5933821000530166E-3</v>
      </c>
      <c r="H47" s="287">
        <f>DIST_ALC_TOT!V8</f>
        <v>0.84076643193138723</v>
      </c>
      <c r="I47" s="287">
        <f>DIST_ALC_TOT!W8</f>
        <v>0.15923356806861283</v>
      </c>
      <c r="J47" s="287">
        <f>DIST_DSL_TOT!BF8</f>
        <v>0.15606935623264043</v>
      </c>
      <c r="K47" s="287">
        <f>DIST_DSL_TOT!BG8</f>
        <v>0.1823070415150588</v>
      </c>
      <c r="L47" s="287">
        <f>DIST_DSL_TOT!BH8</f>
        <v>0.13997098202569971</v>
      </c>
      <c r="M47" s="287">
        <f>DIST_DSL_TOT!BI8</f>
        <v>4.0950265996302353E-2</v>
      </c>
      <c r="N47" s="287">
        <f>DIST_DSL_TOT!BJ8</f>
        <v>0.33300105818807019</v>
      </c>
      <c r="O47" s="287">
        <f>DIST_DSL_TOT!BK8</f>
        <v>7.4259687017043385E-2</v>
      </c>
      <c r="P47" s="287">
        <f>DIST_DSL_TOT!BL8</f>
        <v>1.1983175337547019E-3</v>
      </c>
      <c r="Q47" s="287">
        <f>DIST_DSL_TOT!BM8</f>
        <v>7.2243291491430411E-2</v>
      </c>
      <c r="R47" s="286">
        <f t="shared" si="3"/>
        <v>1</v>
      </c>
      <c r="T47" s="288">
        <f t="shared" si="0"/>
        <v>1</v>
      </c>
      <c r="U47" s="288">
        <f t="shared" si="1"/>
        <v>1</v>
      </c>
      <c r="V47" s="288">
        <f t="shared" si="2"/>
        <v>0.99999999999999978</v>
      </c>
    </row>
    <row r="48" spans="1:22">
      <c r="A48" s="127" t="s">
        <v>16</v>
      </c>
      <c r="B48" s="287">
        <f>DIST_GAS_TOT!AT9</f>
        <v>0.61770287653285183</v>
      </c>
      <c r="C48" s="287">
        <f>DIST_GAS_TOT!AU9</f>
        <v>9.9155218916036375E-2</v>
      </c>
      <c r="D48" s="287">
        <f>DIST_GAS_TOT!AV9</f>
        <v>1.9607166157134433E-2</v>
      </c>
      <c r="E48" s="287">
        <f>DIST_GAS_TOT!AW9</f>
        <v>0.25500332747295612</v>
      </c>
      <c r="F48" s="287">
        <f>DIST_GAS_TOT!AX9</f>
        <v>5.3584619046144399E-3</v>
      </c>
      <c r="G48" s="287">
        <f>DIST_GAS_TOT!AY9</f>
        <v>3.1729490164069066E-3</v>
      </c>
      <c r="H48" s="287">
        <f>DIST_ALC_TOT!V9</f>
        <v>0.87443249192914019</v>
      </c>
      <c r="I48" s="287">
        <f>DIST_ALC_TOT!W9</f>
        <v>0.12556750807085981</v>
      </c>
      <c r="J48" s="287">
        <f>DIST_DSL_TOT!BF9</f>
        <v>0.1939813548319613</v>
      </c>
      <c r="K48" s="287">
        <f>DIST_DSL_TOT!BG9</f>
        <v>0.22657218472577817</v>
      </c>
      <c r="L48" s="287">
        <f>DIST_DSL_TOT!BH9</f>
        <v>0.13577948917945737</v>
      </c>
      <c r="M48" s="287">
        <f>DIST_DSL_TOT!BI9</f>
        <v>3.9247985147015448E-2</v>
      </c>
      <c r="N48" s="287">
        <f>DIST_DSL_TOT!BJ9</f>
        <v>0.2728927991534339</v>
      </c>
      <c r="O48" s="287">
        <f>DIST_DSL_TOT!BK9</f>
        <v>6.0870040404750109E-2</v>
      </c>
      <c r="P48" s="287">
        <f>DIST_DSL_TOT!BL9</f>
        <v>1.5275318739066408E-3</v>
      </c>
      <c r="Q48" s="287">
        <f>DIST_DSL_TOT!BM9</f>
        <v>6.912861468369709E-2</v>
      </c>
      <c r="R48" s="286">
        <f t="shared" si="3"/>
        <v>1</v>
      </c>
      <c r="T48" s="288">
        <f t="shared" si="0"/>
        <v>1</v>
      </c>
      <c r="U48" s="288">
        <f t="shared" si="1"/>
        <v>1</v>
      </c>
      <c r="V48" s="288">
        <f t="shared" si="2"/>
        <v>1</v>
      </c>
    </row>
    <row r="49" spans="1:22">
      <c r="A49" s="127" t="s">
        <v>17</v>
      </c>
      <c r="B49" s="287">
        <f>DIST_GAS_TOT!AT10</f>
        <v>0.50117368868019385</v>
      </c>
      <c r="C49" s="287">
        <f>DIST_GAS_TOT!AU10</f>
        <v>9.8137387246581248E-2</v>
      </c>
      <c r="D49" s="287">
        <f>DIST_GAS_TOT!AV10</f>
        <v>3.3998990129471225E-2</v>
      </c>
      <c r="E49" s="287">
        <f>DIST_GAS_TOT!AW10</f>
        <v>0.35481861861052943</v>
      </c>
      <c r="F49" s="287">
        <f>DIST_GAS_TOT!AX10</f>
        <v>7.4561635156844656E-3</v>
      </c>
      <c r="G49" s="287">
        <f>DIST_GAS_TOT!AY10</f>
        <v>4.4151518175397841E-3</v>
      </c>
      <c r="H49" s="287">
        <f>DIST_ALC_TOT!V10</f>
        <v>0.84963458444150441</v>
      </c>
      <c r="I49" s="287">
        <f>DIST_ALC_TOT!W10</f>
        <v>0.15036541555849553</v>
      </c>
      <c r="J49" s="287">
        <f>DIST_DSL_TOT!BF10</f>
        <v>0.19992838712060002</v>
      </c>
      <c r="K49" s="287">
        <f>DIST_DSL_TOT!BG10</f>
        <v>0.23353384262300048</v>
      </c>
      <c r="L49" s="287">
        <f>DIST_DSL_TOT!BH10</f>
        <v>0.25854714669300799</v>
      </c>
      <c r="M49" s="287">
        <f>DIST_DSL_TOT!BI10</f>
        <v>1.1079723162754559E-2</v>
      </c>
      <c r="N49" s="287">
        <f>DIST_DSL_TOT!BJ10</f>
        <v>0.17908453040558162</v>
      </c>
      <c r="O49" s="287">
        <f>DIST_DSL_TOT!BK10</f>
        <v>3.9957373155645529E-2</v>
      </c>
      <c r="P49" s="287">
        <f>DIST_DSL_TOT!BL10</f>
        <v>1.3849466717604671E-3</v>
      </c>
      <c r="Q49" s="287">
        <f>DIST_DSL_TOT!BM10</f>
        <v>7.6484050167649281E-2</v>
      </c>
      <c r="R49" s="286">
        <f t="shared" si="3"/>
        <v>1</v>
      </c>
      <c r="T49" s="288">
        <f t="shared" si="0"/>
        <v>1</v>
      </c>
      <c r="U49" s="288">
        <f t="shared" si="1"/>
        <v>1</v>
      </c>
      <c r="V49" s="288">
        <f t="shared" si="2"/>
        <v>0.99999999999999978</v>
      </c>
    </row>
    <row r="50" spans="1:22">
      <c r="A50" s="127" t="s">
        <v>18</v>
      </c>
      <c r="B50" s="287">
        <f>DIST_GAS_TOT!AT11</f>
        <v>0.56927213296135748</v>
      </c>
      <c r="C50" s="287">
        <f>DIST_GAS_TOT!AU11</f>
        <v>0.13574911549306254</v>
      </c>
      <c r="D50" s="287">
        <f>DIST_GAS_TOT!AV11</f>
        <v>2.1311591549140713E-2</v>
      </c>
      <c r="E50" s="287">
        <f>DIST_GAS_TOT!AW11</f>
        <v>0.26480913149627466</v>
      </c>
      <c r="F50" s="287">
        <f>DIST_GAS_TOT!AX11</f>
        <v>5.5646711185426924E-3</v>
      </c>
      <c r="G50" s="287">
        <f>DIST_GAS_TOT!AY11</f>
        <v>3.2933573816217136E-3</v>
      </c>
      <c r="H50" s="287">
        <f>DIST_ALC_TOT!V11</f>
        <v>0.82341729251310558</v>
      </c>
      <c r="I50" s="287">
        <f>DIST_ALC_TOT!W11</f>
        <v>0.17658270748689447</v>
      </c>
      <c r="J50" s="287">
        <f>DIST_DSL_TOT!BF11</f>
        <v>0.19234618459764616</v>
      </c>
      <c r="K50" s="287">
        <f>DIST_DSL_TOT!BG11</f>
        <v>0.22457747724563351</v>
      </c>
      <c r="L50" s="287">
        <f>DIST_DSL_TOT!BH11</f>
        <v>0.13350804895550214</v>
      </c>
      <c r="M50" s="287">
        <f>DIST_DSL_TOT!BI11</f>
        <v>4.2062691676864571E-2</v>
      </c>
      <c r="N50" s="287">
        <f>DIST_DSL_TOT!BJ11</f>
        <v>0.21293112250112481</v>
      </c>
      <c r="O50" s="287">
        <f>DIST_DSL_TOT!BK11</f>
        <v>4.7477464522123577E-2</v>
      </c>
      <c r="P50" s="287">
        <f>DIST_DSL_TOT!BL11</f>
        <v>2.1780186180759904E-3</v>
      </c>
      <c r="Q50" s="287">
        <f>DIST_DSL_TOT!BM11</f>
        <v>0.14491899188302912</v>
      </c>
      <c r="R50" s="286">
        <f t="shared" si="3"/>
        <v>1</v>
      </c>
      <c r="T50" s="288">
        <f t="shared" si="0"/>
        <v>0.99999999999999989</v>
      </c>
      <c r="U50" s="288">
        <f t="shared" si="1"/>
        <v>1</v>
      </c>
      <c r="V50" s="288">
        <f t="shared" si="2"/>
        <v>0.99999999999999989</v>
      </c>
    </row>
    <row r="51" spans="1:22" ht="15.75" thickBot="1">
      <c r="A51" s="128" t="s">
        <v>19</v>
      </c>
      <c r="B51" s="287">
        <f>DIST_GAS_TOT!AT12</f>
        <v>0.53533977714784287</v>
      </c>
      <c r="C51" s="287">
        <f>DIST_GAS_TOT!AU12</f>
        <v>0.10369925957507488</v>
      </c>
      <c r="D51" s="287">
        <f>DIST_GAS_TOT!AV12</f>
        <v>4.1728573787456286E-2</v>
      </c>
      <c r="E51" s="287">
        <f>DIST_GAS_TOT!AW12</f>
        <v>0.30889820914570598</v>
      </c>
      <c r="F51" s="287">
        <f>DIST_GAS_TOT!AX12</f>
        <v>6.4903263302698013E-3</v>
      </c>
      <c r="G51" s="287">
        <f>DIST_GAS_TOT!AY12</f>
        <v>3.8438540136501828E-3</v>
      </c>
      <c r="H51" s="287">
        <f>DIST_ALC_TOT!V12</f>
        <v>0.85417634952086507</v>
      </c>
      <c r="I51" s="287">
        <f>DIST_ALC_TOT!W12</f>
        <v>0.14582365047913484</v>
      </c>
      <c r="J51" s="287">
        <f>DIST_DSL_TOT!BF12</f>
        <v>0.20649464797159631</v>
      </c>
      <c r="K51" s="287">
        <f>DIST_DSL_TOT!BG12</f>
        <v>0.2411828027164033</v>
      </c>
      <c r="L51" s="287">
        <f>DIST_DSL_TOT!BH12</f>
        <v>0.22306953451429243</v>
      </c>
      <c r="M51" s="287">
        <f>DIST_DSL_TOT!BI12</f>
        <v>2.306106300313961E-2</v>
      </c>
      <c r="N51" s="287">
        <f>DIST_DSL_TOT!BJ12</f>
        <v>0.18599044730081202</v>
      </c>
      <c r="O51" s="287">
        <f>DIST_DSL_TOT!BK12</f>
        <v>4.1469513013850781E-2</v>
      </c>
      <c r="P51" s="287">
        <f>DIST_DSL_TOT!BL12</f>
        <v>1.4222892616372156E-3</v>
      </c>
      <c r="Q51" s="287">
        <f>DIST_DSL_TOT!BM12</f>
        <v>7.7309702218268453E-2</v>
      </c>
      <c r="R51" s="286">
        <f t="shared" si="3"/>
        <v>1</v>
      </c>
      <c r="T51" s="288">
        <f t="shared" si="0"/>
        <v>1</v>
      </c>
      <c r="U51" s="288">
        <f t="shared" si="1"/>
        <v>0.99999999999999989</v>
      </c>
      <c r="V51" s="288">
        <f t="shared" si="2"/>
        <v>1.0000000000000002</v>
      </c>
    </row>
    <row r="52" spans="1:22">
      <c r="A52" s="269" t="s">
        <v>54</v>
      </c>
      <c r="B52" s="287">
        <f>DIST_GAS_TOT!AT13</f>
        <v>0.57352692228942426</v>
      </c>
      <c r="C52" s="287">
        <f>DIST_GAS_TOT!AU13</f>
        <v>9.9882306552402239E-2</v>
      </c>
      <c r="D52" s="287">
        <f>DIST_GAS_TOT!AV13</f>
        <v>1.3444657554961282E-2</v>
      </c>
      <c r="E52" s="287">
        <f>DIST_GAS_TOT!AW13</f>
        <v>0.30300861781162608</v>
      </c>
      <c r="F52" s="287">
        <f>DIST_GAS_TOT!AX13</f>
        <v>6.3671985883598644E-3</v>
      </c>
      <c r="G52" s="287">
        <f>DIST_GAS_TOT!AY13</f>
        <v>3.7702972032264371E-3</v>
      </c>
      <c r="H52" s="287">
        <f>DIST_ALC_TOT!V13</f>
        <v>0.87743883926287625</v>
      </c>
      <c r="I52" s="287">
        <f>DIST_ALC_TOT!W13</f>
        <v>0.12256116073712374</v>
      </c>
      <c r="J52" s="287">
        <f>DIST_DSL_TOT!BF13</f>
        <v>0.12393814816119014</v>
      </c>
      <c r="K52" s="287">
        <f>DIST_DSL_TOT!BG13</f>
        <v>0.14476525567973486</v>
      </c>
      <c r="L52" s="287">
        <f>DIST_DSL_TOT!BH13</f>
        <v>8.9127962942205735E-2</v>
      </c>
      <c r="M52" s="287">
        <f>DIST_DSL_TOT!BI13</f>
        <v>6.9548760770982432E-2</v>
      </c>
      <c r="N52" s="287">
        <f>DIST_DSL_TOT!BJ13</f>
        <v>0.40226530256179543</v>
      </c>
      <c r="O52" s="287">
        <f>DIST_DSL_TOT!BK13</f>
        <v>7.6126290151486406E-2</v>
      </c>
      <c r="P52" s="287">
        <f>DIST_DSL_TOT!BL13</f>
        <v>2.0756432202635503E-3</v>
      </c>
      <c r="Q52" s="287">
        <f>DIST_DSL_TOT!BM13</f>
        <v>9.2152636512341332E-2</v>
      </c>
      <c r="R52" s="286">
        <f t="shared" si="3"/>
        <v>1</v>
      </c>
      <c r="T52" s="288">
        <f t="shared" si="0"/>
        <v>1.0000000000000002</v>
      </c>
      <c r="U52" s="288">
        <f t="shared" si="1"/>
        <v>1</v>
      </c>
      <c r="V52" s="288">
        <f t="shared" si="2"/>
        <v>0.99999999999999989</v>
      </c>
    </row>
    <row r="53" spans="1:22">
      <c r="A53" s="127" t="s">
        <v>21</v>
      </c>
      <c r="B53" s="287">
        <f>DIST_GAS_TOT!AT14</f>
        <v>0.60877763250579542</v>
      </c>
      <c r="C53" s="287">
        <f>DIST_GAS_TOT!AU14</f>
        <v>0.10796695215030984</v>
      </c>
      <c r="D53" s="287">
        <f>DIST_GAS_TOT!AV14</f>
        <v>1.3693476789834735E-2</v>
      </c>
      <c r="E53" s="287">
        <f>DIST_GAS_TOT!AW14</f>
        <v>0.26083556747964981</v>
      </c>
      <c r="F53" s="287">
        <f>DIST_GAS_TOT!AX14</f>
        <v>5.4807492096347063E-3</v>
      </c>
      <c r="G53" s="287">
        <f>DIST_GAS_TOT!AY14</f>
        <v>3.245621864775383E-3</v>
      </c>
      <c r="H53" s="287">
        <f>DIST_ALC_TOT!V14</f>
        <v>0.88079886035293409</v>
      </c>
      <c r="I53" s="287">
        <f>DIST_ALC_TOT!W14</f>
        <v>0.1192011396470659</v>
      </c>
      <c r="J53" s="287">
        <f>DIST_DSL_TOT!BF14</f>
        <v>0.10762802210293268</v>
      </c>
      <c r="K53" s="287">
        <f>DIST_DSL_TOT!BG14</f>
        <v>0.1257066179690961</v>
      </c>
      <c r="L53" s="287">
        <f>DIST_DSL_TOT!BH14</f>
        <v>7.3845838570476663E-2</v>
      </c>
      <c r="M53" s="287">
        <f>DIST_DSL_TOT!BI14</f>
        <v>0.10641887932272806</v>
      </c>
      <c r="N53" s="287">
        <f>DIST_DSL_TOT!BJ14</f>
        <v>0.42516529161175498</v>
      </c>
      <c r="O53" s="287">
        <f>DIST_DSL_TOT!BK14</f>
        <v>8.0493539332183492E-2</v>
      </c>
      <c r="P53" s="287">
        <f>DIST_DSL_TOT!BL14</f>
        <v>1.816913708285634E-3</v>
      </c>
      <c r="Q53" s="287">
        <f>DIST_DSL_TOT!BM14</f>
        <v>7.8924897382542353E-2</v>
      </c>
      <c r="R53" s="286">
        <f t="shared" si="3"/>
        <v>1</v>
      </c>
      <c r="T53" s="288">
        <f t="shared" si="0"/>
        <v>1</v>
      </c>
      <c r="U53" s="288">
        <f t="shared" si="1"/>
        <v>1</v>
      </c>
      <c r="V53" s="288">
        <f t="shared" si="2"/>
        <v>1</v>
      </c>
    </row>
    <row r="54" spans="1:22">
      <c r="A54" s="127" t="s">
        <v>22</v>
      </c>
      <c r="B54" s="287">
        <f>DIST_GAS_TOT!AT15</f>
        <v>0.60094433470261832</v>
      </c>
      <c r="C54" s="287">
        <f>DIST_GAS_TOT!AU15</f>
        <v>0.11684429729490524</v>
      </c>
      <c r="D54" s="287">
        <f>DIST_GAS_TOT!AV15</f>
        <v>1.1594540171263311E-2</v>
      </c>
      <c r="E54" s="287">
        <f>DIST_GAS_TOT!AW15</f>
        <v>0.26185615084892699</v>
      </c>
      <c r="F54" s="287">
        <f>DIST_GAS_TOT!AX15</f>
        <v>5.5024908890042709E-3</v>
      </c>
      <c r="G54" s="287">
        <f>DIST_GAS_TOT!AY15</f>
        <v>3.2581860932817466E-3</v>
      </c>
      <c r="H54" s="287">
        <f>DIST_ALC_TOT!V15</f>
        <v>0.86623967457950679</v>
      </c>
      <c r="I54" s="287">
        <f>DIST_ALC_TOT!W15</f>
        <v>0.13376032542049329</v>
      </c>
      <c r="J54" s="287">
        <f>DIST_DSL_TOT!BF15</f>
        <v>0.10344303640386816</v>
      </c>
      <c r="K54" s="287">
        <f>DIST_DSL_TOT!BG15</f>
        <v>0.12082588803426954</v>
      </c>
      <c r="L54" s="287">
        <f>DIST_DSL_TOT!BH15</f>
        <v>0.10193470544745901</v>
      </c>
      <c r="M54" s="287">
        <f>DIST_DSL_TOT!BI15</f>
        <v>6.8140764098411508E-2</v>
      </c>
      <c r="N54" s="287">
        <f>DIST_DSL_TOT!BJ15</f>
        <v>0.44423226036898106</v>
      </c>
      <c r="O54" s="287">
        <f>DIST_DSL_TOT!BK15</f>
        <v>8.4064901868675657E-2</v>
      </c>
      <c r="P54" s="287">
        <f>DIST_DSL_TOT!BL15</f>
        <v>1.5396994651356915E-3</v>
      </c>
      <c r="Q54" s="287">
        <f>DIST_DSL_TOT!BM15</f>
        <v>7.5818744313199335E-2</v>
      </c>
      <c r="R54" s="286">
        <f t="shared" si="3"/>
        <v>1</v>
      </c>
      <c r="T54" s="288">
        <f t="shared" si="0"/>
        <v>0.99999999999999978</v>
      </c>
      <c r="U54" s="288">
        <f t="shared" si="1"/>
        <v>1</v>
      </c>
      <c r="V54" s="288">
        <f t="shared" si="2"/>
        <v>1</v>
      </c>
    </row>
    <row r="55" spans="1:22">
      <c r="A55" s="127" t="s">
        <v>23</v>
      </c>
      <c r="B55" s="287">
        <f>DIST_GAS_TOT!AT16</f>
        <v>0.53219597922102957</v>
      </c>
      <c r="C55" s="287">
        <f>DIST_GAS_TOT!AU16</f>
        <v>8.7134667421513254E-2</v>
      </c>
      <c r="D55" s="287">
        <f>DIST_GAS_TOT!AV16</f>
        <v>1.3233794741357696E-2</v>
      </c>
      <c r="E55" s="287">
        <f>DIST_GAS_TOT!AW16</f>
        <v>0.3555405995072678</v>
      </c>
      <c r="F55" s="287">
        <f>DIST_GAS_TOT!AX16</f>
        <v>7.4710268340004099E-3</v>
      </c>
      <c r="G55" s="287">
        <f>DIST_GAS_TOT!AY16</f>
        <v>4.4239322748313671E-3</v>
      </c>
      <c r="H55" s="287">
        <f>DIST_ALC_TOT!V16</f>
        <v>0.88385369908786482</v>
      </c>
      <c r="I55" s="287">
        <f>DIST_ALC_TOT!W16</f>
        <v>0.11614630091213515</v>
      </c>
      <c r="J55" s="287">
        <f>DIST_DSL_TOT!BF16</f>
        <v>0.12933064767328534</v>
      </c>
      <c r="K55" s="287">
        <f>DIST_DSL_TOT!BG16</f>
        <v>0.15106180521563525</v>
      </c>
      <c r="L55" s="287">
        <f>DIST_DSL_TOT!BH16</f>
        <v>8.9246582390528184E-2</v>
      </c>
      <c r="M55" s="287">
        <f>DIST_DSL_TOT!BI16</f>
        <v>6.274492796109428E-2</v>
      </c>
      <c r="N55" s="287">
        <f>DIST_DSL_TOT!BJ16</f>
        <v>0.36737705805851767</v>
      </c>
      <c r="O55" s="287">
        <f>DIST_DSL_TOT!BK16</f>
        <v>6.9510782992487488E-2</v>
      </c>
      <c r="P55" s="287">
        <f>DIST_DSL_TOT!BL16</f>
        <v>3.0767169397966786E-3</v>
      </c>
      <c r="Q55" s="287">
        <f>DIST_DSL_TOT!BM16</f>
        <v>0.12765147876865504</v>
      </c>
      <c r="R55" s="286">
        <f t="shared" si="3"/>
        <v>1</v>
      </c>
      <c r="T55" s="288">
        <f t="shared" si="0"/>
        <v>1</v>
      </c>
      <c r="U55" s="288">
        <f t="shared" si="1"/>
        <v>1</v>
      </c>
      <c r="V55" s="288">
        <f t="shared" si="2"/>
        <v>0.99999999999999989</v>
      </c>
    </row>
    <row r="56" spans="1:22">
      <c r="A56" s="127" t="s">
        <v>24</v>
      </c>
      <c r="B56" s="287">
        <f>DIST_GAS_TOT!AT17</f>
        <v>0.48848889235507204</v>
      </c>
      <c r="C56" s="287">
        <f>DIST_GAS_TOT!AU17</f>
        <v>0.10069536388464136</v>
      </c>
      <c r="D56" s="287">
        <f>DIST_GAS_TOT!AV17</f>
        <v>2.1598726333694529E-2</v>
      </c>
      <c r="E56" s="287">
        <f>DIST_GAS_TOT!AW17</f>
        <v>0.37661651972611565</v>
      </c>
      <c r="F56" s="287">
        <f>DIST_GAS_TOT!AX17</f>
        <v>7.9138692564499E-3</v>
      </c>
      <c r="G56" s="287">
        <f>DIST_GAS_TOT!AY17</f>
        <v>4.6866284440266782E-3</v>
      </c>
      <c r="H56" s="287">
        <f>DIST_ALC_TOT!V17</f>
        <v>0.84478098562413473</v>
      </c>
      <c r="I56" s="287">
        <f>DIST_ALC_TOT!W17</f>
        <v>0.15521901437586516</v>
      </c>
      <c r="J56" s="287">
        <f>DIST_DSL_TOT!BF17</f>
        <v>0.1452386457290708</v>
      </c>
      <c r="K56" s="287">
        <f>DIST_DSL_TOT!BG17</f>
        <v>0.16964092636524236</v>
      </c>
      <c r="L56" s="287">
        <f>DIST_DSL_TOT!BH17</f>
        <v>5.5885668509091845E-2</v>
      </c>
      <c r="M56" s="287">
        <f>DIST_DSL_TOT!BI17</f>
        <v>6.8540661337849515E-2</v>
      </c>
      <c r="N56" s="287">
        <f>DIST_DSL_TOT!BJ17</f>
        <v>0.37846748760558468</v>
      </c>
      <c r="O56" s="287">
        <f>DIST_DSL_TOT!BK17</f>
        <v>7.1644008311199894E-2</v>
      </c>
      <c r="P56" s="287">
        <f>DIST_DSL_TOT!BL17</f>
        <v>1.8945253435215664E-3</v>
      </c>
      <c r="Q56" s="287">
        <f>DIST_DSL_TOT!BM17</f>
        <v>0.10868807679843924</v>
      </c>
      <c r="R56" s="286">
        <f t="shared" si="3"/>
        <v>1</v>
      </c>
      <c r="T56" s="288">
        <f t="shared" si="0"/>
        <v>1.0000000000000002</v>
      </c>
      <c r="U56" s="288">
        <f t="shared" si="1"/>
        <v>0.99999999999999989</v>
      </c>
      <c r="V56" s="288">
        <f t="shared" si="2"/>
        <v>0.99999999999999989</v>
      </c>
    </row>
    <row r="57" spans="1:22">
      <c r="A57" s="127" t="s">
        <v>25</v>
      </c>
      <c r="B57" s="287">
        <f>DIST_GAS_TOT!AT18</f>
        <v>0.59467604703812682</v>
      </c>
      <c r="C57" s="287">
        <f>DIST_GAS_TOT!AU18</f>
        <v>9.3051542169964307E-2</v>
      </c>
      <c r="D57" s="287">
        <f>DIST_GAS_TOT!AV18</f>
        <v>1.3677818424266146E-2</v>
      </c>
      <c r="E57" s="287">
        <f>DIST_GAS_TOT!AW18</f>
        <v>0.28892823737082446</v>
      </c>
      <c r="F57" s="287">
        <f>DIST_GAS_TOT!AX18</f>
        <v>6.071431114335348E-3</v>
      </c>
      <c r="G57" s="287">
        <f>DIST_GAS_TOT!AY18</f>
        <v>3.5949238824828466E-3</v>
      </c>
      <c r="H57" s="287">
        <f>DIST_ALC_TOT!V18</f>
        <v>0.88756093967901784</v>
      </c>
      <c r="I57" s="287">
        <f>DIST_ALC_TOT!W18</f>
        <v>0.11243906032098212</v>
      </c>
      <c r="J57" s="287">
        <f>DIST_DSL_TOT!BF18</f>
        <v>0.13676221458391868</v>
      </c>
      <c r="K57" s="287">
        <f>DIST_DSL_TOT!BG18</f>
        <v>0.15975440887701203</v>
      </c>
      <c r="L57" s="287">
        <f>DIST_DSL_TOT!BH18</f>
        <v>7.4417515473715889E-2</v>
      </c>
      <c r="M57" s="287">
        <f>DIST_DSL_TOT!BI18</f>
        <v>6.3134709707778028E-2</v>
      </c>
      <c r="N57" s="287">
        <f>DIST_DSL_TOT!BJ18</f>
        <v>0.38323592143554086</v>
      </c>
      <c r="O57" s="287">
        <f>DIST_DSL_TOT!BK18</f>
        <v>7.2529191045803118E-2</v>
      </c>
      <c r="P57" s="287">
        <f>DIST_DSL_TOT!BL18</f>
        <v>2.6513446257402096E-3</v>
      </c>
      <c r="Q57" s="287">
        <f>DIST_DSL_TOT!BM18</f>
        <v>0.10751469425049116</v>
      </c>
      <c r="R57" s="286">
        <f t="shared" si="3"/>
        <v>1</v>
      </c>
      <c r="T57" s="288">
        <f t="shared" si="0"/>
        <v>1.0000000000000002</v>
      </c>
      <c r="U57" s="288">
        <f t="shared" si="1"/>
        <v>1</v>
      </c>
      <c r="V57" s="288">
        <f t="shared" si="2"/>
        <v>1</v>
      </c>
    </row>
    <row r="58" spans="1:22">
      <c r="A58" s="127" t="s">
        <v>26</v>
      </c>
      <c r="B58" s="287">
        <f>DIST_GAS_TOT!AT19</f>
        <v>0.6055433747458161</v>
      </c>
      <c r="C58" s="287">
        <f>DIST_GAS_TOT!AU19</f>
        <v>9.7340258427169285E-2</v>
      </c>
      <c r="D58" s="287">
        <f>DIST_GAS_TOT!AV19</f>
        <v>8.8037539004260507E-3</v>
      </c>
      <c r="E58" s="287">
        <f>DIST_GAS_TOT!AW19</f>
        <v>0.27897916518305887</v>
      </c>
      <c r="F58" s="287">
        <f>DIST_GAS_TOT!AX19</f>
        <v>5.8622545174494712E-3</v>
      </c>
      <c r="G58" s="287">
        <f>DIST_GAS_TOT!AY19</f>
        <v>3.4711932260803159E-3</v>
      </c>
      <c r="H58" s="287">
        <f>DIST_ALC_TOT!V19</f>
        <v>0.88571053074853112</v>
      </c>
      <c r="I58" s="287">
        <f>DIST_ALC_TOT!W19</f>
        <v>0.11428946925146886</v>
      </c>
      <c r="J58" s="287">
        <f>DIST_DSL_TOT!BF19</f>
        <v>0.13960840679415906</v>
      </c>
      <c r="K58" s="287">
        <f>DIST_DSL_TOT!BG19</f>
        <v>0.16306932748584829</v>
      </c>
      <c r="L58" s="287">
        <f>DIST_DSL_TOT!BH19</f>
        <v>0.10478543175693851</v>
      </c>
      <c r="M58" s="287">
        <f>DIST_DSL_TOT!BI19</f>
        <v>7.297918409921117E-2</v>
      </c>
      <c r="N58" s="287">
        <f>DIST_DSL_TOT!BJ19</f>
        <v>0.3719568977233686</v>
      </c>
      <c r="O58" s="287">
        <f>DIST_DSL_TOT!BK19</f>
        <v>7.0383125610153752E-2</v>
      </c>
      <c r="P58" s="287">
        <f>DIST_DSL_TOT!BL19</f>
        <v>1.8263962983050568E-3</v>
      </c>
      <c r="Q58" s="287">
        <f>DIST_DSL_TOT!BM19</f>
        <v>7.5391230232015702E-2</v>
      </c>
      <c r="R58" s="286">
        <f t="shared" si="3"/>
        <v>1</v>
      </c>
      <c r="T58" s="288">
        <f t="shared" si="0"/>
        <v>1.0000000000000002</v>
      </c>
      <c r="U58" s="288">
        <f t="shared" si="1"/>
        <v>1</v>
      </c>
      <c r="V58" s="288">
        <f t="shared" si="2"/>
        <v>1.0000000000000002</v>
      </c>
    </row>
    <row r="59" spans="1:22">
      <c r="A59" s="127" t="s">
        <v>27</v>
      </c>
      <c r="B59" s="287">
        <f>DIST_GAS_TOT!AT20</f>
        <v>0.50051592705482562</v>
      </c>
      <c r="C59" s="287">
        <f>DIST_GAS_TOT!AU20</f>
        <v>8.0981305191759889E-2</v>
      </c>
      <c r="D59" s="287">
        <f>DIST_GAS_TOT!AV20</f>
        <v>2.2449546418170367E-2</v>
      </c>
      <c r="E59" s="287">
        <f>DIST_GAS_TOT!AW20</f>
        <v>0.38323176240834361</v>
      </c>
      <c r="F59" s="287">
        <f>DIST_GAS_TOT!AX20</f>
        <v>8.052978744863961E-3</v>
      </c>
      <c r="G59" s="287">
        <f>DIST_GAS_TOT!AY20</f>
        <v>4.7684801820365927E-3</v>
      </c>
      <c r="H59" s="287">
        <f>DIST_ALC_TOT!V20</f>
        <v>0.8742450357030902</v>
      </c>
      <c r="I59" s="287">
        <f>DIST_ALC_TOT!W20</f>
        <v>0.12575496429690985</v>
      </c>
      <c r="J59" s="287">
        <f>DIST_DSL_TOT!BF20</f>
        <v>0.13893178482606455</v>
      </c>
      <c r="K59" s="287">
        <f>DIST_DSL_TOT!BG20</f>
        <v>0.16227404448223023</v>
      </c>
      <c r="L59" s="287">
        <f>DIST_DSL_TOT!BH20</f>
        <v>6.9092973454905005E-2</v>
      </c>
      <c r="M59" s="287">
        <f>DIST_DSL_TOT!BI20</f>
        <v>5.0344407052551783E-2</v>
      </c>
      <c r="N59" s="287">
        <f>DIST_DSL_TOT!BJ20</f>
        <v>0.36030566857862301</v>
      </c>
      <c r="O59" s="287">
        <f>DIST_DSL_TOT!BK20</f>
        <v>6.8195354285176271E-2</v>
      </c>
      <c r="P59" s="287">
        <f>DIST_DSL_TOT!BL20</f>
        <v>3.2449955675007821E-3</v>
      </c>
      <c r="Q59" s="287">
        <f>DIST_DSL_TOT!BM20</f>
        <v>0.14761077175294846</v>
      </c>
      <c r="R59" s="286">
        <f t="shared" si="3"/>
        <v>1</v>
      </c>
      <c r="T59" s="288">
        <f t="shared" si="0"/>
        <v>0.99999999999999989</v>
      </c>
      <c r="U59" s="288">
        <f t="shared" si="1"/>
        <v>1</v>
      </c>
      <c r="V59" s="288">
        <f t="shared" si="2"/>
        <v>1</v>
      </c>
    </row>
    <row r="60" spans="1:22" ht="25.5">
      <c r="A60" s="127" t="s">
        <v>28</v>
      </c>
      <c r="B60" s="287">
        <f>DIST_GAS_TOT!AT21</f>
        <v>0.58282074195821731</v>
      </c>
      <c r="C60" s="287">
        <f>DIST_GAS_TOT!AU21</f>
        <v>0.1054729261328492</v>
      </c>
      <c r="D60" s="287">
        <f>DIST_GAS_TOT!AV21</f>
        <v>1.3477679176963586E-2</v>
      </c>
      <c r="E60" s="287">
        <f>DIST_GAS_TOT!AW21</f>
        <v>0.28857410192821226</v>
      </c>
      <c r="F60" s="287">
        <f>DIST_GAS_TOT!AX21</f>
        <v>6.0638247323922569E-3</v>
      </c>
      <c r="G60" s="287">
        <f>DIST_GAS_TOT!AY21</f>
        <v>3.5907260713654273E-3</v>
      </c>
      <c r="H60" s="287">
        <f>DIST_ALC_TOT!V21</f>
        <v>0.8818127509262742</v>
      </c>
      <c r="I60" s="287">
        <f>DIST_ALC_TOT!W21</f>
        <v>0.11818724907372588</v>
      </c>
      <c r="J60" s="287">
        <f>DIST_DSL_TOT!BF21</f>
        <v>0.13745826286549684</v>
      </c>
      <c r="K60" s="287">
        <f>DIST_DSL_TOT!BG21</f>
        <v>0.16056898105291537</v>
      </c>
      <c r="L60" s="287">
        <f>DIST_DSL_TOT!BH21</f>
        <v>7.3986521814997375E-2</v>
      </c>
      <c r="M60" s="287">
        <f>DIST_DSL_TOT!BI21</f>
        <v>7.3804554546050477E-2</v>
      </c>
      <c r="N60" s="287">
        <f>DIST_DSL_TOT!BJ21</f>
        <v>0.3718681183933516</v>
      </c>
      <c r="O60" s="287">
        <f>DIST_DSL_TOT!BK21</f>
        <v>7.0406569491257093E-2</v>
      </c>
      <c r="P60" s="287">
        <f>DIST_DSL_TOT!BL21</f>
        <v>2.549863630780966E-3</v>
      </c>
      <c r="Q60" s="287">
        <f>DIST_DSL_TOT!BM21</f>
        <v>0.10935712820515012</v>
      </c>
      <c r="R60" s="286">
        <f t="shared" si="3"/>
        <v>1</v>
      </c>
      <c r="T60" s="288">
        <f t="shared" si="0"/>
        <v>1.0000000000000002</v>
      </c>
      <c r="U60" s="288">
        <f t="shared" si="1"/>
        <v>1</v>
      </c>
      <c r="V60" s="288">
        <f t="shared" si="2"/>
        <v>0.99999999999999967</v>
      </c>
    </row>
    <row r="61" spans="1:22" ht="15.75" thickBot="1">
      <c r="A61" s="128" t="s">
        <v>29</v>
      </c>
      <c r="B61" s="287">
        <f>DIST_GAS_TOT!AT22</f>
        <v>0.6302683365828885</v>
      </c>
      <c r="C61" s="287">
        <f>DIST_GAS_TOT!AU22</f>
        <v>8.8882785078730028E-2</v>
      </c>
      <c r="D61" s="287">
        <f>DIST_GAS_TOT!AV22</f>
        <v>1.4565904653618036E-2</v>
      </c>
      <c r="E61" s="287">
        <f>DIST_GAS_TOT!AW22</f>
        <v>0.25766220930782868</v>
      </c>
      <c r="F61" s="287">
        <f>DIST_GAS_TOT!AX22</f>
        <v>5.4145453206596644E-3</v>
      </c>
      <c r="G61" s="287">
        <f>DIST_GAS_TOT!AY22</f>
        <v>3.206219056275147E-3</v>
      </c>
      <c r="H61" s="287">
        <f>DIST_ALC_TOT!V22</f>
        <v>0.90301447476007612</v>
      </c>
      <c r="I61" s="287">
        <f>DIST_ALC_TOT!W22</f>
        <v>9.6985525239923931E-2</v>
      </c>
      <c r="J61" s="287">
        <f>DIST_DSL_TOT!BF22</f>
        <v>0.12153411639170218</v>
      </c>
      <c r="K61" s="287">
        <f>DIST_DSL_TOT!BG22</f>
        <v>0.14195406882782993</v>
      </c>
      <c r="L61" s="287">
        <f>DIST_DSL_TOT!BH22</f>
        <v>6.5031887627429341E-2</v>
      </c>
      <c r="M61" s="287">
        <f>DIST_DSL_TOT!BI22</f>
        <v>6.744394137802727E-2</v>
      </c>
      <c r="N61" s="287">
        <f>DIST_DSL_TOT!BJ22</f>
        <v>0.4628587340133446</v>
      </c>
      <c r="O61" s="287">
        <f>DIST_DSL_TOT!BK22</f>
        <v>8.7561368937288303E-2</v>
      </c>
      <c r="P61" s="287">
        <f>DIST_DSL_TOT!BL22</f>
        <v>1.5175493190631936E-3</v>
      </c>
      <c r="Q61" s="287">
        <f>DIST_DSL_TOT!BM22</f>
        <v>5.2098333505315154E-2</v>
      </c>
      <c r="R61" s="286">
        <f t="shared" si="3"/>
        <v>1</v>
      </c>
      <c r="T61" s="288">
        <f t="shared" si="0"/>
        <v>1</v>
      </c>
      <c r="U61" s="288">
        <f t="shared" si="1"/>
        <v>1</v>
      </c>
      <c r="V61" s="288">
        <f t="shared" si="2"/>
        <v>0.99999999999999989</v>
      </c>
    </row>
    <row r="62" spans="1:22">
      <c r="A62" s="269" t="s">
        <v>64</v>
      </c>
      <c r="B62" s="287">
        <f>DIST_GAS_TOT!AT23</f>
        <v>0.68798045138196606</v>
      </c>
      <c r="C62" s="287">
        <f>DIST_GAS_TOT!AU23</f>
        <v>0.10599039333205425</v>
      </c>
      <c r="D62" s="287">
        <f>DIST_GAS_TOT!AV23</f>
        <v>9.5044309248584254E-3</v>
      </c>
      <c r="E62" s="287">
        <f>DIST_GAS_TOT!AW23</f>
        <v>0.19016266451812094</v>
      </c>
      <c r="F62" s="287">
        <f>DIST_GAS_TOT!AX23</f>
        <v>3.9959063039848586E-3</v>
      </c>
      <c r="G62" s="287">
        <f>DIST_GAS_TOT!AY23</f>
        <v>2.3661535390155121E-3</v>
      </c>
      <c r="H62" s="287">
        <f>DIST_ALC_TOT!V23</f>
        <v>0.89440765702244995</v>
      </c>
      <c r="I62" s="287">
        <f>DIST_ALC_TOT!W23</f>
        <v>0.10559234297754995</v>
      </c>
      <c r="J62" s="287">
        <f>DIST_DSL_TOT!BF23</f>
        <v>0.12153155670370887</v>
      </c>
      <c r="K62" s="287">
        <f>DIST_DSL_TOT!BG23</f>
        <v>0.14195279270273162</v>
      </c>
      <c r="L62" s="287">
        <f>DIST_DSL_TOT!BH23</f>
        <v>0.14797671631918285</v>
      </c>
      <c r="M62" s="287">
        <f>DIST_DSL_TOT!BI23</f>
        <v>5.6943688770257496E-2</v>
      </c>
      <c r="N62" s="287">
        <f>DIST_DSL_TOT!BJ23</f>
        <v>0.40952022356782097</v>
      </c>
      <c r="O62" s="287">
        <f>DIST_DSL_TOT!BK23</f>
        <v>6.2425479901320448E-2</v>
      </c>
      <c r="P62" s="287">
        <f>DIST_DSL_TOT!BL23</f>
        <v>1.4763675105006636E-3</v>
      </c>
      <c r="Q62" s="287">
        <f>DIST_DSL_TOT!BM23</f>
        <v>5.8173174524477171E-2</v>
      </c>
      <c r="R62" s="286">
        <f t="shared" si="3"/>
        <v>1</v>
      </c>
      <c r="T62" s="288">
        <f t="shared" si="0"/>
        <v>1</v>
      </c>
      <c r="U62" s="288">
        <f t="shared" si="1"/>
        <v>0.99999999999999989</v>
      </c>
      <c r="V62" s="288">
        <f t="shared" si="2"/>
        <v>1</v>
      </c>
    </row>
    <row r="63" spans="1:22">
      <c r="A63" s="127" t="s">
        <v>31</v>
      </c>
      <c r="B63" s="287">
        <f>DIST_GAS_TOT!AT24</f>
        <v>0.66128540263285529</v>
      </c>
      <c r="C63" s="287">
        <f>DIST_GAS_TOT!AU24</f>
        <v>0.11244786929402577</v>
      </c>
      <c r="D63" s="287">
        <f>DIST_GAS_TOT!AV24</f>
        <v>1.4336242503430782E-2</v>
      </c>
      <c r="E63" s="287">
        <f>DIST_GAS_TOT!AW24</f>
        <v>0.2050698690694949</v>
      </c>
      <c r="F63" s="287">
        <f>DIST_GAS_TOT!AX24</f>
        <v>4.309005069395971E-3</v>
      </c>
      <c r="G63" s="287">
        <f>DIST_GAS_TOT!AY24</f>
        <v>2.5516114307972937E-3</v>
      </c>
      <c r="H63" s="287">
        <f>DIST_ALC_TOT!V24</f>
        <v>0.87798083780843117</v>
      </c>
      <c r="I63" s="287">
        <f>DIST_ALC_TOT!W24</f>
        <v>0.12201916219156893</v>
      </c>
      <c r="J63" s="287">
        <f>DIST_DSL_TOT!BF24</f>
        <v>8.9548780742896114E-2</v>
      </c>
      <c r="K63" s="287">
        <f>DIST_DSL_TOT!BG24</f>
        <v>0.10459765026776431</v>
      </c>
      <c r="L63" s="287">
        <f>DIST_DSL_TOT!BH24</f>
        <v>0.15083809164324755</v>
      </c>
      <c r="M63" s="287">
        <f>DIST_DSL_TOT!BI24</f>
        <v>4.5156541754891942E-2</v>
      </c>
      <c r="N63" s="287">
        <f>DIST_DSL_TOT!BJ24</f>
        <v>0.44275870862564726</v>
      </c>
      <c r="O63" s="287">
        <f>DIST_DSL_TOT!BK24</f>
        <v>7.9101376857703992E-2</v>
      </c>
      <c r="P63" s="287">
        <f>DIST_DSL_TOT!BL24</f>
        <v>1.9553660567641967E-3</v>
      </c>
      <c r="Q63" s="287">
        <f>DIST_DSL_TOT!BM24</f>
        <v>8.6043484051084571E-2</v>
      </c>
      <c r="R63" s="286">
        <f t="shared" si="3"/>
        <v>1</v>
      </c>
      <c r="T63" s="288">
        <f t="shared" si="0"/>
        <v>1</v>
      </c>
      <c r="U63" s="288">
        <f t="shared" si="1"/>
        <v>1</v>
      </c>
      <c r="V63" s="288">
        <f t="shared" si="2"/>
        <v>0.99999999999999989</v>
      </c>
    </row>
    <row r="64" spans="1:22">
      <c r="A64" s="127" t="s">
        <v>32</v>
      </c>
      <c r="B64" s="287">
        <f>DIST_GAS_TOT!AT25</f>
        <v>0.6705224907551488</v>
      </c>
      <c r="C64" s="287">
        <f>DIST_GAS_TOT!AU25</f>
        <v>0.10368922660319901</v>
      </c>
      <c r="D64" s="287">
        <f>DIST_GAS_TOT!AV25</f>
        <v>7.053560621662314E-3</v>
      </c>
      <c r="E64" s="287">
        <f>DIST_GAS_TOT!AW25</f>
        <v>0.21165368754665165</v>
      </c>
      <c r="F64" s="287">
        <f>DIST_GAS_TOT!AX25</f>
        <v>4.4474732086469551E-3</v>
      </c>
      <c r="G64" s="287">
        <f>DIST_GAS_TOT!AY25</f>
        <v>2.633561264691157E-3</v>
      </c>
      <c r="H64" s="287">
        <f>DIST_ALC_TOT!V25</f>
        <v>0.88500830030825173</v>
      </c>
      <c r="I64" s="287">
        <f>DIST_ALC_TOT!W25</f>
        <v>0.11499169969174827</v>
      </c>
      <c r="J64" s="287">
        <f>DIST_DSL_TOT!BF25</f>
        <v>0.15106731038837923</v>
      </c>
      <c r="K64" s="287">
        <f>DIST_DSL_TOT!BG25</f>
        <v>0.17644964331042209</v>
      </c>
      <c r="L64" s="287">
        <f>DIST_DSL_TOT!BH25</f>
        <v>0.17856824516085368</v>
      </c>
      <c r="M64" s="287">
        <f>DIST_DSL_TOT!BI25</f>
        <v>3.5568598942363507E-2</v>
      </c>
      <c r="N64" s="287">
        <f>DIST_DSL_TOT!BJ25</f>
        <v>0.35233153810049084</v>
      </c>
      <c r="O64" s="287">
        <f>DIST_DSL_TOT!BK25</f>
        <v>4.950585574684635E-2</v>
      </c>
      <c r="P64" s="287">
        <f>DIST_DSL_TOT!BL25</f>
        <v>1.3177409764387337E-3</v>
      </c>
      <c r="Q64" s="287">
        <f>DIST_DSL_TOT!BM25</f>
        <v>5.5191067374205684E-2</v>
      </c>
      <c r="R64" s="286">
        <f t="shared" si="3"/>
        <v>1</v>
      </c>
      <c r="T64" s="288">
        <f t="shared" si="0"/>
        <v>0.99999999999999978</v>
      </c>
      <c r="U64" s="288">
        <f t="shared" si="1"/>
        <v>1</v>
      </c>
      <c r="V64" s="288">
        <f t="shared" si="2"/>
        <v>1.0000000000000002</v>
      </c>
    </row>
    <row r="65" spans="1:22">
      <c r="A65" s="127" t="s">
        <v>33</v>
      </c>
      <c r="B65" s="287">
        <f>DIST_GAS_TOT!AT26</f>
        <v>0.71091863799874011</v>
      </c>
      <c r="C65" s="287">
        <f>DIST_GAS_TOT!AU26</f>
        <v>0.12481384527015807</v>
      </c>
      <c r="D65" s="287">
        <f>DIST_GAS_TOT!AV26</f>
        <v>9.5889791123215072E-3</v>
      </c>
      <c r="E65" s="287">
        <f>DIST_GAS_TOT!AW26</f>
        <v>0.14967120198187367</v>
      </c>
      <c r="F65" s="287">
        <f>DIST_GAS_TOT!AX26</f>
        <v>3.1450576156765299E-3</v>
      </c>
      <c r="G65" s="287">
        <f>DIST_GAS_TOT!AY26</f>
        <v>1.8622780212301218E-3</v>
      </c>
      <c r="H65" s="287">
        <f>DIST_ALC_TOT!V26</f>
        <v>0.90497963457148989</v>
      </c>
      <c r="I65" s="287">
        <f>DIST_ALC_TOT!W26</f>
        <v>9.5020365428510112E-2</v>
      </c>
      <c r="J65" s="287">
        <f>DIST_DSL_TOT!BF26</f>
        <v>7.8160518276093036E-2</v>
      </c>
      <c r="K65" s="287">
        <f>DIST_DSL_TOT!BG26</f>
        <v>9.1295078556208192E-2</v>
      </c>
      <c r="L65" s="287">
        <f>DIST_DSL_TOT!BH26</f>
        <v>5.1769477598028087E-2</v>
      </c>
      <c r="M65" s="287">
        <f>DIST_DSL_TOT!BI26</f>
        <v>0.11149237286349908</v>
      </c>
      <c r="N65" s="287">
        <f>DIST_DSL_TOT!BJ26</f>
        <v>0.52355662414844617</v>
      </c>
      <c r="O65" s="287">
        <f>DIST_DSL_TOT!BK26</f>
        <v>0.10209064172112893</v>
      </c>
      <c r="P65" s="287">
        <f>DIST_DSL_TOT!BL26</f>
        <v>1.1927173554819441E-3</v>
      </c>
      <c r="Q65" s="287">
        <f>DIST_DSL_TOT!BM26</f>
        <v>4.0442569481114625E-2</v>
      </c>
      <c r="R65" s="286">
        <f t="shared" si="3"/>
        <v>1</v>
      </c>
      <c r="T65" s="288">
        <f t="shared" si="0"/>
        <v>0.99999999999999989</v>
      </c>
      <c r="U65" s="288">
        <f t="shared" si="1"/>
        <v>1</v>
      </c>
      <c r="V65" s="288">
        <f t="shared" si="2"/>
        <v>1</v>
      </c>
    </row>
    <row r="66" spans="1:22" ht="15.75" thickBot="1">
      <c r="A66" s="128" t="s">
        <v>34</v>
      </c>
      <c r="B66" s="287">
        <f>DIST_GAS_TOT!AT27</f>
        <v>0.69301732001818184</v>
      </c>
      <c r="C66" s="287">
        <f>DIST_GAS_TOT!AU27</f>
        <v>0.10252436980905837</v>
      </c>
      <c r="D66" s="287">
        <f>DIST_GAS_TOT!AV27</f>
        <v>1.019529419365727E-2</v>
      </c>
      <c r="E66" s="287">
        <f>DIST_GAS_TOT!AW27</f>
        <v>0.18797413950443204</v>
      </c>
      <c r="F66" s="287">
        <f>DIST_GAS_TOT!AX27</f>
        <v>3.9499414151697408E-3</v>
      </c>
      <c r="G66" s="287">
        <f>DIST_GAS_TOT!AY27</f>
        <v>2.3389350595008651E-3</v>
      </c>
      <c r="H66" s="287">
        <f>DIST_ALC_TOT!V27</f>
        <v>0.89467546068413328</v>
      </c>
      <c r="I66" s="287">
        <f>DIST_ALC_TOT!W27</f>
        <v>0.10532453931586679</v>
      </c>
      <c r="J66" s="287">
        <f>DIST_DSL_TOT!BF27</f>
        <v>0.11907326271218022</v>
      </c>
      <c r="K66" s="287">
        <f>DIST_DSL_TOT!BG27</f>
        <v>0.13908198343105749</v>
      </c>
      <c r="L66" s="287">
        <f>DIST_DSL_TOT!BH27</f>
        <v>0.15386910624334613</v>
      </c>
      <c r="M66" s="287">
        <f>DIST_DSL_TOT!BI27</f>
        <v>5.6573056602202236E-2</v>
      </c>
      <c r="N66" s="287">
        <f>DIST_DSL_TOT!BJ27</f>
        <v>0.41000962956090575</v>
      </c>
      <c r="O66" s="287">
        <f>DIST_DSL_TOT!BK27</f>
        <v>5.8565783992971097E-2</v>
      </c>
      <c r="P66" s="287">
        <f>DIST_DSL_TOT!BL27</f>
        <v>1.5794818573720123E-3</v>
      </c>
      <c r="Q66" s="287">
        <f>DIST_DSL_TOT!BM27</f>
        <v>6.1247695599965041E-2</v>
      </c>
      <c r="R66" s="286">
        <f t="shared" si="3"/>
        <v>1</v>
      </c>
      <c r="T66" s="288">
        <f t="shared" si="0"/>
        <v>1</v>
      </c>
      <c r="U66" s="288">
        <f t="shared" si="1"/>
        <v>1</v>
      </c>
      <c r="V66" s="288">
        <f t="shared" si="2"/>
        <v>0.99999999999999989</v>
      </c>
    </row>
    <row r="67" spans="1:22">
      <c r="A67" s="269" t="s">
        <v>69</v>
      </c>
      <c r="B67" s="287">
        <f>DIST_GAS_TOT!AT28</f>
        <v>0.71866414628401087</v>
      </c>
      <c r="C67" s="287">
        <f>DIST_GAS_TOT!AU28</f>
        <v>9.6378901755647395E-2</v>
      </c>
      <c r="D67" s="287">
        <f>DIST_GAS_TOT!AV28</f>
        <v>1.2404813822940185E-2</v>
      </c>
      <c r="E67" s="287">
        <f>DIST_GAS_TOT!AW28</f>
        <v>0.16696609223226863</v>
      </c>
      <c r="F67" s="287">
        <f>DIST_GAS_TOT!AX28</f>
        <v>3.5084754230447651E-3</v>
      </c>
      <c r="G67" s="287">
        <f>DIST_GAS_TOT!AY28</f>
        <v>2.0775704820880417E-3</v>
      </c>
      <c r="H67" s="287">
        <f>DIST_ALC_TOT!V28</f>
        <v>0.89521695302966131</v>
      </c>
      <c r="I67" s="287">
        <f>DIST_ALC_TOT!W28</f>
        <v>0.10478304697033868</v>
      </c>
      <c r="J67" s="287">
        <f>DIST_DSL_TOT!BF28</f>
        <v>0.13746253228826077</v>
      </c>
      <c r="K67" s="287">
        <f>DIST_DSL_TOT!BG28</f>
        <v>0.16056367896321605</v>
      </c>
      <c r="L67" s="287">
        <f>DIST_DSL_TOT!BH28</f>
        <v>0.25662944655196246</v>
      </c>
      <c r="M67" s="287">
        <f>DIST_DSL_TOT!BI28</f>
        <v>3.0636225063169497E-2</v>
      </c>
      <c r="N67" s="287">
        <f>DIST_DSL_TOT!BJ28</f>
        <v>0.29688961522630714</v>
      </c>
      <c r="O67" s="287">
        <f>DIST_DSL_TOT!BK28</f>
        <v>4.4654898076395048E-2</v>
      </c>
      <c r="P67" s="287">
        <f>DIST_DSL_TOT!BL28</f>
        <v>1.9559410196406785E-3</v>
      </c>
      <c r="Q67" s="287">
        <f>DIST_DSL_TOT!BM28</f>
        <v>7.1207662811048289E-2</v>
      </c>
      <c r="R67" s="286">
        <f t="shared" si="3"/>
        <v>1</v>
      </c>
      <c r="T67" s="288">
        <f t="shared" si="0"/>
        <v>0.99999999999999989</v>
      </c>
      <c r="U67" s="288">
        <f t="shared" si="1"/>
        <v>1</v>
      </c>
      <c r="V67" s="288">
        <f t="shared" si="2"/>
        <v>0.99999999999999989</v>
      </c>
    </row>
    <row r="68" spans="1:22">
      <c r="A68" s="127" t="s">
        <v>36</v>
      </c>
      <c r="B68" s="287">
        <f>DIST_GAS_TOT!AT29</f>
        <v>0.70086496480157712</v>
      </c>
      <c r="C68" s="287">
        <f>DIST_GAS_TOT!AU29</f>
        <v>0.10047093428814258</v>
      </c>
      <c r="D68" s="287">
        <f>DIST_GAS_TOT!AV29</f>
        <v>1.4434545246200711E-2</v>
      </c>
      <c r="E68" s="287">
        <f>DIST_GAS_TOT!AW29</f>
        <v>0.17826542030910944</v>
      </c>
      <c r="F68" s="287">
        <f>DIST_GAS_TOT!AX29</f>
        <v>3.7459434366930748E-3</v>
      </c>
      <c r="G68" s="287">
        <f>DIST_GAS_TOT!AY29</f>
        <v>2.2181919182771119E-3</v>
      </c>
      <c r="H68" s="287">
        <f>DIST_ALC_TOT!V29</f>
        <v>0.8935475627735201</v>
      </c>
      <c r="I68" s="287">
        <f>DIST_ALC_TOT!W29</f>
        <v>0.10645243722647998</v>
      </c>
      <c r="J68" s="287">
        <f>DIST_DSL_TOT!BF29</f>
        <v>0.13528475176511298</v>
      </c>
      <c r="K68" s="287">
        <f>DIST_DSL_TOT!BG29</f>
        <v>0.15802068377983053</v>
      </c>
      <c r="L68" s="287">
        <f>DIST_DSL_TOT!BH29</f>
        <v>0.27400620305874779</v>
      </c>
      <c r="M68" s="287">
        <f>DIST_DSL_TOT!BI29</f>
        <v>2.7802758592884461E-2</v>
      </c>
      <c r="N68" s="287">
        <f>DIST_DSL_TOT!BJ29</f>
        <v>0.28813421778761322</v>
      </c>
      <c r="O68" s="287">
        <f>DIST_DSL_TOT!BK29</f>
        <v>4.3336523271619465E-2</v>
      </c>
      <c r="P68" s="287">
        <f>DIST_DSL_TOT!BL29</f>
        <v>1.8408572241658348E-3</v>
      </c>
      <c r="Q68" s="287">
        <f>DIST_DSL_TOT!BM29</f>
        <v>7.1574004520025769E-2</v>
      </c>
      <c r="R68" s="286">
        <f t="shared" si="3"/>
        <v>1</v>
      </c>
      <c r="T68" s="288">
        <f t="shared" si="0"/>
        <v>1</v>
      </c>
      <c r="U68" s="288">
        <f t="shared" si="1"/>
        <v>1</v>
      </c>
      <c r="V68" s="288">
        <f t="shared" si="2"/>
        <v>1</v>
      </c>
    </row>
    <row r="69" spans="1:22">
      <c r="A69" s="127" t="s">
        <v>37</v>
      </c>
      <c r="B69" s="287">
        <f>DIST_GAS_TOT!AT30</f>
        <v>0.74517546346361008</v>
      </c>
      <c r="C69" s="287">
        <f>DIST_GAS_TOT!AU30</f>
        <v>9.349751825158005E-2</v>
      </c>
      <c r="D69" s="287">
        <f>DIST_GAS_TOT!AV30</f>
        <v>8.1218915647453035E-3</v>
      </c>
      <c r="E69" s="287">
        <f>DIST_GAS_TOT!AW30</f>
        <v>0.14824546444973305</v>
      </c>
      <c r="F69" s="287">
        <f>DIST_GAS_TOT!AX30</f>
        <v>3.1150734956703449E-3</v>
      </c>
      <c r="G69" s="287">
        <f>DIST_GAS_TOT!AY30</f>
        <v>1.844588774661222E-3</v>
      </c>
      <c r="H69" s="287">
        <f>DIST_ALC_TOT!V30</f>
        <v>0.90384586004990597</v>
      </c>
      <c r="I69" s="287">
        <f>DIST_ALC_TOT!W30</f>
        <v>9.6154139950094031E-2</v>
      </c>
      <c r="J69" s="287">
        <f>DIST_DSL_TOT!BF30</f>
        <v>0.13638159328334645</v>
      </c>
      <c r="K69" s="287">
        <f>DIST_DSL_TOT!BG30</f>
        <v>0.15930082365574469</v>
      </c>
      <c r="L69" s="287">
        <f>DIST_DSL_TOT!BH30</f>
        <v>0.21258639802688312</v>
      </c>
      <c r="M69" s="287">
        <f>DIST_DSL_TOT!BI30</f>
        <v>3.4596160323181024E-2</v>
      </c>
      <c r="N69" s="287">
        <f>DIST_DSL_TOT!BJ30</f>
        <v>0.33537966683917492</v>
      </c>
      <c r="O69" s="287">
        <f>DIST_DSL_TOT!BK30</f>
        <v>5.0448565014260066E-2</v>
      </c>
      <c r="P69" s="287">
        <f>DIST_DSL_TOT!BL30</f>
        <v>2.0377665367873605E-3</v>
      </c>
      <c r="Q69" s="287">
        <f>DIST_DSL_TOT!BM30</f>
        <v>6.9269026320622373E-2</v>
      </c>
      <c r="R69" s="286">
        <f t="shared" si="3"/>
        <v>1</v>
      </c>
      <c r="T69" s="288">
        <f t="shared" si="0"/>
        <v>1</v>
      </c>
      <c r="U69" s="288">
        <f t="shared" si="1"/>
        <v>1</v>
      </c>
      <c r="V69" s="288">
        <f t="shared" si="2"/>
        <v>0.99999999999999989</v>
      </c>
    </row>
    <row r="70" spans="1:22" ht="15.75" thickBot="1">
      <c r="A70" s="128" t="s">
        <v>38</v>
      </c>
      <c r="B70" s="287">
        <f>DIST_GAS_TOT!AT31</f>
        <v>0.70168569063124531</v>
      </c>
      <c r="C70" s="287">
        <f>DIST_GAS_TOT!AU31</f>
        <v>9.539297988010495E-2</v>
      </c>
      <c r="D70" s="287">
        <f>DIST_GAS_TOT!AV31</f>
        <v>1.6257520539571257E-2</v>
      </c>
      <c r="E70" s="287">
        <f>DIST_GAS_TOT!AW31</f>
        <v>0.18062090435322317</v>
      </c>
      <c r="F70" s="287">
        <f>DIST_GAS_TOT!AX31</f>
        <v>3.7953963636329913E-3</v>
      </c>
      <c r="G70" s="287">
        <f>DIST_GAS_TOT!AY31</f>
        <v>2.2475082322222966E-3</v>
      </c>
      <c r="H70" s="287">
        <f>DIST_ALC_TOT!V31</f>
        <v>0.89810023430471841</v>
      </c>
      <c r="I70" s="287">
        <f>DIST_ALC_TOT!W31</f>
        <v>0.10189976569528167</v>
      </c>
      <c r="J70" s="287">
        <f>DIST_DSL_TOT!BF31</f>
        <v>0.14311425098116529</v>
      </c>
      <c r="K70" s="287">
        <f>DIST_DSL_TOT!BG31</f>
        <v>0.16716418012179513</v>
      </c>
      <c r="L70" s="287">
        <f>DIST_DSL_TOT!BH31</f>
        <v>0.29245338490543932</v>
      </c>
      <c r="M70" s="287">
        <f>DIST_DSL_TOT!BI31</f>
        <v>2.9744687478728174E-2</v>
      </c>
      <c r="N70" s="287">
        <f>DIST_DSL_TOT!BJ31</f>
        <v>0.25379804632096753</v>
      </c>
      <c r="O70" s="287">
        <f>DIST_DSL_TOT!BK31</f>
        <v>3.8169472295117884E-2</v>
      </c>
      <c r="P70" s="287">
        <f>DIST_DSL_TOT!BL31</f>
        <v>2.0411234727637042E-3</v>
      </c>
      <c r="Q70" s="287">
        <f>DIST_DSL_TOT!BM31</f>
        <v>7.3514854424022974E-2</v>
      </c>
      <c r="R70" s="286">
        <f t="shared" si="3"/>
        <v>1</v>
      </c>
      <c r="T70" s="288">
        <f t="shared" ref="T70:T133" si="4">B70+C70+D70+E70+F70+G70</f>
        <v>1</v>
      </c>
      <c r="U70" s="288">
        <f t="shared" ref="U70:U133" si="5">H70+I70</f>
        <v>1</v>
      </c>
      <c r="V70" s="288">
        <f t="shared" ref="V70:V133" si="6">J70+K70+L70+M70+N70+O70+P70+Q70</f>
        <v>0.99999999999999989</v>
      </c>
    </row>
    <row r="71" spans="1:22" ht="25.5">
      <c r="A71" s="274" t="s">
        <v>73</v>
      </c>
      <c r="B71" s="287">
        <f>DIST_GAS_TOT!AT32</f>
        <v>0.66200545603608385</v>
      </c>
      <c r="C71" s="287">
        <f>DIST_GAS_TOT!AU32</f>
        <v>0.10165205990330155</v>
      </c>
      <c r="D71" s="287">
        <f>DIST_GAS_TOT!AV32</f>
        <v>1.8817017912522532E-2</v>
      </c>
      <c r="E71" s="287">
        <f>DIST_GAS_TOT!AW32</f>
        <v>0.21048352560709332</v>
      </c>
      <c r="F71" s="287">
        <f>DIST_GAS_TOT!AX32</f>
        <v>4.4229358955134926E-3</v>
      </c>
      <c r="G71" s="287">
        <f>DIST_GAS_TOT!AY32</f>
        <v>2.6190046454854063E-3</v>
      </c>
      <c r="H71" s="287">
        <f>DIST_ALC_TOT!V32</f>
        <v>0.87147527948933701</v>
      </c>
      <c r="I71" s="287">
        <f>DIST_ALC_TOT!W32</f>
        <v>0.12852472051066302</v>
      </c>
      <c r="J71" s="287">
        <f>DIST_DSL_TOT!BF32</f>
        <v>0.15987485174710678</v>
      </c>
      <c r="K71" s="287">
        <f>DIST_DSL_TOT!BG32</f>
        <v>0.18673913804628559</v>
      </c>
      <c r="L71" s="287">
        <f>DIST_DSL_TOT!BH32</f>
        <v>0.2715878786955162</v>
      </c>
      <c r="M71" s="287">
        <f>DIST_DSL_TOT!BI32</f>
        <v>1.7089882356745818E-2</v>
      </c>
      <c r="N71" s="287">
        <f>DIST_DSL_TOT!BJ32</f>
        <v>0.24513722837697108</v>
      </c>
      <c r="O71" s="287">
        <f>DIST_DSL_TOT!BK32</f>
        <v>3.2541563767626479E-2</v>
      </c>
      <c r="P71" s="287">
        <f>DIST_DSL_TOT!BL32</f>
        <v>1.8383857007682758E-3</v>
      </c>
      <c r="Q71" s="287">
        <f>DIST_DSL_TOT!BM32</f>
        <v>8.5191071308979766E-2</v>
      </c>
      <c r="R71" s="286">
        <f t="shared" si="3"/>
        <v>1</v>
      </c>
      <c r="T71" s="288">
        <f t="shared" si="4"/>
        <v>1.0000000000000002</v>
      </c>
      <c r="U71" s="288">
        <f t="shared" si="5"/>
        <v>1</v>
      </c>
      <c r="V71" s="288">
        <f t="shared" si="6"/>
        <v>1</v>
      </c>
    </row>
    <row r="72" spans="1:22">
      <c r="A72" s="127" t="s">
        <v>40</v>
      </c>
      <c r="B72" s="287">
        <f>DIST_GAS_TOT!AT33</f>
        <v>0.83319789912266196</v>
      </c>
      <c r="C72" s="287">
        <f>DIST_GAS_TOT!AU33</f>
        <v>9.9461357154454283E-2</v>
      </c>
      <c r="D72" s="287">
        <f>DIST_GAS_TOT!AV33</f>
        <v>1.9285421702941062E-3</v>
      </c>
      <c r="E72" s="287">
        <f>DIST_GAS_TOT!AW33</f>
        <v>6.3294593096915625E-2</v>
      </c>
      <c r="F72" s="287">
        <f>DIST_GAS_TOT!AX33</f>
        <v>1.3299799869088604E-3</v>
      </c>
      <c r="G72" s="287">
        <f>DIST_GAS_TOT!AY33</f>
        <v>7.8762846876504107E-4</v>
      </c>
      <c r="H72" s="287">
        <f>DIST_ALC_TOT!V33</f>
        <v>0.90543056875526318</v>
      </c>
      <c r="I72" s="287">
        <f>DIST_ALC_TOT!W33</f>
        <v>9.4569431244736823E-2</v>
      </c>
      <c r="J72" s="287">
        <f>DIST_DSL_TOT!BF33</f>
        <v>0.12561252806283663</v>
      </c>
      <c r="K72" s="287">
        <f>DIST_DSL_TOT!BG33</f>
        <v>0.14671755562891819</v>
      </c>
      <c r="L72" s="287">
        <f>DIST_DSL_TOT!BH33</f>
        <v>0.1006531499098231</v>
      </c>
      <c r="M72" s="287">
        <f>DIST_DSL_TOT!BI33</f>
        <v>4.3210480789824486E-2</v>
      </c>
      <c r="N72" s="287">
        <f>DIST_DSL_TOT!BJ33</f>
        <v>0.4425336386658269</v>
      </c>
      <c r="O72" s="287">
        <f>DIST_DSL_TOT!BK33</f>
        <v>5.8739319783640172E-2</v>
      </c>
      <c r="P72" s="287">
        <f>DIST_DSL_TOT!BL33</f>
        <v>2.4170096110090926E-3</v>
      </c>
      <c r="Q72" s="287">
        <f>DIST_DSL_TOT!BM33</f>
        <v>8.0116317548121554E-2</v>
      </c>
      <c r="R72" s="286">
        <f t="shared" si="3"/>
        <v>1</v>
      </c>
      <c r="T72" s="288">
        <f t="shared" si="4"/>
        <v>0.99999999999999989</v>
      </c>
      <c r="U72" s="288">
        <f t="shared" si="5"/>
        <v>1</v>
      </c>
      <c r="V72" s="288">
        <f t="shared" si="6"/>
        <v>1.0000000000000002</v>
      </c>
    </row>
    <row r="73" spans="1:22">
      <c r="A73" s="127" t="s">
        <v>41</v>
      </c>
      <c r="B73" s="287">
        <f>DIST_GAS_TOT!AT34</f>
        <v>0.62336561647577782</v>
      </c>
      <c r="C73" s="287">
        <f>DIST_GAS_TOT!AU34</f>
        <v>0.10726275090691212</v>
      </c>
      <c r="D73" s="287">
        <f>DIST_GAS_TOT!AV34</f>
        <v>2.2085114908406478E-2</v>
      </c>
      <c r="E73" s="287">
        <f>DIST_GAS_TOT!AW34</f>
        <v>0.23928121323838192</v>
      </c>
      <c r="F73" s="287">
        <f>DIST_GAS_TOT!AX34</f>
        <v>5.0280922970675403E-3</v>
      </c>
      <c r="G73" s="287">
        <f>DIST_GAS_TOT!AY34</f>
        <v>2.9772121734540466E-3</v>
      </c>
      <c r="H73" s="287">
        <f>DIST_ALC_TOT!V34</f>
        <v>0.87336277029906872</v>
      </c>
      <c r="I73" s="287">
        <f>DIST_ALC_TOT!W34</f>
        <v>0.12663722970093136</v>
      </c>
      <c r="J73" s="287">
        <f>DIST_DSL_TOT!BF34</f>
        <v>0.16853957081726006</v>
      </c>
      <c r="K73" s="287">
        <f>DIST_DSL_TOT!BG34</f>
        <v>0.19686140038048372</v>
      </c>
      <c r="L73" s="287">
        <f>DIST_DSL_TOT!BH34</f>
        <v>0.25143075925462</v>
      </c>
      <c r="M73" s="287">
        <f>DIST_DSL_TOT!BI34</f>
        <v>1.5933014945075742E-2</v>
      </c>
      <c r="N73" s="287">
        <f>DIST_DSL_TOT!BJ34</f>
        <v>0.25241057503213771</v>
      </c>
      <c r="O73" s="287">
        <f>DIST_DSL_TOT!BK34</f>
        <v>3.3507586535306416E-2</v>
      </c>
      <c r="P73" s="287">
        <f>DIST_DSL_TOT!BL34</f>
        <v>1.6794119110000864E-3</v>
      </c>
      <c r="Q73" s="287">
        <f>DIST_DSL_TOT!BM34</f>
        <v>7.9637681124116358E-2</v>
      </c>
      <c r="R73" s="286">
        <f t="shared" si="3"/>
        <v>1</v>
      </c>
      <c r="T73" s="288">
        <f t="shared" si="4"/>
        <v>0.99999999999999989</v>
      </c>
      <c r="U73" s="288">
        <f t="shared" si="5"/>
        <v>1</v>
      </c>
      <c r="V73" s="288">
        <f t="shared" si="6"/>
        <v>1</v>
      </c>
    </row>
    <row r="74" spans="1:22">
      <c r="A74" s="127" t="s">
        <v>42</v>
      </c>
      <c r="B74" s="287">
        <f>DIST_GAS_TOT!AT35</f>
        <v>0.43598191975294925</v>
      </c>
      <c r="C74" s="287">
        <f>DIST_GAS_TOT!AU35</f>
        <v>8.5305580428653327E-2</v>
      </c>
      <c r="D74" s="287">
        <f>DIST_GAS_TOT!AV35</f>
        <v>4.3670396025261293E-2</v>
      </c>
      <c r="E74" s="287">
        <f>DIST_GAS_TOT!AW35</f>
        <v>0.42095831500039715</v>
      </c>
      <c r="F74" s="287">
        <f>DIST_GAS_TOT!AX35</f>
        <v>8.845579845674776E-3</v>
      </c>
      <c r="G74" s="287">
        <f>DIST_GAS_TOT!AY35</f>
        <v>5.2382089470640143E-3</v>
      </c>
      <c r="H74" s="287">
        <f>DIST_ALC_TOT!V35</f>
        <v>0.85648358747658182</v>
      </c>
      <c r="I74" s="287">
        <f>DIST_ALC_TOT!W35</f>
        <v>0.14351641252341818</v>
      </c>
      <c r="J74" s="287">
        <f>DIST_DSL_TOT!BF35</f>
        <v>0.15426644404701598</v>
      </c>
      <c r="K74" s="287">
        <f>DIST_DSL_TOT!BG35</f>
        <v>0.18019063494735041</v>
      </c>
      <c r="L74" s="287">
        <f>DIST_DSL_TOT!BH35</f>
        <v>0.37688112453194117</v>
      </c>
      <c r="M74" s="287">
        <f>DIST_DSL_TOT!BI35</f>
        <v>9.2505864832294754E-3</v>
      </c>
      <c r="N74" s="287">
        <f>DIST_DSL_TOT!BJ35</f>
        <v>0.16376693707008472</v>
      </c>
      <c r="O74" s="287">
        <f>DIST_DSL_TOT!BK35</f>
        <v>2.1745543171031601E-2</v>
      </c>
      <c r="P74" s="287">
        <f>DIST_DSL_TOT!BL35</f>
        <v>1.7189398198613321E-3</v>
      </c>
      <c r="Q74" s="287">
        <f>DIST_DSL_TOT!BM35</f>
        <v>9.2179789929485265E-2</v>
      </c>
      <c r="R74" s="286">
        <f t="shared" si="3"/>
        <v>1</v>
      </c>
      <c r="T74" s="288">
        <f t="shared" si="4"/>
        <v>1</v>
      </c>
      <c r="U74" s="288">
        <f t="shared" si="5"/>
        <v>1</v>
      </c>
      <c r="V74" s="288">
        <f t="shared" si="6"/>
        <v>1</v>
      </c>
    </row>
    <row r="75" spans="1:22" ht="26.25" thickBot="1">
      <c r="A75" s="128" t="s">
        <v>43</v>
      </c>
      <c r="B75" s="287">
        <f>DIST_GAS_TOT!AT36</f>
        <v>0.62531357128956377</v>
      </c>
      <c r="C75" s="287">
        <f>DIST_GAS_TOT!AU36</f>
        <v>0.10653176077395482</v>
      </c>
      <c r="D75" s="287">
        <f>DIST_GAS_TOT!AV36</f>
        <v>2.1533923111097482E-2</v>
      </c>
      <c r="E75" s="287">
        <f>DIST_GAS_TOT!AW36</f>
        <v>0.23863690327672954</v>
      </c>
      <c r="F75" s="287">
        <f>DIST_GAS_TOT!AX36</f>
        <v>5.0146442784937345E-3</v>
      </c>
      <c r="G75" s="287">
        <f>DIST_GAS_TOT!AY36</f>
        <v>2.9691972701607638E-3</v>
      </c>
      <c r="H75" s="287">
        <f>DIST_ALC_TOT!V36</f>
        <v>0.87462464801292106</v>
      </c>
      <c r="I75" s="287">
        <f>DIST_ALC_TOT!W36</f>
        <v>0.12537535198707891</v>
      </c>
      <c r="J75" s="287">
        <f>DIST_DSL_TOT!BF36</f>
        <v>0.17217850152367359</v>
      </c>
      <c r="K75" s="287">
        <f>DIST_DSL_TOT!BG36</f>
        <v>0.20110487000067981</v>
      </c>
      <c r="L75" s="287">
        <f>DIST_DSL_TOT!BH36</f>
        <v>0.28131201837481951</v>
      </c>
      <c r="M75" s="287">
        <f>DIST_DSL_TOT!BI36</f>
        <v>1.3087964635835066E-2</v>
      </c>
      <c r="N75" s="287">
        <f>DIST_DSL_TOT!BJ36</f>
        <v>0.21150613340000474</v>
      </c>
      <c r="O75" s="287">
        <f>DIST_DSL_TOT!BK36</f>
        <v>2.8072077200444884E-2</v>
      </c>
      <c r="P75" s="287">
        <f>DIST_DSL_TOT!BL36</f>
        <v>1.9630742770184988E-3</v>
      </c>
      <c r="Q75" s="287">
        <f>DIST_DSL_TOT!BM36</f>
        <v>9.077536058752371E-2</v>
      </c>
      <c r="R75" s="286">
        <f t="shared" si="3"/>
        <v>1</v>
      </c>
      <c r="T75" s="288">
        <f t="shared" si="4"/>
        <v>1.0000000000000002</v>
      </c>
      <c r="U75" s="288">
        <f t="shared" si="5"/>
        <v>1</v>
      </c>
      <c r="V75" s="288">
        <f t="shared" si="6"/>
        <v>0.99999999999999989</v>
      </c>
    </row>
    <row r="76" spans="1:22" s="1" customFormat="1" ht="15.75" thickBot="1">
      <c r="T76" s="288"/>
      <c r="U76" s="288"/>
      <c r="V76" s="288"/>
    </row>
    <row r="77" spans="1:22" s="1" customFormat="1" ht="15.75" customHeight="1" thickBot="1">
      <c r="A77" s="1051" t="s">
        <v>476</v>
      </c>
      <c r="B77" s="1259">
        <v>2011</v>
      </c>
      <c r="C77" s="1260"/>
      <c r="D77" s="1260"/>
      <c r="E77" s="1260"/>
      <c r="F77" s="1260"/>
      <c r="G77" s="1260"/>
      <c r="H77" s="1260"/>
      <c r="I77" s="1260"/>
      <c r="J77" s="1260"/>
      <c r="K77" s="1260"/>
      <c r="L77" s="1260"/>
      <c r="M77" s="1260"/>
      <c r="N77" s="1260"/>
      <c r="O77" s="1260"/>
      <c r="P77" s="1260"/>
      <c r="Q77" s="1260"/>
      <c r="R77" s="1261"/>
      <c r="T77" s="288"/>
      <c r="U77" s="288"/>
      <c r="V77" s="288"/>
    </row>
    <row r="78" spans="1:22">
      <c r="A78" s="1052"/>
      <c r="B78" s="1253" t="s">
        <v>97</v>
      </c>
      <c r="C78" s="1254"/>
      <c r="D78" s="1254"/>
      <c r="E78" s="1254"/>
      <c r="F78" s="1254"/>
      <c r="G78" s="1254"/>
      <c r="H78" s="1254" t="s">
        <v>98</v>
      </c>
      <c r="I78" s="1254"/>
      <c r="J78" s="1254" t="s">
        <v>99</v>
      </c>
      <c r="K78" s="1254"/>
      <c r="L78" s="1254"/>
      <c r="M78" s="1254"/>
      <c r="N78" s="1254"/>
      <c r="O78" s="1254"/>
      <c r="P78" s="1254"/>
      <c r="Q78" s="1254"/>
      <c r="R78" s="271" t="s">
        <v>100</v>
      </c>
      <c r="T78" s="288"/>
      <c r="U78" s="288"/>
      <c r="V78" s="288"/>
    </row>
    <row r="79" spans="1:22">
      <c r="A79" s="1052"/>
      <c r="B79" s="1255" t="s">
        <v>101</v>
      </c>
      <c r="C79" s="1257" t="s">
        <v>102</v>
      </c>
      <c r="D79" s="1257" t="s">
        <v>103</v>
      </c>
      <c r="E79" s="1257"/>
      <c r="F79" s="1257"/>
      <c r="G79" s="1257"/>
      <c r="H79" s="1255" t="s">
        <v>101</v>
      </c>
      <c r="I79" s="1257" t="s">
        <v>102</v>
      </c>
      <c r="J79" s="1257" t="s">
        <v>104</v>
      </c>
      <c r="K79" s="1257"/>
      <c r="L79" s="1257"/>
      <c r="M79" s="1257" t="s">
        <v>105</v>
      </c>
      <c r="N79" s="1257"/>
      <c r="O79" s="1257"/>
      <c r="P79" s="1255" t="s">
        <v>101</v>
      </c>
      <c r="Q79" s="1257" t="s">
        <v>102</v>
      </c>
      <c r="R79" s="1255" t="s">
        <v>101</v>
      </c>
      <c r="T79" s="288"/>
      <c r="U79" s="288"/>
      <c r="V79" s="288"/>
    </row>
    <row r="80" spans="1:22" ht="15.75" thickBot="1">
      <c r="A80" s="1053"/>
      <c r="B80" s="1256"/>
      <c r="C80" s="1258"/>
      <c r="D80" s="270" t="s">
        <v>106</v>
      </c>
      <c r="E80" s="270" t="s">
        <v>107</v>
      </c>
      <c r="F80" s="270" t="s">
        <v>108</v>
      </c>
      <c r="G80" s="270" t="s">
        <v>109</v>
      </c>
      <c r="H80" s="1256"/>
      <c r="I80" s="1258"/>
      <c r="J80" s="270" t="s">
        <v>110</v>
      </c>
      <c r="K80" s="270" t="s">
        <v>111</v>
      </c>
      <c r="L80" s="270" t="s">
        <v>112</v>
      </c>
      <c r="M80" s="270" t="s">
        <v>113</v>
      </c>
      <c r="N80" s="270" t="s">
        <v>114</v>
      </c>
      <c r="O80" s="270" t="s">
        <v>115</v>
      </c>
      <c r="P80" s="1256"/>
      <c r="Q80" s="1258"/>
      <c r="R80" s="1256"/>
      <c r="T80" s="288"/>
      <c r="U80" s="288"/>
      <c r="V80" s="288"/>
    </row>
    <row r="81" spans="1:22" ht="15.75" thickBot="1">
      <c r="A81" s="164" t="s">
        <v>11</v>
      </c>
      <c r="B81" s="287">
        <f>DIST_GAS_TOT!BA4</f>
        <v>0.67018787517168676</v>
      </c>
      <c r="C81" s="287">
        <f>DIST_GAS_TOT!BB4</f>
        <v>0.10637383899722928</v>
      </c>
      <c r="D81" s="287">
        <f>DIST_GAS_TOT!BC4</f>
        <v>1.2243450374979077E-2</v>
      </c>
      <c r="E81" s="287">
        <f>DIST_GAS_TOT!BD4</f>
        <v>0.20435783036314989</v>
      </c>
      <c r="F81" s="287">
        <f>DIST_GAS_TOT!BE4</f>
        <v>4.2942102590472486E-3</v>
      </c>
      <c r="G81" s="287">
        <f>DIST_GAS_TOT!BF4</f>
        <v>2.5427948339079897E-3</v>
      </c>
      <c r="H81" s="287">
        <f>DIST_ALC_TOT!Y4</f>
        <v>0.8869368387728952</v>
      </c>
      <c r="I81" s="287">
        <f>DIST_ALC_TOT!Z4</f>
        <v>0.11306316122710486</v>
      </c>
      <c r="J81" s="287">
        <f>DIST_DSL_TOT!BO4</f>
        <v>0.13295654343328053</v>
      </c>
      <c r="K81" s="287">
        <f>DIST_DSL_TOT!BP4</f>
        <v>0.15529810900267793</v>
      </c>
      <c r="L81" s="287">
        <f>DIST_DSL_TOT!BQ4</f>
        <v>0.1852048727621789</v>
      </c>
      <c r="M81" s="287">
        <f>DIST_DSL_TOT!BR4</f>
        <v>4.6976961532151432E-2</v>
      </c>
      <c r="N81" s="287">
        <f>DIST_DSL_TOT!BS4</f>
        <v>0.34861276518932327</v>
      </c>
      <c r="O81" s="287">
        <f>DIST_DSL_TOT!BT4</f>
        <v>5.6076796667060905E-2</v>
      </c>
      <c r="P81" s="287">
        <f>DIST_DSL_TOT!BU4</f>
        <v>1.7130015357304646E-3</v>
      </c>
      <c r="Q81" s="287">
        <f>DIST_DSL_TOT!BV4</f>
        <v>7.3160949877596596E-2</v>
      </c>
      <c r="R81" s="286">
        <f>R43</f>
        <v>1</v>
      </c>
      <c r="T81" s="288">
        <f t="shared" si="4"/>
        <v>1.0000000000000004</v>
      </c>
      <c r="U81" s="288">
        <f t="shared" si="5"/>
        <v>1</v>
      </c>
      <c r="V81" s="288">
        <f t="shared" si="6"/>
        <v>1.0000000000000002</v>
      </c>
    </row>
    <row r="82" spans="1:22">
      <c r="A82" s="269" t="s">
        <v>46</v>
      </c>
      <c r="B82" s="287">
        <f>DIST_GAS_TOT!BA5</f>
        <v>0.60463561572123004</v>
      </c>
      <c r="C82" s="287">
        <f>DIST_GAS_TOT!BB5</f>
        <v>0.11676815160735407</v>
      </c>
      <c r="D82" s="287">
        <f>DIST_GAS_TOT!BC5</f>
        <v>2.1846283719458598E-2</v>
      </c>
      <c r="E82" s="287">
        <f>DIST_GAS_TOT!BD5</f>
        <v>0.24843809496353589</v>
      </c>
      <c r="F82" s="287">
        <f>DIST_GAS_TOT!BE5</f>
        <v>5.2205990648248402E-3</v>
      </c>
      <c r="G82" s="287">
        <f>DIST_GAS_TOT!BF5</f>
        <v>3.0912549235965437E-3</v>
      </c>
      <c r="H82" s="287">
        <f>DIST_ALC_TOT!Y5</f>
        <v>0.85485747885043306</v>
      </c>
      <c r="I82" s="287">
        <f>DIST_ALC_TOT!Z5</f>
        <v>0.14514252114956699</v>
      </c>
      <c r="J82" s="287">
        <f>DIST_DSL_TOT!BO5</f>
        <v>0.18732617696515896</v>
      </c>
      <c r="K82" s="287">
        <f>DIST_DSL_TOT!BP5</f>
        <v>0.21879971805749357</v>
      </c>
      <c r="L82" s="287">
        <f>DIST_DSL_TOT!BQ5</f>
        <v>0.17475346469809697</v>
      </c>
      <c r="M82" s="287">
        <f>DIST_DSL_TOT!BR5</f>
        <v>3.0128149266969603E-2</v>
      </c>
      <c r="N82" s="287">
        <f>DIST_DSL_TOT!BS5</f>
        <v>0.25079538494713</v>
      </c>
      <c r="O82" s="287">
        <f>DIST_DSL_TOT!BT5</f>
        <v>5.5933717184031451E-2</v>
      </c>
      <c r="P82" s="287">
        <f>DIST_DSL_TOT!BU5</f>
        <v>1.5259443307302453E-3</v>
      </c>
      <c r="Q82" s="287">
        <f>DIST_DSL_TOT!BV5</f>
        <v>8.0737444550389267E-2</v>
      </c>
      <c r="R82" s="286">
        <f t="shared" ref="R82:R113" si="7">R44</f>
        <v>1</v>
      </c>
      <c r="T82" s="288">
        <f t="shared" si="4"/>
        <v>1</v>
      </c>
      <c r="U82" s="288">
        <f t="shared" si="5"/>
        <v>1</v>
      </c>
      <c r="V82" s="288">
        <f t="shared" si="6"/>
        <v>1</v>
      </c>
    </row>
    <row r="83" spans="1:22">
      <c r="A83" s="127" t="s">
        <v>13</v>
      </c>
      <c r="B83" s="287">
        <f>DIST_GAS_TOT!BA6</f>
        <v>0.57557659450683707</v>
      </c>
      <c r="C83" s="287">
        <f>DIST_GAS_TOT!BB6</f>
        <v>0.10091432413898367</v>
      </c>
      <c r="D83" s="287">
        <f>DIST_GAS_TOT!BC6</f>
        <v>1.9688494835527974E-2</v>
      </c>
      <c r="E83" s="287">
        <f>DIST_GAS_TOT!BD6</f>
        <v>0.29398363883517237</v>
      </c>
      <c r="F83" s="287">
        <f>DIST_GAS_TOT!BE6</f>
        <v>6.1784667761706222E-3</v>
      </c>
      <c r="G83" s="287">
        <f>DIST_GAS_TOT!BF6</f>
        <v>3.6584809073082524E-3</v>
      </c>
      <c r="H83" s="287">
        <f>DIST_ALC_TOT!Y6</f>
        <v>0.86641249392745157</v>
      </c>
      <c r="I83" s="287">
        <f>DIST_ALC_TOT!Z6</f>
        <v>0.13358750607254849</v>
      </c>
      <c r="J83" s="287">
        <f>DIST_DSL_TOT!BO6</f>
        <v>0.23570352083151919</v>
      </c>
      <c r="K83" s="287">
        <f>DIST_DSL_TOT!BP6</f>
        <v>0.27528770150122789</v>
      </c>
      <c r="L83" s="287">
        <f>DIST_DSL_TOT!BQ6</f>
        <v>0.14258793367552622</v>
      </c>
      <c r="M83" s="287">
        <f>DIST_DSL_TOT!BR6</f>
        <v>1.5053106055650968E-2</v>
      </c>
      <c r="N83" s="287">
        <f>DIST_DSL_TOT!BS6</f>
        <v>0.1561697831535761</v>
      </c>
      <c r="O83" s="287">
        <f>DIST_DSL_TOT!BT6</f>
        <v>3.4849647476446914E-2</v>
      </c>
      <c r="P83" s="287">
        <f>DIST_DSL_TOT!BU6</f>
        <v>2.7965261621835137E-3</v>
      </c>
      <c r="Q83" s="287">
        <f>DIST_DSL_TOT!BV6</f>
        <v>0.1375517811438691</v>
      </c>
      <c r="R83" s="286">
        <f t="shared" si="7"/>
        <v>1</v>
      </c>
      <c r="T83" s="288">
        <f t="shared" si="4"/>
        <v>0.99999999999999989</v>
      </c>
      <c r="U83" s="288">
        <f t="shared" si="5"/>
        <v>1</v>
      </c>
      <c r="V83" s="288">
        <f t="shared" si="6"/>
        <v>1</v>
      </c>
    </row>
    <row r="84" spans="1:22">
      <c r="A84" s="127" t="s">
        <v>14</v>
      </c>
      <c r="B84" s="287">
        <f>DIST_GAS_TOT!BA7</f>
        <v>0.66373636570348937</v>
      </c>
      <c r="C84" s="287">
        <f>DIST_GAS_TOT!BB7</f>
        <v>0.13482302012559269</v>
      </c>
      <c r="D84" s="287">
        <f>DIST_GAS_TOT!BC7</f>
        <v>1.1900978726977153E-2</v>
      </c>
      <c r="E84" s="287">
        <f>DIST_GAS_TOT!BD7</f>
        <v>0.18340403918312037</v>
      </c>
      <c r="F84" s="287">
        <f>DIST_GAS_TOT!BE7</f>
        <v>3.8549305454495682E-3</v>
      </c>
      <c r="G84" s="287">
        <f>DIST_GAS_TOT!BF7</f>
        <v>2.2806657153706879E-3</v>
      </c>
      <c r="H84" s="287">
        <f>DIST_ALC_TOT!Y7</f>
        <v>0.84579364027546644</v>
      </c>
      <c r="I84" s="287">
        <f>DIST_ALC_TOT!Z7</f>
        <v>0.15420635972453353</v>
      </c>
      <c r="J84" s="287">
        <f>DIST_DSL_TOT!BO7</f>
        <v>0.20362922832135172</v>
      </c>
      <c r="K84" s="287">
        <f>DIST_DSL_TOT!BP7</f>
        <v>0.23779011318027293</v>
      </c>
      <c r="L84" s="287">
        <f>DIST_DSL_TOT!BQ7</f>
        <v>0.10195209556426552</v>
      </c>
      <c r="M84" s="287">
        <f>DIST_DSL_TOT!BR7</f>
        <v>3.5686096052454777E-2</v>
      </c>
      <c r="N84" s="287">
        <f>DIST_DSL_TOT!BS7</f>
        <v>0.23609332200729202</v>
      </c>
      <c r="O84" s="287">
        <f>DIST_DSL_TOT!BT7</f>
        <v>5.2513492712985617E-2</v>
      </c>
      <c r="P84" s="287">
        <f>DIST_DSL_TOT!BU7</f>
        <v>2.2819374873366506E-3</v>
      </c>
      <c r="Q84" s="287">
        <f>DIST_DSL_TOT!BV7</f>
        <v>0.13005371467404075</v>
      </c>
      <c r="R84" s="286">
        <f t="shared" si="7"/>
        <v>1</v>
      </c>
      <c r="T84" s="288">
        <f t="shared" si="4"/>
        <v>0.99999999999999978</v>
      </c>
      <c r="U84" s="288">
        <f t="shared" si="5"/>
        <v>1</v>
      </c>
      <c r="V84" s="288">
        <f t="shared" si="6"/>
        <v>1</v>
      </c>
    </row>
    <row r="85" spans="1:22">
      <c r="A85" s="127" t="s">
        <v>15</v>
      </c>
      <c r="B85" s="287">
        <f>DIST_GAS_TOT!BA8</f>
        <v>0.6955815086226611</v>
      </c>
      <c r="C85" s="287">
        <f>DIST_GAS_TOT!BB8</f>
        <v>0.15558525171652926</v>
      </c>
      <c r="D85" s="287">
        <f>DIST_GAS_TOT!BC8</f>
        <v>1.0521345934434998E-2</v>
      </c>
      <c r="E85" s="287">
        <f>DIST_GAS_TOT!BD8</f>
        <v>0.13383407116073576</v>
      </c>
      <c r="F85" s="287">
        <f>DIST_GAS_TOT!BE8</f>
        <v>2.8123843624101893E-3</v>
      </c>
      <c r="G85" s="287">
        <f>DIST_GAS_TOT!BF8</f>
        <v>1.6654382032288007E-3</v>
      </c>
      <c r="H85" s="287">
        <f>DIST_ALC_TOT!Y8</f>
        <v>0.8379657885268238</v>
      </c>
      <c r="I85" s="287">
        <f>DIST_ALC_TOT!Z8</f>
        <v>0.16203421147317623</v>
      </c>
      <c r="J85" s="287">
        <f>DIST_DSL_TOT!BO8</f>
        <v>0.15295396132277009</v>
      </c>
      <c r="K85" s="287">
        <f>DIST_DSL_TOT!BP8</f>
        <v>0.17866790028400947</v>
      </c>
      <c r="L85" s="287">
        <f>DIST_DSL_TOT!BQ8</f>
        <v>0.14452409389172302</v>
      </c>
      <c r="M85" s="287">
        <f>DIST_DSL_TOT!BR8</f>
        <v>4.034284687854392E-2</v>
      </c>
      <c r="N85" s="287">
        <f>DIST_DSL_TOT!BS8</f>
        <v>0.33351249984341064</v>
      </c>
      <c r="O85" s="287">
        <f>DIST_DSL_TOT!BT8</f>
        <v>7.4373739198918473E-2</v>
      </c>
      <c r="P85" s="287">
        <f>DIST_DSL_TOT!BU8</f>
        <v>1.1948154933148652E-3</v>
      </c>
      <c r="Q85" s="287">
        <f>DIST_DSL_TOT!BV8</f>
        <v>7.4430143087309622E-2</v>
      </c>
      <c r="R85" s="286">
        <f t="shared" si="7"/>
        <v>1</v>
      </c>
      <c r="T85" s="288">
        <f t="shared" si="4"/>
        <v>1</v>
      </c>
      <c r="U85" s="288">
        <f t="shared" si="5"/>
        <v>1</v>
      </c>
      <c r="V85" s="288">
        <f t="shared" si="6"/>
        <v>1</v>
      </c>
    </row>
    <row r="86" spans="1:22">
      <c r="A86" s="127" t="s">
        <v>16</v>
      </c>
      <c r="B86" s="287">
        <f>DIST_GAS_TOT!BA9</f>
        <v>0.60764387131040087</v>
      </c>
      <c r="C86" s="287">
        <f>DIST_GAS_TOT!BB9</f>
        <v>0.10001198508507678</v>
      </c>
      <c r="D86" s="287">
        <f>DIST_GAS_TOT!BC9</f>
        <v>1.9901646049897487E-2</v>
      </c>
      <c r="E86" s="287">
        <f>DIST_GAS_TOT!BD9</f>
        <v>0.26362271571807222</v>
      </c>
      <c r="F86" s="287">
        <f>DIST_GAS_TOT!BE9</f>
        <v>5.5395837119658932E-3</v>
      </c>
      <c r="G86" s="287">
        <f>DIST_GAS_TOT!BF9</f>
        <v>3.280198124586763E-3</v>
      </c>
      <c r="H86" s="287">
        <f>DIST_ALC_TOT!Y9</f>
        <v>0.87288442650502462</v>
      </c>
      <c r="I86" s="287">
        <f>DIST_ALC_TOT!Z9</f>
        <v>0.12711557349497549</v>
      </c>
      <c r="J86" s="287">
        <f>DIST_DSL_TOT!BO9</f>
        <v>0.1873470630095436</v>
      </c>
      <c r="K86" s="287">
        <f>DIST_DSL_TOT!BP9</f>
        <v>0.21882326476583852</v>
      </c>
      <c r="L86" s="287">
        <f>DIST_DSL_TOT!BQ9</f>
        <v>0.13955662184680076</v>
      </c>
      <c r="M86" s="287">
        <f>DIST_DSL_TOT!BR9</f>
        <v>3.8467286303348051E-2</v>
      </c>
      <c r="N86" s="287">
        <f>DIST_DSL_TOT!BS9</f>
        <v>0.28083926925607428</v>
      </c>
      <c r="O86" s="287">
        <f>DIST_DSL_TOT!BT9</f>
        <v>6.2642538461581923E-2</v>
      </c>
      <c r="P86" s="287">
        <f>DIST_DSL_TOT!BU9</f>
        <v>1.5270444557045526E-3</v>
      </c>
      <c r="Q86" s="287">
        <f>DIST_DSL_TOT!BV9</f>
        <v>7.07969119011084E-2</v>
      </c>
      <c r="R86" s="286">
        <f t="shared" si="7"/>
        <v>1</v>
      </c>
      <c r="T86" s="288">
        <f t="shared" si="4"/>
        <v>1.0000000000000002</v>
      </c>
      <c r="U86" s="288">
        <f t="shared" si="5"/>
        <v>1</v>
      </c>
      <c r="V86" s="288">
        <f t="shared" si="6"/>
        <v>1</v>
      </c>
    </row>
    <row r="87" spans="1:22">
      <c r="A87" s="127" t="s">
        <v>17</v>
      </c>
      <c r="B87" s="287">
        <f>DIST_GAS_TOT!BA10</f>
        <v>0.51414469286256193</v>
      </c>
      <c r="C87" s="287">
        <f>DIST_GAS_TOT!BB10</f>
        <v>0.10051178319497975</v>
      </c>
      <c r="D87" s="287">
        <f>DIST_GAS_TOT!BC10</f>
        <v>3.2343490576756832E-2</v>
      </c>
      <c r="E87" s="287">
        <f>DIST_GAS_TOT!BD10</f>
        <v>0.34157191843586621</v>
      </c>
      <c r="F87" s="287">
        <f>DIST_GAS_TOT!BE10</f>
        <v>7.1777971691485464E-3</v>
      </c>
      <c r="G87" s="287">
        <f>DIST_GAS_TOT!BF10</f>
        <v>4.2503177606867332E-3</v>
      </c>
      <c r="H87" s="287">
        <f>DIST_ALC_TOT!Y10</f>
        <v>0.85056770179547014</v>
      </c>
      <c r="I87" s="287">
        <f>DIST_ALC_TOT!Z10</f>
        <v>0.1494322982045298</v>
      </c>
      <c r="J87" s="287">
        <f>DIST_DSL_TOT!BO10</f>
        <v>0.19600429882158188</v>
      </c>
      <c r="K87" s="287">
        <f>DIST_DSL_TOT!BP10</f>
        <v>0.22895016427466838</v>
      </c>
      <c r="L87" s="287">
        <f>DIST_DSL_TOT!BQ10</f>
        <v>0.25407608945926985</v>
      </c>
      <c r="M87" s="287">
        <f>DIST_DSL_TOT!BR10</f>
        <v>1.1405679378675631E-2</v>
      </c>
      <c r="N87" s="287">
        <f>DIST_DSL_TOT!BS10</f>
        <v>0.1872068015144952</v>
      </c>
      <c r="O87" s="287">
        <f>DIST_DSL_TOT!BT10</f>
        <v>4.1769615769986161E-2</v>
      </c>
      <c r="P87" s="287">
        <f>DIST_DSL_TOT!BU10</f>
        <v>1.4349480387889665E-3</v>
      </c>
      <c r="Q87" s="287">
        <f>DIST_DSL_TOT!BV10</f>
        <v>7.9152402742533892E-2</v>
      </c>
      <c r="R87" s="286">
        <f t="shared" si="7"/>
        <v>1</v>
      </c>
      <c r="T87" s="288">
        <f t="shared" si="4"/>
        <v>1</v>
      </c>
      <c r="U87" s="288">
        <f t="shared" si="5"/>
        <v>1</v>
      </c>
      <c r="V87" s="288">
        <f t="shared" si="6"/>
        <v>1</v>
      </c>
    </row>
    <row r="88" spans="1:22">
      <c r="A88" s="127" t="s">
        <v>18</v>
      </c>
      <c r="B88" s="287">
        <f>DIST_GAS_TOT!BA11</f>
        <v>0.57244136877222329</v>
      </c>
      <c r="C88" s="287">
        <f>DIST_GAS_TOT!BB11</f>
        <v>0.13665634720716163</v>
      </c>
      <c r="D88" s="287">
        <f>DIST_GAS_TOT!BC11</f>
        <v>2.1621550139310785E-2</v>
      </c>
      <c r="E88" s="287">
        <f>DIST_GAS_TOT!BD11</f>
        <v>0.26056468473862743</v>
      </c>
      <c r="F88" s="287">
        <f>DIST_GAS_TOT!BE11</f>
        <v>5.4754787627012769E-3</v>
      </c>
      <c r="G88" s="287">
        <f>DIST_GAS_TOT!BF11</f>
        <v>3.240570379975606E-3</v>
      </c>
      <c r="H88" s="287">
        <f>DIST_ALC_TOT!Y11</f>
        <v>0.82388961066477751</v>
      </c>
      <c r="I88" s="287">
        <f>DIST_ALC_TOT!Z11</f>
        <v>0.17611038933522258</v>
      </c>
      <c r="J88" s="287">
        <f>DIST_DSL_TOT!BO11</f>
        <v>0.18574225576691569</v>
      </c>
      <c r="K88" s="287">
        <f>DIST_DSL_TOT!BP11</f>
        <v>0.21686693346844596</v>
      </c>
      <c r="L88" s="287">
        <f>DIST_DSL_TOT!BQ11</f>
        <v>0.14026131211013648</v>
      </c>
      <c r="M88" s="287">
        <f>DIST_DSL_TOT!BR11</f>
        <v>4.238341070680008E-2</v>
      </c>
      <c r="N88" s="287">
        <f>DIST_DSL_TOT!BS11</f>
        <v>0.21562551354418799</v>
      </c>
      <c r="O88" s="287">
        <f>DIST_DSL_TOT!BT11</f>
        <v>4.8078235577350983E-2</v>
      </c>
      <c r="P88" s="287">
        <f>DIST_DSL_TOT!BU11</f>
        <v>2.2339534284094892E-3</v>
      </c>
      <c r="Q88" s="287">
        <f>DIST_DSL_TOT!BV11</f>
        <v>0.14880838539775335</v>
      </c>
      <c r="R88" s="286">
        <f t="shared" si="7"/>
        <v>1</v>
      </c>
      <c r="T88" s="288">
        <f t="shared" si="4"/>
        <v>1.0000000000000002</v>
      </c>
      <c r="U88" s="288">
        <f t="shared" si="5"/>
        <v>1</v>
      </c>
      <c r="V88" s="288">
        <f t="shared" si="6"/>
        <v>1.0000000000000002</v>
      </c>
    </row>
    <row r="89" spans="1:22" ht="15.75" thickBot="1">
      <c r="A89" s="128" t="s">
        <v>19</v>
      </c>
      <c r="B89" s="287">
        <f>DIST_GAS_TOT!BA12</f>
        <v>0.55184590841211822</v>
      </c>
      <c r="C89" s="287">
        <f>DIST_GAS_TOT!BB12</f>
        <v>0.10598112031310165</v>
      </c>
      <c r="D89" s="287">
        <f>DIST_GAS_TOT!BC12</f>
        <v>3.9669220256784293E-2</v>
      </c>
      <c r="E89" s="287">
        <f>DIST_GAS_TOT!BD12</f>
        <v>0.29271110960485414</v>
      </c>
      <c r="F89" s="287">
        <f>DIST_GAS_TOT!BE12</f>
        <v>6.1502157202042926E-3</v>
      </c>
      <c r="G89" s="287">
        <f>DIST_GAS_TOT!BF12</f>
        <v>3.6424256929372283E-3</v>
      </c>
      <c r="H89" s="287">
        <f>DIST_ALC_TOT!Y12</f>
        <v>0.8563088795688113</v>
      </c>
      <c r="I89" s="287">
        <f>DIST_ALC_TOT!Z12</f>
        <v>0.14369112043118867</v>
      </c>
      <c r="J89" s="287">
        <f>DIST_DSL_TOT!BO12</f>
        <v>0.202447028439383</v>
      </c>
      <c r="K89" s="287">
        <f>DIST_DSL_TOT!BP12</f>
        <v>0.23645524085124955</v>
      </c>
      <c r="L89" s="287">
        <f>DIST_DSL_TOT!BQ12</f>
        <v>0.21895647123286563</v>
      </c>
      <c r="M89" s="287">
        <f>DIST_DSL_TOT!BR12</f>
        <v>2.2639588214370746E-2</v>
      </c>
      <c r="N89" s="287">
        <f>DIST_DSL_TOT!BS12</f>
        <v>0.19555256768425677</v>
      </c>
      <c r="O89" s="287">
        <f>DIST_DSL_TOT!BT12</f>
        <v>4.3601539047639117E-2</v>
      </c>
      <c r="P89" s="287">
        <f>DIST_DSL_TOT!BU12</f>
        <v>1.4620325893519206E-3</v>
      </c>
      <c r="Q89" s="287">
        <f>DIST_DSL_TOT!BV12</f>
        <v>7.8885531940883144E-2</v>
      </c>
      <c r="R89" s="286">
        <f t="shared" si="7"/>
        <v>1</v>
      </c>
      <c r="T89" s="288">
        <f t="shared" si="4"/>
        <v>0.99999999999999989</v>
      </c>
      <c r="U89" s="288">
        <f t="shared" si="5"/>
        <v>1</v>
      </c>
      <c r="V89" s="288">
        <f t="shared" si="6"/>
        <v>0.99999999999999989</v>
      </c>
    </row>
    <row r="90" spans="1:22">
      <c r="A90" s="269" t="s">
        <v>54</v>
      </c>
      <c r="B90" s="287">
        <f>DIST_GAS_TOT!BA13</f>
        <v>0.57603804603186159</v>
      </c>
      <c r="C90" s="287">
        <f>DIST_GAS_TOT!BB13</f>
        <v>0.10134970561463628</v>
      </c>
      <c r="D90" s="287">
        <f>DIST_GAS_TOT!BC13</f>
        <v>1.3288120428900525E-2</v>
      </c>
      <c r="E90" s="287">
        <f>DIST_GAS_TOT!BD13</f>
        <v>0.29931035971446379</v>
      </c>
      <c r="F90" s="287">
        <f>DIST_GAS_TOT!BE13</f>
        <v>6.2894859665357404E-3</v>
      </c>
      <c r="G90" s="287">
        <f>DIST_GAS_TOT!BF13</f>
        <v>3.7242822436019743E-3</v>
      </c>
      <c r="H90" s="287">
        <f>DIST_ALC_TOT!Y13</f>
        <v>0.87742599434962043</v>
      </c>
      <c r="I90" s="287">
        <f>DIST_ALC_TOT!Z13</f>
        <v>0.12257400565037965</v>
      </c>
      <c r="J90" s="287">
        <f>DIST_DSL_TOT!BO13</f>
        <v>0.12178655429850226</v>
      </c>
      <c r="K90" s="287">
        <f>DIST_DSL_TOT!BP13</f>
        <v>0.14225206586337014</v>
      </c>
      <c r="L90" s="287">
        <f>DIST_DSL_TOT!BQ13</f>
        <v>9.3631233279557802E-2</v>
      </c>
      <c r="M90" s="287">
        <f>DIST_DSL_TOT!BR13</f>
        <v>7.0943291765900113E-2</v>
      </c>
      <c r="N90" s="287">
        <f>DIST_DSL_TOT!BS13</f>
        <v>0.39989603679158181</v>
      </c>
      <c r="O90" s="287">
        <f>DIST_DSL_TOT!BT13</f>
        <v>7.567791662425527E-2</v>
      </c>
      <c r="P90" s="287">
        <f>DIST_DSL_TOT!BU13</f>
        <v>2.0655211304049081E-3</v>
      </c>
      <c r="Q90" s="287">
        <f>DIST_DSL_TOT!BV13</f>
        <v>9.3747380246427689E-2</v>
      </c>
      <c r="R90" s="286">
        <f t="shared" si="7"/>
        <v>1</v>
      </c>
      <c r="T90" s="288">
        <f t="shared" si="4"/>
        <v>1</v>
      </c>
      <c r="U90" s="288">
        <f t="shared" si="5"/>
        <v>1</v>
      </c>
      <c r="V90" s="288">
        <f t="shared" si="6"/>
        <v>1</v>
      </c>
    </row>
    <row r="91" spans="1:22">
      <c r="A91" s="127" t="s">
        <v>21</v>
      </c>
      <c r="B91" s="287">
        <f>DIST_GAS_TOT!BA14</f>
        <v>0.61501607860135588</v>
      </c>
      <c r="C91" s="287">
        <f>DIST_GAS_TOT!BB14</f>
        <v>0.10849927863808606</v>
      </c>
      <c r="D91" s="287">
        <f>DIST_GAS_TOT!BC14</f>
        <v>1.303605824300837E-2</v>
      </c>
      <c r="E91" s="287">
        <f>DIST_GAS_TOT!BD14</f>
        <v>0.25492011748002996</v>
      </c>
      <c r="F91" s="287">
        <f>DIST_GAS_TOT!BE14</f>
        <v>5.3564521353387327E-3</v>
      </c>
      <c r="G91" s="287">
        <f>DIST_GAS_TOT!BF14</f>
        <v>3.1720149021810286E-3</v>
      </c>
      <c r="H91" s="287">
        <f>DIST_ALC_TOT!Y14</f>
        <v>0.88038839463187279</v>
      </c>
      <c r="I91" s="287">
        <f>DIST_ALC_TOT!Z14</f>
        <v>0.11961160536812721</v>
      </c>
      <c r="J91" s="287">
        <f>DIST_DSL_TOT!BO14</f>
        <v>0.1060273031364054</v>
      </c>
      <c r="K91" s="287">
        <f>DIST_DSL_TOT!BP14</f>
        <v>0.12383702152321245</v>
      </c>
      <c r="L91" s="287">
        <f>DIST_DSL_TOT!BQ14</f>
        <v>7.5197724146171541E-2</v>
      </c>
      <c r="M91" s="287">
        <f>DIST_DSL_TOT!BR14</f>
        <v>0.10604367442136105</v>
      </c>
      <c r="N91" s="287">
        <f>DIST_DSL_TOT!BS14</f>
        <v>0.42673826071488102</v>
      </c>
      <c r="O91" s="287">
        <f>DIST_DSL_TOT!BT14</f>
        <v>8.0791338453769387E-2</v>
      </c>
      <c r="P91" s="287">
        <f>DIST_DSL_TOT!BU14</f>
        <v>1.7981225843504574E-3</v>
      </c>
      <c r="Q91" s="287">
        <f>DIST_DSL_TOT!BV14</f>
        <v>7.9566555019848745E-2</v>
      </c>
      <c r="R91" s="286">
        <f t="shared" si="7"/>
        <v>1</v>
      </c>
      <c r="T91" s="288">
        <f t="shared" si="4"/>
        <v>1</v>
      </c>
      <c r="U91" s="288">
        <f t="shared" si="5"/>
        <v>1</v>
      </c>
      <c r="V91" s="288">
        <f t="shared" si="6"/>
        <v>1</v>
      </c>
    </row>
    <row r="92" spans="1:22">
      <c r="A92" s="127" t="s">
        <v>22</v>
      </c>
      <c r="B92" s="287">
        <f>DIST_GAS_TOT!BA15</f>
        <v>0.61246096301438224</v>
      </c>
      <c r="C92" s="287">
        <f>DIST_GAS_TOT!BB15</f>
        <v>0.119907934193767</v>
      </c>
      <c r="D92" s="287">
        <f>DIST_GAS_TOT!BC15</f>
        <v>1.0993642072250866E-2</v>
      </c>
      <c r="E92" s="287">
        <f>DIST_GAS_TOT!BD15</f>
        <v>0.24832933770693624</v>
      </c>
      <c r="F92" s="287">
        <f>DIST_GAS_TOT!BE15</f>
        <v>5.2182464065670059E-3</v>
      </c>
      <c r="G92" s="287">
        <f>DIST_GAS_TOT!BF15</f>
        <v>3.0898766060966161E-3</v>
      </c>
      <c r="H92" s="287">
        <f>DIST_ALC_TOT!Y15</f>
        <v>0.86430385915728036</v>
      </c>
      <c r="I92" s="287">
        <f>DIST_ALC_TOT!Z15</f>
        <v>0.13569614084271975</v>
      </c>
      <c r="J92" s="287">
        <f>DIST_DSL_TOT!BO15</f>
        <v>0.10290315182253551</v>
      </c>
      <c r="K92" s="287">
        <f>DIST_DSL_TOT!BP15</f>
        <v>0.12019527976673139</v>
      </c>
      <c r="L92" s="287">
        <f>DIST_DSL_TOT!BQ15</f>
        <v>0.10857628051987364</v>
      </c>
      <c r="M92" s="287">
        <f>DIST_DSL_TOT!BR15</f>
        <v>7.1168483303154395E-2</v>
      </c>
      <c r="N92" s="287">
        <f>DIST_DSL_TOT!BS15</f>
        <v>0.43572446575702178</v>
      </c>
      <c r="O92" s="287">
        <f>DIST_DSL_TOT!BT15</f>
        <v>8.2454917671266975E-2</v>
      </c>
      <c r="P92" s="287">
        <f>DIST_DSL_TOT!BU15</f>
        <v>1.5297986348449283E-3</v>
      </c>
      <c r="Q92" s="287">
        <f>DIST_DSL_TOT!BV15</f>
        <v>7.7447622524571297E-2</v>
      </c>
      <c r="R92" s="286">
        <f t="shared" si="7"/>
        <v>1</v>
      </c>
      <c r="T92" s="288">
        <f t="shared" si="4"/>
        <v>0.99999999999999989</v>
      </c>
      <c r="U92" s="288">
        <f t="shared" si="5"/>
        <v>1</v>
      </c>
      <c r="V92" s="288">
        <f t="shared" si="6"/>
        <v>0.99999999999999989</v>
      </c>
    </row>
    <row r="93" spans="1:22">
      <c r="A93" s="127" t="s">
        <v>23</v>
      </c>
      <c r="B93" s="287">
        <f>DIST_GAS_TOT!BA16</f>
        <v>0.52697406102880329</v>
      </c>
      <c r="C93" s="287">
        <f>DIST_GAS_TOT!BB16</f>
        <v>8.6762392623758053E-2</v>
      </c>
      <c r="D93" s="287">
        <f>DIST_GAS_TOT!BC16</f>
        <v>1.3349202489364496E-2</v>
      </c>
      <c r="E93" s="287">
        <f>DIST_GAS_TOT!BD16</f>
        <v>0.36084202051518505</v>
      </c>
      <c r="F93" s="287">
        <f>DIST_GAS_TOT!BE16</f>
        <v>7.5824263722342241E-3</v>
      </c>
      <c r="G93" s="287">
        <f>DIST_GAS_TOT!BF16</f>
        <v>4.4898969706548466E-3</v>
      </c>
      <c r="H93" s="287">
        <f>DIST_ALC_TOT!Y16</f>
        <v>0.88300478057762322</v>
      </c>
      <c r="I93" s="287">
        <f>DIST_ALC_TOT!Z16</f>
        <v>0.1169952194223768</v>
      </c>
      <c r="J93" s="287">
        <f>DIST_DSL_TOT!BO16</f>
        <v>0.12658604785330116</v>
      </c>
      <c r="K93" s="287">
        <f>DIST_DSL_TOT!BP16</f>
        <v>0.14785603604289679</v>
      </c>
      <c r="L93" s="287">
        <f>DIST_DSL_TOT!BQ16</f>
        <v>9.1362067077005171E-2</v>
      </c>
      <c r="M93" s="287">
        <f>DIST_DSL_TOT!BR16</f>
        <v>6.3973687643474719E-2</v>
      </c>
      <c r="N93" s="287">
        <f>DIST_DSL_TOT!BS16</f>
        <v>0.36851798935262203</v>
      </c>
      <c r="O93" s="287">
        <f>DIST_DSL_TOT!BT16</f>
        <v>6.9726656645602736E-2</v>
      </c>
      <c r="P93" s="287">
        <f>DIST_DSL_TOT!BU16</f>
        <v>3.0543419200346421E-3</v>
      </c>
      <c r="Q93" s="287">
        <f>DIST_DSL_TOT!BV16</f>
        <v>0.12892317346506271</v>
      </c>
      <c r="R93" s="286">
        <f t="shared" si="7"/>
        <v>1</v>
      </c>
      <c r="T93" s="288">
        <f t="shared" si="4"/>
        <v>0.99999999999999989</v>
      </c>
      <c r="U93" s="288">
        <f t="shared" si="5"/>
        <v>1</v>
      </c>
      <c r="V93" s="288">
        <f t="shared" si="6"/>
        <v>1</v>
      </c>
    </row>
    <row r="94" spans="1:22">
      <c r="A94" s="127" t="s">
        <v>24</v>
      </c>
      <c r="B94" s="287">
        <f>DIST_GAS_TOT!BA17</f>
        <v>0.48262073349809048</v>
      </c>
      <c r="C94" s="287">
        <f>DIST_GAS_TOT!BB17</f>
        <v>0.10321494118072012</v>
      </c>
      <c r="D94" s="287">
        <f>DIST_GAS_TOT!BC17</f>
        <v>2.2253593918272602E-2</v>
      </c>
      <c r="E94" s="287">
        <f>DIST_GAS_TOT!BD17</f>
        <v>0.37922302750321274</v>
      </c>
      <c r="F94" s="287">
        <f>DIST_GAS_TOT!BE17</f>
        <v>7.9686399865784331E-3</v>
      </c>
      <c r="G94" s="287">
        <f>DIST_GAS_TOT!BF17</f>
        <v>4.7190639131256011E-3</v>
      </c>
      <c r="H94" s="287">
        <f>DIST_ALC_TOT!Y17</f>
        <v>0.8405126607892196</v>
      </c>
      <c r="I94" s="287">
        <f>DIST_ALC_TOT!Z17</f>
        <v>0.1594873392107804</v>
      </c>
      <c r="J94" s="287">
        <f>DIST_DSL_TOT!BO17</f>
        <v>0.14256081328901046</v>
      </c>
      <c r="K94" s="287">
        <f>DIST_DSL_TOT!BP17</f>
        <v>0.16651317773124497</v>
      </c>
      <c r="L94" s="287">
        <f>DIST_DSL_TOT!BQ17</f>
        <v>6.4220149611136451E-2</v>
      </c>
      <c r="M94" s="287">
        <f>DIST_DSL_TOT!BR17</f>
        <v>6.5258911848250112E-2</v>
      </c>
      <c r="N94" s="287">
        <f>DIST_DSL_TOT!BS17</f>
        <v>0.37603498891034487</v>
      </c>
      <c r="O94" s="287">
        <f>DIST_DSL_TOT!BT17</f>
        <v>7.1183535582508409E-2</v>
      </c>
      <c r="P94" s="287">
        <f>DIST_DSL_TOT!BU17</f>
        <v>1.8846922025751787E-3</v>
      </c>
      <c r="Q94" s="287">
        <f>DIST_DSL_TOT!BV17</f>
        <v>0.11234373082492938</v>
      </c>
      <c r="R94" s="286">
        <f t="shared" si="7"/>
        <v>1</v>
      </c>
      <c r="T94" s="288">
        <f t="shared" si="4"/>
        <v>1.0000000000000002</v>
      </c>
      <c r="U94" s="288">
        <f t="shared" si="5"/>
        <v>1</v>
      </c>
      <c r="V94" s="288">
        <f t="shared" si="6"/>
        <v>0.99999999999999978</v>
      </c>
    </row>
    <row r="95" spans="1:22">
      <c r="A95" s="127" t="s">
        <v>25</v>
      </c>
      <c r="B95" s="287">
        <f>DIST_GAS_TOT!BA18</f>
        <v>0.5917458615716874</v>
      </c>
      <c r="C95" s="287">
        <f>DIST_GAS_TOT!BB18</f>
        <v>9.2593621227771719E-2</v>
      </c>
      <c r="D95" s="287">
        <f>DIST_GAS_TOT!BC18</f>
        <v>1.3612121111521075E-2</v>
      </c>
      <c r="E95" s="287">
        <f>DIST_GAS_TOT!BD18</f>
        <v>0.29227023165655353</v>
      </c>
      <c r="F95" s="287">
        <f>DIST_GAS_TOT!BE18</f>
        <v>6.1416585461535299E-3</v>
      </c>
      <c r="G95" s="287">
        <f>DIST_GAS_TOT!BF18</f>
        <v>3.6365058863126404E-3</v>
      </c>
      <c r="H95" s="287">
        <f>DIST_ALC_TOT!Y18</f>
        <v>0.88755397350374587</v>
      </c>
      <c r="I95" s="287">
        <f>DIST_ALC_TOT!Z18</f>
        <v>0.11244602649625425</v>
      </c>
      <c r="J95" s="287">
        <f>DIST_DSL_TOT!BO18</f>
        <v>0.13370414621190105</v>
      </c>
      <c r="K95" s="287">
        <f>DIST_DSL_TOT!BP18</f>
        <v>0.15618222407024007</v>
      </c>
      <c r="L95" s="287">
        <f>DIST_DSL_TOT!BQ18</f>
        <v>7.6960459345757945E-2</v>
      </c>
      <c r="M95" s="287">
        <f>DIST_DSL_TOT!BR18</f>
        <v>6.5637007034610367E-2</v>
      </c>
      <c r="N95" s="287">
        <f>DIST_DSL_TOT!BS18</f>
        <v>0.38277319346233302</v>
      </c>
      <c r="O95" s="287">
        <f>DIST_DSL_TOT!BT18</f>
        <v>7.2441617612067272E-2</v>
      </c>
      <c r="P95" s="287">
        <f>DIST_DSL_TOT!BU18</f>
        <v>2.6717453685934397E-3</v>
      </c>
      <c r="Q95" s="287">
        <f>DIST_DSL_TOT!BV18</f>
        <v>0.10962960689449693</v>
      </c>
      <c r="R95" s="286">
        <f t="shared" si="7"/>
        <v>1</v>
      </c>
      <c r="T95" s="288">
        <f t="shared" si="4"/>
        <v>0.99999999999999989</v>
      </c>
      <c r="U95" s="288">
        <f t="shared" si="5"/>
        <v>1.0000000000000002</v>
      </c>
      <c r="V95" s="288">
        <f t="shared" si="6"/>
        <v>1.0000000000000002</v>
      </c>
    </row>
    <row r="96" spans="1:22">
      <c r="A96" s="127" t="s">
        <v>26</v>
      </c>
      <c r="B96" s="287">
        <f>DIST_GAS_TOT!BA19</f>
        <v>0.61254412256839674</v>
      </c>
      <c r="C96" s="287">
        <f>DIST_GAS_TOT!BB19</f>
        <v>9.9491976098988327E-2</v>
      </c>
      <c r="D96" s="287">
        <f>DIST_GAS_TOT!BC19</f>
        <v>8.7092703822824104E-3</v>
      </c>
      <c r="E96" s="287">
        <f>DIST_GAS_TOT!BD19</f>
        <v>0.27021441422635151</v>
      </c>
      <c r="F96" s="287">
        <f>DIST_GAS_TOT!BE19</f>
        <v>5.6780787534401337E-3</v>
      </c>
      <c r="G96" s="287">
        <f>DIST_GAS_TOT!BF19</f>
        <v>3.3621379705409292E-3</v>
      </c>
      <c r="H96" s="287">
        <f>DIST_ALC_TOT!Y19</f>
        <v>0.88431630522990212</v>
      </c>
      <c r="I96" s="287">
        <f>DIST_ALC_TOT!Z19</f>
        <v>0.11568369477009782</v>
      </c>
      <c r="J96" s="287">
        <f>DIST_DSL_TOT!BO19</f>
        <v>0.13556469462409024</v>
      </c>
      <c r="K96" s="287">
        <f>DIST_DSL_TOT!BP19</f>
        <v>0.1583460773660206</v>
      </c>
      <c r="L96" s="287">
        <f>DIST_DSL_TOT!BQ19</f>
        <v>0.10831515779270717</v>
      </c>
      <c r="M96" s="287">
        <f>DIST_DSL_TOT!BR19</f>
        <v>7.5375484766491974E-2</v>
      </c>
      <c r="N96" s="287">
        <f>DIST_DSL_TOT!BS19</f>
        <v>0.37392180140206643</v>
      </c>
      <c r="O96" s="287">
        <f>DIST_DSL_TOT!BT19</f>
        <v>7.0754932298713963E-2</v>
      </c>
      <c r="P96" s="287">
        <f>DIST_DSL_TOT!BU19</f>
        <v>1.79230440589374E-3</v>
      </c>
      <c r="Q96" s="287">
        <f>DIST_DSL_TOT!BV19</f>
        <v>7.5929547344015899E-2</v>
      </c>
      <c r="R96" s="286">
        <f t="shared" si="7"/>
        <v>1</v>
      </c>
      <c r="T96" s="288">
        <f t="shared" si="4"/>
        <v>1</v>
      </c>
      <c r="U96" s="288">
        <f t="shared" si="5"/>
        <v>1</v>
      </c>
      <c r="V96" s="288">
        <f t="shared" si="6"/>
        <v>1</v>
      </c>
    </row>
    <row r="97" spans="1:22">
      <c r="A97" s="127" t="s">
        <v>27</v>
      </c>
      <c r="B97" s="287">
        <f>DIST_GAS_TOT!BA20</f>
        <v>0.49096698519038223</v>
      </c>
      <c r="C97" s="287">
        <f>DIST_GAS_TOT!BB20</f>
        <v>7.840441747277295E-2</v>
      </c>
      <c r="D97" s="287">
        <f>DIST_GAS_TOT!BC20</f>
        <v>2.2765380361263913E-2</v>
      </c>
      <c r="E97" s="287">
        <f>DIST_GAS_TOT!BD20</f>
        <v>0.39465943222509792</v>
      </c>
      <c r="F97" s="287">
        <f>DIST_GAS_TOT!BE20</f>
        <v>8.293112238912893E-3</v>
      </c>
      <c r="G97" s="287">
        <f>DIST_GAS_TOT!BF20</f>
        <v>4.9106725115700394E-3</v>
      </c>
      <c r="H97" s="287">
        <f>DIST_ALC_TOT!Y20</f>
        <v>0.87642274731082714</v>
      </c>
      <c r="I97" s="287">
        <f>DIST_ALC_TOT!Z20</f>
        <v>0.1235772526891728</v>
      </c>
      <c r="J97" s="287">
        <f>DIST_DSL_TOT!BO20</f>
        <v>0.13478891758245495</v>
      </c>
      <c r="K97" s="287">
        <f>DIST_DSL_TOT!BP20</f>
        <v>0.15743512425807024</v>
      </c>
      <c r="L97" s="287">
        <f>DIST_DSL_TOT!BQ20</f>
        <v>7.1900545052182838E-2</v>
      </c>
      <c r="M97" s="287">
        <f>DIST_DSL_TOT!BR20</f>
        <v>4.9738892775757874E-2</v>
      </c>
      <c r="N97" s="287">
        <f>DIST_DSL_TOT!BS20</f>
        <v>0.36524089246939834</v>
      </c>
      <c r="O97" s="287">
        <f>DIST_DSL_TOT!BT20</f>
        <v>6.9129448225568005E-2</v>
      </c>
      <c r="P97" s="287">
        <f>DIST_DSL_TOT!BU20</f>
        <v>3.3055986370307427E-3</v>
      </c>
      <c r="Q97" s="287">
        <f>DIST_DSL_TOT!BV20</f>
        <v>0.14846058099953699</v>
      </c>
      <c r="R97" s="286">
        <f t="shared" si="7"/>
        <v>1</v>
      </c>
      <c r="T97" s="288">
        <f t="shared" si="4"/>
        <v>1</v>
      </c>
      <c r="U97" s="288">
        <f t="shared" si="5"/>
        <v>1</v>
      </c>
      <c r="V97" s="288">
        <f t="shared" si="6"/>
        <v>1</v>
      </c>
    </row>
    <row r="98" spans="1:22" ht="25.5">
      <c r="A98" s="127" t="s">
        <v>28</v>
      </c>
      <c r="B98" s="287">
        <f>DIST_GAS_TOT!BA21</f>
        <v>0.58622452647888545</v>
      </c>
      <c r="C98" s="287">
        <f>DIST_GAS_TOT!BB21</f>
        <v>0.10619681346199611</v>
      </c>
      <c r="D98" s="287">
        <f>DIST_GAS_TOT!BC21</f>
        <v>1.3121435480753679E-2</v>
      </c>
      <c r="E98" s="287">
        <f>DIST_GAS_TOT!BD21</f>
        <v>0.28492476615029982</v>
      </c>
      <c r="F98" s="287">
        <f>DIST_GAS_TOT!BE21</f>
        <v>5.9871410230813854E-3</v>
      </c>
      <c r="G98" s="287">
        <f>DIST_GAS_TOT!BF21</f>
        <v>3.5453174049835195E-3</v>
      </c>
      <c r="H98" s="287">
        <f>DIST_ALC_TOT!Y21</f>
        <v>0.88116882847502032</v>
      </c>
      <c r="I98" s="287">
        <f>DIST_ALC_TOT!Z21</f>
        <v>0.11883117152497964</v>
      </c>
      <c r="J98" s="287">
        <f>DIST_DSL_TOT!BO21</f>
        <v>0.13613153082950089</v>
      </c>
      <c r="K98" s="287">
        <f>DIST_DSL_TOT!BP21</f>
        <v>0.15901918690661088</v>
      </c>
      <c r="L98" s="287">
        <f>DIST_DSL_TOT!BQ21</f>
        <v>7.8085859896664139E-2</v>
      </c>
      <c r="M98" s="287">
        <f>DIST_DSL_TOT!BR21</f>
        <v>7.3089810800402055E-2</v>
      </c>
      <c r="N98" s="287">
        <f>DIST_DSL_TOT!BS21</f>
        <v>0.36782202818385229</v>
      </c>
      <c r="O98" s="287">
        <f>DIST_DSL_TOT!BT21</f>
        <v>6.9640514759988933E-2</v>
      </c>
      <c r="P98" s="287">
        <f>DIST_DSL_TOT!BU21</f>
        <v>2.5930376862447506E-3</v>
      </c>
      <c r="Q98" s="287">
        <f>DIST_DSL_TOT!BV21</f>
        <v>0.11361803093673623</v>
      </c>
      <c r="R98" s="286">
        <f t="shared" si="7"/>
        <v>1</v>
      </c>
      <c r="T98" s="288">
        <f t="shared" si="4"/>
        <v>1</v>
      </c>
      <c r="U98" s="288">
        <f t="shared" si="5"/>
        <v>1</v>
      </c>
      <c r="V98" s="288">
        <f t="shared" si="6"/>
        <v>1.0000000000000002</v>
      </c>
    </row>
    <row r="99" spans="1:22" ht="15.75" thickBot="1">
      <c r="A99" s="128" t="s">
        <v>29</v>
      </c>
      <c r="B99" s="287">
        <f>DIST_GAS_TOT!BA22</f>
        <v>0.6253795151050151</v>
      </c>
      <c r="C99" s="287">
        <f>DIST_GAS_TOT!BB22</f>
        <v>8.9963309886686812E-2</v>
      </c>
      <c r="D99" s="287">
        <f>DIST_GAS_TOT!BC22</f>
        <v>1.4543540204516918E-2</v>
      </c>
      <c r="E99" s="287">
        <f>DIST_GAS_TOT!BD22</f>
        <v>0.26136885488631845</v>
      </c>
      <c r="F99" s="287">
        <f>DIST_GAS_TOT!BE22</f>
        <v>5.4924372262141101E-3</v>
      </c>
      <c r="G99" s="287">
        <f>DIST_GAS_TOT!BF22</f>
        <v>3.2523426912487705E-3</v>
      </c>
      <c r="H99" s="287">
        <f>DIST_ALC_TOT!Y22</f>
        <v>0.90064213011374195</v>
      </c>
      <c r="I99" s="287">
        <f>DIST_ALC_TOT!Z22</f>
        <v>9.9357869886257943E-2</v>
      </c>
      <c r="J99" s="287">
        <f>DIST_DSL_TOT!BO22</f>
        <v>0.11972252905764358</v>
      </c>
      <c r="K99" s="287">
        <f>DIST_DSL_TOT!BP22</f>
        <v>0.13983810171718139</v>
      </c>
      <c r="L99" s="287">
        <f>DIST_DSL_TOT!BQ22</f>
        <v>6.9544019595026707E-2</v>
      </c>
      <c r="M99" s="287">
        <f>DIST_DSL_TOT!BR22</f>
        <v>6.6156892804392506E-2</v>
      </c>
      <c r="N99" s="287">
        <f>DIST_DSL_TOT!BS22</f>
        <v>0.46150473717065793</v>
      </c>
      <c r="O99" s="287">
        <f>DIST_DSL_TOT!BT22</f>
        <v>8.7305226385857054E-2</v>
      </c>
      <c r="P99" s="287">
        <f>DIST_DSL_TOT!BU22</f>
        <v>1.5239693979826766E-3</v>
      </c>
      <c r="Q99" s="287">
        <f>DIST_DSL_TOT!BV22</f>
        <v>5.4404523871258208E-2</v>
      </c>
      <c r="R99" s="286">
        <f t="shared" si="7"/>
        <v>1</v>
      </c>
      <c r="T99" s="288">
        <f t="shared" si="4"/>
        <v>1</v>
      </c>
      <c r="U99" s="288">
        <f t="shared" si="5"/>
        <v>0.99999999999999989</v>
      </c>
      <c r="V99" s="288">
        <f t="shared" si="6"/>
        <v>1</v>
      </c>
    </row>
    <row r="100" spans="1:22">
      <c r="A100" s="269" t="s">
        <v>64</v>
      </c>
      <c r="B100" s="287">
        <f>DIST_GAS_TOT!BA23</f>
        <v>0.69062914622862515</v>
      </c>
      <c r="C100" s="287">
        <f>DIST_GAS_TOT!BB23</f>
        <v>0.10987140717043546</v>
      </c>
      <c r="D100" s="287">
        <f>DIST_GAS_TOT!BC23</f>
        <v>9.3057581841033722E-3</v>
      </c>
      <c r="E100" s="287">
        <f>DIST_GAS_TOT!BD23</f>
        <v>0.18403658252949698</v>
      </c>
      <c r="F100" s="287">
        <f>DIST_GAS_TOT!BE23</f>
        <v>3.8671780836343774E-3</v>
      </c>
      <c r="G100" s="287">
        <f>DIST_GAS_TOT!BF23</f>
        <v>2.2899278037045471E-3</v>
      </c>
      <c r="H100" s="287">
        <f>DIST_ALC_TOT!Y23</f>
        <v>0.89162329911669358</v>
      </c>
      <c r="I100" s="287">
        <f>DIST_ALC_TOT!Z23</f>
        <v>0.10837670088330635</v>
      </c>
      <c r="J100" s="287">
        <f>DIST_DSL_TOT!BO23</f>
        <v>0.11942883388549147</v>
      </c>
      <c r="K100" s="287">
        <f>DIST_DSL_TOT!BP23</f>
        <v>0.13949673714975575</v>
      </c>
      <c r="L100" s="287">
        <f>DIST_DSL_TOT!BQ23</f>
        <v>0.15671501378991967</v>
      </c>
      <c r="M100" s="287">
        <f>DIST_DSL_TOT!BR23</f>
        <v>5.7537734258721135E-2</v>
      </c>
      <c r="N100" s="287">
        <f>DIST_DSL_TOT!BS23</f>
        <v>0.40351222012030191</v>
      </c>
      <c r="O100" s="287">
        <f>DIST_DSL_TOT!BT23</f>
        <v>6.1494113065439081E-2</v>
      </c>
      <c r="P100" s="287">
        <f>DIST_DSL_TOT!BU23</f>
        <v>1.4695642688866281E-3</v>
      </c>
      <c r="Q100" s="287">
        <f>DIST_DSL_TOT!BV23</f>
        <v>6.0345783461484295E-2</v>
      </c>
      <c r="R100" s="286">
        <f t="shared" si="7"/>
        <v>1</v>
      </c>
      <c r="T100" s="288">
        <f t="shared" si="4"/>
        <v>0.99999999999999978</v>
      </c>
      <c r="U100" s="288">
        <f t="shared" si="5"/>
        <v>0.99999999999999989</v>
      </c>
      <c r="V100" s="288">
        <f t="shared" si="6"/>
        <v>1</v>
      </c>
    </row>
    <row r="101" spans="1:22">
      <c r="A101" s="127" t="s">
        <v>31</v>
      </c>
      <c r="B101" s="287">
        <f>DIST_GAS_TOT!BA24</f>
        <v>0.65787886923948713</v>
      </c>
      <c r="C101" s="287">
        <f>DIST_GAS_TOT!BB24</f>
        <v>0.11440941109567497</v>
      </c>
      <c r="D101" s="287">
        <f>DIST_GAS_TOT!BC24</f>
        <v>1.4804050295851691E-2</v>
      </c>
      <c r="E101" s="287">
        <f>DIST_GAS_TOT!BD24</f>
        <v>0.20601541946183324</v>
      </c>
      <c r="F101" s="287">
        <f>DIST_GAS_TOT!BE24</f>
        <v>4.3288733291868553E-3</v>
      </c>
      <c r="G101" s="287">
        <f>DIST_GAS_TOT!BF24</f>
        <v>2.5633765779660756E-3</v>
      </c>
      <c r="H101" s="287">
        <f>DIST_ALC_TOT!Y24</f>
        <v>0.87604713305658011</v>
      </c>
      <c r="I101" s="287">
        <f>DIST_ALC_TOT!Z24</f>
        <v>0.12395286694341992</v>
      </c>
      <c r="J101" s="287">
        <f>DIST_DSL_TOT!BO24</f>
        <v>8.8440780249258749E-2</v>
      </c>
      <c r="K101" s="287">
        <f>DIST_DSL_TOT!BP24</f>
        <v>0.10330344785463785</v>
      </c>
      <c r="L101" s="287">
        <f>DIST_DSL_TOT!BQ24</f>
        <v>0.15655683899964026</v>
      </c>
      <c r="M101" s="287">
        <f>DIST_DSL_TOT!BR24</f>
        <v>4.6358935751682949E-2</v>
      </c>
      <c r="N101" s="287">
        <f>DIST_DSL_TOT!BS24</f>
        <v>0.43714552586633115</v>
      </c>
      <c r="O101" s="287">
        <f>DIST_DSL_TOT!BT24</f>
        <v>7.8098549637898279E-2</v>
      </c>
      <c r="P101" s="287">
        <f>DIST_DSL_TOT!BU24</f>
        <v>1.944934122710839E-3</v>
      </c>
      <c r="Q101" s="287">
        <f>DIST_DSL_TOT!BV24</f>
        <v>8.8150987517839979E-2</v>
      </c>
      <c r="R101" s="286">
        <f t="shared" si="7"/>
        <v>1</v>
      </c>
      <c r="T101" s="288">
        <f t="shared" si="4"/>
        <v>1</v>
      </c>
      <c r="U101" s="288">
        <f t="shared" si="5"/>
        <v>1</v>
      </c>
      <c r="V101" s="288">
        <f t="shared" si="6"/>
        <v>1</v>
      </c>
    </row>
    <row r="102" spans="1:22">
      <c r="A102" s="127" t="s">
        <v>32</v>
      </c>
      <c r="B102" s="287">
        <f>DIST_GAS_TOT!BA25</f>
        <v>0.67156033495125589</v>
      </c>
      <c r="C102" s="287">
        <f>DIST_GAS_TOT!BB25</f>
        <v>0.10665060493246414</v>
      </c>
      <c r="D102" s="287">
        <f>DIST_GAS_TOT!BC25</f>
        <v>7.0688551535719839E-3</v>
      </c>
      <c r="E102" s="287">
        <f>DIST_GAS_TOT!BD25</f>
        <v>0.20776913126292201</v>
      </c>
      <c r="F102" s="287">
        <f>DIST_GAS_TOT!BE25</f>
        <v>4.3658471325807831E-3</v>
      </c>
      <c r="G102" s="287">
        <f>DIST_GAS_TOT!BF25</f>
        <v>2.5852265672052545E-3</v>
      </c>
      <c r="H102" s="287">
        <f>DIST_ALC_TOT!Y25</f>
        <v>0.88320915724835536</v>
      </c>
      <c r="I102" s="287">
        <f>DIST_ALC_TOT!Z25</f>
        <v>0.11679084275164475</v>
      </c>
      <c r="J102" s="287">
        <f>DIST_DSL_TOT!BO25</f>
        <v>0.14888470178247287</v>
      </c>
      <c r="K102" s="287">
        <f>DIST_DSL_TOT!BP25</f>
        <v>0.17390031275698653</v>
      </c>
      <c r="L102" s="287">
        <f>DIST_DSL_TOT!BQ25</f>
        <v>0.18534716892117223</v>
      </c>
      <c r="M102" s="287">
        <f>DIST_DSL_TOT!BR25</f>
        <v>3.6412667912764776E-2</v>
      </c>
      <c r="N102" s="287">
        <f>DIST_DSL_TOT!BS25</f>
        <v>0.34798464619991987</v>
      </c>
      <c r="O102" s="287">
        <f>DIST_DSL_TOT!BT25</f>
        <v>4.8895077033884737E-2</v>
      </c>
      <c r="P102" s="287">
        <f>DIST_DSL_TOT!BU25</f>
        <v>1.3265888482011802E-3</v>
      </c>
      <c r="Q102" s="287">
        <f>DIST_DSL_TOT!BV25</f>
        <v>5.7248836544597871E-2</v>
      </c>
      <c r="R102" s="286">
        <f t="shared" si="7"/>
        <v>1</v>
      </c>
      <c r="T102" s="288">
        <f t="shared" si="4"/>
        <v>1</v>
      </c>
      <c r="U102" s="288">
        <f t="shared" si="5"/>
        <v>1</v>
      </c>
      <c r="V102" s="288">
        <f t="shared" si="6"/>
        <v>1</v>
      </c>
    </row>
    <row r="103" spans="1:22">
      <c r="A103" s="127" t="s">
        <v>33</v>
      </c>
      <c r="B103" s="287">
        <f>DIST_GAS_TOT!BA26</f>
        <v>0.71125601234822633</v>
      </c>
      <c r="C103" s="287">
        <f>DIST_GAS_TOT!BB26</f>
        <v>0.12775429471338612</v>
      </c>
      <c r="D103" s="287">
        <f>DIST_GAS_TOT!BC26</f>
        <v>9.2063626975858893E-3</v>
      </c>
      <c r="E103" s="287">
        <f>DIST_GAS_TOT!BD26</f>
        <v>0.14686971979229646</v>
      </c>
      <c r="F103" s="287">
        <f>DIST_GAS_TOT!BE26</f>
        <v>3.0861897588086531E-3</v>
      </c>
      <c r="G103" s="287">
        <f>DIST_GAS_TOT!BF26</f>
        <v>1.8274206896965032E-3</v>
      </c>
      <c r="H103" s="287">
        <f>DIST_ALC_TOT!Y26</f>
        <v>0.90198998652679818</v>
      </c>
      <c r="I103" s="287">
        <f>DIST_ALC_TOT!Z26</f>
        <v>9.8010013473201721E-2</v>
      </c>
      <c r="J103" s="287">
        <f>DIST_DSL_TOT!BO26</f>
        <v>7.8231482202514677E-2</v>
      </c>
      <c r="K103" s="287">
        <f>DIST_DSL_TOT!BP26</f>
        <v>9.1377967684635381E-2</v>
      </c>
      <c r="L103" s="287">
        <f>DIST_DSL_TOT!BQ26</f>
        <v>5.5795707904765957E-2</v>
      </c>
      <c r="M103" s="287">
        <f>DIST_DSL_TOT!BR26</f>
        <v>0.1125415241155894</v>
      </c>
      <c r="N103" s="287">
        <f>DIST_DSL_TOT!BS26</f>
        <v>0.51747138132657267</v>
      </c>
      <c r="O103" s="287">
        <f>DIST_DSL_TOT!BT26</f>
        <v>0.1009040530771128</v>
      </c>
      <c r="P103" s="287">
        <f>DIST_DSL_TOT!BU26</f>
        <v>1.1915536193635213E-3</v>
      </c>
      <c r="Q103" s="287">
        <f>DIST_DSL_TOT!BV26</f>
        <v>4.248633006944566E-2</v>
      </c>
      <c r="R103" s="286">
        <f t="shared" si="7"/>
        <v>1</v>
      </c>
      <c r="T103" s="288">
        <f t="shared" si="4"/>
        <v>1</v>
      </c>
      <c r="U103" s="288">
        <f t="shared" si="5"/>
        <v>0.99999999999999989</v>
      </c>
      <c r="V103" s="288">
        <f t="shared" si="6"/>
        <v>1</v>
      </c>
    </row>
    <row r="104" spans="1:22" ht="15.75" thickBot="1">
      <c r="A104" s="128" t="s">
        <v>34</v>
      </c>
      <c r="B104" s="287">
        <f>DIST_GAS_TOT!BA27</f>
        <v>0.69721161971670276</v>
      </c>
      <c r="C104" s="287">
        <f>DIST_GAS_TOT!BB27</f>
        <v>0.10715261011144749</v>
      </c>
      <c r="D104" s="287">
        <f>DIST_GAS_TOT!BC27</f>
        <v>9.8914354293496067E-3</v>
      </c>
      <c r="E104" s="287">
        <f>DIST_GAS_TOT!BD27</f>
        <v>0.17973123352929182</v>
      </c>
      <c r="F104" s="287">
        <f>DIST_GAS_TOT!BE27</f>
        <v>3.7767314418276957E-3</v>
      </c>
      <c r="G104" s="287">
        <f>DIST_GAS_TOT!BF27</f>
        <v>2.2363697713806336E-3</v>
      </c>
      <c r="H104" s="287">
        <f>DIST_ALC_TOT!Y27</f>
        <v>0.89174118454595208</v>
      </c>
      <c r="I104" s="287">
        <f>DIST_ALC_TOT!Z27</f>
        <v>0.10825881545404799</v>
      </c>
      <c r="J104" s="287">
        <f>DIST_DSL_TOT!BO27</f>
        <v>0.11621622114429039</v>
      </c>
      <c r="K104" s="287">
        <f>DIST_DSL_TOT!BP27</f>
        <v>0.13574485300432532</v>
      </c>
      <c r="L104" s="287">
        <f>DIST_DSL_TOT!BQ27</f>
        <v>0.16468851295346129</v>
      </c>
      <c r="M104" s="287">
        <f>DIST_DSL_TOT!BR27</f>
        <v>5.7056382147810107E-2</v>
      </c>
      <c r="N104" s="287">
        <f>DIST_DSL_TOT!BS27</f>
        <v>0.40356668222456471</v>
      </c>
      <c r="O104" s="287">
        <f>DIST_DSL_TOT!BT27</f>
        <v>5.7645473261775972E-2</v>
      </c>
      <c r="P104" s="287">
        <f>DIST_DSL_TOT!BU27</f>
        <v>1.5643130990747533E-3</v>
      </c>
      <c r="Q104" s="287">
        <f>DIST_DSL_TOT!BV27</f>
        <v>6.3517562164697436E-2</v>
      </c>
      <c r="R104" s="286">
        <f t="shared" si="7"/>
        <v>1</v>
      </c>
      <c r="T104" s="288">
        <f t="shared" si="4"/>
        <v>1</v>
      </c>
      <c r="U104" s="288">
        <f t="shared" si="5"/>
        <v>1</v>
      </c>
      <c r="V104" s="288">
        <f t="shared" si="6"/>
        <v>0.99999999999999989</v>
      </c>
    </row>
    <row r="105" spans="1:22">
      <c r="A105" s="269" t="s">
        <v>69</v>
      </c>
      <c r="B105" s="287">
        <f>DIST_GAS_TOT!BA28</f>
        <v>0.72245950902947242</v>
      </c>
      <c r="C105" s="287">
        <f>DIST_GAS_TOT!BB28</f>
        <v>0.10035486406426146</v>
      </c>
      <c r="D105" s="287">
        <f>DIST_GAS_TOT!BC28</f>
        <v>1.2136089216356201E-2</v>
      </c>
      <c r="E105" s="287">
        <f>DIST_GAS_TOT!BD28</f>
        <v>0.15970637391492121</v>
      </c>
      <c r="F105" s="287">
        <f>DIST_GAS_TOT!BE28</f>
        <v>3.3559263533251274E-3</v>
      </c>
      <c r="G105" s="287">
        <f>DIST_GAS_TOT!BF28</f>
        <v>1.987237421663692E-3</v>
      </c>
      <c r="H105" s="287">
        <f>DIST_ALC_TOT!Y28</f>
        <v>0.89319742050056228</v>
      </c>
      <c r="I105" s="287">
        <f>DIST_ALC_TOT!Z28</f>
        <v>0.10680257949943765</v>
      </c>
      <c r="J105" s="287">
        <f>DIST_DSL_TOT!BO28</f>
        <v>0.13491446912699975</v>
      </c>
      <c r="K105" s="287">
        <f>DIST_DSL_TOT!BP28</f>
        <v>0.15758740329310603</v>
      </c>
      <c r="L105" s="287">
        <f>DIST_DSL_TOT!BQ28</f>
        <v>0.2615040503349324</v>
      </c>
      <c r="M105" s="287">
        <f>DIST_DSL_TOT!BR28</f>
        <v>3.0896591388336354E-2</v>
      </c>
      <c r="N105" s="287">
        <f>DIST_DSL_TOT!BS28</f>
        <v>0.29479596973985622</v>
      </c>
      <c r="O105" s="287">
        <f>DIST_DSL_TOT!BT28</f>
        <v>4.4339995996494602E-2</v>
      </c>
      <c r="P105" s="287">
        <f>DIST_DSL_TOT!BU28</f>
        <v>1.9608155240496737E-3</v>
      </c>
      <c r="Q105" s="287">
        <f>DIST_DSL_TOT!BV28</f>
        <v>7.4000704596224806E-2</v>
      </c>
      <c r="R105" s="286">
        <f t="shared" si="7"/>
        <v>1</v>
      </c>
      <c r="T105" s="288">
        <f t="shared" si="4"/>
        <v>1</v>
      </c>
      <c r="U105" s="288">
        <f t="shared" si="5"/>
        <v>0.99999999999999989</v>
      </c>
      <c r="V105" s="288">
        <f t="shared" si="6"/>
        <v>0.99999999999999989</v>
      </c>
    </row>
    <row r="106" spans="1:22">
      <c r="A106" s="127" t="s">
        <v>36</v>
      </c>
      <c r="B106" s="287">
        <f>DIST_GAS_TOT!BA29</f>
        <v>0.71102612425035272</v>
      </c>
      <c r="C106" s="287">
        <f>DIST_GAS_TOT!BB29</f>
        <v>0.10452943648429931</v>
      </c>
      <c r="D106" s="287">
        <f>DIST_GAS_TOT!BC29</f>
        <v>1.3487761491124786E-2</v>
      </c>
      <c r="E106" s="287">
        <f>DIST_GAS_TOT!BD29</f>
        <v>0.16542223047880322</v>
      </c>
      <c r="F106" s="287">
        <f>DIST_GAS_TOT!BE29</f>
        <v>3.4760657309236831E-3</v>
      </c>
      <c r="G106" s="287">
        <f>DIST_GAS_TOT!BF29</f>
        <v>2.0583815644962997E-3</v>
      </c>
      <c r="H106" s="287">
        <f>DIST_ALC_TOT!Y29</f>
        <v>0.89197216244287636</v>
      </c>
      <c r="I106" s="287">
        <f>DIST_ALC_TOT!Z29</f>
        <v>0.10802783755712365</v>
      </c>
      <c r="J106" s="287">
        <f>DIST_DSL_TOT!BO29</f>
        <v>0.13232095912835776</v>
      </c>
      <c r="K106" s="287">
        <f>DIST_DSL_TOT!BP29</f>
        <v>0.15455879666446043</v>
      </c>
      <c r="L106" s="287">
        <f>DIST_DSL_TOT!BQ29</f>
        <v>0.27989478397257717</v>
      </c>
      <c r="M106" s="287">
        <f>DIST_DSL_TOT!BR29</f>
        <v>2.8189509328228533E-2</v>
      </c>
      <c r="N106" s="287">
        <f>DIST_DSL_TOT!BS29</f>
        <v>0.28627088751101593</v>
      </c>
      <c r="O106" s="287">
        <f>DIST_DSL_TOT!BT29</f>
        <v>4.3056271045714113E-2</v>
      </c>
      <c r="P106" s="287">
        <f>DIST_DSL_TOT!BU29</f>
        <v>1.8435050240488699E-3</v>
      </c>
      <c r="Q106" s="287">
        <f>DIST_DSL_TOT!BV29</f>
        <v>7.3865287325597148E-2</v>
      </c>
      <c r="R106" s="286">
        <f t="shared" si="7"/>
        <v>1</v>
      </c>
      <c r="T106" s="288">
        <f t="shared" si="4"/>
        <v>1</v>
      </c>
      <c r="U106" s="288">
        <f t="shared" si="5"/>
        <v>1</v>
      </c>
      <c r="V106" s="288">
        <f t="shared" si="6"/>
        <v>0.99999999999999989</v>
      </c>
    </row>
    <row r="107" spans="1:22">
      <c r="A107" s="127" t="s">
        <v>37</v>
      </c>
      <c r="B107" s="287">
        <f>DIST_GAS_TOT!BA30</f>
        <v>0.74410910621182269</v>
      </c>
      <c r="C107" s="287">
        <f>DIST_GAS_TOT!BB30</f>
        <v>9.6931764745401591E-2</v>
      </c>
      <c r="D107" s="287">
        <f>DIST_GAS_TOT!BC30</f>
        <v>8.1146647008500366E-3</v>
      </c>
      <c r="E107" s="287">
        <f>DIST_GAS_TOT!BD30</f>
        <v>0.14596122306598566</v>
      </c>
      <c r="F107" s="287">
        <f>DIST_GAS_TOT!BE30</f>
        <v>3.0670748616572433E-3</v>
      </c>
      <c r="G107" s="287">
        <f>DIST_GAS_TOT!BF30</f>
        <v>1.8161664142826634E-3</v>
      </c>
      <c r="H107" s="287">
        <f>DIST_ALC_TOT!Y30</f>
        <v>0.90159590915191634</v>
      </c>
      <c r="I107" s="287">
        <f>DIST_ALC_TOT!Z30</f>
        <v>9.8404090848083631E-2</v>
      </c>
      <c r="J107" s="287">
        <f>DIST_DSL_TOT!BO30</f>
        <v>0.13434322767022616</v>
      </c>
      <c r="K107" s="287">
        <f>DIST_DSL_TOT!BP30</f>
        <v>0.15691990616340398</v>
      </c>
      <c r="L107" s="287">
        <f>DIST_DSL_TOT!BQ30</f>
        <v>0.21619622043357997</v>
      </c>
      <c r="M107" s="287">
        <f>DIST_DSL_TOT!BR30</f>
        <v>3.4718501545652709E-2</v>
      </c>
      <c r="N107" s="287">
        <f>DIST_DSL_TOT!BS30</f>
        <v>0.33368846024486815</v>
      </c>
      <c r="O107" s="287">
        <f>DIST_DSL_TOT!BT30</f>
        <v>5.0194169908469893E-2</v>
      </c>
      <c r="P107" s="287">
        <f>DIST_DSL_TOT!BU30</f>
        <v>2.0361146602214681E-3</v>
      </c>
      <c r="Q107" s="287">
        <f>DIST_DSL_TOT!BV30</f>
        <v>7.1903399373577662E-2</v>
      </c>
      <c r="R107" s="286">
        <f t="shared" si="7"/>
        <v>1</v>
      </c>
      <c r="T107" s="288">
        <f t="shared" si="4"/>
        <v>0.99999999999999978</v>
      </c>
      <c r="U107" s="288">
        <f t="shared" si="5"/>
        <v>1</v>
      </c>
      <c r="V107" s="288">
        <f t="shared" si="6"/>
        <v>1</v>
      </c>
    </row>
    <row r="108" spans="1:22" ht="15.75" thickBot="1">
      <c r="A108" s="128" t="s">
        <v>38</v>
      </c>
      <c r="B108" s="287">
        <f>DIST_GAS_TOT!BA31</f>
        <v>0.70621534890955828</v>
      </c>
      <c r="C108" s="287">
        <f>DIST_GAS_TOT!BB31</f>
        <v>9.9704146112944161E-2</v>
      </c>
      <c r="D108" s="287">
        <f>DIST_GAS_TOT!BC31</f>
        <v>1.6203584406064613E-2</v>
      </c>
      <c r="E108" s="287">
        <f>DIST_GAS_TOT!BD31</f>
        <v>0.17211847565985969</v>
      </c>
      <c r="F108" s="287">
        <f>DIST_GAS_TOT!BE31</f>
        <v>3.6167343916957179E-3</v>
      </c>
      <c r="G108" s="287">
        <f>DIST_GAS_TOT!BF31</f>
        <v>2.1417105198775093E-3</v>
      </c>
      <c r="H108" s="287">
        <f>DIST_ALC_TOT!Y31</f>
        <v>0.89514760505242019</v>
      </c>
      <c r="I108" s="287">
        <f>DIST_ALC_TOT!Z31</f>
        <v>0.10485239494757982</v>
      </c>
      <c r="J108" s="287">
        <f>DIST_DSL_TOT!BO31</f>
        <v>0.14056511091548485</v>
      </c>
      <c r="K108" s="287">
        <f>DIST_DSL_TOT!BP31</f>
        <v>0.16418666456220793</v>
      </c>
      <c r="L108" s="287">
        <f>DIST_DSL_TOT!BQ31</f>
        <v>0.29712659443904926</v>
      </c>
      <c r="M108" s="287">
        <f>DIST_DSL_TOT!BR31</f>
        <v>3.0019397275004214E-2</v>
      </c>
      <c r="N108" s="287">
        <f>DIST_DSL_TOT!BS31</f>
        <v>0.25084876421069113</v>
      </c>
      <c r="O108" s="287">
        <f>DIST_DSL_TOT!BT31</f>
        <v>3.7725920646748144E-2</v>
      </c>
      <c r="P108" s="287">
        <f>DIST_DSL_TOT!BU31</f>
        <v>2.0613119849758554E-3</v>
      </c>
      <c r="Q108" s="287">
        <f>DIST_DSL_TOT!BV31</f>
        <v>7.7466235965838695E-2</v>
      </c>
      <c r="R108" s="286">
        <f t="shared" si="7"/>
        <v>1</v>
      </c>
      <c r="T108" s="288">
        <f t="shared" si="4"/>
        <v>1</v>
      </c>
      <c r="U108" s="288">
        <f t="shared" si="5"/>
        <v>1</v>
      </c>
      <c r="V108" s="288">
        <f t="shared" si="6"/>
        <v>1.0000000000000002</v>
      </c>
    </row>
    <row r="109" spans="1:22" ht="25.5">
      <c r="A109" s="274" t="s">
        <v>73</v>
      </c>
      <c r="B109" s="287">
        <f>DIST_GAS_TOT!BA32</f>
        <v>0.66543200293173488</v>
      </c>
      <c r="C109" s="287">
        <f>DIST_GAS_TOT!BB32</f>
        <v>0.10501130746798047</v>
      </c>
      <c r="D109" s="287">
        <f>DIST_GAS_TOT!BC32</f>
        <v>1.8653298446248915E-2</v>
      </c>
      <c r="E109" s="287">
        <f>DIST_GAS_TOT!BD32</f>
        <v>0.20407582638046518</v>
      </c>
      <c r="F109" s="287">
        <f>DIST_GAS_TOT!BE32</f>
        <v>4.2882893072319558E-3</v>
      </c>
      <c r="G109" s="287">
        <f>DIST_GAS_TOT!BF32</f>
        <v>2.5392754663385387E-3</v>
      </c>
      <c r="H109" s="287">
        <f>DIST_ALC_TOT!Y32</f>
        <v>0.87111516025218849</v>
      </c>
      <c r="I109" s="287">
        <f>DIST_ALC_TOT!Z32</f>
        <v>0.12888483974781145</v>
      </c>
      <c r="J109" s="287">
        <f>DIST_DSL_TOT!BO32</f>
        <v>0.15673291634466685</v>
      </c>
      <c r="K109" s="287">
        <f>DIST_DSL_TOT!BP32</f>
        <v>0.18306926106762048</v>
      </c>
      <c r="L109" s="287">
        <f>DIST_DSL_TOT!BQ32</f>
        <v>0.28102713450193373</v>
      </c>
      <c r="M109" s="287">
        <f>DIST_DSL_TOT!BR32</f>
        <v>1.7048151856815685E-2</v>
      </c>
      <c r="N109" s="287">
        <f>DIST_DSL_TOT!BS32</f>
        <v>0.24074450924544796</v>
      </c>
      <c r="O109" s="287">
        <f>DIST_DSL_TOT!BT32</f>
        <v>3.1958552374210011E-2</v>
      </c>
      <c r="P109" s="287">
        <f>DIST_DSL_TOT!BU32</f>
        <v>1.865595079380123E-3</v>
      </c>
      <c r="Q109" s="287">
        <f>DIST_DSL_TOT!BV32</f>
        <v>8.7553879529925285E-2</v>
      </c>
      <c r="R109" s="286">
        <f t="shared" si="7"/>
        <v>1</v>
      </c>
      <c r="T109" s="288">
        <f t="shared" si="4"/>
        <v>1</v>
      </c>
      <c r="U109" s="288">
        <f t="shared" si="5"/>
        <v>1</v>
      </c>
      <c r="V109" s="288">
        <f t="shared" si="6"/>
        <v>1</v>
      </c>
    </row>
    <row r="110" spans="1:22">
      <c r="A110" s="127" t="s">
        <v>40</v>
      </c>
      <c r="B110" s="287">
        <f>DIST_GAS_TOT!BA33</f>
        <v>0.82772663748572373</v>
      </c>
      <c r="C110" s="287">
        <f>DIST_GAS_TOT!BB33</f>
        <v>0.10480295418922958</v>
      </c>
      <c r="D110" s="287">
        <f>DIST_GAS_TOT!BC33</f>
        <v>1.9667468959826597E-3</v>
      </c>
      <c r="E110" s="287">
        <f>DIST_GAS_TOT!BD33</f>
        <v>6.3383092115886747E-2</v>
      </c>
      <c r="F110" s="287">
        <f>DIST_GAS_TOT!BE33</f>
        <v>1.3318395758300258E-3</v>
      </c>
      <c r="G110" s="287">
        <f>DIST_GAS_TOT!BF33</f>
        <v>7.8872973734722012E-4</v>
      </c>
      <c r="H110" s="287">
        <f>DIST_ALC_TOT!Y33</f>
        <v>0.90128837491632241</v>
      </c>
      <c r="I110" s="287">
        <f>DIST_ALC_TOT!Z33</f>
        <v>9.8711625083677632E-2</v>
      </c>
      <c r="J110" s="287">
        <f>DIST_DSL_TOT!BO33</f>
        <v>0.12670257471543214</v>
      </c>
      <c r="K110" s="287">
        <f>DIST_DSL_TOT!BP33</f>
        <v>0.14799074854093647</v>
      </c>
      <c r="L110" s="287">
        <f>DIST_DSL_TOT!BQ33</f>
        <v>0.11012504562469085</v>
      </c>
      <c r="M110" s="287">
        <f>DIST_DSL_TOT!BR33</f>
        <v>4.1994775429023211E-2</v>
      </c>
      <c r="N110" s="287">
        <f>DIST_DSL_TOT!BS33</f>
        <v>0.42721416628456499</v>
      </c>
      <c r="O110" s="287">
        <f>DIST_DSL_TOT!BT33</f>
        <v>5.6705902866832407E-2</v>
      </c>
      <c r="P110" s="287">
        <f>DIST_DSL_TOT!BU33</f>
        <v>2.4678204057449597E-3</v>
      </c>
      <c r="Q110" s="287">
        <f>DIST_DSL_TOT!BV33</f>
        <v>8.6798966132775032E-2</v>
      </c>
      <c r="R110" s="286">
        <f t="shared" si="7"/>
        <v>1</v>
      </c>
      <c r="T110" s="288">
        <f t="shared" si="4"/>
        <v>1</v>
      </c>
      <c r="U110" s="288">
        <f t="shared" si="5"/>
        <v>1</v>
      </c>
      <c r="V110" s="288">
        <f t="shared" si="6"/>
        <v>1</v>
      </c>
    </row>
    <row r="111" spans="1:22">
      <c r="A111" s="127" t="s">
        <v>41</v>
      </c>
      <c r="B111" s="287">
        <f>DIST_GAS_TOT!BA34</f>
        <v>0.63002426734893968</v>
      </c>
      <c r="C111" s="287">
        <f>DIST_GAS_TOT!BB34</f>
        <v>0.109563998985217</v>
      </c>
      <c r="D111" s="287">
        <f>DIST_GAS_TOT!BC34</f>
        <v>2.1902419392359377E-2</v>
      </c>
      <c r="E111" s="287">
        <f>DIST_GAS_TOT!BD34</f>
        <v>0.23078815059054433</v>
      </c>
      <c r="F111" s="287">
        <f>DIST_GAS_TOT!BE34</f>
        <v>4.8496248683038761E-3</v>
      </c>
      <c r="G111" s="287">
        <f>DIST_GAS_TOT!BF34</f>
        <v>2.8715388146356119E-3</v>
      </c>
      <c r="H111" s="287">
        <f>DIST_ALC_TOT!Y34</f>
        <v>0.87343513515824156</v>
      </c>
      <c r="I111" s="287">
        <f>DIST_ALC_TOT!Z34</f>
        <v>0.12656486484175852</v>
      </c>
      <c r="J111" s="287">
        <f>DIST_DSL_TOT!BO34</f>
        <v>0.16588841856454026</v>
      </c>
      <c r="K111" s="287">
        <f>DIST_DSL_TOT!BP34</f>
        <v>0.19376474158064508</v>
      </c>
      <c r="L111" s="287">
        <f>DIST_DSL_TOT!BQ34</f>
        <v>0.26306158517354422</v>
      </c>
      <c r="M111" s="287">
        <f>DIST_DSL_TOT!BR34</f>
        <v>1.6289274616991634E-2</v>
      </c>
      <c r="N111" s="287">
        <f>DIST_DSL_TOT!BS34</f>
        <v>0.24492193891093653</v>
      </c>
      <c r="O111" s="287">
        <f>DIST_DSL_TOT!BT34</f>
        <v>3.251346763664055E-2</v>
      </c>
      <c r="P111" s="287">
        <f>DIST_DSL_TOT!BU34</f>
        <v>1.7050519611717539E-3</v>
      </c>
      <c r="Q111" s="287">
        <f>DIST_DSL_TOT!BV34</f>
        <v>8.1855521555529831E-2</v>
      </c>
      <c r="R111" s="286">
        <f t="shared" si="7"/>
        <v>1</v>
      </c>
      <c r="T111" s="288">
        <f t="shared" si="4"/>
        <v>0.99999999999999989</v>
      </c>
      <c r="U111" s="288">
        <f t="shared" si="5"/>
        <v>1</v>
      </c>
      <c r="V111" s="288">
        <f t="shared" si="6"/>
        <v>0.99999999999999978</v>
      </c>
    </row>
    <row r="112" spans="1:22">
      <c r="A112" s="127" t="s">
        <v>42</v>
      </c>
      <c r="B112" s="287">
        <f>DIST_GAS_TOT!BA35</f>
        <v>0.46423736658314546</v>
      </c>
      <c r="C112" s="287">
        <f>DIST_GAS_TOT!BB35</f>
        <v>8.9839301630893709E-2</v>
      </c>
      <c r="D112" s="287">
        <f>DIST_GAS_TOT!BC35</f>
        <v>4.1333044983311161E-2</v>
      </c>
      <c r="E112" s="287">
        <f>DIST_GAS_TOT!BD35</f>
        <v>0.39149232663456518</v>
      </c>
      <c r="F112" s="287">
        <f>DIST_GAS_TOT!BE35</f>
        <v>8.2264122380187894E-3</v>
      </c>
      <c r="G112" s="287">
        <f>DIST_GAS_TOT!BF35</f>
        <v>4.8715479300655978E-3</v>
      </c>
      <c r="H112" s="287">
        <f>DIST_ALC_TOT!Y35</f>
        <v>0.85845280918168831</v>
      </c>
      <c r="I112" s="287">
        <f>DIST_ALC_TOT!Z35</f>
        <v>0.14154719081831182</v>
      </c>
      <c r="J112" s="287">
        <f>DIST_DSL_TOT!BO35</f>
        <v>0.14941885830257834</v>
      </c>
      <c r="K112" s="287">
        <f>DIST_DSL_TOT!BP35</f>
        <v>0.17452842137493069</v>
      </c>
      <c r="L112" s="287">
        <f>DIST_DSL_TOT!BQ35</f>
        <v>0.37914281994313292</v>
      </c>
      <c r="M112" s="287">
        <f>DIST_DSL_TOT!BR35</f>
        <v>9.2471991092306291E-3</v>
      </c>
      <c r="N112" s="287">
        <f>DIST_DSL_TOT!BS35</f>
        <v>0.16984762202309175</v>
      </c>
      <c r="O112" s="287">
        <f>DIST_DSL_TOT!BT35</f>
        <v>2.2552957656035183E-2</v>
      </c>
      <c r="P112" s="287">
        <f>DIST_DSL_TOT!BU35</f>
        <v>1.7531666230565786E-3</v>
      </c>
      <c r="Q112" s="287">
        <f>DIST_DSL_TOT!BV35</f>
        <v>9.3508954967943841E-2</v>
      </c>
      <c r="R112" s="286">
        <f t="shared" si="7"/>
        <v>1</v>
      </c>
      <c r="T112" s="288">
        <f t="shared" si="4"/>
        <v>0.99999999999999989</v>
      </c>
      <c r="U112" s="288">
        <f t="shared" si="5"/>
        <v>1.0000000000000002</v>
      </c>
      <c r="V112" s="288">
        <f t="shared" si="6"/>
        <v>1</v>
      </c>
    </row>
    <row r="113" spans="1:22" ht="26.25" thickBot="1">
      <c r="A113" s="128" t="s">
        <v>43</v>
      </c>
      <c r="B113" s="287">
        <f>DIST_GAS_TOT!BA36</f>
        <v>0.63648471225307124</v>
      </c>
      <c r="C113" s="287">
        <f>DIST_GAS_TOT!BB36</f>
        <v>0.10825295416415412</v>
      </c>
      <c r="D113" s="287">
        <f>DIST_GAS_TOT!BC36</f>
        <v>2.0775484189347052E-2</v>
      </c>
      <c r="E113" s="287">
        <f>DIST_GAS_TOT!BD36</f>
        <v>0.22689581785986432</v>
      </c>
      <c r="F113" s="287">
        <f>DIST_GAS_TOT!BE36</f>
        <v>4.7679206326512735E-3</v>
      </c>
      <c r="G113" s="287">
        <f>DIST_GAS_TOT!BF36</f>
        <v>2.8231109009119381E-3</v>
      </c>
      <c r="H113" s="287">
        <f>DIST_ALC_TOT!Y36</f>
        <v>0.87584312495919536</v>
      </c>
      <c r="I113" s="287">
        <f>DIST_ALC_TOT!Z36</f>
        <v>0.12415687504080461</v>
      </c>
      <c r="J113" s="287">
        <f>DIST_DSL_TOT!BO36</f>
        <v>0.16696926071672497</v>
      </c>
      <c r="K113" s="287">
        <f>DIST_DSL_TOT!BP36</f>
        <v>0.19502046523462022</v>
      </c>
      <c r="L113" s="287">
        <f>DIST_DSL_TOT!BQ36</f>
        <v>0.29147431428105519</v>
      </c>
      <c r="M113" s="287">
        <f>DIST_DSL_TOT!BR36</f>
        <v>1.3534231888171981E-2</v>
      </c>
      <c r="N113" s="287">
        <f>DIST_DSL_TOT!BS36</f>
        <v>0.21110415839447674</v>
      </c>
      <c r="O113" s="287">
        <f>DIST_DSL_TOT!BT36</f>
        <v>2.8018725209150663E-2</v>
      </c>
      <c r="P113" s="287">
        <f>DIST_DSL_TOT!BU36</f>
        <v>1.9809193759763237E-3</v>
      </c>
      <c r="Q113" s="287">
        <f>DIST_DSL_TOT!BV36</f>
        <v>9.1897924899823999E-2</v>
      </c>
      <c r="R113" s="286">
        <f t="shared" si="7"/>
        <v>1</v>
      </c>
      <c r="T113" s="288">
        <f t="shared" si="4"/>
        <v>1</v>
      </c>
      <c r="U113" s="288">
        <f t="shared" si="5"/>
        <v>1</v>
      </c>
      <c r="V113" s="288">
        <f t="shared" si="6"/>
        <v>1</v>
      </c>
    </row>
    <row r="114" spans="1:22" s="1" customFormat="1" ht="15.75" thickBot="1">
      <c r="T114" s="288"/>
      <c r="U114" s="288"/>
      <c r="V114" s="288"/>
    </row>
    <row r="115" spans="1:22" ht="15.75" customHeight="1" thickBot="1">
      <c r="A115" s="1051" t="s">
        <v>477</v>
      </c>
      <c r="B115" s="1250">
        <v>2012</v>
      </c>
      <c r="C115" s="1251"/>
      <c r="D115" s="1251"/>
      <c r="E115" s="1251"/>
      <c r="F115" s="1251"/>
      <c r="G115" s="1251"/>
      <c r="H115" s="1251"/>
      <c r="I115" s="1251"/>
      <c r="J115" s="1251"/>
      <c r="K115" s="1251"/>
      <c r="L115" s="1251"/>
      <c r="M115" s="1251"/>
      <c r="N115" s="1251"/>
      <c r="O115" s="1251"/>
      <c r="P115" s="1251"/>
      <c r="Q115" s="1251"/>
      <c r="R115" s="1252"/>
      <c r="T115" s="288"/>
      <c r="U115" s="288"/>
      <c r="V115" s="288"/>
    </row>
    <row r="116" spans="1:22">
      <c r="A116" s="1052"/>
      <c r="B116" s="1253" t="s">
        <v>97</v>
      </c>
      <c r="C116" s="1254"/>
      <c r="D116" s="1254"/>
      <c r="E116" s="1254"/>
      <c r="F116" s="1254"/>
      <c r="G116" s="1254"/>
      <c r="H116" s="1254" t="s">
        <v>98</v>
      </c>
      <c r="I116" s="1254"/>
      <c r="J116" s="1254" t="s">
        <v>99</v>
      </c>
      <c r="K116" s="1254"/>
      <c r="L116" s="1254"/>
      <c r="M116" s="1254"/>
      <c r="N116" s="1254"/>
      <c r="O116" s="1254"/>
      <c r="P116" s="1254"/>
      <c r="Q116" s="1254"/>
      <c r="R116" s="271" t="s">
        <v>100</v>
      </c>
      <c r="T116" s="288"/>
      <c r="U116" s="288"/>
      <c r="V116" s="288"/>
    </row>
    <row r="117" spans="1:22">
      <c r="A117" s="1052"/>
      <c r="B117" s="1255" t="s">
        <v>101</v>
      </c>
      <c r="C117" s="1257" t="s">
        <v>102</v>
      </c>
      <c r="D117" s="1257" t="s">
        <v>103</v>
      </c>
      <c r="E117" s="1257"/>
      <c r="F117" s="1257"/>
      <c r="G117" s="1257"/>
      <c r="H117" s="1255" t="s">
        <v>101</v>
      </c>
      <c r="I117" s="1257" t="s">
        <v>102</v>
      </c>
      <c r="J117" s="1257" t="s">
        <v>104</v>
      </c>
      <c r="K117" s="1257"/>
      <c r="L117" s="1257"/>
      <c r="M117" s="1257" t="s">
        <v>105</v>
      </c>
      <c r="N117" s="1257"/>
      <c r="O117" s="1257"/>
      <c r="P117" s="1255" t="s">
        <v>101</v>
      </c>
      <c r="Q117" s="1257" t="s">
        <v>102</v>
      </c>
      <c r="R117" s="1255" t="s">
        <v>101</v>
      </c>
      <c r="T117" s="288"/>
      <c r="U117" s="288"/>
      <c r="V117" s="288"/>
    </row>
    <row r="118" spans="1:22" ht="15.75" thickBot="1">
      <c r="A118" s="1053"/>
      <c r="B118" s="1256"/>
      <c r="C118" s="1258"/>
      <c r="D118" s="270" t="s">
        <v>106</v>
      </c>
      <c r="E118" s="270" t="s">
        <v>107</v>
      </c>
      <c r="F118" s="270" t="s">
        <v>108</v>
      </c>
      <c r="G118" s="270" t="s">
        <v>109</v>
      </c>
      <c r="H118" s="1256"/>
      <c r="I118" s="1258"/>
      <c r="J118" s="270" t="s">
        <v>110</v>
      </c>
      <c r="K118" s="270" t="s">
        <v>111</v>
      </c>
      <c r="L118" s="270" t="s">
        <v>112</v>
      </c>
      <c r="M118" s="270" t="s">
        <v>113</v>
      </c>
      <c r="N118" s="270" t="s">
        <v>114</v>
      </c>
      <c r="O118" s="270" t="s">
        <v>115</v>
      </c>
      <c r="P118" s="1256"/>
      <c r="Q118" s="1258"/>
      <c r="R118" s="1256"/>
      <c r="T118" s="288"/>
      <c r="U118" s="288"/>
      <c r="V118" s="288"/>
    </row>
    <row r="119" spans="1:22" ht="15.75" thickBot="1">
      <c r="A119" s="164" t="s">
        <v>11</v>
      </c>
      <c r="B119" s="287">
        <f>DIST_GAS_TOT!BH4</f>
        <v>0.66623822005207101</v>
      </c>
      <c r="C119" s="287">
        <f>DIST_GAS_TOT!BI4</f>
        <v>0.10925695781033289</v>
      </c>
      <c r="D119" s="287">
        <f>DIST_GAS_TOT!BJ4</f>
        <v>1.2390827504423775E-2</v>
      </c>
      <c r="E119" s="287">
        <f>DIST_GAS_TOT!BK4</f>
        <v>0.20524723309049681</v>
      </c>
      <c r="F119" s="287">
        <f>DIST_GAS_TOT!BL4</f>
        <v>4.3128999731088403E-3</v>
      </c>
      <c r="G119" s="287">
        <f>DIST_GAS_TOT!BM4</f>
        <v>2.5538615695665885E-3</v>
      </c>
      <c r="H119" s="287">
        <f>DIST_ALC_TOT!AB4</f>
        <v>0.88387477405911274</v>
      </c>
      <c r="I119" s="287">
        <f>DIST_ALC_TOT!AC4</f>
        <v>0.11612522594088721</v>
      </c>
      <c r="J119" s="287">
        <f>DIST_DSL_TOT!BX4</f>
        <v>0.13088902361494806</v>
      </c>
      <c r="K119" s="287">
        <f>DIST_DSL_TOT!BY4</f>
        <v>0.15288316319927511</v>
      </c>
      <c r="L119" s="287">
        <f>DIST_DSL_TOT!BZ4</f>
        <v>0.18805657865413802</v>
      </c>
      <c r="M119" s="287">
        <f>DIST_DSL_TOT!CA4</f>
        <v>4.7621012424797618E-2</v>
      </c>
      <c r="N119" s="287">
        <f>DIST_DSL_TOT!CB4</f>
        <v>0.34718454619424777</v>
      </c>
      <c r="O119" s="287">
        <f>DIST_DSL_TOT!CC4</f>
        <v>5.6015892569850116E-2</v>
      </c>
      <c r="P119" s="287">
        <f>DIST_DSL_TOT!CD4</f>
        <v>1.7133994584999136E-3</v>
      </c>
      <c r="Q119" s="287">
        <f>DIST_DSL_TOT!CE4</f>
        <v>7.5636383884243361E-2</v>
      </c>
      <c r="R119" s="286">
        <f>R81</f>
        <v>1</v>
      </c>
      <c r="T119" s="288">
        <f t="shared" si="4"/>
        <v>0.99999999999999978</v>
      </c>
      <c r="U119" s="288">
        <f t="shared" si="5"/>
        <v>1</v>
      </c>
      <c r="V119" s="288">
        <f t="shared" si="6"/>
        <v>0.99999999999999989</v>
      </c>
    </row>
    <row r="120" spans="1:22">
      <c r="A120" s="269" t="s">
        <v>46</v>
      </c>
      <c r="B120" s="287">
        <f>DIST_GAS_TOT!BH5</f>
        <v>0.59692181014716517</v>
      </c>
      <c r="C120" s="287">
        <f>DIST_GAS_TOT!BI5</f>
        <v>0.11794048277652798</v>
      </c>
      <c r="D120" s="287">
        <f>DIST_GAS_TOT!BJ5</f>
        <v>2.204014888311363E-2</v>
      </c>
      <c r="E120" s="287">
        <f>DIST_GAS_TOT!BK5</f>
        <v>0.25458021071770476</v>
      </c>
      <c r="F120" s="287">
        <f>DIST_GAS_TOT!BL5</f>
        <v>5.3496679358929914E-3</v>
      </c>
      <c r="G120" s="287">
        <f>DIST_GAS_TOT!BM5</f>
        <v>3.1676795395953615E-3</v>
      </c>
      <c r="H120" s="287">
        <f>DIST_ALC_TOT!AB5</f>
        <v>0.85297922784924263</v>
      </c>
      <c r="I120" s="287">
        <f>DIST_ALC_TOT!AC5</f>
        <v>0.14702077215075735</v>
      </c>
      <c r="J120" s="287">
        <f>DIST_DSL_TOT!BX5</f>
        <v>0.18249717705006097</v>
      </c>
      <c r="K120" s="287">
        <f>DIST_DSL_TOT!BY5</f>
        <v>0.21315935902905056</v>
      </c>
      <c r="L120" s="287">
        <f>DIST_DSL_TOT!BZ5</f>
        <v>0.17443026283304547</v>
      </c>
      <c r="M120" s="287">
        <f>DIST_DSL_TOT!CA5</f>
        <v>3.0084169464014765E-2</v>
      </c>
      <c r="N120" s="287">
        <f>DIST_DSL_TOT!CB5</f>
        <v>0.25860440034998017</v>
      </c>
      <c r="O120" s="287">
        <f>DIST_DSL_TOT!CC5</f>
        <v>5.7675161624742878E-2</v>
      </c>
      <c r="P120" s="287">
        <f>DIST_DSL_TOT!CD5</f>
        <v>1.5197069468523567E-3</v>
      </c>
      <c r="Q120" s="287">
        <f>DIST_DSL_TOT!CE5</f>
        <v>8.2029762702252984E-2</v>
      </c>
      <c r="R120" s="286">
        <f t="shared" ref="R120:R151" si="8">R82</f>
        <v>1</v>
      </c>
      <c r="T120" s="288">
        <f t="shared" si="4"/>
        <v>1</v>
      </c>
      <c r="U120" s="288">
        <f t="shared" si="5"/>
        <v>1</v>
      </c>
      <c r="V120" s="288">
        <f t="shared" si="6"/>
        <v>1</v>
      </c>
    </row>
    <row r="121" spans="1:22">
      <c r="A121" s="127" t="s">
        <v>13</v>
      </c>
      <c r="B121" s="287">
        <f>DIST_GAS_TOT!BH6</f>
        <v>0.57375603171069967</v>
      </c>
      <c r="C121" s="287">
        <f>DIST_GAS_TOT!BI6</f>
        <v>0.10126973871573811</v>
      </c>
      <c r="D121" s="287">
        <f>DIST_GAS_TOT!BJ6</f>
        <v>1.9433720812470443E-2</v>
      </c>
      <c r="E121" s="287">
        <f>DIST_GAS_TOT!BK6</f>
        <v>0.29564787431420958</v>
      </c>
      <c r="F121" s="287">
        <f>DIST_GAS_TOT!BL6</f>
        <v>6.2134429525853938E-3</v>
      </c>
      <c r="G121" s="287">
        <f>DIST_GAS_TOT!BM6</f>
        <v>3.6791914942968578E-3</v>
      </c>
      <c r="H121" s="287">
        <f>DIST_ALC_TOT!AB6</f>
        <v>0.8660211218926166</v>
      </c>
      <c r="I121" s="287">
        <f>DIST_ALC_TOT!AC6</f>
        <v>0.13397887810738346</v>
      </c>
      <c r="J121" s="287">
        <f>DIST_DSL_TOT!BX6</f>
        <v>0.23204397357724962</v>
      </c>
      <c r="K121" s="287">
        <f>DIST_DSL_TOT!BY6</f>
        <v>0.27101356784124281</v>
      </c>
      <c r="L121" s="287">
        <f>DIST_DSL_TOT!BZ6</f>
        <v>0.14259963700056419</v>
      </c>
      <c r="M121" s="287">
        <f>DIST_DSL_TOT!CA6</f>
        <v>1.6512021859084271E-2</v>
      </c>
      <c r="N121" s="287">
        <f>DIST_DSL_TOT!CB6</f>
        <v>0.16058648441356171</v>
      </c>
      <c r="O121" s="287">
        <f>DIST_DSL_TOT!CC6</f>
        <v>3.5835244554262624E-2</v>
      </c>
      <c r="P121" s="287">
        <f>DIST_DSL_TOT!CD6</f>
        <v>2.7984206132656273E-3</v>
      </c>
      <c r="Q121" s="287">
        <f>DIST_DSL_TOT!CE6</f>
        <v>0.13861065014076904</v>
      </c>
      <c r="R121" s="286">
        <f t="shared" si="8"/>
        <v>1</v>
      </c>
      <c r="T121" s="288">
        <f t="shared" si="4"/>
        <v>1</v>
      </c>
      <c r="U121" s="288">
        <f t="shared" si="5"/>
        <v>1</v>
      </c>
      <c r="V121" s="288">
        <f t="shared" si="6"/>
        <v>0.99999999999999989</v>
      </c>
    </row>
    <row r="122" spans="1:22">
      <c r="A122" s="127" t="s">
        <v>14</v>
      </c>
      <c r="B122" s="287">
        <f>DIST_GAS_TOT!BH7</f>
        <v>0.65043339862144733</v>
      </c>
      <c r="C122" s="287">
        <f>DIST_GAS_TOT!BI7</f>
        <v>0.13779864627166874</v>
      </c>
      <c r="D122" s="287">
        <f>DIST_GAS_TOT!BJ7</f>
        <v>1.2190899972113194E-2</v>
      </c>
      <c r="E122" s="287">
        <f>DIST_GAS_TOT!BK7</f>
        <v>0.19311653709925636</v>
      </c>
      <c r="F122" s="287">
        <f>DIST_GAS_TOT!BL7</f>
        <v>4.0590754762607432E-3</v>
      </c>
      <c r="G122" s="287">
        <f>DIST_GAS_TOT!BM7</f>
        <v>2.4014425592537385E-3</v>
      </c>
      <c r="H122" s="287">
        <f>DIST_ALC_TOT!AB7</f>
        <v>0.84086206354260951</v>
      </c>
      <c r="I122" s="287">
        <f>DIST_ALC_TOT!AC7</f>
        <v>0.15913793645739041</v>
      </c>
      <c r="J122" s="287">
        <f>DIST_DSL_TOT!BX7</f>
        <v>0.19792326624550843</v>
      </c>
      <c r="K122" s="287">
        <f>DIST_DSL_TOT!BY7</f>
        <v>0.23112691763117485</v>
      </c>
      <c r="L122" s="287">
        <f>DIST_DSL_TOT!BZ7</f>
        <v>9.2909918443519715E-2</v>
      </c>
      <c r="M122" s="287">
        <f>DIST_DSL_TOT!CA7</f>
        <v>3.7431620626740145E-2</v>
      </c>
      <c r="N122" s="287">
        <f>DIST_DSL_TOT!CB7</f>
        <v>0.25052683655731789</v>
      </c>
      <c r="O122" s="287">
        <f>DIST_DSL_TOT!CC7</f>
        <v>5.5723893814979303E-2</v>
      </c>
      <c r="P122" s="287">
        <f>DIST_DSL_TOT!CD7</f>
        <v>2.2226247195551068E-3</v>
      </c>
      <c r="Q122" s="287">
        <f>DIST_DSL_TOT!CE7</f>
        <v>0.1321349219612046</v>
      </c>
      <c r="R122" s="286">
        <f t="shared" si="8"/>
        <v>1</v>
      </c>
      <c r="T122" s="288">
        <f t="shared" si="4"/>
        <v>1</v>
      </c>
      <c r="U122" s="288">
        <f t="shared" si="5"/>
        <v>0.99999999999999989</v>
      </c>
      <c r="V122" s="288">
        <f t="shared" si="6"/>
        <v>1</v>
      </c>
    </row>
    <row r="123" spans="1:22">
      <c r="A123" s="127" t="s">
        <v>15</v>
      </c>
      <c r="B123" s="287">
        <f>DIST_GAS_TOT!BH8</f>
        <v>0.68428488482774363</v>
      </c>
      <c r="C123" s="287">
        <f>DIST_GAS_TOT!BI8</f>
        <v>0.15810484492548049</v>
      </c>
      <c r="D123" s="287">
        <f>DIST_GAS_TOT!BJ8</f>
        <v>1.0937958535237741E-2</v>
      </c>
      <c r="E123" s="287">
        <f>DIST_GAS_TOT!BK8</f>
        <v>0.14192382212440505</v>
      </c>
      <c r="F123" s="287">
        <f>DIST_GAS_TOT!BL8</f>
        <v>2.9823820984776483E-3</v>
      </c>
      <c r="G123" s="287">
        <f>DIST_GAS_TOT!BM8</f>
        <v>1.7661074886555343E-3</v>
      </c>
      <c r="H123" s="287">
        <f>DIST_ALC_TOT!AB8</f>
        <v>0.83458741147122883</v>
      </c>
      <c r="I123" s="287">
        <f>DIST_ALC_TOT!AC8</f>
        <v>0.16541258852877128</v>
      </c>
      <c r="J123" s="287">
        <f>DIST_DSL_TOT!BX8</f>
        <v>0.14502683915472492</v>
      </c>
      <c r="K123" s="287">
        <f>DIST_DSL_TOT!BY8</f>
        <v>0.1694081056320052</v>
      </c>
      <c r="L123" s="287">
        <f>DIST_DSL_TOT!BZ8</f>
        <v>0.14180872834349012</v>
      </c>
      <c r="M123" s="287">
        <f>DIST_DSL_TOT!CA8</f>
        <v>4.0560270826437199E-2</v>
      </c>
      <c r="N123" s="287">
        <f>DIST_DSL_TOT!CB8</f>
        <v>0.3507743266001403</v>
      </c>
      <c r="O123" s="287">
        <f>DIST_DSL_TOT!CC8</f>
        <v>7.8223149946355819E-2</v>
      </c>
      <c r="P123" s="287">
        <f>DIST_DSL_TOT!CD8</f>
        <v>1.1374165856687546E-3</v>
      </c>
      <c r="Q123" s="287">
        <f>DIST_DSL_TOT!CE8</f>
        <v>7.3061162911177716E-2</v>
      </c>
      <c r="R123" s="286">
        <f t="shared" si="8"/>
        <v>1</v>
      </c>
      <c r="T123" s="288">
        <f t="shared" si="4"/>
        <v>1</v>
      </c>
      <c r="U123" s="288">
        <f t="shared" si="5"/>
        <v>1</v>
      </c>
      <c r="V123" s="288">
        <f t="shared" si="6"/>
        <v>1.0000000000000002</v>
      </c>
    </row>
    <row r="124" spans="1:22">
      <c r="A124" s="127" t="s">
        <v>16</v>
      </c>
      <c r="B124" s="287">
        <f>DIST_GAS_TOT!BH9</f>
        <v>0.59182359239547522</v>
      </c>
      <c r="C124" s="287">
        <f>DIST_GAS_TOT!BI9</f>
        <v>0.10115895274193945</v>
      </c>
      <c r="D124" s="287">
        <f>DIST_GAS_TOT!BJ9</f>
        <v>2.0573944820488906E-2</v>
      </c>
      <c r="E124" s="287">
        <f>DIST_GAS_TOT!BK9</f>
        <v>0.27717047338392542</v>
      </c>
      <c r="F124" s="287">
        <f>DIST_GAS_TOT!BL9</f>
        <v>5.8242668338091613E-3</v>
      </c>
      <c r="G124" s="287">
        <f>DIST_GAS_TOT!BM9</f>
        <v>3.4487698243617273E-3</v>
      </c>
      <c r="H124" s="287">
        <f>DIST_ALC_TOT!AB9</f>
        <v>0.86938125661580845</v>
      </c>
      <c r="I124" s="287">
        <f>DIST_ALC_TOT!AC9</f>
        <v>0.13061874338419152</v>
      </c>
      <c r="J124" s="287">
        <f>DIST_DSL_TOT!BX9</f>
        <v>0.1835598208115716</v>
      </c>
      <c r="K124" s="287">
        <f>DIST_DSL_TOT!BY9</f>
        <v>0.21439972756751605</v>
      </c>
      <c r="L124" s="287">
        <f>DIST_DSL_TOT!BZ9</f>
        <v>0.14197215647814318</v>
      </c>
      <c r="M124" s="287">
        <f>DIST_DSL_TOT!CA9</f>
        <v>3.7686392650763227E-2</v>
      </c>
      <c r="N124" s="287">
        <f>DIST_DSL_TOT!CB9</f>
        <v>0.28472711006366025</v>
      </c>
      <c r="O124" s="287">
        <f>DIST_DSL_TOT!CC9</f>
        <v>6.3509739896647779E-2</v>
      </c>
      <c r="P124" s="287">
        <f>DIST_DSL_TOT!CD9</f>
        <v>1.5079781118015946E-3</v>
      </c>
      <c r="Q124" s="287">
        <f>DIST_DSL_TOT!CE9</f>
        <v>7.2637074419896447E-2</v>
      </c>
      <c r="R124" s="286">
        <f t="shared" si="8"/>
        <v>1</v>
      </c>
      <c r="T124" s="288">
        <f t="shared" si="4"/>
        <v>0.99999999999999989</v>
      </c>
      <c r="U124" s="288">
        <f t="shared" si="5"/>
        <v>1</v>
      </c>
      <c r="V124" s="288">
        <f t="shared" si="6"/>
        <v>1.0000000000000002</v>
      </c>
    </row>
    <row r="125" spans="1:22">
      <c r="A125" s="127" t="s">
        <v>17</v>
      </c>
      <c r="B125" s="287">
        <f>DIST_GAS_TOT!BH10</f>
        <v>0.5212703375300376</v>
      </c>
      <c r="C125" s="287">
        <f>DIST_GAS_TOT!BI10</f>
        <v>0.102044815246688</v>
      </c>
      <c r="D125" s="287">
        <f>DIST_GAS_TOT!BJ10</f>
        <v>3.1712340468815395E-2</v>
      </c>
      <c r="E125" s="287">
        <f>DIST_GAS_TOT!BK10</f>
        <v>0.33380427705987675</v>
      </c>
      <c r="F125" s="287">
        <f>DIST_GAS_TOT!BL10</f>
        <v>7.0145678424086569E-3</v>
      </c>
      <c r="G125" s="287">
        <f>DIST_GAS_TOT!BM10</f>
        <v>4.1536618521735387E-3</v>
      </c>
      <c r="H125" s="287">
        <f>DIST_ALC_TOT!AB10</f>
        <v>0.85081247788944858</v>
      </c>
      <c r="I125" s="287">
        <f>DIST_ALC_TOT!AC10</f>
        <v>0.14918752211055145</v>
      </c>
      <c r="J125" s="287">
        <f>DIST_DSL_TOT!BX10</f>
        <v>0.1930753354021465</v>
      </c>
      <c r="K125" s="287">
        <f>DIST_DSL_TOT!BY10</f>
        <v>0.22552887882294137</v>
      </c>
      <c r="L125" s="287">
        <f>DIST_DSL_TOT!BZ10</f>
        <v>0.25079156505304967</v>
      </c>
      <c r="M125" s="287">
        <f>DIST_DSL_TOT!CA10</f>
        <v>1.183039957069547E-2</v>
      </c>
      <c r="N125" s="287">
        <f>DIST_DSL_TOT!CB10</f>
        <v>0.19256722195862913</v>
      </c>
      <c r="O125" s="287">
        <f>DIST_DSL_TOT!CC10</f>
        <v>4.2965633759213535E-2</v>
      </c>
      <c r="P125" s="287">
        <f>DIST_DSL_TOT!CD10</f>
        <v>1.4802852147257639E-3</v>
      </c>
      <c r="Q125" s="287">
        <f>DIST_DSL_TOT!CE10</f>
        <v>8.1760680218598572E-2</v>
      </c>
      <c r="R125" s="286">
        <f t="shared" si="8"/>
        <v>1</v>
      </c>
      <c r="T125" s="288">
        <f t="shared" si="4"/>
        <v>0.99999999999999989</v>
      </c>
      <c r="U125" s="288">
        <f t="shared" si="5"/>
        <v>1</v>
      </c>
      <c r="V125" s="288">
        <f t="shared" si="6"/>
        <v>1</v>
      </c>
    </row>
    <row r="126" spans="1:22">
      <c r="A126" s="127" t="s">
        <v>18</v>
      </c>
      <c r="B126" s="287">
        <f>DIST_GAS_TOT!BH11</f>
        <v>0.56827889455510083</v>
      </c>
      <c r="C126" s="287">
        <f>DIST_GAS_TOT!BI11</f>
        <v>0.1392801711204604</v>
      </c>
      <c r="D126" s="287">
        <f>DIST_GAS_TOT!BJ11</f>
        <v>2.1724604582658721E-2</v>
      </c>
      <c r="E126" s="287">
        <f>DIST_GAS_TOT!BK11</f>
        <v>0.26195381339037066</v>
      </c>
      <c r="F126" s="287">
        <f>DIST_GAS_TOT!BL11</f>
        <v>5.5046697654609544E-3</v>
      </c>
      <c r="G126" s="287">
        <f>DIST_GAS_TOT!BM11</f>
        <v>3.2578465859485297E-3</v>
      </c>
      <c r="H126" s="287">
        <f>DIST_ALC_TOT!AB11</f>
        <v>0.82062101920506814</v>
      </c>
      <c r="I126" s="287">
        <f>DIST_ALC_TOT!AC11</f>
        <v>0.17937898079493181</v>
      </c>
      <c r="J126" s="287">
        <f>DIST_DSL_TOT!BX11</f>
        <v>0.18334420877180546</v>
      </c>
      <c r="K126" s="287">
        <f>DIST_DSL_TOT!BY11</f>
        <v>0.21406704770203533</v>
      </c>
      <c r="L126" s="287">
        <f>DIST_DSL_TOT!BZ11</f>
        <v>0.14426074196127442</v>
      </c>
      <c r="M126" s="287">
        <f>DIST_DSL_TOT!CA11</f>
        <v>4.2579801272914747E-2</v>
      </c>
      <c r="N126" s="287">
        <f>DIST_DSL_TOT!CB11</f>
        <v>0.2136000222328486</v>
      </c>
      <c r="O126" s="287">
        <f>DIST_DSL_TOT!CC11</f>
        <v>4.7626609761714407E-2</v>
      </c>
      <c r="P126" s="287">
        <f>DIST_DSL_TOT!CD11</f>
        <v>2.2272752209663402E-3</v>
      </c>
      <c r="Q126" s="287">
        <f>DIST_DSL_TOT!CE11</f>
        <v>0.1522942930764406</v>
      </c>
      <c r="R126" s="286">
        <f t="shared" si="8"/>
        <v>1</v>
      </c>
      <c r="T126" s="288">
        <f t="shared" si="4"/>
        <v>1.0000000000000002</v>
      </c>
      <c r="U126" s="288">
        <f t="shared" si="5"/>
        <v>1</v>
      </c>
      <c r="V126" s="288">
        <f t="shared" si="6"/>
        <v>0.99999999999999989</v>
      </c>
    </row>
    <row r="127" spans="1:22" ht="15.75" thickBot="1">
      <c r="A127" s="128" t="s">
        <v>19</v>
      </c>
      <c r="B127" s="287">
        <f>DIST_GAS_TOT!BH12</f>
        <v>0.5600404381338876</v>
      </c>
      <c r="C127" s="287">
        <f>DIST_GAS_TOT!BI12</f>
        <v>0.10696064311806133</v>
      </c>
      <c r="D127" s="287">
        <f>DIST_GAS_TOT!BJ12</f>
        <v>3.8159917368721624E-2</v>
      </c>
      <c r="E127" s="287">
        <f>DIST_GAS_TOT!BK12</f>
        <v>0.28529448298773852</v>
      </c>
      <c r="F127" s="287">
        <f>DIST_GAS_TOT!BL12</f>
        <v>5.994383392305817E-3</v>
      </c>
      <c r="G127" s="287">
        <f>DIST_GAS_TOT!BM12</f>
        <v>3.550134999285142E-3</v>
      </c>
      <c r="H127" s="287">
        <f>DIST_ALC_TOT!AB12</f>
        <v>0.85791618438146833</v>
      </c>
      <c r="I127" s="287">
        <f>DIST_ALC_TOT!AC12</f>
        <v>0.1420838156185317</v>
      </c>
      <c r="J127" s="287">
        <f>DIST_DSL_TOT!BX12</f>
        <v>0.19730486003968326</v>
      </c>
      <c r="K127" s="287">
        <f>DIST_DSL_TOT!BY12</f>
        <v>0.23044926152509337</v>
      </c>
      <c r="L127" s="287">
        <f>DIST_DSL_TOT!BZ12</f>
        <v>0.22276922960568576</v>
      </c>
      <c r="M127" s="287">
        <f>DIST_DSL_TOT!CA12</f>
        <v>2.1864725675261321E-2</v>
      </c>
      <c r="N127" s="287">
        <f>DIST_DSL_TOT!CB12</f>
        <v>0.20089825896154792</v>
      </c>
      <c r="O127" s="287">
        <f>DIST_DSL_TOT!CC12</f>
        <v>4.4793445498797414E-2</v>
      </c>
      <c r="P127" s="287">
        <f>DIST_DSL_TOT!CD12</f>
        <v>1.4991103636887721E-3</v>
      </c>
      <c r="Q127" s="287">
        <f>DIST_DSL_TOT!CE12</f>
        <v>8.0421108330242325E-2</v>
      </c>
      <c r="R127" s="286">
        <f t="shared" si="8"/>
        <v>1</v>
      </c>
      <c r="T127" s="288">
        <f t="shared" si="4"/>
        <v>1</v>
      </c>
      <c r="U127" s="288">
        <f t="shared" si="5"/>
        <v>1</v>
      </c>
      <c r="V127" s="288">
        <f t="shared" si="6"/>
        <v>1.0000000000000002</v>
      </c>
    </row>
    <row r="128" spans="1:22">
      <c r="A128" s="269" t="s">
        <v>54</v>
      </c>
      <c r="B128" s="287">
        <f>DIST_GAS_TOT!BH13</f>
        <v>0.57127508985827091</v>
      </c>
      <c r="C128" s="287">
        <f>DIST_GAS_TOT!BI13</f>
        <v>0.10186597859897732</v>
      </c>
      <c r="D128" s="287">
        <f>DIST_GAS_TOT!BJ13</f>
        <v>1.3436394870150602E-2</v>
      </c>
      <c r="E128" s="287">
        <f>DIST_GAS_TOT!BK13</f>
        <v>0.30327608947235607</v>
      </c>
      <c r="F128" s="287">
        <f>DIST_GAS_TOT!BL13</f>
        <v>6.372818282605699E-3</v>
      </c>
      <c r="G128" s="287">
        <f>DIST_GAS_TOT!BM13</f>
        <v>3.7736289176395353E-3</v>
      </c>
      <c r="H128" s="287">
        <f>DIST_ALC_TOT!AB13</f>
        <v>0.8758523809283103</v>
      </c>
      <c r="I128" s="287">
        <f>DIST_ALC_TOT!AC13</f>
        <v>0.12414761907168965</v>
      </c>
      <c r="J128" s="287">
        <f>DIST_DSL_TOT!BX13</f>
        <v>0.1198089726834715</v>
      </c>
      <c r="K128" s="287">
        <f>DIST_DSL_TOT!BY13</f>
        <v>0.13994214088274931</v>
      </c>
      <c r="L128" s="287">
        <f>DIST_DSL_TOT!BZ13</f>
        <v>9.6387763131241602E-2</v>
      </c>
      <c r="M128" s="287">
        <f>DIST_DSL_TOT!CA13</f>
        <v>7.1855510572557998E-2</v>
      </c>
      <c r="N128" s="287">
        <f>DIST_DSL_TOT!CB13</f>
        <v>0.39914424437853491</v>
      </c>
      <c r="O128" s="287">
        <f>DIST_DSL_TOT!CC13</f>
        <v>7.5535817450141415E-2</v>
      </c>
      <c r="P128" s="287">
        <f>DIST_DSL_TOT!CD13</f>
        <v>2.0469828659421445E-3</v>
      </c>
      <c r="Q128" s="287">
        <f>DIST_DSL_TOT!CE13</f>
        <v>9.5278568035360972E-2</v>
      </c>
      <c r="R128" s="286">
        <f t="shared" si="8"/>
        <v>1</v>
      </c>
      <c r="T128" s="288">
        <f t="shared" si="4"/>
        <v>1</v>
      </c>
      <c r="U128" s="288">
        <f t="shared" si="5"/>
        <v>1</v>
      </c>
      <c r="V128" s="288">
        <f t="shared" si="6"/>
        <v>0.99999999999999989</v>
      </c>
    </row>
    <row r="129" spans="1:22">
      <c r="A129" s="127" t="s">
        <v>21</v>
      </c>
      <c r="B129" s="287">
        <f>DIST_GAS_TOT!BH14</f>
        <v>0.6117926839001252</v>
      </c>
      <c r="C129" s="287">
        <f>DIST_GAS_TOT!BI14</f>
        <v>0.10821235803841787</v>
      </c>
      <c r="D129" s="287">
        <f>DIST_GAS_TOT!BJ14</f>
        <v>1.2924157756098099E-2</v>
      </c>
      <c r="E129" s="287">
        <f>DIST_GAS_TOT!BK14</f>
        <v>0.25842507339337173</v>
      </c>
      <c r="F129" s="287">
        <f>DIST_GAS_TOT!BL14</f>
        <v>5.4300992400548144E-3</v>
      </c>
      <c r="G129" s="287">
        <f>DIST_GAS_TOT!BM14</f>
        <v>3.2156276719322373E-3</v>
      </c>
      <c r="H129" s="287">
        <f>DIST_ALC_TOT!AB14</f>
        <v>0.87916174616682807</v>
      </c>
      <c r="I129" s="287">
        <f>DIST_ALC_TOT!AC14</f>
        <v>0.1208382538331719</v>
      </c>
      <c r="J129" s="287">
        <f>DIST_DSL_TOT!BX14</f>
        <v>0.10442149331961245</v>
      </c>
      <c r="K129" s="287">
        <f>DIST_DSL_TOT!BY14</f>
        <v>0.12196147910195004</v>
      </c>
      <c r="L129" s="287">
        <f>DIST_DSL_TOT!BZ14</f>
        <v>7.525132755121125E-2</v>
      </c>
      <c r="M129" s="287">
        <f>DIST_DSL_TOT!CA14</f>
        <v>0.10321304983552375</v>
      </c>
      <c r="N129" s="287">
        <f>DIST_DSL_TOT!CB14</f>
        <v>0.43131706761712024</v>
      </c>
      <c r="O129" s="287">
        <f>DIST_DSL_TOT!CC14</f>
        <v>8.1658211598758912E-2</v>
      </c>
      <c r="P129" s="287">
        <f>DIST_DSL_TOT!CD14</f>
        <v>1.7823182148296462E-3</v>
      </c>
      <c r="Q129" s="287">
        <f>DIST_DSL_TOT!CE14</f>
        <v>8.0395052760993832E-2</v>
      </c>
      <c r="R129" s="286">
        <f t="shared" si="8"/>
        <v>1</v>
      </c>
      <c r="T129" s="288">
        <f t="shared" si="4"/>
        <v>1</v>
      </c>
      <c r="U129" s="288">
        <f t="shared" si="5"/>
        <v>1</v>
      </c>
      <c r="V129" s="288">
        <f t="shared" si="6"/>
        <v>1.0000000000000002</v>
      </c>
    </row>
    <row r="130" spans="1:22">
      <c r="A130" s="127" t="s">
        <v>22</v>
      </c>
      <c r="B130" s="287">
        <f>DIST_GAS_TOT!BH15</f>
        <v>0.61297603604301665</v>
      </c>
      <c r="C130" s="287">
        <f>DIST_GAS_TOT!BI15</f>
        <v>0.12061457192883344</v>
      </c>
      <c r="D130" s="287">
        <f>DIST_GAS_TOT!BJ15</f>
        <v>1.0938560785695051E-2</v>
      </c>
      <c r="E130" s="287">
        <f>DIST_GAS_TOT!BK15</f>
        <v>0.24720047551902155</v>
      </c>
      <c r="F130" s="287">
        <f>DIST_GAS_TOT!BL15</f>
        <v>5.1945251615864918E-3</v>
      </c>
      <c r="G130" s="287">
        <f>DIST_GAS_TOT!BM15</f>
        <v>3.0758305618468593E-3</v>
      </c>
      <c r="H130" s="287">
        <f>DIST_ALC_TOT!AB15</f>
        <v>0.86202393513890641</v>
      </c>
      <c r="I130" s="287">
        <f>DIST_ALC_TOT!AC15</f>
        <v>0.13797606486109365</v>
      </c>
      <c r="J130" s="287">
        <f>DIST_DSL_TOT!BX15</f>
        <v>0.10166169952486581</v>
      </c>
      <c r="K130" s="287">
        <f>DIST_DSL_TOT!BY15</f>
        <v>0.11874521041907142</v>
      </c>
      <c r="L130" s="287">
        <f>DIST_DSL_TOT!BZ15</f>
        <v>0.11240713230485555</v>
      </c>
      <c r="M130" s="287">
        <f>DIST_DSL_TOT!CA15</f>
        <v>7.3660933669201789E-2</v>
      </c>
      <c r="N130" s="287">
        <f>DIST_DSL_TOT!CB15</f>
        <v>0.43112120815414801</v>
      </c>
      <c r="O130" s="287">
        <f>DIST_DSL_TOT!CC15</f>
        <v>8.158381389699268E-2</v>
      </c>
      <c r="P130" s="287">
        <f>DIST_DSL_TOT!CD15</f>
        <v>1.5269704932786789E-3</v>
      </c>
      <c r="Q130" s="287">
        <f>DIST_DSL_TOT!CE15</f>
        <v>7.9293031537586045E-2</v>
      </c>
      <c r="R130" s="286">
        <f t="shared" si="8"/>
        <v>1</v>
      </c>
      <c r="T130" s="288">
        <f t="shared" si="4"/>
        <v>1</v>
      </c>
      <c r="U130" s="288">
        <f t="shared" si="5"/>
        <v>1</v>
      </c>
      <c r="V130" s="288">
        <f t="shared" si="6"/>
        <v>1</v>
      </c>
    </row>
    <row r="131" spans="1:22">
      <c r="A131" s="127" t="s">
        <v>23</v>
      </c>
      <c r="B131" s="287">
        <f>DIST_GAS_TOT!BH16</f>
        <v>0.52598600673409668</v>
      </c>
      <c r="C131" s="287">
        <f>DIST_GAS_TOT!BI16</f>
        <v>8.6031786522090689E-2</v>
      </c>
      <c r="D131" s="287">
        <f>DIST_GAS_TOT!BJ16</f>
        <v>1.3452425701461981E-2</v>
      </c>
      <c r="E131" s="287">
        <f>DIST_GAS_TOT!BK16</f>
        <v>0.36240516129319594</v>
      </c>
      <c r="F131" s="287">
        <f>DIST_GAS_TOT!BL16</f>
        <v>7.6152728789736076E-3</v>
      </c>
      <c r="G131" s="287">
        <f>DIST_GAS_TOT!BM16</f>
        <v>4.5093468701811754E-3</v>
      </c>
      <c r="H131" s="287">
        <f>DIST_ALC_TOT!AB16</f>
        <v>0.88211877728417132</v>
      </c>
      <c r="I131" s="287">
        <f>DIST_ALC_TOT!AC16</f>
        <v>0.11788122271582864</v>
      </c>
      <c r="J131" s="287">
        <f>DIST_DSL_TOT!BX16</f>
        <v>0.12428972395573945</v>
      </c>
      <c r="K131" s="287">
        <f>DIST_DSL_TOT!BY16</f>
        <v>0.14517386565586077</v>
      </c>
      <c r="L131" s="287">
        <f>DIST_DSL_TOT!BZ16</f>
        <v>9.4426633648915861E-2</v>
      </c>
      <c r="M131" s="287">
        <f>DIST_DSL_TOT!CA16</f>
        <v>6.3761857716115353E-2</v>
      </c>
      <c r="N131" s="287">
        <f>DIST_DSL_TOT!CB16</f>
        <v>0.3689596163702431</v>
      </c>
      <c r="O131" s="287">
        <f>DIST_DSL_TOT!CC16</f>
        <v>6.9810216136082931E-2</v>
      </c>
      <c r="P131" s="287">
        <f>DIST_DSL_TOT!CD16</f>
        <v>3.0450105284473791E-3</v>
      </c>
      <c r="Q131" s="287">
        <f>DIST_DSL_TOT!CE16</f>
        <v>0.13053307598859518</v>
      </c>
      <c r="R131" s="286">
        <f t="shared" si="8"/>
        <v>1</v>
      </c>
      <c r="T131" s="288">
        <f t="shared" si="4"/>
        <v>1</v>
      </c>
      <c r="U131" s="288">
        <f t="shared" si="5"/>
        <v>1</v>
      </c>
      <c r="V131" s="288">
        <f t="shared" si="6"/>
        <v>1</v>
      </c>
    </row>
    <row r="132" spans="1:22">
      <c r="A132" s="127" t="s">
        <v>24</v>
      </c>
      <c r="B132" s="287">
        <f>DIST_GAS_TOT!BH17</f>
        <v>0.46659165613803322</v>
      </c>
      <c r="C132" s="287">
        <f>DIST_GAS_TOT!BI17</f>
        <v>0.1040164441216903</v>
      </c>
      <c r="D132" s="287">
        <f>DIST_GAS_TOT!BJ17</f>
        <v>2.2521559205382222E-2</v>
      </c>
      <c r="E132" s="287">
        <f>DIST_GAS_TOT!BK17</f>
        <v>0.39369833478807725</v>
      </c>
      <c r="F132" s="287">
        <f>DIST_GAS_TOT!BL17</f>
        <v>8.2728106304542273E-3</v>
      </c>
      <c r="G132" s="287">
        <f>DIST_GAS_TOT!BM17</f>
        <v>4.8991951163628025E-3</v>
      </c>
      <c r="H132" s="287">
        <f>DIST_ALC_TOT!AB17</f>
        <v>0.83552275743543591</v>
      </c>
      <c r="I132" s="287">
        <f>DIST_ALC_TOT!AC17</f>
        <v>0.16447724256456411</v>
      </c>
      <c r="J132" s="287">
        <f>DIST_DSL_TOT!BX17</f>
        <v>0.13858261429058941</v>
      </c>
      <c r="K132" s="287">
        <f>DIST_DSL_TOT!BY17</f>
        <v>0.1618665813658649</v>
      </c>
      <c r="L132" s="287">
        <f>DIST_DSL_TOT!BZ17</f>
        <v>7.2931640905247841E-2</v>
      </c>
      <c r="M132" s="287">
        <f>DIST_DSL_TOT!CA17</f>
        <v>6.1294667506296127E-2</v>
      </c>
      <c r="N132" s="287">
        <f>DIST_DSL_TOT!CB17</f>
        <v>0.3792593080026862</v>
      </c>
      <c r="O132" s="287">
        <f>DIST_DSL_TOT!CC17</f>
        <v>7.1793900148593409E-2</v>
      </c>
      <c r="P132" s="287">
        <f>DIST_DSL_TOT!CD17</f>
        <v>1.8098509365616362E-3</v>
      </c>
      <c r="Q132" s="287">
        <f>DIST_DSL_TOT!CE17</f>
        <v>0.11246143684416049</v>
      </c>
      <c r="R132" s="286">
        <f t="shared" si="8"/>
        <v>1</v>
      </c>
      <c r="T132" s="288">
        <f t="shared" si="4"/>
        <v>1</v>
      </c>
      <c r="U132" s="288">
        <f t="shared" si="5"/>
        <v>1</v>
      </c>
      <c r="V132" s="288">
        <f t="shared" si="6"/>
        <v>1</v>
      </c>
    </row>
    <row r="133" spans="1:22">
      <c r="A133" s="127" t="s">
        <v>25</v>
      </c>
      <c r="B133" s="287">
        <f>DIST_GAS_TOT!BH18</f>
        <v>0.58261476810100021</v>
      </c>
      <c r="C133" s="287">
        <f>DIST_GAS_TOT!BI18</f>
        <v>9.3275149355118728E-2</v>
      </c>
      <c r="D133" s="287">
        <f>DIST_GAS_TOT!BJ18</f>
        <v>1.3959634697149141E-2</v>
      </c>
      <c r="E133" s="287">
        <f>DIST_GAS_TOT!BK18</f>
        <v>0.30010999698813989</v>
      </c>
      <c r="F133" s="287">
        <f>DIST_GAS_TOT!BL18</f>
        <v>6.3064004751405209E-3</v>
      </c>
      <c r="G133" s="287">
        <f>DIST_GAS_TOT!BM18</f>
        <v>3.7340503834515913E-3</v>
      </c>
      <c r="H133" s="287">
        <f>DIST_ALC_TOT!AB18</f>
        <v>0.88569643428838862</v>
      </c>
      <c r="I133" s="287">
        <f>DIST_ALC_TOT!AC18</f>
        <v>0.11430356571161134</v>
      </c>
      <c r="J133" s="287">
        <f>DIST_DSL_TOT!BX18</f>
        <v>0.13022786037994058</v>
      </c>
      <c r="K133" s="287">
        <f>DIST_DSL_TOT!BY18</f>
        <v>0.15212151190744014</v>
      </c>
      <c r="L133" s="287">
        <f>DIST_DSL_TOT!BZ18</f>
        <v>7.9129834648547198E-2</v>
      </c>
      <c r="M133" s="287">
        <f>DIST_DSL_TOT!CA18</f>
        <v>6.645679832180694E-2</v>
      </c>
      <c r="N133" s="287">
        <f>DIST_DSL_TOT!CB18</f>
        <v>0.38593063260756821</v>
      </c>
      <c r="O133" s="287">
        <f>DIST_DSL_TOT!CC18</f>
        <v>7.3039177741927863E-2</v>
      </c>
      <c r="P133" s="287">
        <f>DIST_DSL_TOT!CD18</f>
        <v>2.6259271951671217E-3</v>
      </c>
      <c r="Q133" s="287">
        <f>DIST_DSL_TOT!CE18</f>
        <v>0.11046825719760198</v>
      </c>
      <c r="R133" s="286">
        <f t="shared" si="8"/>
        <v>1</v>
      </c>
      <c r="T133" s="288">
        <f t="shared" si="4"/>
        <v>1</v>
      </c>
      <c r="U133" s="288">
        <f t="shared" si="5"/>
        <v>1</v>
      </c>
      <c r="V133" s="288">
        <f t="shared" si="6"/>
        <v>1</v>
      </c>
    </row>
    <row r="134" spans="1:22">
      <c r="A134" s="127" t="s">
        <v>26</v>
      </c>
      <c r="B134" s="287">
        <f>DIST_GAS_TOT!BH19</f>
        <v>0.60667067001270691</v>
      </c>
      <c r="C134" s="287">
        <f>DIST_GAS_TOT!BI19</f>
        <v>0.10081010987600343</v>
      </c>
      <c r="D134" s="287">
        <f>DIST_GAS_TOT!BJ19</f>
        <v>8.9966110335283501E-3</v>
      </c>
      <c r="E134" s="287">
        <f>DIST_GAS_TOT!BK19</f>
        <v>0.2743442265260056</v>
      </c>
      <c r="F134" s="287">
        <f>DIST_GAS_TOT!BL19</f>
        <v>5.764859466236302E-3</v>
      </c>
      <c r="G134" s="287">
        <f>DIST_GAS_TOT!BM19</f>
        <v>3.4135230855194473E-3</v>
      </c>
      <c r="H134" s="287">
        <f>DIST_ALC_TOT!AB19</f>
        <v>0.88168731880381124</v>
      </c>
      <c r="I134" s="287">
        <f>DIST_ALC_TOT!AC19</f>
        <v>0.11831268119618885</v>
      </c>
      <c r="J134" s="287">
        <f>DIST_DSL_TOT!BX19</f>
        <v>0.13335143545458036</v>
      </c>
      <c r="K134" s="287">
        <f>DIST_DSL_TOT!BY19</f>
        <v>0.1557608843062932</v>
      </c>
      <c r="L134" s="287">
        <f>DIST_DSL_TOT!BZ19</f>
        <v>0.10916024347576019</v>
      </c>
      <c r="M134" s="287">
        <f>DIST_DSL_TOT!CA19</f>
        <v>7.8345187385836901E-2</v>
      </c>
      <c r="N134" s="287">
        <f>DIST_DSL_TOT!CB19</f>
        <v>0.37384075007806938</v>
      </c>
      <c r="O134" s="287">
        <f>DIST_DSL_TOT!CC19</f>
        <v>7.0739595453093732E-2</v>
      </c>
      <c r="P134" s="287">
        <f>DIST_DSL_TOT!CD19</f>
        <v>1.7596954187062801E-3</v>
      </c>
      <c r="Q134" s="287">
        <f>DIST_DSL_TOT!CE19</f>
        <v>7.7042208427659964E-2</v>
      </c>
      <c r="R134" s="286">
        <f t="shared" si="8"/>
        <v>1</v>
      </c>
      <c r="T134" s="288">
        <f t="shared" ref="T134:T151" si="9">B134+C134+D134+E134+F134+G134</f>
        <v>1</v>
      </c>
      <c r="U134" s="288">
        <f t="shared" ref="U134:U151" si="10">H134+I134</f>
        <v>1</v>
      </c>
      <c r="V134" s="288">
        <f t="shared" ref="V134:V151" si="11">J134+K134+L134+M134+N134+O134+P134+Q134</f>
        <v>1</v>
      </c>
    </row>
    <row r="135" spans="1:22">
      <c r="A135" s="127" t="s">
        <v>27</v>
      </c>
      <c r="B135" s="287">
        <f>DIST_GAS_TOT!BH20</f>
        <v>0.47916534988491</v>
      </c>
      <c r="C135" s="287">
        <f>DIST_GAS_TOT!BI20</f>
        <v>7.7884720580512837E-2</v>
      </c>
      <c r="D135" s="287">
        <f>DIST_GAS_TOT!BJ20</f>
        <v>2.3054425932975547E-2</v>
      </c>
      <c r="E135" s="287">
        <f>DIST_GAS_TOT!BK20</f>
        <v>0.40630219678574542</v>
      </c>
      <c r="F135" s="287">
        <f>DIST_GAS_TOT!BL20</f>
        <v>8.537765591623378E-3</v>
      </c>
      <c r="G135" s="287">
        <f>DIST_GAS_TOT!BM20</f>
        <v>5.0555412242327671E-3</v>
      </c>
      <c r="H135" s="287">
        <f>DIST_ALC_TOT!AB20</f>
        <v>0.87557244850689409</v>
      </c>
      <c r="I135" s="287">
        <f>DIST_ALC_TOT!AC20</f>
        <v>0.12442755149310603</v>
      </c>
      <c r="J135" s="287">
        <f>DIST_DSL_TOT!BX20</f>
        <v>0.13094888607502117</v>
      </c>
      <c r="K135" s="287">
        <f>DIST_DSL_TOT!BY20</f>
        <v>0.15294991992249934</v>
      </c>
      <c r="L135" s="287">
        <f>DIST_DSL_TOT!BZ20</f>
        <v>7.2065986798122039E-2</v>
      </c>
      <c r="M135" s="287">
        <f>DIST_DSL_TOT!CA20</f>
        <v>5.0806688244411327E-2</v>
      </c>
      <c r="N135" s="287">
        <f>DIST_DSL_TOT!CB20</f>
        <v>0.37014651166011059</v>
      </c>
      <c r="O135" s="287">
        <f>DIST_DSL_TOT!CC20</f>
        <v>7.0057938859696883E-2</v>
      </c>
      <c r="P135" s="287">
        <f>DIST_DSL_TOT!CD20</f>
        <v>3.2778772993864438E-3</v>
      </c>
      <c r="Q135" s="287">
        <f>DIST_DSL_TOT!CE20</f>
        <v>0.1497461911407523</v>
      </c>
      <c r="R135" s="286">
        <f t="shared" si="8"/>
        <v>1</v>
      </c>
      <c r="T135" s="288">
        <f t="shared" si="9"/>
        <v>1</v>
      </c>
      <c r="U135" s="288">
        <f t="shared" si="10"/>
        <v>1</v>
      </c>
      <c r="V135" s="288">
        <f t="shared" si="11"/>
        <v>1</v>
      </c>
    </row>
    <row r="136" spans="1:22" ht="25.5">
      <c r="A136" s="127" t="s">
        <v>28</v>
      </c>
      <c r="B136" s="287">
        <f>DIST_GAS_TOT!BH21</f>
        <v>0.58358837729974311</v>
      </c>
      <c r="C136" s="287">
        <f>DIST_GAS_TOT!BI21</f>
        <v>0.10705494140831032</v>
      </c>
      <c r="D136" s="287">
        <f>DIST_GAS_TOT!BJ21</f>
        <v>1.3100152927656291E-2</v>
      </c>
      <c r="E136" s="287">
        <f>DIST_GAS_TOT!BK21</f>
        <v>0.28666582110716948</v>
      </c>
      <c r="F136" s="287">
        <f>DIST_GAS_TOT!BL21</f>
        <v>6.0237259142319659E-3</v>
      </c>
      <c r="G136" s="287">
        <f>DIST_GAS_TOT!BM21</f>
        <v>3.5669813428890322E-3</v>
      </c>
      <c r="H136" s="287">
        <f>DIST_ALC_TOT!AB21</f>
        <v>0.87997310911136806</v>
      </c>
      <c r="I136" s="287">
        <f>DIST_ALC_TOT!AC21</f>
        <v>0.12002689088863189</v>
      </c>
      <c r="J136" s="287">
        <f>DIST_DSL_TOT!BX21</f>
        <v>0.13300993119718652</v>
      </c>
      <c r="K136" s="287">
        <f>DIST_DSL_TOT!BY21</f>
        <v>0.15537275589717545</v>
      </c>
      <c r="L136" s="287">
        <f>DIST_DSL_TOT!BZ21</f>
        <v>8.0957438816861529E-2</v>
      </c>
      <c r="M136" s="287">
        <f>DIST_DSL_TOT!CA21</f>
        <v>7.2146525848255358E-2</v>
      </c>
      <c r="N136" s="287">
        <f>DIST_DSL_TOT!CB21</f>
        <v>0.370390458449117</v>
      </c>
      <c r="O136" s="287">
        <f>DIST_DSL_TOT!CC21</f>
        <v>7.0126801040017742E-2</v>
      </c>
      <c r="P136" s="287">
        <f>DIST_DSL_TOT!CD21</f>
        <v>2.5835595984034371E-3</v>
      </c>
      <c r="Q136" s="287">
        <f>DIST_DSL_TOT!CE21</f>
        <v>0.1154125291529832</v>
      </c>
      <c r="R136" s="286">
        <f t="shared" si="8"/>
        <v>1</v>
      </c>
      <c r="T136" s="288">
        <f t="shared" si="9"/>
        <v>1.0000000000000002</v>
      </c>
      <c r="U136" s="288">
        <f t="shared" si="10"/>
        <v>1</v>
      </c>
      <c r="V136" s="288">
        <f t="shared" si="11"/>
        <v>1.0000000000000002</v>
      </c>
    </row>
    <row r="137" spans="1:22" ht="15.75" thickBot="1">
      <c r="A137" s="128" t="s">
        <v>29</v>
      </c>
      <c r="B137" s="287">
        <f>DIST_GAS_TOT!BH22</f>
        <v>0.62023386694445348</v>
      </c>
      <c r="C137" s="287">
        <f>DIST_GAS_TOT!BI22</f>
        <v>9.1579231829574503E-2</v>
      </c>
      <c r="D137" s="287">
        <f>DIST_GAS_TOT!BJ22</f>
        <v>1.4918558657448698E-2</v>
      </c>
      <c r="E137" s="287">
        <f>DIST_GAS_TOT!BK22</f>
        <v>0.26442143072748459</v>
      </c>
      <c r="F137" s="287">
        <f>DIST_GAS_TOT!BL22</f>
        <v>5.5565844299547982E-3</v>
      </c>
      <c r="G137" s="287">
        <f>DIST_GAS_TOT!BM22</f>
        <v>3.2903274110839542E-3</v>
      </c>
      <c r="H137" s="287">
        <f>DIST_ALC_TOT!AB22</f>
        <v>0.89739798587165787</v>
      </c>
      <c r="I137" s="287">
        <f>DIST_ALC_TOT!AC22</f>
        <v>0.10260201412834218</v>
      </c>
      <c r="J137" s="287">
        <f>DIST_DSL_TOT!BX22</f>
        <v>0.12010510020339261</v>
      </c>
      <c r="K137" s="287">
        <f>DIST_DSL_TOT!BY22</f>
        <v>0.14028495180642023</v>
      </c>
      <c r="L137" s="287">
        <f>DIST_DSL_TOT!BZ22</f>
        <v>7.1786938507979542E-2</v>
      </c>
      <c r="M137" s="287">
        <f>DIST_DSL_TOT!CA22</f>
        <v>6.6093278700075128E-2</v>
      </c>
      <c r="N137" s="287">
        <f>DIST_DSL_TOT!CB22</f>
        <v>0.45694761028269681</v>
      </c>
      <c r="O137" s="287">
        <f>DIST_DSL_TOT!CC22</f>
        <v>8.6443131238011575E-2</v>
      </c>
      <c r="P137" s="287">
        <f>DIST_DSL_TOT!CD22</f>
        <v>1.5251258553182581E-3</v>
      </c>
      <c r="Q137" s="287">
        <f>DIST_DSL_TOT!CE22</f>
        <v>5.6813863406105759E-2</v>
      </c>
      <c r="R137" s="286">
        <f t="shared" si="8"/>
        <v>1</v>
      </c>
      <c r="T137" s="288">
        <f t="shared" si="9"/>
        <v>1</v>
      </c>
      <c r="U137" s="288">
        <f t="shared" si="10"/>
        <v>1</v>
      </c>
      <c r="V137" s="288">
        <f t="shared" si="11"/>
        <v>0.99999999999999989</v>
      </c>
    </row>
    <row r="138" spans="1:22">
      <c r="A138" s="269" t="s">
        <v>64</v>
      </c>
      <c r="B138" s="287">
        <f>DIST_GAS_TOT!BH23</f>
        <v>0.68790694872258895</v>
      </c>
      <c r="C138" s="287">
        <f>DIST_GAS_TOT!BI23</f>
        <v>0.11349407889523283</v>
      </c>
      <c r="D138" s="287">
        <f>DIST_GAS_TOT!BJ23</f>
        <v>9.4392660867654542E-3</v>
      </c>
      <c r="E138" s="287">
        <f>DIST_GAS_TOT!BK23</f>
        <v>0.18303607380099413</v>
      </c>
      <c r="F138" s="287">
        <f>DIST_GAS_TOT!BL23</f>
        <v>3.8461540176375278E-3</v>
      </c>
      <c r="G138" s="287">
        <f>DIST_GAS_TOT!BM23</f>
        <v>2.2774784767813599E-3</v>
      </c>
      <c r="H138" s="287">
        <f>DIST_ALC_TOT!AB23</f>
        <v>0.88772752364091512</v>
      </c>
      <c r="I138" s="287">
        <f>DIST_ALC_TOT!AC23</f>
        <v>0.11227247635908473</v>
      </c>
      <c r="J138" s="287">
        <f>DIST_DSL_TOT!BX23</f>
        <v>0.1174727542944196</v>
      </c>
      <c r="K138" s="287">
        <f>DIST_DSL_TOT!BY23</f>
        <v>0.13721196984999662</v>
      </c>
      <c r="L138" s="287">
        <f>DIST_DSL_TOT!BZ23</f>
        <v>0.16048851909539325</v>
      </c>
      <c r="M138" s="287">
        <f>DIST_DSL_TOT!CA23</f>
        <v>5.8286579045832412E-2</v>
      </c>
      <c r="N138" s="287">
        <f>DIST_DSL_TOT!CB23</f>
        <v>0.40122267231901892</v>
      </c>
      <c r="O138" s="287">
        <f>DIST_DSL_TOT!CC23</f>
        <v>6.1180279673506928E-2</v>
      </c>
      <c r="P138" s="287">
        <f>DIST_DSL_TOT!CD23</f>
        <v>1.4644708080349901E-3</v>
      </c>
      <c r="Q138" s="287">
        <f>DIST_DSL_TOT!CE23</f>
        <v>6.267275491379741E-2</v>
      </c>
      <c r="R138" s="286">
        <f t="shared" si="8"/>
        <v>1</v>
      </c>
      <c r="T138" s="288">
        <f t="shared" si="9"/>
        <v>1.0000000000000004</v>
      </c>
      <c r="U138" s="288">
        <f t="shared" si="10"/>
        <v>0.99999999999999989</v>
      </c>
      <c r="V138" s="288">
        <f t="shared" si="11"/>
        <v>1</v>
      </c>
    </row>
    <row r="139" spans="1:22">
      <c r="A139" s="127" t="s">
        <v>31</v>
      </c>
      <c r="B139" s="287">
        <f>DIST_GAS_TOT!BH24</f>
        <v>0.65415753415938005</v>
      </c>
      <c r="C139" s="287">
        <f>DIST_GAS_TOT!BI24</f>
        <v>0.11582928216404585</v>
      </c>
      <c r="D139" s="287">
        <f>DIST_GAS_TOT!BJ24</f>
        <v>1.5215590282726187E-2</v>
      </c>
      <c r="E139" s="287">
        <f>DIST_GAS_TOT!BK24</f>
        <v>0.20784416284100257</v>
      </c>
      <c r="F139" s="287">
        <f>DIST_GAS_TOT!BL24</f>
        <v>4.3672995715559586E-3</v>
      </c>
      <c r="G139" s="287">
        <f>DIST_GAS_TOT!BM24</f>
        <v>2.5861309812894701E-3</v>
      </c>
      <c r="H139" s="287">
        <f>DIST_ALC_TOT!AB24</f>
        <v>0.87347818525555687</v>
      </c>
      <c r="I139" s="287">
        <f>DIST_ALC_TOT!AC24</f>
        <v>0.12652181474444324</v>
      </c>
      <c r="J139" s="287">
        <f>DIST_DSL_TOT!BX24</f>
        <v>8.8744039709449371E-2</v>
      </c>
      <c r="K139" s="287">
        <f>DIST_DSL_TOT!BY24</f>
        <v>0.10365767073399211</v>
      </c>
      <c r="L139" s="287">
        <f>DIST_DSL_TOT!BZ24</f>
        <v>0.15914499708184168</v>
      </c>
      <c r="M139" s="287">
        <f>DIST_DSL_TOT!CA24</f>
        <v>4.8285620415003755E-2</v>
      </c>
      <c r="N139" s="287">
        <f>DIST_DSL_TOT!CB24</f>
        <v>0.42988747443925546</v>
      </c>
      <c r="O139" s="287">
        <f>DIST_DSL_TOT!CC24</f>
        <v>7.6801857218300643E-2</v>
      </c>
      <c r="P139" s="287">
        <f>DIST_DSL_TOT!CD24</f>
        <v>1.9576567895949562E-3</v>
      </c>
      <c r="Q139" s="287">
        <f>DIST_DSL_TOT!CE24</f>
        <v>9.1520683612562104E-2</v>
      </c>
      <c r="R139" s="286">
        <f t="shared" si="8"/>
        <v>1</v>
      </c>
      <c r="T139" s="288">
        <f t="shared" si="9"/>
        <v>1.0000000000000002</v>
      </c>
      <c r="U139" s="288">
        <f t="shared" si="10"/>
        <v>1</v>
      </c>
      <c r="V139" s="288">
        <f t="shared" si="11"/>
        <v>1</v>
      </c>
    </row>
    <row r="140" spans="1:22">
      <c r="A140" s="127" t="s">
        <v>32</v>
      </c>
      <c r="B140" s="287">
        <f>DIST_GAS_TOT!BH25</f>
        <v>0.66978194553148396</v>
      </c>
      <c r="C140" s="287">
        <f>DIST_GAS_TOT!BI25</f>
        <v>0.10918921762795607</v>
      </c>
      <c r="D140" s="287">
        <f>DIST_GAS_TOT!BJ25</f>
        <v>7.1863705647847477E-3</v>
      </c>
      <c r="E140" s="287">
        <f>DIST_GAS_TOT!BK25</f>
        <v>0.20691980735094284</v>
      </c>
      <c r="F140" s="287">
        <f>DIST_GAS_TOT!BL25</f>
        <v>4.3480003122027639E-3</v>
      </c>
      <c r="G140" s="287">
        <f>DIST_GAS_TOT!BM25</f>
        <v>2.574658612629593E-3</v>
      </c>
      <c r="H140" s="287">
        <f>DIST_ALC_TOT!AB25</f>
        <v>0.88050269845050833</v>
      </c>
      <c r="I140" s="287">
        <f>DIST_ALC_TOT!AC25</f>
        <v>0.11949730154949154</v>
      </c>
      <c r="J140" s="287">
        <f>DIST_DSL_TOT!BX25</f>
        <v>0.14695310373959167</v>
      </c>
      <c r="K140" s="287">
        <f>DIST_DSL_TOT!BY25</f>
        <v>0.17164416756707576</v>
      </c>
      <c r="L140" s="287">
        <f>DIST_DSL_TOT!BZ25</f>
        <v>0.18874416095130891</v>
      </c>
      <c r="M140" s="287">
        <f>DIST_DSL_TOT!CA25</f>
        <v>3.7496064433299531E-2</v>
      </c>
      <c r="N140" s="287">
        <f>DIST_DSL_TOT!CB25</f>
        <v>0.34575010774755471</v>
      </c>
      <c r="O140" s="287">
        <f>DIST_DSL_TOT!CC25</f>
        <v>4.8581103613055107E-2</v>
      </c>
      <c r="P140" s="287">
        <f>DIST_DSL_TOT!CD25</f>
        <v>1.3356178549189591E-3</v>
      </c>
      <c r="Q140" s="287">
        <f>DIST_DSL_TOT!CE25</f>
        <v>5.9495674093195387E-2</v>
      </c>
      <c r="R140" s="286">
        <f t="shared" si="8"/>
        <v>1</v>
      </c>
      <c r="T140" s="288">
        <f t="shared" si="9"/>
        <v>1</v>
      </c>
      <c r="U140" s="288">
        <f t="shared" si="10"/>
        <v>0.99999999999999989</v>
      </c>
      <c r="V140" s="288">
        <f t="shared" si="11"/>
        <v>1</v>
      </c>
    </row>
    <row r="141" spans="1:22">
      <c r="A141" s="127" t="s">
        <v>33</v>
      </c>
      <c r="B141" s="287">
        <f>DIST_GAS_TOT!BH26</f>
        <v>0.70227484153049347</v>
      </c>
      <c r="C141" s="287">
        <f>DIST_GAS_TOT!BI26</f>
        <v>0.13363139725643744</v>
      </c>
      <c r="D141" s="287">
        <f>DIST_GAS_TOT!BJ26</f>
        <v>9.173853490224983E-3</v>
      </c>
      <c r="E141" s="287">
        <f>DIST_GAS_TOT!BK26</f>
        <v>0.14990475832494418</v>
      </c>
      <c r="F141" s="287">
        <f>DIST_GAS_TOT!BL26</f>
        <v>3.149965361092728E-3</v>
      </c>
      <c r="G141" s="287">
        <f>DIST_GAS_TOT!BM26</f>
        <v>1.8651840368073319E-3</v>
      </c>
      <c r="H141" s="287">
        <f>DIST_ALC_TOT!AB26</f>
        <v>0.89798929177620501</v>
      </c>
      <c r="I141" s="287">
        <f>DIST_ALC_TOT!AC26</f>
        <v>0.10201070822379499</v>
      </c>
      <c r="J141" s="287">
        <f>DIST_DSL_TOT!BX26</f>
        <v>7.7831156869442308E-2</v>
      </c>
      <c r="K141" s="287">
        <f>DIST_DSL_TOT!BY26</f>
        <v>9.0910369291776941E-2</v>
      </c>
      <c r="L141" s="287">
        <f>DIST_DSL_TOT!BZ26</f>
        <v>5.787986983605764E-2</v>
      </c>
      <c r="M141" s="287">
        <f>DIST_DSL_TOT!CA26</f>
        <v>0.11246315414100254</v>
      </c>
      <c r="N141" s="287">
        <f>DIST_DSL_TOT!CB26</f>
        <v>0.51532859465958281</v>
      </c>
      <c r="O141" s="287">
        <f>DIST_DSL_TOT!CC26</f>
        <v>0.10048622154597654</v>
      </c>
      <c r="P141" s="287">
        <f>DIST_DSL_TOT!CD26</f>
        <v>1.1724865447519147E-3</v>
      </c>
      <c r="Q141" s="287">
        <f>DIST_DSL_TOT!CE26</f>
        <v>4.3928147111409424E-2</v>
      </c>
      <c r="R141" s="286">
        <f t="shared" si="8"/>
        <v>1</v>
      </c>
      <c r="T141" s="288">
        <f t="shared" si="9"/>
        <v>1.0000000000000002</v>
      </c>
      <c r="U141" s="288">
        <f t="shared" si="10"/>
        <v>1</v>
      </c>
      <c r="V141" s="288">
        <f t="shared" si="11"/>
        <v>1</v>
      </c>
    </row>
    <row r="142" spans="1:22" ht="15.75" thickBot="1">
      <c r="A142" s="128" t="s">
        <v>34</v>
      </c>
      <c r="B142" s="287">
        <f>DIST_GAS_TOT!BH27</f>
        <v>0.69556310287418721</v>
      </c>
      <c r="C142" s="287">
        <f>DIST_GAS_TOT!BI27</f>
        <v>0.11097390114415762</v>
      </c>
      <c r="D142" s="287">
        <f>DIST_GAS_TOT!BJ27</f>
        <v>1.0049062076017643E-2</v>
      </c>
      <c r="E142" s="287">
        <f>DIST_GAS_TOT!BK27</f>
        <v>0.17747627475702224</v>
      </c>
      <c r="F142" s="287">
        <f>DIST_GAS_TOT!BL27</f>
        <v>3.7293475034435651E-3</v>
      </c>
      <c r="G142" s="287">
        <f>DIST_GAS_TOT!BM27</f>
        <v>2.2083116451719165E-3</v>
      </c>
      <c r="H142" s="287">
        <f>DIST_ALC_TOT!AB27</f>
        <v>0.88778674998140927</v>
      </c>
      <c r="I142" s="287">
        <f>DIST_ALC_TOT!AC27</f>
        <v>0.11221325001859077</v>
      </c>
      <c r="J142" s="287">
        <f>DIST_DSL_TOT!BX27</f>
        <v>0.11370027756976921</v>
      </c>
      <c r="K142" s="287">
        <f>DIST_DSL_TOT!BY27</f>
        <v>0.13280613767416038</v>
      </c>
      <c r="L142" s="287">
        <f>DIST_DSL_TOT!BZ27</f>
        <v>0.16942865788103123</v>
      </c>
      <c r="M142" s="287">
        <f>DIST_DSL_TOT!CA27</f>
        <v>5.7592472475911198E-2</v>
      </c>
      <c r="N142" s="287">
        <f>DIST_DSL_TOT!CB27</f>
        <v>0.40147425845890339</v>
      </c>
      <c r="O142" s="287">
        <f>DIST_DSL_TOT!CC27</f>
        <v>5.7346591407677276E-2</v>
      </c>
      <c r="P142" s="287">
        <f>DIST_DSL_TOT!CD27</f>
        <v>1.555496474703441E-3</v>
      </c>
      <c r="Q142" s="287">
        <f>DIST_DSL_TOT!CE27</f>
        <v>6.6096108057843939E-2</v>
      </c>
      <c r="R142" s="286">
        <f t="shared" si="8"/>
        <v>1</v>
      </c>
      <c r="T142" s="288">
        <f t="shared" si="9"/>
        <v>1.0000000000000002</v>
      </c>
      <c r="U142" s="288">
        <f t="shared" si="10"/>
        <v>1</v>
      </c>
      <c r="V142" s="288">
        <f t="shared" si="11"/>
        <v>1</v>
      </c>
    </row>
    <row r="143" spans="1:22">
      <c r="A143" s="269" t="s">
        <v>69</v>
      </c>
      <c r="B143" s="287">
        <f>DIST_GAS_TOT!BH28</f>
        <v>0.72110233564347603</v>
      </c>
      <c r="C143" s="287">
        <f>DIST_GAS_TOT!BI28</f>
        <v>0.10422797195832118</v>
      </c>
      <c r="D143" s="287">
        <f>DIST_GAS_TOT!BJ28</f>
        <v>1.2207190396154038E-2</v>
      </c>
      <c r="E143" s="287">
        <f>DIST_GAS_TOT!BK28</f>
        <v>0.15720308851840809</v>
      </c>
      <c r="F143" s="287">
        <f>DIST_GAS_TOT!BL28</f>
        <v>3.3033246217569674E-3</v>
      </c>
      <c r="G143" s="287">
        <f>DIST_GAS_TOT!BM28</f>
        <v>1.9560888618837149E-3</v>
      </c>
      <c r="H143" s="287">
        <f>DIST_ALC_TOT!AB28</f>
        <v>0.89022514734055946</v>
      </c>
      <c r="I143" s="287">
        <f>DIST_ALC_TOT!AC28</f>
        <v>0.10977485265944051</v>
      </c>
      <c r="J143" s="287">
        <f>DIST_DSL_TOT!BX28</f>
        <v>0.1330597497157435</v>
      </c>
      <c r="K143" s="287">
        <f>DIST_DSL_TOT!BY28</f>
        <v>0.15542099360554409</v>
      </c>
      <c r="L143" s="287">
        <f>DIST_DSL_TOT!BZ28</f>
        <v>0.26328431833042482</v>
      </c>
      <c r="M143" s="287">
        <f>DIST_DSL_TOT!CA28</f>
        <v>3.1399820043262194E-2</v>
      </c>
      <c r="N143" s="287">
        <f>DIST_DSL_TOT!CB28</f>
        <v>0.29333234402486547</v>
      </c>
      <c r="O143" s="287">
        <f>DIST_DSL_TOT!CC28</f>
        <v>4.4119882500621141E-2</v>
      </c>
      <c r="P143" s="287">
        <f>DIST_DSL_TOT!CD28</f>
        <v>1.9741825546646316E-3</v>
      </c>
      <c r="Q143" s="287">
        <f>DIST_DSL_TOT!CE28</f>
        <v>7.7408709224874139E-2</v>
      </c>
      <c r="R143" s="286">
        <f t="shared" si="8"/>
        <v>1</v>
      </c>
      <c r="T143" s="288">
        <f t="shared" si="9"/>
        <v>1.0000000000000002</v>
      </c>
      <c r="U143" s="288">
        <f t="shared" si="10"/>
        <v>1</v>
      </c>
      <c r="V143" s="288">
        <f t="shared" si="11"/>
        <v>1</v>
      </c>
    </row>
    <row r="144" spans="1:22">
      <c r="A144" s="127" t="s">
        <v>36</v>
      </c>
      <c r="B144" s="287">
        <f>DIST_GAS_TOT!BH29</f>
        <v>0.71004373099263984</v>
      </c>
      <c r="C144" s="287">
        <f>DIST_GAS_TOT!BI29</f>
        <v>0.10838310918802026</v>
      </c>
      <c r="D144" s="287">
        <f>DIST_GAS_TOT!BJ29</f>
        <v>1.337755317091685E-2</v>
      </c>
      <c r="E144" s="287">
        <f>DIST_GAS_TOT!BK29</f>
        <v>0.16275054458687391</v>
      </c>
      <c r="F144" s="287">
        <f>DIST_GAS_TOT!BL29</f>
        <v>3.4199248135521345E-3</v>
      </c>
      <c r="G144" s="287">
        <f>DIST_GAS_TOT!BM29</f>
        <v>2.025137247996911E-3</v>
      </c>
      <c r="H144" s="287">
        <f>DIST_ALC_TOT!AB29</f>
        <v>0.88921671924855661</v>
      </c>
      <c r="I144" s="287">
        <f>DIST_ALC_TOT!AC29</f>
        <v>0.11078328075144336</v>
      </c>
      <c r="J144" s="287">
        <f>DIST_DSL_TOT!BX29</f>
        <v>0.13076922440847033</v>
      </c>
      <c r="K144" s="287">
        <f>DIST_DSL_TOT!BY29</f>
        <v>0.15274627767557064</v>
      </c>
      <c r="L144" s="287">
        <f>DIST_DSL_TOT!BZ29</f>
        <v>0.28265471490552907</v>
      </c>
      <c r="M144" s="287">
        <f>DIST_DSL_TOT!CA29</f>
        <v>2.8934798283439974E-2</v>
      </c>
      <c r="N144" s="287">
        <f>DIST_DSL_TOT!CB29</f>
        <v>0.28344773572519116</v>
      </c>
      <c r="O144" s="287">
        <f>DIST_DSL_TOT!CC29</f>
        <v>4.2631657877569382E-2</v>
      </c>
      <c r="P144" s="287">
        <f>DIST_DSL_TOT!CD29</f>
        <v>1.849876577764585E-3</v>
      </c>
      <c r="Q144" s="287">
        <f>DIST_DSL_TOT!CE29</f>
        <v>7.6965714546464711E-2</v>
      </c>
      <c r="R144" s="286">
        <f t="shared" si="8"/>
        <v>1</v>
      </c>
      <c r="T144" s="288">
        <f t="shared" si="9"/>
        <v>0.99999999999999989</v>
      </c>
      <c r="U144" s="288">
        <f t="shared" si="10"/>
        <v>1</v>
      </c>
      <c r="V144" s="288">
        <f t="shared" si="11"/>
        <v>0.99999999999999989</v>
      </c>
    </row>
    <row r="145" spans="1:22">
      <c r="A145" s="127" t="s">
        <v>37</v>
      </c>
      <c r="B145" s="287">
        <f>DIST_GAS_TOT!BH30</f>
        <v>0.74201345588183865</v>
      </c>
      <c r="C145" s="287">
        <f>DIST_GAS_TOT!BI30</f>
        <v>0.10059933309127669</v>
      </c>
      <c r="D145" s="287">
        <f>DIST_GAS_TOT!BJ30</f>
        <v>8.1469237049036653E-3</v>
      </c>
      <c r="E145" s="287">
        <f>DIST_GAS_TOT!BK30</f>
        <v>0.1444089775734714</v>
      </c>
      <c r="F145" s="287">
        <f>DIST_GAS_TOT!BL30</f>
        <v>3.0344576155886841E-3</v>
      </c>
      <c r="G145" s="287">
        <f>DIST_GAS_TOT!BM30</f>
        <v>1.7968521329207463E-3</v>
      </c>
      <c r="H145" s="287">
        <f>DIST_ALC_TOT!AB30</f>
        <v>0.89874524573248904</v>
      </c>
      <c r="I145" s="287">
        <f>DIST_ALC_TOT!AC30</f>
        <v>0.10125475426751095</v>
      </c>
      <c r="J145" s="287">
        <f>DIST_DSL_TOT!BX30</f>
        <v>0.13220020041336203</v>
      </c>
      <c r="K145" s="287">
        <f>DIST_DSL_TOT!BY30</f>
        <v>0.1544167384050841</v>
      </c>
      <c r="L145" s="287">
        <f>DIST_DSL_TOT!BZ30</f>
        <v>0.21628603119836393</v>
      </c>
      <c r="M145" s="287">
        <f>DIST_DSL_TOT!CA30</f>
        <v>3.4812184301339588E-2</v>
      </c>
      <c r="N145" s="287">
        <f>DIST_DSL_TOT!CB30</f>
        <v>0.33483083284688397</v>
      </c>
      <c r="O145" s="287">
        <f>DIST_DSL_TOT!CC30</f>
        <v>5.0366008168751003E-2</v>
      </c>
      <c r="P145" s="287">
        <f>DIST_DSL_TOT!CD30</f>
        <v>2.0448504203246969E-3</v>
      </c>
      <c r="Q145" s="287">
        <f>DIST_DSL_TOT!CE30</f>
        <v>7.5043154245890822E-2</v>
      </c>
      <c r="R145" s="286">
        <f t="shared" si="8"/>
        <v>1</v>
      </c>
      <c r="T145" s="288">
        <f t="shared" si="9"/>
        <v>0.99999999999999989</v>
      </c>
      <c r="U145" s="288">
        <f t="shared" si="10"/>
        <v>1</v>
      </c>
      <c r="V145" s="288">
        <f t="shared" si="11"/>
        <v>1.0000000000000002</v>
      </c>
    </row>
    <row r="146" spans="1:22" ht="15.75" thickBot="1">
      <c r="A146" s="128" t="s">
        <v>38</v>
      </c>
      <c r="B146" s="287">
        <f>DIST_GAS_TOT!BH31</f>
        <v>0.70568090195481481</v>
      </c>
      <c r="C146" s="287">
        <f>DIST_GAS_TOT!BI31</f>
        <v>0.10385141921273221</v>
      </c>
      <c r="D146" s="287">
        <f>DIST_GAS_TOT!BJ31</f>
        <v>1.653504438800683E-2</v>
      </c>
      <c r="E146" s="287">
        <f>DIST_GAS_TOT!BK31</f>
        <v>0.16830187869178562</v>
      </c>
      <c r="F146" s="287">
        <f>DIST_GAS_TOT!BL31</f>
        <v>3.5365360430829056E-3</v>
      </c>
      <c r="G146" s="287">
        <f>DIST_GAS_TOT!BM31</f>
        <v>2.0942197095776879E-3</v>
      </c>
      <c r="H146" s="287">
        <f>DIST_ALC_TOT!AB31</f>
        <v>0.89207462022525275</v>
      </c>
      <c r="I146" s="287">
        <f>DIST_ALC_TOT!AC31</f>
        <v>0.10792537977474728</v>
      </c>
      <c r="J146" s="287">
        <f>DIST_DSL_TOT!BX31</f>
        <v>0.13864285657486591</v>
      </c>
      <c r="K146" s="287">
        <f>DIST_DSL_TOT!BY31</f>
        <v>0.16194138103081865</v>
      </c>
      <c r="L146" s="287">
        <f>DIST_DSL_TOT!BZ31</f>
        <v>0.29991090288884953</v>
      </c>
      <c r="M146" s="287">
        <f>DIST_DSL_TOT!CA31</f>
        <v>3.0707096481524716E-2</v>
      </c>
      <c r="N146" s="287">
        <f>DIST_DSL_TOT!CB31</f>
        <v>0.24758098353263283</v>
      </c>
      <c r="O146" s="287">
        <f>DIST_DSL_TOT!CC31</f>
        <v>3.7234469014768568E-2</v>
      </c>
      <c r="P146" s="287">
        <f>DIST_DSL_TOT!CD31</f>
        <v>2.0959267017450823E-3</v>
      </c>
      <c r="Q146" s="287">
        <f>DIST_DSL_TOT!CE31</f>
        <v>8.1886383774794735E-2</v>
      </c>
      <c r="R146" s="286">
        <f t="shared" si="8"/>
        <v>1</v>
      </c>
      <c r="T146" s="288">
        <f t="shared" si="9"/>
        <v>1</v>
      </c>
      <c r="U146" s="288">
        <f t="shared" si="10"/>
        <v>1</v>
      </c>
      <c r="V146" s="288">
        <f t="shared" si="11"/>
        <v>0.99999999999999989</v>
      </c>
    </row>
    <row r="147" spans="1:22" ht="25.5">
      <c r="A147" s="274" t="s">
        <v>73</v>
      </c>
      <c r="B147" s="287">
        <f>DIST_GAS_TOT!BH32</f>
        <v>0.66441441554528591</v>
      </c>
      <c r="C147" s="287">
        <f>DIST_GAS_TOT!BI32</f>
        <v>0.10780265459785718</v>
      </c>
      <c r="D147" s="287">
        <f>DIST_GAS_TOT!BJ32</f>
        <v>1.86735661193736E-2</v>
      </c>
      <c r="E147" s="287">
        <f>DIST_GAS_TOT!BK32</f>
        <v>0.20233987667315967</v>
      </c>
      <c r="F147" s="287">
        <f>DIST_GAS_TOT!BL32</f>
        <v>4.2518113705030279E-3</v>
      </c>
      <c r="G147" s="287">
        <f>DIST_GAS_TOT!BM32</f>
        <v>2.5176756938205349E-3</v>
      </c>
      <c r="H147" s="287">
        <f>DIST_ALC_TOT!AB32</f>
        <v>0.86973211291629826</v>
      </c>
      <c r="I147" s="287">
        <f>DIST_ALC_TOT!AC32</f>
        <v>0.13026788708370185</v>
      </c>
      <c r="J147" s="287">
        <f>DIST_DSL_TOT!BX32</f>
        <v>0.15487380016006053</v>
      </c>
      <c r="K147" s="287">
        <f>DIST_DSL_TOT!BY32</f>
        <v>0.18089777014895073</v>
      </c>
      <c r="L147" s="287">
        <f>DIST_DSL_TOT!BZ32</f>
        <v>0.28819973801868159</v>
      </c>
      <c r="M147" s="287">
        <f>DIST_DSL_TOT!CA32</f>
        <v>1.7159592469217635E-2</v>
      </c>
      <c r="N147" s="287">
        <f>DIST_DSL_TOT!CB32</f>
        <v>0.23571530522759701</v>
      </c>
      <c r="O147" s="287">
        <f>DIST_DSL_TOT!CC32</f>
        <v>3.1291004883198359E-2</v>
      </c>
      <c r="P147" s="287">
        <f>DIST_DSL_TOT!CD32</f>
        <v>1.8834285214446235E-3</v>
      </c>
      <c r="Q147" s="287">
        <f>DIST_DSL_TOT!CE32</f>
        <v>8.9979360570849584E-2</v>
      </c>
      <c r="R147" s="286">
        <f t="shared" si="8"/>
        <v>1</v>
      </c>
      <c r="T147" s="288">
        <f t="shared" si="9"/>
        <v>1</v>
      </c>
      <c r="U147" s="288">
        <f t="shared" si="10"/>
        <v>1</v>
      </c>
      <c r="V147" s="288">
        <f t="shared" si="11"/>
        <v>1</v>
      </c>
    </row>
    <row r="148" spans="1:22">
      <c r="A148" s="127" t="s">
        <v>40</v>
      </c>
      <c r="B148" s="287">
        <f>DIST_GAS_TOT!BH33</f>
        <v>0.82241121633688208</v>
      </c>
      <c r="C148" s="287">
        <f>DIST_GAS_TOT!BI33</f>
        <v>0.10996126948477586</v>
      </c>
      <c r="D148" s="287">
        <f>DIST_GAS_TOT!BJ33</f>
        <v>1.9907048833716287E-3</v>
      </c>
      <c r="E148" s="287">
        <f>DIST_GAS_TOT!BK33</f>
        <v>6.351192954673672E-2</v>
      </c>
      <c r="F148" s="287">
        <f>DIST_GAS_TOT!BL33</f>
        <v>1.3345467771281342E-3</v>
      </c>
      <c r="G148" s="287">
        <f>DIST_GAS_TOT!BM33</f>
        <v>7.9033297110566478E-4</v>
      </c>
      <c r="H148" s="287">
        <f>DIST_ALC_TOT!AB33</f>
        <v>0.8968406536468162</v>
      </c>
      <c r="I148" s="287">
        <f>DIST_ALC_TOT!AC33</f>
        <v>0.10315934635318379</v>
      </c>
      <c r="J148" s="287">
        <f>DIST_DSL_TOT!BX33</f>
        <v>0.12850586643316356</v>
      </c>
      <c r="K148" s="287">
        <f>DIST_DSL_TOT!BY33</f>
        <v>0.15009702374287393</v>
      </c>
      <c r="L148" s="287">
        <f>DIST_DSL_TOT!BZ33</f>
        <v>0.11675593336936518</v>
      </c>
      <c r="M148" s="287">
        <f>DIST_DSL_TOT!CA33</f>
        <v>4.1129484811999156E-2</v>
      </c>
      <c r="N148" s="287">
        <f>DIST_DSL_TOT!CB33</f>
        <v>0.41242485360530867</v>
      </c>
      <c r="O148" s="287">
        <f>DIST_DSL_TOT!CC33</f>
        <v>5.4742856239538437E-2</v>
      </c>
      <c r="P148" s="287">
        <f>DIST_DSL_TOT!CD33</f>
        <v>2.5267633692233529E-3</v>
      </c>
      <c r="Q148" s="287">
        <f>DIST_DSL_TOT!CE33</f>
        <v>9.3817218428527915E-2</v>
      </c>
      <c r="R148" s="286">
        <f t="shared" si="8"/>
        <v>1</v>
      </c>
      <c r="T148" s="288">
        <f t="shared" si="9"/>
        <v>1.0000000000000002</v>
      </c>
      <c r="U148" s="288">
        <f t="shared" si="10"/>
        <v>1</v>
      </c>
      <c r="V148" s="288">
        <f t="shared" si="11"/>
        <v>1.0000000000000002</v>
      </c>
    </row>
    <row r="149" spans="1:22">
      <c r="A149" s="127" t="s">
        <v>41</v>
      </c>
      <c r="B149" s="287">
        <f>DIST_GAS_TOT!BH34</f>
        <v>0.63215338466913396</v>
      </c>
      <c r="C149" s="287">
        <f>DIST_GAS_TOT!BI34</f>
        <v>0.11167166030709468</v>
      </c>
      <c r="D149" s="287">
        <f>DIST_GAS_TOT!BJ34</f>
        <v>2.1801678639889591E-2</v>
      </c>
      <c r="E149" s="287">
        <f>DIST_GAS_TOT!BK34</f>
        <v>0.22678600695006937</v>
      </c>
      <c r="F149" s="287">
        <f>DIST_GAS_TOT!BL34</f>
        <v>4.7655265501029311E-3</v>
      </c>
      <c r="G149" s="287">
        <f>DIST_GAS_TOT!BM34</f>
        <v>2.8217428837095052E-3</v>
      </c>
      <c r="H149" s="287">
        <f>DIST_ALC_TOT!AB34</f>
        <v>0.87257392905368825</v>
      </c>
      <c r="I149" s="287">
        <f>DIST_ALC_TOT!AC34</f>
        <v>0.12742607094631173</v>
      </c>
      <c r="J149" s="287">
        <f>DIST_DSL_TOT!BX34</f>
        <v>0.1642762595861999</v>
      </c>
      <c r="K149" s="287">
        <f>DIST_DSL_TOT!BY34</f>
        <v>0.19188167119798599</v>
      </c>
      <c r="L149" s="287">
        <f>DIST_DSL_TOT!BZ34</f>
        <v>0.26825357249192683</v>
      </c>
      <c r="M149" s="287">
        <f>DIST_DSL_TOT!CA34</f>
        <v>1.675039439844752E-2</v>
      </c>
      <c r="N149" s="287">
        <f>DIST_DSL_TOT!CB34</f>
        <v>0.24139513969839063</v>
      </c>
      <c r="O149" s="287">
        <f>DIST_DSL_TOT!CC34</f>
        <v>3.2045283885654724E-2</v>
      </c>
      <c r="P149" s="287">
        <f>DIST_DSL_TOT!CD34</f>
        <v>1.7171592240670666E-3</v>
      </c>
      <c r="Q149" s="287">
        <f>DIST_DSL_TOT!CE34</f>
        <v>8.3680519517327481E-2</v>
      </c>
      <c r="R149" s="286">
        <f t="shared" si="8"/>
        <v>1</v>
      </c>
      <c r="T149" s="288">
        <f t="shared" si="9"/>
        <v>1</v>
      </c>
      <c r="U149" s="288">
        <f t="shared" si="10"/>
        <v>1</v>
      </c>
      <c r="V149" s="288">
        <f t="shared" si="11"/>
        <v>1.0000000000000002</v>
      </c>
    </row>
    <row r="150" spans="1:22">
      <c r="A150" s="127" t="s">
        <v>42</v>
      </c>
      <c r="B150" s="287">
        <f>DIST_GAS_TOT!BH35</f>
        <v>0.47211910946506042</v>
      </c>
      <c r="C150" s="287">
        <f>DIST_GAS_TOT!BI35</f>
        <v>9.1885267529461648E-2</v>
      </c>
      <c r="D150" s="287">
        <f>DIST_GAS_TOT!BJ35</f>
        <v>4.043800990316361E-2</v>
      </c>
      <c r="E150" s="287">
        <f>DIST_GAS_TOT!BK35</f>
        <v>0.38275207122551735</v>
      </c>
      <c r="F150" s="287">
        <f>DIST_GAS_TOT!BL35</f>
        <v>8.0427536087973889E-3</v>
      </c>
      <c r="G150" s="287">
        <f>DIST_GAS_TOT!BM35</f>
        <v>4.7627882679996377E-3</v>
      </c>
      <c r="H150" s="287">
        <f>DIST_ALC_TOT!AB35</f>
        <v>0.85876774852129967</v>
      </c>
      <c r="I150" s="287">
        <f>DIST_ALC_TOT!AC35</f>
        <v>0.14123225147870039</v>
      </c>
      <c r="J150" s="287">
        <f>DIST_DSL_TOT!BX35</f>
        <v>0.14614531919448309</v>
      </c>
      <c r="K150" s="287">
        <f>DIST_DSL_TOT!BY35</f>
        <v>0.17070477006789142</v>
      </c>
      <c r="L150" s="287">
        <f>DIST_DSL_TOT!BZ35</f>
        <v>0.38569803576118006</v>
      </c>
      <c r="M150" s="287">
        <f>DIST_DSL_TOT!CA35</f>
        <v>9.4923981030191514E-3</v>
      </c>
      <c r="N150" s="287">
        <f>DIST_DSL_TOT!CB35</f>
        <v>0.16870490115752435</v>
      </c>
      <c r="O150" s="287">
        <f>DIST_DSL_TOT!CC35</f>
        <v>2.2401223207316752E-2</v>
      </c>
      <c r="P150" s="287">
        <f>DIST_DSL_TOT!CD35</f>
        <v>1.768775246631104E-3</v>
      </c>
      <c r="Q150" s="287">
        <f>DIST_DSL_TOT!CE35</f>
        <v>9.5084577261954184E-2</v>
      </c>
      <c r="R150" s="286">
        <f t="shared" si="8"/>
        <v>1</v>
      </c>
      <c r="T150" s="288">
        <f t="shared" si="9"/>
        <v>1</v>
      </c>
      <c r="U150" s="288">
        <f t="shared" si="10"/>
        <v>1</v>
      </c>
      <c r="V150" s="288">
        <f t="shared" si="11"/>
        <v>1</v>
      </c>
    </row>
    <row r="151" spans="1:22" ht="26.25" thickBot="1">
      <c r="A151" s="128" t="s">
        <v>43</v>
      </c>
      <c r="B151" s="287">
        <f>DIST_GAS_TOT!BH36</f>
        <v>0.63997983119285484</v>
      </c>
      <c r="C151" s="287">
        <f>DIST_GAS_TOT!BI36</f>
        <v>0.10945226185846847</v>
      </c>
      <c r="D151" s="287">
        <f>DIST_GAS_TOT!BJ36</f>
        <v>2.0586300305923729E-2</v>
      </c>
      <c r="E151" s="287">
        <f>DIST_GAS_TOT!BK36</f>
        <v>0.22253642311676564</v>
      </c>
      <c r="F151" s="287">
        <f>DIST_GAS_TOT!BL36</f>
        <v>4.6763136196285426E-3</v>
      </c>
      <c r="G151" s="287">
        <f>DIST_GAS_TOT!BM36</f>
        <v>2.768869906359005E-3</v>
      </c>
      <c r="H151" s="287">
        <f>DIST_ALC_TOT!AB36</f>
        <v>0.8758772959672122</v>
      </c>
      <c r="I151" s="287">
        <f>DIST_ALC_TOT!AC36</f>
        <v>0.12412270403278766</v>
      </c>
      <c r="J151" s="287">
        <f>DIST_DSL_TOT!BX36</f>
        <v>0.1635614498903204</v>
      </c>
      <c r="K151" s="287">
        <f>DIST_DSL_TOT!BY36</f>
        <v>0.191040134663926</v>
      </c>
      <c r="L151" s="287">
        <f>DIST_DSL_TOT!BZ36</f>
        <v>0.29808675674295232</v>
      </c>
      <c r="M151" s="287">
        <f>DIST_DSL_TOT!CA36</f>
        <v>1.4112613204507671E-2</v>
      </c>
      <c r="N151" s="287">
        <f>DIST_DSL_TOT!CB36</f>
        <v>0.2094716001407293</v>
      </c>
      <c r="O151" s="287">
        <f>DIST_DSL_TOT!CC36</f>
        <v>2.7802044488848574E-2</v>
      </c>
      <c r="P151" s="287">
        <f>DIST_DSL_TOT!CD36</f>
        <v>2.0084693500521016E-3</v>
      </c>
      <c r="Q151" s="287">
        <f>DIST_DSL_TOT!CE36</f>
        <v>9.3916931518663704E-2</v>
      </c>
      <c r="R151" s="286">
        <f t="shared" si="8"/>
        <v>1</v>
      </c>
      <c r="T151" s="288">
        <f t="shared" si="9"/>
        <v>1</v>
      </c>
      <c r="U151" s="288">
        <f t="shared" si="10"/>
        <v>0.99999999999999989</v>
      </c>
      <c r="V151" s="288">
        <f t="shared" si="11"/>
        <v>1</v>
      </c>
    </row>
    <row r="152" spans="1:22" s="1" customFormat="1" ht="15.75" thickBot="1">
      <c r="T152" s="288"/>
      <c r="U152" s="288"/>
      <c r="V152" s="288"/>
    </row>
    <row r="153" spans="1:22" s="1" customFormat="1" ht="15.75" thickBot="1">
      <c r="A153" s="1051" t="s">
        <v>478</v>
      </c>
      <c r="B153" s="1250">
        <v>2013</v>
      </c>
      <c r="C153" s="1251"/>
      <c r="D153" s="1251"/>
      <c r="E153" s="1251"/>
      <c r="F153" s="1251"/>
      <c r="G153" s="1251"/>
      <c r="H153" s="1251"/>
      <c r="I153" s="1251"/>
      <c r="J153" s="1251"/>
      <c r="K153" s="1251"/>
      <c r="L153" s="1251"/>
      <c r="M153" s="1251"/>
      <c r="N153" s="1251"/>
      <c r="O153" s="1251"/>
      <c r="P153" s="1251"/>
      <c r="Q153" s="1251"/>
      <c r="R153" s="1252"/>
      <c r="T153" s="288"/>
      <c r="U153" s="288"/>
      <c r="V153" s="288"/>
    </row>
    <row r="154" spans="1:22" s="1" customFormat="1">
      <c r="A154" s="1052"/>
      <c r="B154" s="1253" t="s">
        <v>97</v>
      </c>
      <c r="C154" s="1254"/>
      <c r="D154" s="1254"/>
      <c r="E154" s="1254"/>
      <c r="F154" s="1254"/>
      <c r="G154" s="1254"/>
      <c r="H154" s="1254" t="s">
        <v>98</v>
      </c>
      <c r="I154" s="1254"/>
      <c r="J154" s="1254" t="s">
        <v>99</v>
      </c>
      <c r="K154" s="1254"/>
      <c r="L154" s="1254"/>
      <c r="M154" s="1254"/>
      <c r="N154" s="1254"/>
      <c r="O154" s="1254"/>
      <c r="P154" s="1254"/>
      <c r="Q154" s="1254"/>
      <c r="R154" s="271" t="s">
        <v>100</v>
      </c>
      <c r="T154" s="288"/>
      <c r="U154" s="288"/>
      <c r="V154" s="288"/>
    </row>
    <row r="155" spans="1:22" s="1" customFormat="1">
      <c r="A155" s="1052"/>
      <c r="B155" s="1255" t="s">
        <v>101</v>
      </c>
      <c r="C155" s="1257" t="s">
        <v>102</v>
      </c>
      <c r="D155" s="1257" t="s">
        <v>103</v>
      </c>
      <c r="E155" s="1257"/>
      <c r="F155" s="1257"/>
      <c r="G155" s="1257"/>
      <c r="H155" s="1255" t="s">
        <v>101</v>
      </c>
      <c r="I155" s="1257" t="s">
        <v>102</v>
      </c>
      <c r="J155" s="1257" t="s">
        <v>104</v>
      </c>
      <c r="K155" s="1257"/>
      <c r="L155" s="1257"/>
      <c r="M155" s="1257" t="s">
        <v>105</v>
      </c>
      <c r="N155" s="1257"/>
      <c r="O155" s="1257"/>
      <c r="P155" s="1255" t="s">
        <v>101</v>
      </c>
      <c r="Q155" s="1257" t="s">
        <v>102</v>
      </c>
      <c r="R155" s="1255" t="s">
        <v>101</v>
      </c>
      <c r="T155" s="288"/>
      <c r="U155" s="288"/>
      <c r="V155" s="288"/>
    </row>
    <row r="156" spans="1:22" s="1" customFormat="1" ht="15.75" thickBot="1">
      <c r="A156" s="1053"/>
      <c r="B156" s="1256"/>
      <c r="C156" s="1258"/>
      <c r="D156" s="270" t="s">
        <v>106</v>
      </c>
      <c r="E156" s="270" t="s">
        <v>107</v>
      </c>
      <c r="F156" s="270" t="s">
        <v>108</v>
      </c>
      <c r="G156" s="270" t="s">
        <v>109</v>
      </c>
      <c r="H156" s="1256"/>
      <c r="I156" s="1258"/>
      <c r="J156" s="270" t="s">
        <v>110</v>
      </c>
      <c r="K156" s="270" t="s">
        <v>111</v>
      </c>
      <c r="L156" s="270" t="s">
        <v>112</v>
      </c>
      <c r="M156" s="270" t="s">
        <v>113</v>
      </c>
      <c r="N156" s="270" t="s">
        <v>114</v>
      </c>
      <c r="O156" s="270" t="s">
        <v>115</v>
      </c>
      <c r="P156" s="1256"/>
      <c r="Q156" s="1258"/>
      <c r="R156" s="1256"/>
      <c r="T156" s="288"/>
      <c r="U156" s="288"/>
      <c r="V156" s="288"/>
    </row>
    <row r="157" spans="1:22" s="1" customFormat="1" ht="15.75" thickBot="1">
      <c r="A157" s="164" t="s">
        <v>11</v>
      </c>
      <c r="B157" s="287" t="e">
        <f>DIST_GAS_TOT!BO4</f>
        <v>#DIV/0!</v>
      </c>
      <c r="C157" s="287" t="e">
        <f>DIST_GAS_TOT!BP4</f>
        <v>#DIV/0!</v>
      </c>
      <c r="D157" s="287" t="e">
        <f>DIST_GAS_TOT!BQ4</f>
        <v>#DIV/0!</v>
      </c>
      <c r="E157" s="287" t="e">
        <f>DIST_GAS_TOT!BR4</f>
        <v>#DIV/0!</v>
      </c>
      <c r="F157" s="287" t="e">
        <f>DIST_GAS_TOT!BS4</f>
        <v>#DIV/0!</v>
      </c>
      <c r="G157" s="287" t="e">
        <f>DIST_GAS_TOT!BT4</f>
        <v>#DIV/0!</v>
      </c>
      <c r="H157" s="287" t="e">
        <f>DIST_ALC_TOT!AE4</f>
        <v>#VALUE!</v>
      </c>
      <c r="I157" s="287" t="e">
        <f>DIST_ALC_TOT!AF4</f>
        <v>#DIV/0!</v>
      </c>
      <c r="J157" s="287" t="e">
        <f>DIST_DSL_TOT!CG4</f>
        <v>#DIV/0!</v>
      </c>
      <c r="K157" s="287" t="e">
        <f>DIST_DSL_TOT!CH4</f>
        <v>#DIV/0!</v>
      </c>
      <c r="L157" s="287" t="e">
        <f>DIST_DSL_TOT!CI4</f>
        <v>#DIV/0!</v>
      </c>
      <c r="M157" s="287" t="e">
        <f>DIST_DSL_TOT!CJ4</f>
        <v>#DIV/0!</v>
      </c>
      <c r="N157" s="287" t="e">
        <f>DIST_DSL_TOT!CK4</f>
        <v>#DIV/0!</v>
      </c>
      <c r="O157" s="287" t="e">
        <f>DIST_DSL_TOT!CL4</f>
        <v>#DIV/0!</v>
      </c>
      <c r="P157" s="287" t="e">
        <f>DIST_DSL_TOT!CM4</f>
        <v>#DIV/0!</v>
      </c>
      <c r="Q157" s="287" t="e">
        <f>DIST_DSL_TOT!CN4</f>
        <v>#DIV/0!</v>
      </c>
      <c r="R157" s="286">
        <f>R119</f>
        <v>1</v>
      </c>
      <c r="T157" s="288" t="e">
        <f t="shared" ref="T157:T189" si="12">B157+C157+D157+E157+F157+G157</f>
        <v>#DIV/0!</v>
      </c>
      <c r="U157" s="288" t="e">
        <f t="shared" ref="U157:U189" si="13">H157+I157</f>
        <v>#VALUE!</v>
      </c>
      <c r="V157" s="288" t="e">
        <f t="shared" ref="V157:V189" si="14">J157+K157+L157+M157+N157+O157+P157+Q157</f>
        <v>#DIV/0!</v>
      </c>
    </row>
    <row r="158" spans="1:22" s="1" customFormat="1">
      <c r="A158" s="269" t="s">
        <v>46</v>
      </c>
      <c r="B158" s="287" t="e">
        <f>DIST_GAS_TOT!BO5</f>
        <v>#DIV/0!</v>
      </c>
      <c r="C158" s="287" t="e">
        <f>DIST_GAS_TOT!BP5</f>
        <v>#DIV/0!</v>
      </c>
      <c r="D158" s="287" t="e">
        <f>DIST_GAS_TOT!BQ5</f>
        <v>#DIV/0!</v>
      </c>
      <c r="E158" s="287" t="e">
        <f>DIST_GAS_TOT!BR5</f>
        <v>#DIV/0!</v>
      </c>
      <c r="F158" s="287" t="e">
        <f>DIST_GAS_TOT!BS5</f>
        <v>#DIV/0!</v>
      </c>
      <c r="G158" s="287" t="e">
        <f>DIST_GAS_TOT!BT5</f>
        <v>#DIV/0!</v>
      </c>
      <c r="H158" s="287" t="e">
        <f>DIST_ALC_TOT!AE5</f>
        <v>#VALUE!</v>
      </c>
      <c r="I158" s="287" t="e">
        <f>DIST_ALC_TOT!AF5</f>
        <v>#DIV/0!</v>
      </c>
      <c r="J158" s="287" t="e">
        <f>DIST_DSL_TOT!CG5</f>
        <v>#DIV/0!</v>
      </c>
      <c r="K158" s="287" t="e">
        <f>DIST_DSL_TOT!CH5</f>
        <v>#DIV/0!</v>
      </c>
      <c r="L158" s="287" t="e">
        <f>DIST_DSL_TOT!CI5</f>
        <v>#DIV/0!</v>
      </c>
      <c r="M158" s="287" t="e">
        <f>DIST_DSL_TOT!CJ5</f>
        <v>#DIV/0!</v>
      </c>
      <c r="N158" s="287" t="e">
        <f>DIST_DSL_TOT!CK5</f>
        <v>#DIV/0!</v>
      </c>
      <c r="O158" s="287" t="e">
        <f>DIST_DSL_TOT!CL5</f>
        <v>#DIV/0!</v>
      </c>
      <c r="P158" s="287" t="e">
        <f>DIST_DSL_TOT!CM5</f>
        <v>#DIV/0!</v>
      </c>
      <c r="Q158" s="287" t="e">
        <f>DIST_DSL_TOT!CN5</f>
        <v>#DIV/0!</v>
      </c>
      <c r="R158" s="286">
        <f t="shared" ref="R158:R189" si="15">R120</f>
        <v>1</v>
      </c>
      <c r="T158" s="288" t="e">
        <f t="shared" si="12"/>
        <v>#DIV/0!</v>
      </c>
      <c r="U158" s="288" t="e">
        <f t="shared" si="13"/>
        <v>#VALUE!</v>
      </c>
      <c r="V158" s="288" t="e">
        <f t="shared" si="14"/>
        <v>#DIV/0!</v>
      </c>
    </row>
    <row r="159" spans="1:22" s="1" customFormat="1">
      <c r="A159" s="127" t="s">
        <v>13</v>
      </c>
      <c r="B159" s="287" t="e">
        <f>DIST_GAS_TOT!BO6</f>
        <v>#DIV/0!</v>
      </c>
      <c r="C159" s="287" t="e">
        <f>DIST_GAS_TOT!BP6</f>
        <v>#DIV/0!</v>
      </c>
      <c r="D159" s="287" t="e">
        <f>DIST_GAS_TOT!BQ6</f>
        <v>#DIV/0!</v>
      </c>
      <c r="E159" s="287" t="e">
        <f>DIST_GAS_TOT!BR6</f>
        <v>#DIV/0!</v>
      </c>
      <c r="F159" s="287" t="e">
        <f>DIST_GAS_TOT!BS6</f>
        <v>#DIV/0!</v>
      </c>
      <c r="G159" s="287" t="e">
        <f>DIST_GAS_TOT!BT6</f>
        <v>#DIV/0!</v>
      </c>
      <c r="H159" s="287" t="e">
        <f>DIST_ALC_TOT!AE6</f>
        <v>#VALUE!</v>
      </c>
      <c r="I159" s="287" t="e">
        <f>DIST_ALC_TOT!AF6</f>
        <v>#DIV/0!</v>
      </c>
      <c r="J159" s="287" t="e">
        <f>DIST_DSL_TOT!CG6</f>
        <v>#DIV/0!</v>
      </c>
      <c r="K159" s="287" t="e">
        <f>DIST_DSL_TOT!CH6</f>
        <v>#DIV/0!</v>
      </c>
      <c r="L159" s="287" t="e">
        <f>DIST_DSL_TOT!CI6</f>
        <v>#DIV/0!</v>
      </c>
      <c r="M159" s="287" t="e">
        <f>DIST_DSL_TOT!CJ6</f>
        <v>#DIV/0!</v>
      </c>
      <c r="N159" s="287" t="e">
        <f>DIST_DSL_TOT!CK6</f>
        <v>#DIV/0!</v>
      </c>
      <c r="O159" s="287" t="e">
        <f>DIST_DSL_TOT!CL6</f>
        <v>#DIV/0!</v>
      </c>
      <c r="P159" s="287" t="e">
        <f>DIST_DSL_TOT!CM6</f>
        <v>#DIV/0!</v>
      </c>
      <c r="Q159" s="287" t="e">
        <f>DIST_DSL_TOT!CN6</f>
        <v>#DIV/0!</v>
      </c>
      <c r="R159" s="286">
        <f t="shared" si="15"/>
        <v>1</v>
      </c>
      <c r="T159" s="288" t="e">
        <f t="shared" si="12"/>
        <v>#DIV/0!</v>
      </c>
      <c r="U159" s="288" t="e">
        <f t="shared" si="13"/>
        <v>#VALUE!</v>
      </c>
      <c r="V159" s="288" t="e">
        <f t="shared" si="14"/>
        <v>#DIV/0!</v>
      </c>
    </row>
    <row r="160" spans="1:22" s="1" customFormat="1">
      <c r="A160" s="127" t="s">
        <v>14</v>
      </c>
      <c r="B160" s="287" t="e">
        <f>DIST_GAS_TOT!BO7</f>
        <v>#DIV/0!</v>
      </c>
      <c r="C160" s="287" t="e">
        <f>DIST_GAS_TOT!BP7</f>
        <v>#DIV/0!</v>
      </c>
      <c r="D160" s="287" t="e">
        <f>DIST_GAS_TOT!BQ7</f>
        <v>#DIV/0!</v>
      </c>
      <c r="E160" s="287" t="e">
        <f>DIST_GAS_TOT!BR7</f>
        <v>#DIV/0!</v>
      </c>
      <c r="F160" s="287" t="e">
        <f>DIST_GAS_TOT!BS7</f>
        <v>#DIV/0!</v>
      </c>
      <c r="G160" s="287" t="e">
        <f>DIST_GAS_TOT!BT7</f>
        <v>#DIV/0!</v>
      </c>
      <c r="H160" s="287" t="e">
        <f>DIST_ALC_TOT!AE7</f>
        <v>#DIV/0!</v>
      </c>
      <c r="I160" s="287" t="e">
        <f>DIST_ALC_TOT!AF7</f>
        <v>#DIV/0!</v>
      </c>
      <c r="J160" s="287" t="e">
        <f>DIST_DSL_TOT!CG7</f>
        <v>#DIV/0!</v>
      </c>
      <c r="K160" s="287" t="e">
        <f>DIST_DSL_TOT!CH7</f>
        <v>#DIV/0!</v>
      </c>
      <c r="L160" s="287" t="e">
        <f>DIST_DSL_TOT!CI7</f>
        <v>#DIV/0!</v>
      </c>
      <c r="M160" s="287" t="e">
        <f>DIST_DSL_TOT!CJ7</f>
        <v>#DIV/0!</v>
      </c>
      <c r="N160" s="287" t="e">
        <f>DIST_DSL_TOT!CK7</f>
        <v>#DIV/0!</v>
      </c>
      <c r="O160" s="287" t="e">
        <f>DIST_DSL_TOT!CL7</f>
        <v>#DIV/0!</v>
      </c>
      <c r="P160" s="287" t="e">
        <f>DIST_DSL_TOT!CM7</f>
        <v>#DIV/0!</v>
      </c>
      <c r="Q160" s="287" t="e">
        <f>DIST_DSL_TOT!CN7</f>
        <v>#DIV/0!</v>
      </c>
      <c r="R160" s="286">
        <f t="shared" si="15"/>
        <v>1</v>
      </c>
      <c r="T160" s="288" t="e">
        <f t="shared" si="12"/>
        <v>#DIV/0!</v>
      </c>
      <c r="U160" s="288" t="e">
        <f t="shared" si="13"/>
        <v>#DIV/0!</v>
      </c>
      <c r="V160" s="288" t="e">
        <f t="shared" si="14"/>
        <v>#DIV/0!</v>
      </c>
    </row>
    <row r="161" spans="1:22" s="1" customFormat="1">
      <c r="A161" s="127" t="s">
        <v>15</v>
      </c>
      <c r="B161" s="287" t="e">
        <f>DIST_GAS_TOT!BO8</f>
        <v>#DIV/0!</v>
      </c>
      <c r="C161" s="287" t="e">
        <f>DIST_GAS_TOT!BP8</f>
        <v>#DIV/0!</v>
      </c>
      <c r="D161" s="287" t="e">
        <f>DIST_GAS_TOT!BQ8</f>
        <v>#DIV/0!</v>
      </c>
      <c r="E161" s="287" t="e">
        <f>DIST_GAS_TOT!BR8</f>
        <v>#DIV/0!</v>
      </c>
      <c r="F161" s="287" t="e">
        <f>DIST_GAS_TOT!BS8</f>
        <v>#DIV/0!</v>
      </c>
      <c r="G161" s="287" t="e">
        <f>DIST_GAS_TOT!BT8</f>
        <v>#DIV/0!</v>
      </c>
      <c r="H161" s="287" t="e">
        <f>DIST_ALC_TOT!AE8</f>
        <v>#DIV/0!</v>
      </c>
      <c r="I161" s="287" t="e">
        <f>DIST_ALC_TOT!AF8</f>
        <v>#DIV/0!</v>
      </c>
      <c r="J161" s="287" t="e">
        <f>DIST_DSL_TOT!CG8</f>
        <v>#DIV/0!</v>
      </c>
      <c r="K161" s="287" t="e">
        <f>DIST_DSL_TOT!CH8</f>
        <v>#DIV/0!</v>
      </c>
      <c r="L161" s="287" t="e">
        <f>DIST_DSL_TOT!CI8</f>
        <v>#DIV/0!</v>
      </c>
      <c r="M161" s="287" t="e">
        <f>DIST_DSL_TOT!CJ8</f>
        <v>#DIV/0!</v>
      </c>
      <c r="N161" s="287" t="e">
        <f>DIST_DSL_TOT!CK8</f>
        <v>#DIV/0!</v>
      </c>
      <c r="O161" s="287" t="e">
        <f>DIST_DSL_TOT!CL8</f>
        <v>#DIV/0!</v>
      </c>
      <c r="P161" s="287" t="e">
        <f>DIST_DSL_TOT!CM8</f>
        <v>#DIV/0!</v>
      </c>
      <c r="Q161" s="287" t="e">
        <f>DIST_DSL_TOT!CN8</f>
        <v>#DIV/0!</v>
      </c>
      <c r="R161" s="286">
        <f t="shared" si="15"/>
        <v>1</v>
      </c>
      <c r="T161" s="288" t="e">
        <f t="shared" si="12"/>
        <v>#DIV/0!</v>
      </c>
      <c r="U161" s="288" t="e">
        <f t="shared" si="13"/>
        <v>#DIV/0!</v>
      </c>
      <c r="V161" s="288" t="e">
        <f t="shared" si="14"/>
        <v>#DIV/0!</v>
      </c>
    </row>
    <row r="162" spans="1:22" s="1" customFormat="1">
      <c r="A162" s="127" t="s">
        <v>16</v>
      </c>
      <c r="B162" s="287" t="e">
        <f>DIST_GAS_TOT!BO9</f>
        <v>#DIV/0!</v>
      </c>
      <c r="C162" s="287" t="e">
        <f>DIST_GAS_TOT!BP9</f>
        <v>#DIV/0!</v>
      </c>
      <c r="D162" s="287" t="e">
        <f>DIST_GAS_TOT!BQ9</f>
        <v>#DIV/0!</v>
      </c>
      <c r="E162" s="287" t="e">
        <f>DIST_GAS_TOT!BR9</f>
        <v>#DIV/0!</v>
      </c>
      <c r="F162" s="287" t="e">
        <f>DIST_GAS_TOT!BS9</f>
        <v>#DIV/0!</v>
      </c>
      <c r="G162" s="287" t="e">
        <f>DIST_GAS_TOT!BT9</f>
        <v>#DIV/0!</v>
      </c>
      <c r="H162" s="287" t="e">
        <f>DIST_ALC_TOT!AE9</f>
        <v>#DIV/0!</v>
      </c>
      <c r="I162" s="287" t="e">
        <f>DIST_ALC_TOT!AF9</f>
        <v>#DIV/0!</v>
      </c>
      <c r="J162" s="287" t="e">
        <f>DIST_DSL_TOT!CG9</f>
        <v>#DIV/0!</v>
      </c>
      <c r="K162" s="287" t="e">
        <f>DIST_DSL_TOT!CH9</f>
        <v>#DIV/0!</v>
      </c>
      <c r="L162" s="287" t="e">
        <f>DIST_DSL_TOT!CI9</f>
        <v>#DIV/0!</v>
      </c>
      <c r="M162" s="287" t="e">
        <f>DIST_DSL_TOT!CJ9</f>
        <v>#DIV/0!</v>
      </c>
      <c r="N162" s="287" t="e">
        <f>DIST_DSL_TOT!CK9</f>
        <v>#DIV/0!</v>
      </c>
      <c r="O162" s="287" t="e">
        <f>DIST_DSL_TOT!CL9</f>
        <v>#DIV/0!</v>
      </c>
      <c r="P162" s="287" t="e">
        <f>DIST_DSL_TOT!CM9</f>
        <v>#DIV/0!</v>
      </c>
      <c r="Q162" s="287" t="e">
        <f>DIST_DSL_TOT!CN9</f>
        <v>#DIV/0!</v>
      </c>
      <c r="R162" s="286">
        <f t="shared" si="15"/>
        <v>1</v>
      </c>
      <c r="T162" s="288" t="e">
        <f t="shared" si="12"/>
        <v>#DIV/0!</v>
      </c>
      <c r="U162" s="288" t="e">
        <f t="shared" si="13"/>
        <v>#DIV/0!</v>
      </c>
      <c r="V162" s="288" t="e">
        <f t="shared" si="14"/>
        <v>#DIV/0!</v>
      </c>
    </row>
    <row r="163" spans="1:22" s="1" customFormat="1">
      <c r="A163" s="127" t="s">
        <v>17</v>
      </c>
      <c r="B163" s="287" t="e">
        <f>DIST_GAS_TOT!BO10</f>
        <v>#DIV/0!</v>
      </c>
      <c r="C163" s="287" t="e">
        <f>DIST_GAS_TOT!BP10</f>
        <v>#DIV/0!</v>
      </c>
      <c r="D163" s="287" t="e">
        <f>DIST_GAS_TOT!BQ10</f>
        <v>#DIV/0!</v>
      </c>
      <c r="E163" s="287" t="e">
        <f>DIST_GAS_TOT!BR10</f>
        <v>#DIV/0!</v>
      </c>
      <c r="F163" s="287" t="e">
        <f>DIST_GAS_TOT!BS10</f>
        <v>#DIV/0!</v>
      </c>
      <c r="G163" s="287" t="e">
        <f>DIST_GAS_TOT!BT10</f>
        <v>#DIV/0!</v>
      </c>
      <c r="H163" s="287" t="e">
        <f>DIST_ALC_TOT!AE10</f>
        <v>#DIV/0!</v>
      </c>
      <c r="I163" s="287" t="e">
        <f>DIST_ALC_TOT!AF10</f>
        <v>#DIV/0!</v>
      </c>
      <c r="J163" s="287" t="e">
        <f>DIST_DSL_TOT!CG10</f>
        <v>#DIV/0!</v>
      </c>
      <c r="K163" s="287" t="e">
        <f>DIST_DSL_TOT!CH10</f>
        <v>#DIV/0!</v>
      </c>
      <c r="L163" s="287" t="e">
        <f>DIST_DSL_TOT!CI10</f>
        <v>#DIV/0!</v>
      </c>
      <c r="M163" s="287" t="e">
        <f>DIST_DSL_TOT!CJ10</f>
        <v>#DIV/0!</v>
      </c>
      <c r="N163" s="287" t="e">
        <f>DIST_DSL_TOT!CK10</f>
        <v>#DIV/0!</v>
      </c>
      <c r="O163" s="287" t="e">
        <f>DIST_DSL_TOT!CL10</f>
        <v>#DIV/0!</v>
      </c>
      <c r="P163" s="287" t="e">
        <f>DIST_DSL_TOT!CM10</f>
        <v>#DIV/0!</v>
      </c>
      <c r="Q163" s="287" t="e">
        <f>DIST_DSL_TOT!CN10</f>
        <v>#DIV/0!</v>
      </c>
      <c r="R163" s="286">
        <f t="shared" si="15"/>
        <v>1</v>
      </c>
      <c r="T163" s="288" t="e">
        <f t="shared" si="12"/>
        <v>#DIV/0!</v>
      </c>
      <c r="U163" s="288" t="e">
        <f t="shared" si="13"/>
        <v>#DIV/0!</v>
      </c>
      <c r="V163" s="288" t="e">
        <f t="shared" si="14"/>
        <v>#DIV/0!</v>
      </c>
    </row>
    <row r="164" spans="1:22" s="1" customFormat="1">
      <c r="A164" s="127" t="s">
        <v>18</v>
      </c>
      <c r="B164" s="287" t="e">
        <f>DIST_GAS_TOT!BO11</f>
        <v>#DIV/0!</v>
      </c>
      <c r="C164" s="287" t="e">
        <f>DIST_GAS_TOT!BP11</f>
        <v>#DIV/0!</v>
      </c>
      <c r="D164" s="287" t="e">
        <f>DIST_GAS_TOT!BQ11</f>
        <v>#DIV/0!</v>
      </c>
      <c r="E164" s="287" t="e">
        <f>DIST_GAS_TOT!BR11</f>
        <v>#DIV/0!</v>
      </c>
      <c r="F164" s="287" t="e">
        <f>DIST_GAS_TOT!BS11</f>
        <v>#DIV/0!</v>
      </c>
      <c r="G164" s="287" t="e">
        <f>DIST_GAS_TOT!BT11</f>
        <v>#DIV/0!</v>
      </c>
      <c r="H164" s="287" t="e">
        <f>DIST_ALC_TOT!AE11</f>
        <v>#DIV/0!</v>
      </c>
      <c r="I164" s="287" t="e">
        <f>DIST_ALC_TOT!AF11</f>
        <v>#DIV/0!</v>
      </c>
      <c r="J164" s="287" t="e">
        <f>DIST_DSL_TOT!CG11</f>
        <v>#DIV/0!</v>
      </c>
      <c r="K164" s="287" t="e">
        <f>DIST_DSL_TOT!CH11</f>
        <v>#DIV/0!</v>
      </c>
      <c r="L164" s="287" t="e">
        <f>DIST_DSL_TOT!CI11</f>
        <v>#DIV/0!</v>
      </c>
      <c r="M164" s="287" t="e">
        <f>DIST_DSL_TOT!CJ11</f>
        <v>#DIV/0!</v>
      </c>
      <c r="N164" s="287" t="e">
        <f>DIST_DSL_TOT!CK11</f>
        <v>#DIV/0!</v>
      </c>
      <c r="O164" s="287" t="e">
        <f>DIST_DSL_TOT!CL11</f>
        <v>#DIV/0!</v>
      </c>
      <c r="P164" s="287" t="e">
        <f>DIST_DSL_TOT!CM11</f>
        <v>#DIV/0!</v>
      </c>
      <c r="Q164" s="287" t="e">
        <f>DIST_DSL_TOT!CN11</f>
        <v>#DIV/0!</v>
      </c>
      <c r="R164" s="286">
        <f t="shared" si="15"/>
        <v>1</v>
      </c>
      <c r="T164" s="288" t="e">
        <f t="shared" si="12"/>
        <v>#DIV/0!</v>
      </c>
      <c r="U164" s="288" t="e">
        <f t="shared" si="13"/>
        <v>#DIV/0!</v>
      </c>
      <c r="V164" s="288" t="e">
        <f t="shared" si="14"/>
        <v>#DIV/0!</v>
      </c>
    </row>
    <row r="165" spans="1:22" s="1" customFormat="1" ht="15.75" thickBot="1">
      <c r="A165" s="128" t="s">
        <v>19</v>
      </c>
      <c r="B165" s="287" t="e">
        <f>DIST_GAS_TOT!BO12</f>
        <v>#DIV/0!</v>
      </c>
      <c r="C165" s="287" t="e">
        <f>DIST_GAS_TOT!BP12</f>
        <v>#DIV/0!</v>
      </c>
      <c r="D165" s="287" t="e">
        <f>DIST_GAS_TOT!BQ12</f>
        <v>#DIV/0!</v>
      </c>
      <c r="E165" s="287" t="e">
        <f>DIST_GAS_TOT!BR12</f>
        <v>#DIV/0!</v>
      </c>
      <c r="F165" s="287" t="e">
        <f>DIST_GAS_TOT!BS12</f>
        <v>#DIV/0!</v>
      </c>
      <c r="G165" s="287" t="e">
        <f>DIST_GAS_TOT!BT12</f>
        <v>#DIV/0!</v>
      </c>
      <c r="H165" s="287" t="e">
        <f>DIST_ALC_TOT!AE12</f>
        <v>#DIV/0!</v>
      </c>
      <c r="I165" s="287" t="e">
        <f>DIST_ALC_TOT!AF12</f>
        <v>#DIV/0!</v>
      </c>
      <c r="J165" s="287" t="e">
        <f>DIST_DSL_TOT!CG12</f>
        <v>#DIV/0!</v>
      </c>
      <c r="K165" s="287" t="e">
        <f>DIST_DSL_TOT!CH12</f>
        <v>#DIV/0!</v>
      </c>
      <c r="L165" s="287" t="e">
        <f>DIST_DSL_TOT!CI12</f>
        <v>#DIV/0!</v>
      </c>
      <c r="M165" s="287" t="e">
        <f>DIST_DSL_TOT!CJ12</f>
        <v>#DIV/0!</v>
      </c>
      <c r="N165" s="287" t="e">
        <f>DIST_DSL_TOT!CK12</f>
        <v>#DIV/0!</v>
      </c>
      <c r="O165" s="287" t="e">
        <f>DIST_DSL_TOT!CL12</f>
        <v>#DIV/0!</v>
      </c>
      <c r="P165" s="287" t="e">
        <f>DIST_DSL_TOT!CM12</f>
        <v>#DIV/0!</v>
      </c>
      <c r="Q165" s="287" t="e">
        <f>DIST_DSL_TOT!CN12</f>
        <v>#DIV/0!</v>
      </c>
      <c r="R165" s="286">
        <f t="shared" si="15"/>
        <v>1</v>
      </c>
      <c r="T165" s="288" t="e">
        <f t="shared" si="12"/>
        <v>#DIV/0!</v>
      </c>
      <c r="U165" s="288" t="e">
        <f t="shared" si="13"/>
        <v>#DIV/0!</v>
      </c>
      <c r="V165" s="288" t="e">
        <f t="shared" si="14"/>
        <v>#DIV/0!</v>
      </c>
    </row>
    <row r="166" spans="1:22" s="1" customFormat="1">
      <c r="A166" s="269" t="s">
        <v>54</v>
      </c>
      <c r="B166" s="287" t="e">
        <f>DIST_GAS_TOT!BO13</f>
        <v>#DIV/0!</v>
      </c>
      <c r="C166" s="287" t="e">
        <f>DIST_GAS_TOT!BP13</f>
        <v>#DIV/0!</v>
      </c>
      <c r="D166" s="287" t="e">
        <f>DIST_GAS_TOT!BQ13</f>
        <v>#DIV/0!</v>
      </c>
      <c r="E166" s="287" t="e">
        <f>DIST_GAS_TOT!BR13</f>
        <v>#DIV/0!</v>
      </c>
      <c r="F166" s="287" t="e">
        <f>DIST_GAS_TOT!BS13</f>
        <v>#DIV/0!</v>
      </c>
      <c r="G166" s="287" t="e">
        <f>DIST_GAS_TOT!BT13</f>
        <v>#DIV/0!</v>
      </c>
      <c r="H166" s="287" t="e">
        <f>DIST_ALC_TOT!AE13</f>
        <v>#DIV/0!</v>
      </c>
      <c r="I166" s="287" t="e">
        <f>DIST_ALC_TOT!AF13</f>
        <v>#DIV/0!</v>
      </c>
      <c r="J166" s="287" t="e">
        <f>DIST_DSL_TOT!CG13</f>
        <v>#DIV/0!</v>
      </c>
      <c r="K166" s="287" t="e">
        <f>DIST_DSL_TOT!CH13</f>
        <v>#DIV/0!</v>
      </c>
      <c r="L166" s="287" t="e">
        <f>DIST_DSL_TOT!CI13</f>
        <v>#DIV/0!</v>
      </c>
      <c r="M166" s="287" t="e">
        <f>DIST_DSL_TOT!CJ13</f>
        <v>#DIV/0!</v>
      </c>
      <c r="N166" s="287" t="e">
        <f>DIST_DSL_TOT!CK13</f>
        <v>#DIV/0!</v>
      </c>
      <c r="O166" s="287" t="e">
        <f>DIST_DSL_TOT!CL13</f>
        <v>#DIV/0!</v>
      </c>
      <c r="P166" s="287" t="e">
        <f>DIST_DSL_TOT!CM13</f>
        <v>#DIV/0!</v>
      </c>
      <c r="Q166" s="287" t="e">
        <f>DIST_DSL_TOT!CN13</f>
        <v>#DIV/0!</v>
      </c>
      <c r="R166" s="286">
        <f t="shared" si="15"/>
        <v>1</v>
      </c>
      <c r="T166" s="288" t="e">
        <f t="shared" si="12"/>
        <v>#DIV/0!</v>
      </c>
      <c r="U166" s="288" t="e">
        <f t="shared" si="13"/>
        <v>#DIV/0!</v>
      </c>
      <c r="V166" s="288" t="e">
        <f t="shared" si="14"/>
        <v>#DIV/0!</v>
      </c>
    </row>
    <row r="167" spans="1:22" s="1" customFormat="1">
      <c r="A167" s="127" t="s">
        <v>21</v>
      </c>
      <c r="B167" s="287" t="e">
        <f>DIST_GAS_TOT!BO14</f>
        <v>#DIV/0!</v>
      </c>
      <c r="C167" s="287" t="e">
        <f>DIST_GAS_TOT!BP14</f>
        <v>#DIV/0!</v>
      </c>
      <c r="D167" s="287" t="e">
        <f>DIST_GAS_TOT!BQ14</f>
        <v>#DIV/0!</v>
      </c>
      <c r="E167" s="287" t="e">
        <f>DIST_GAS_TOT!BR14</f>
        <v>#DIV/0!</v>
      </c>
      <c r="F167" s="287" t="e">
        <f>DIST_GAS_TOT!BS14</f>
        <v>#DIV/0!</v>
      </c>
      <c r="G167" s="287" t="e">
        <f>DIST_GAS_TOT!BT14</f>
        <v>#DIV/0!</v>
      </c>
      <c r="H167" s="287" t="e">
        <f>DIST_ALC_TOT!AE14</f>
        <v>#DIV/0!</v>
      </c>
      <c r="I167" s="287" t="e">
        <f>DIST_ALC_TOT!AF14</f>
        <v>#DIV/0!</v>
      </c>
      <c r="J167" s="287" t="e">
        <f>DIST_DSL_TOT!CG14</f>
        <v>#DIV/0!</v>
      </c>
      <c r="K167" s="287" t="e">
        <f>DIST_DSL_TOT!CH14</f>
        <v>#DIV/0!</v>
      </c>
      <c r="L167" s="287" t="e">
        <f>DIST_DSL_TOT!CI14</f>
        <v>#DIV/0!</v>
      </c>
      <c r="M167" s="287" t="e">
        <f>DIST_DSL_TOT!CJ14</f>
        <v>#DIV/0!</v>
      </c>
      <c r="N167" s="287" t="e">
        <f>DIST_DSL_TOT!CK14</f>
        <v>#DIV/0!</v>
      </c>
      <c r="O167" s="287" t="e">
        <f>DIST_DSL_TOT!CL14</f>
        <v>#DIV/0!</v>
      </c>
      <c r="P167" s="287" t="e">
        <f>DIST_DSL_TOT!CM14</f>
        <v>#DIV/0!</v>
      </c>
      <c r="Q167" s="287" t="e">
        <f>DIST_DSL_TOT!CN14</f>
        <v>#DIV/0!</v>
      </c>
      <c r="R167" s="286">
        <f t="shared" si="15"/>
        <v>1</v>
      </c>
      <c r="T167" s="288" t="e">
        <f t="shared" si="12"/>
        <v>#DIV/0!</v>
      </c>
      <c r="U167" s="288" t="e">
        <f t="shared" si="13"/>
        <v>#DIV/0!</v>
      </c>
      <c r="V167" s="288" t="e">
        <f t="shared" si="14"/>
        <v>#DIV/0!</v>
      </c>
    </row>
    <row r="168" spans="1:22" s="1" customFormat="1">
      <c r="A168" s="127" t="s">
        <v>22</v>
      </c>
      <c r="B168" s="287" t="e">
        <f>DIST_GAS_TOT!BO15</f>
        <v>#DIV/0!</v>
      </c>
      <c r="C168" s="287" t="e">
        <f>DIST_GAS_TOT!BP15</f>
        <v>#DIV/0!</v>
      </c>
      <c r="D168" s="287" t="e">
        <f>DIST_GAS_TOT!BQ15</f>
        <v>#DIV/0!</v>
      </c>
      <c r="E168" s="287" t="e">
        <f>DIST_GAS_TOT!BR15</f>
        <v>#DIV/0!</v>
      </c>
      <c r="F168" s="287" t="e">
        <f>DIST_GAS_TOT!BS15</f>
        <v>#DIV/0!</v>
      </c>
      <c r="G168" s="287" t="e">
        <f>DIST_GAS_TOT!BT15</f>
        <v>#DIV/0!</v>
      </c>
      <c r="H168" s="287" t="e">
        <f>DIST_ALC_TOT!AE15</f>
        <v>#DIV/0!</v>
      </c>
      <c r="I168" s="287" t="e">
        <f>DIST_ALC_TOT!AF15</f>
        <v>#DIV/0!</v>
      </c>
      <c r="J168" s="287" t="e">
        <f>DIST_DSL_TOT!CG15</f>
        <v>#DIV/0!</v>
      </c>
      <c r="K168" s="287" t="e">
        <f>DIST_DSL_TOT!CH15</f>
        <v>#DIV/0!</v>
      </c>
      <c r="L168" s="287" t="e">
        <f>DIST_DSL_TOT!CI15</f>
        <v>#DIV/0!</v>
      </c>
      <c r="M168" s="287" t="e">
        <f>DIST_DSL_TOT!CJ15</f>
        <v>#DIV/0!</v>
      </c>
      <c r="N168" s="287" t="e">
        <f>DIST_DSL_TOT!CK15</f>
        <v>#DIV/0!</v>
      </c>
      <c r="O168" s="287" t="e">
        <f>DIST_DSL_TOT!CL15</f>
        <v>#DIV/0!</v>
      </c>
      <c r="P168" s="287" t="e">
        <f>DIST_DSL_TOT!CM15</f>
        <v>#DIV/0!</v>
      </c>
      <c r="Q168" s="287" t="e">
        <f>DIST_DSL_TOT!CN15</f>
        <v>#DIV/0!</v>
      </c>
      <c r="R168" s="286">
        <f t="shared" si="15"/>
        <v>1</v>
      </c>
      <c r="T168" s="288" t="e">
        <f t="shared" si="12"/>
        <v>#DIV/0!</v>
      </c>
      <c r="U168" s="288" t="e">
        <f t="shared" si="13"/>
        <v>#DIV/0!</v>
      </c>
      <c r="V168" s="288" t="e">
        <f t="shared" si="14"/>
        <v>#DIV/0!</v>
      </c>
    </row>
    <row r="169" spans="1:22" s="1" customFormat="1">
      <c r="A169" s="127" t="s">
        <v>23</v>
      </c>
      <c r="B169" s="287" t="e">
        <f>DIST_GAS_TOT!BO16</f>
        <v>#DIV/0!</v>
      </c>
      <c r="C169" s="287" t="e">
        <f>DIST_GAS_TOT!BP16</f>
        <v>#DIV/0!</v>
      </c>
      <c r="D169" s="287" t="e">
        <f>DIST_GAS_TOT!BQ16</f>
        <v>#DIV/0!</v>
      </c>
      <c r="E169" s="287" t="e">
        <f>DIST_GAS_TOT!BR16</f>
        <v>#DIV/0!</v>
      </c>
      <c r="F169" s="287" t="e">
        <f>DIST_GAS_TOT!BS16</f>
        <v>#DIV/0!</v>
      </c>
      <c r="G169" s="287" t="e">
        <f>DIST_GAS_TOT!BT16</f>
        <v>#DIV/0!</v>
      </c>
      <c r="H169" s="287" t="e">
        <f>DIST_ALC_TOT!AE16</f>
        <v>#DIV/0!</v>
      </c>
      <c r="I169" s="287" t="e">
        <f>DIST_ALC_TOT!AF16</f>
        <v>#DIV/0!</v>
      </c>
      <c r="J169" s="287" t="e">
        <f>DIST_DSL_TOT!CG16</f>
        <v>#DIV/0!</v>
      </c>
      <c r="K169" s="287" t="e">
        <f>DIST_DSL_TOT!CH16</f>
        <v>#DIV/0!</v>
      </c>
      <c r="L169" s="287" t="e">
        <f>DIST_DSL_TOT!CI16</f>
        <v>#DIV/0!</v>
      </c>
      <c r="M169" s="287" t="e">
        <f>DIST_DSL_TOT!CJ16</f>
        <v>#DIV/0!</v>
      </c>
      <c r="N169" s="287" t="e">
        <f>DIST_DSL_TOT!CK16</f>
        <v>#DIV/0!</v>
      </c>
      <c r="O169" s="287" t="e">
        <f>DIST_DSL_TOT!CL16</f>
        <v>#DIV/0!</v>
      </c>
      <c r="P169" s="287" t="e">
        <f>DIST_DSL_TOT!CM16</f>
        <v>#DIV/0!</v>
      </c>
      <c r="Q169" s="287" t="e">
        <f>DIST_DSL_TOT!CN16</f>
        <v>#DIV/0!</v>
      </c>
      <c r="R169" s="286">
        <f t="shared" si="15"/>
        <v>1</v>
      </c>
      <c r="T169" s="288" t="e">
        <f t="shared" si="12"/>
        <v>#DIV/0!</v>
      </c>
      <c r="U169" s="288" t="e">
        <f t="shared" si="13"/>
        <v>#DIV/0!</v>
      </c>
      <c r="V169" s="288" t="e">
        <f t="shared" si="14"/>
        <v>#DIV/0!</v>
      </c>
    </row>
    <row r="170" spans="1:22" s="1" customFormat="1">
      <c r="A170" s="127" t="s">
        <v>24</v>
      </c>
      <c r="B170" s="287" t="e">
        <f>DIST_GAS_TOT!BO17</f>
        <v>#DIV/0!</v>
      </c>
      <c r="C170" s="287" t="e">
        <f>DIST_GAS_TOT!BP17</f>
        <v>#DIV/0!</v>
      </c>
      <c r="D170" s="287" t="e">
        <f>DIST_GAS_TOT!BQ17</f>
        <v>#DIV/0!</v>
      </c>
      <c r="E170" s="287" t="e">
        <f>DIST_GAS_TOT!BR17</f>
        <v>#DIV/0!</v>
      </c>
      <c r="F170" s="287" t="e">
        <f>DIST_GAS_TOT!BS17</f>
        <v>#DIV/0!</v>
      </c>
      <c r="G170" s="287" t="e">
        <f>DIST_GAS_TOT!BT17</f>
        <v>#DIV/0!</v>
      </c>
      <c r="H170" s="287" t="e">
        <f>DIST_ALC_TOT!AE17</f>
        <v>#DIV/0!</v>
      </c>
      <c r="I170" s="287" t="e">
        <f>DIST_ALC_TOT!AF17</f>
        <v>#DIV/0!</v>
      </c>
      <c r="J170" s="287" t="e">
        <f>DIST_DSL_TOT!CG17</f>
        <v>#DIV/0!</v>
      </c>
      <c r="K170" s="287" t="e">
        <f>DIST_DSL_TOT!CH17</f>
        <v>#DIV/0!</v>
      </c>
      <c r="L170" s="287" t="e">
        <f>DIST_DSL_TOT!CI17</f>
        <v>#DIV/0!</v>
      </c>
      <c r="M170" s="287" t="e">
        <f>DIST_DSL_TOT!CJ17</f>
        <v>#DIV/0!</v>
      </c>
      <c r="N170" s="287" t="e">
        <f>DIST_DSL_TOT!CK17</f>
        <v>#DIV/0!</v>
      </c>
      <c r="O170" s="287" t="e">
        <f>DIST_DSL_TOT!CL17</f>
        <v>#DIV/0!</v>
      </c>
      <c r="P170" s="287" t="e">
        <f>DIST_DSL_TOT!CM17</f>
        <v>#DIV/0!</v>
      </c>
      <c r="Q170" s="287" t="e">
        <f>DIST_DSL_TOT!CN17</f>
        <v>#DIV/0!</v>
      </c>
      <c r="R170" s="286">
        <f t="shared" si="15"/>
        <v>1</v>
      </c>
      <c r="T170" s="288" t="e">
        <f t="shared" si="12"/>
        <v>#DIV/0!</v>
      </c>
      <c r="U170" s="288" t="e">
        <f t="shared" si="13"/>
        <v>#DIV/0!</v>
      </c>
      <c r="V170" s="288" t="e">
        <f t="shared" si="14"/>
        <v>#DIV/0!</v>
      </c>
    </row>
    <row r="171" spans="1:22" s="1" customFormat="1">
      <c r="A171" s="127" t="s">
        <v>25</v>
      </c>
      <c r="B171" s="287" t="e">
        <f>DIST_GAS_TOT!BO18</f>
        <v>#DIV/0!</v>
      </c>
      <c r="C171" s="287" t="e">
        <f>DIST_GAS_TOT!BP18</f>
        <v>#DIV/0!</v>
      </c>
      <c r="D171" s="287" t="e">
        <f>DIST_GAS_TOT!BQ18</f>
        <v>#DIV/0!</v>
      </c>
      <c r="E171" s="287" t="e">
        <f>DIST_GAS_TOT!BR18</f>
        <v>#DIV/0!</v>
      </c>
      <c r="F171" s="287" t="e">
        <f>DIST_GAS_TOT!BS18</f>
        <v>#DIV/0!</v>
      </c>
      <c r="G171" s="287" t="e">
        <f>DIST_GAS_TOT!BT18</f>
        <v>#DIV/0!</v>
      </c>
      <c r="H171" s="287" t="e">
        <f>DIST_ALC_TOT!AE18</f>
        <v>#DIV/0!</v>
      </c>
      <c r="I171" s="287" t="e">
        <f>DIST_ALC_TOT!AF18</f>
        <v>#DIV/0!</v>
      </c>
      <c r="J171" s="287" t="e">
        <f>DIST_DSL_TOT!CG18</f>
        <v>#DIV/0!</v>
      </c>
      <c r="K171" s="287" t="e">
        <f>DIST_DSL_TOT!CH18</f>
        <v>#DIV/0!</v>
      </c>
      <c r="L171" s="287" t="e">
        <f>DIST_DSL_TOT!CI18</f>
        <v>#DIV/0!</v>
      </c>
      <c r="M171" s="287" t="e">
        <f>DIST_DSL_TOT!CJ18</f>
        <v>#DIV/0!</v>
      </c>
      <c r="N171" s="287" t="e">
        <f>DIST_DSL_TOT!CK18</f>
        <v>#DIV/0!</v>
      </c>
      <c r="O171" s="287" t="e">
        <f>DIST_DSL_TOT!CL18</f>
        <v>#DIV/0!</v>
      </c>
      <c r="P171" s="287" t="e">
        <f>DIST_DSL_TOT!CM18</f>
        <v>#DIV/0!</v>
      </c>
      <c r="Q171" s="287" t="e">
        <f>DIST_DSL_TOT!CN18</f>
        <v>#DIV/0!</v>
      </c>
      <c r="R171" s="286">
        <f t="shared" si="15"/>
        <v>1</v>
      </c>
      <c r="T171" s="288" t="e">
        <f t="shared" si="12"/>
        <v>#DIV/0!</v>
      </c>
      <c r="U171" s="288" t="e">
        <f t="shared" si="13"/>
        <v>#DIV/0!</v>
      </c>
      <c r="V171" s="288" t="e">
        <f t="shared" si="14"/>
        <v>#DIV/0!</v>
      </c>
    </row>
    <row r="172" spans="1:22" s="1" customFormat="1">
      <c r="A172" s="127" t="s">
        <v>26</v>
      </c>
      <c r="B172" s="287" t="e">
        <f>DIST_GAS_TOT!BO19</f>
        <v>#DIV/0!</v>
      </c>
      <c r="C172" s="287" t="e">
        <f>DIST_GAS_TOT!BP19</f>
        <v>#DIV/0!</v>
      </c>
      <c r="D172" s="287" t="e">
        <f>DIST_GAS_TOT!BQ19</f>
        <v>#DIV/0!</v>
      </c>
      <c r="E172" s="287" t="e">
        <f>DIST_GAS_TOT!BR19</f>
        <v>#DIV/0!</v>
      </c>
      <c r="F172" s="287" t="e">
        <f>DIST_GAS_TOT!BS19</f>
        <v>#DIV/0!</v>
      </c>
      <c r="G172" s="287" t="e">
        <f>DIST_GAS_TOT!BT19</f>
        <v>#DIV/0!</v>
      </c>
      <c r="H172" s="287" t="e">
        <f>DIST_ALC_TOT!AE19</f>
        <v>#DIV/0!</v>
      </c>
      <c r="I172" s="287" t="e">
        <f>DIST_ALC_TOT!AF19</f>
        <v>#DIV/0!</v>
      </c>
      <c r="J172" s="287" t="e">
        <f>DIST_DSL_TOT!CG19</f>
        <v>#DIV/0!</v>
      </c>
      <c r="K172" s="287" t="e">
        <f>DIST_DSL_TOT!CH19</f>
        <v>#DIV/0!</v>
      </c>
      <c r="L172" s="287" t="e">
        <f>DIST_DSL_TOT!CI19</f>
        <v>#DIV/0!</v>
      </c>
      <c r="M172" s="287" t="e">
        <f>DIST_DSL_TOT!CJ19</f>
        <v>#DIV/0!</v>
      </c>
      <c r="N172" s="287" t="e">
        <f>DIST_DSL_TOT!CK19</f>
        <v>#DIV/0!</v>
      </c>
      <c r="O172" s="287" t="e">
        <f>DIST_DSL_TOT!CL19</f>
        <v>#DIV/0!</v>
      </c>
      <c r="P172" s="287" t="e">
        <f>DIST_DSL_TOT!CM19</f>
        <v>#DIV/0!</v>
      </c>
      <c r="Q172" s="287" t="e">
        <f>DIST_DSL_TOT!CN19</f>
        <v>#DIV/0!</v>
      </c>
      <c r="R172" s="286">
        <f t="shared" si="15"/>
        <v>1</v>
      </c>
      <c r="T172" s="288" t="e">
        <f t="shared" si="12"/>
        <v>#DIV/0!</v>
      </c>
      <c r="U172" s="288" t="e">
        <f t="shared" si="13"/>
        <v>#DIV/0!</v>
      </c>
      <c r="V172" s="288" t="e">
        <f t="shared" si="14"/>
        <v>#DIV/0!</v>
      </c>
    </row>
    <row r="173" spans="1:22" s="1" customFormat="1">
      <c r="A173" s="127" t="s">
        <v>27</v>
      </c>
      <c r="B173" s="287" t="e">
        <f>DIST_GAS_TOT!BO20</f>
        <v>#DIV/0!</v>
      </c>
      <c r="C173" s="287" t="e">
        <f>DIST_GAS_TOT!BP20</f>
        <v>#DIV/0!</v>
      </c>
      <c r="D173" s="287" t="e">
        <f>DIST_GAS_TOT!BQ20</f>
        <v>#DIV/0!</v>
      </c>
      <c r="E173" s="287" t="e">
        <f>DIST_GAS_TOT!BR20</f>
        <v>#DIV/0!</v>
      </c>
      <c r="F173" s="287" t="e">
        <f>DIST_GAS_TOT!BS20</f>
        <v>#DIV/0!</v>
      </c>
      <c r="G173" s="287" t="e">
        <f>DIST_GAS_TOT!BT20</f>
        <v>#DIV/0!</v>
      </c>
      <c r="H173" s="287" t="e">
        <f>DIST_ALC_TOT!AE20</f>
        <v>#DIV/0!</v>
      </c>
      <c r="I173" s="287" t="e">
        <f>DIST_ALC_TOT!AF20</f>
        <v>#DIV/0!</v>
      </c>
      <c r="J173" s="287" t="e">
        <f>DIST_DSL_TOT!CG20</f>
        <v>#DIV/0!</v>
      </c>
      <c r="K173" s="287" t="e">
        <f>DIST_DSL_TOT!CH20</f>
        <v>#DIV/0!</v>
      </c>
      <c r="L173" s="287" t="e">
        <f>DIST_DSL_TOT!CI20</f>
        <v>#DIV/0!</v>
      </c>
      <c r="M173" s="287" t="e">
        <f>DIST_DSL_TOT!CJ20</f>
        <v>#DIV/0!</v>
      </c>
      <c r="N173" s="287" t="e">
        <f>DIST_DSL_TOT!CK20</f>
        <v>#DIV/0!</v>
      </c>
      <c r="O173" s="287" t="e">
        <f>DIST_DSL_TOT!CL20</f>
        <v>#DIV/0!</v>
      </c>
      <c r="P173" s="287" t="e">
        <f>DIST_DSL_TOT!CM20</f>
        <v>#DIV/0!</v>
      </c>
      <c r="Q173" s="287" t="e">
        <f>DIST_DSL_TOT!CN20</f>
        <v>#DIV/0!</v>
      </c>
      <c r="R173" s="286">
        <f t="shared" si="15"/>
        <v>1</v>
      </c>
      <c r="T173" s="288" t="e">
        <f t="shared" si="12"/>
        <v>#DIV/0!</v>
      </c>
      <c r="U173" s="288" t="e">
        <f t="shared" si="13"/>
        <v>#DIV/0!</v>
      </c>
      <c r="V173" s="288" t="e">
        <f t="shared" si="14"/>
        <v>#DIV/0!</v>
      </c>
    </row>
    <row r="174" spans="1:22" s="1" customFormat="1" ht="25.5">
      <c r="A174" s="127" t="s">
        <v>28</v>
      </c>
      <c r="B174" s="287" t="e">
        <f>DIST_GAS_TOT!BO21</f>
        <v>#DIV/0!</v>
      </c>
      <c r="C174" s="287" t="e">
        <f>DIST_GAS_TOT!BP21</f>
        <v>#DIV/0!</v>
      </c>
      <c r="D174" s="287" t="e">
        <f>DIST_GAS_TOT!BQ21</f>
        <v>#DIV/0!</v>
      </c>
      <c r="E174" s="287" t="e">
        <f>DIST_GAS_TOT!BR21</f>
        <v>#DIV/0!</v>
      </c>
      <c r="F174" s="287" t="e">
        <f>DIST_GAS_TOT!BS21</f>
        <v>#DIV/0!</v>
      </c>
      <c r="G174" s="287" t="e">
        <f>DIST_GAS_TOT!BT21</f>
        <v>#DIV/0!</v>
      </c>
      <c r="H174" s="287" t="e">
        <f>DIST_ALC_TOT!AE21</f>
        <v>#DIV/0!</v>
      </c>
      <c r="I174" s="287" t="e">
        <f>DIST_ALC_TOT!AF21</f>
        <v>#DIV/0!</v>
      </c>
      <c r="J174" s="287" t="e">
        <f>DIST_DSL_TOT!CG21</f>
        <v>#DIV/0!</v>
      </c>
      <c r="K174" s="287" t="e">
        <f>DIST_DSL_TOT!CH21</f>
        <v>#DIV/0!</v>
      </c>
      <c r="L174" s="287" t="e">
        <f>DIST_DSL_TOT!CI21</f>
        <v>#DIV/0!</v>
      </c>
      <c r="M174" s="287" t="e">
        <f>DIST_DSL_TOT!CJ21</f>
        <v>#DIV/0!</v>
      </c>
      <c r="N174" s="287" t="e">
        <f>DIST_DSL_TOT!CK21</f>
        <v>#DIV/0!</v>
      </c>
      <c r="O174" s="287" t="e">
        <f>DIST_DSL_TOT!CL21</f>
        <v>#DIV/0!</v>
      </c>
      <c r="P174" s="287" t="e">
        <f>DIST_DSL_TOT!CM21</f>
        <v>#DIV/0!</v>
      </c>
      <c r="Q174" s="287" t="e">
        <f>DIST_DSL_TOT!CN21</f>
        <v>#DIV/0!</v>
      </c>
      <c r="R174" s="286">
        <f t="shared" si="15"/>
        <v>1</v>
      </c>
      <c r="T174" s="288" t="e">
        <f t="shared" si="12"/>
        <v>#DIV/0!</v>
      </c>
      <c r="U174" s="288" t="e">
        <f t="shared" si="13"/>
        <v>#DIV/0!</v>
      </c>
      <c r="V174" s="288" t="e">
        <f t="shared" si="14"/>
        <v>#DIV/0!</v>
      </c>
    </row>
    <row r="175" spans="1:22" s="1" customFormat="1" ht="15.75" thickBot="1">
      <c r="A175" s="128" t="s">
        <v>29</v>
      </c>
      <c r="B175" s="287" t="e">
        <f>DIST_GAS_TOT!BO22</f>
        <v>#DIV/0!</v>
      </c>
      <c r="C175" s="287" t="e">
        <f>DIST_GAS_TOT!BP22</f>
        <v>#DIV/0!</v>
      </c>
      <c r="D175" s="287" t="e">
        <f>DIST_GAS_TOT!BQ22</f>
        <v>#DIV/0!</v>
      </c>
      <c r="E175" s="287" t="e">
        <f>DIST_GAS_TOT!BR22</f>
        <v>#DIV/0!</v>
      </c>
      <c r="F175" s="287" t="e">
        <f>DIST_GAS_TOT!BS22</f>
        <v>#DIV/0!</v>
      </c>
      <c r="G175" s="287" t="e">
        <f>DIST_GAS_TOT!BT22</f>
        <v>#DIV/0!</v>
      </c>
      <c r="H175" s="287" t="e">
        <f>DIST_ALC_TOT!AE22</f>
        <v>#DIV/0!</v>
      </c>
      <c r="I175" s="287" t="e">
        <f>DIST_ALC_TOT!AF22</f>
        <v>#DIV/0!</v>
      </c>
      <c r="J175" s="287" t="e">
        <f>DIST_DSL_TOT!CG22</f>
        <v>#DIV/0!</v>
      </c>
      <c r="K175" s="287" t="e">
        <f>DIST_DSL_TOT!CH22</f>
        <v>#DIV/0!</v>
      </c>
      <c r="L175" s="287" t="e">
        <f>DIST_DSL_TOT!CI22</f>
        <v>#DIV/0!</v>
      </c>
      <c r="M175" s="287" t="e">
        <f>DIST_DSL_TOT!CJ22</f>
        <v>#DIV/0!</v>
      </c>
      <c r="N175" s="287" t="e">
        <f>DIST_DSL_TOT!CK22</f>
        <v>#DIV/0!</v>
      </c>
      <c r="O175" s="287" t="e">
        <f>DIST_DSL_TOT!CL22</f>
        <v>#DIV/0!</v>
      </c>
      <c r="P175" s="287" t="e">
        <f>DIST_DSL_TOT!CM22</f>
        <v>#DIV/0!</v>
      </c>
      <c r="Q175" s="287" t="e">
        <f>DIST_DSL_TOT!CN22</f>
        <v>#DIV/0!</v>
      </c>
      <c r="R175" s="286">
        <f t="shared" si="15"/>
        <v>1</v>
      </c>
      <c r="T175" s="288" t="e">
        <f t="shared" si="12"/>
        <v>#DIV/0!</v>
      </c>
      <c r="U175" s="288" t="e">
        <f t="shared" si="13"/>
        <v>#DIV/0!</v>
      </c>
      <c r="V175" s="288" t="e">
        <f t="shared" si="14"/>
        <v>#DIV/0!</v>
      </c>
    </row>
    <row r="176" spans="1:22" s="1" customFormat="1">
      <c r="A176" s="269" t="s">
        <v>64</v>
      </c>
      <c r="B176" s="287" t="e">
        <f>DIST_GAS_TOT!BO23</f>
        <v>#DIV/0!</v>
      </c>
      <c r="C176" s="287" t="e">
        <f>DIST_GAS_TOT!BP23</f>
        <v>#DIV/0!</v>
      </c>
      <c r="D176" s="287" t="e">
        <f>DIST_GAS_TOT!BQ23</f>
        <v>#DIV/0!</v>
      </c>
      <c r="E176" s="287" t="e">
        <f>DIST_GAS_TOT!BR23</f>
        <v>#DIV/0!</v>
      </c>
      <c r="F176" s="287" t="e">
        <f>DIST_GAS_TOT!BS23</f>
        <v>#DIV/0!</v>
      </c>
      <c r="G176" s="287" t="e">
        <f>DIST_GAS_TOT!BT23</f>
        <v>#DIV/0!</v>
      </c>
      <c r="H176" s="287" t="e">
        <f>DIST_ALC_TOT!AE23</f>
        <v>#DIV/0!</v>
      </c>
      <c r="I176" s="287" t="e">
        <f>DIST_ALC_TOT!AF23</f>
        <v>#DIV/0!</v>
      </c>
      <c r="J176" s="287" t="e">
        <f>DIST_DSL_TOT!CG23</f>
        <v>#DIV/0!</v>
      </c>
      <c r="K176" s="287" t="e">
        <f>DIST_DSL_TOT!CH23</f>
        <v>#DIV/0!</v>
      </c>
      <c r="L176" s="287" t="e">
        <f>DIST_DSL_TOT!CI23</f>
        <v>#DIV/0!</v>
      </c>
      <c r="M176" s="287" t="e">
        <f>DIST_DSL_TOT!CJ23</f>
        <v>#DIV/0!</v>
      </c>
      <c r="N176" s="287" t="e">
        <f>DIST_DSL_TOT!CK23</f>
        <v>#DIV/0!</v>
      </c>
      <c r="O176" s="287" t="e">
        <f>DIST_DSL_TOT!CL23</f>
        <v>#DIV/0!</v>
      </c>
      <c r="P176" s="287" t="e">
        <f>DIST_DSL_TOT!CM23</f>
        <v>#DIV/0!</v>
      </c>
      <c r="Q176" s="287" t="e">
        <f>DIST_DSL_TOT!CN23</f>
        <v>#DIV/0!</v>
      </c>
      <c r="R176" s="286">
        <f t="shared" si="15"/>
        <v>1</v>
      </c>
      <c r="T176" s="288" t="e">
        <f t="shared" si="12"/>
        <v>#DIV/0!</v>
      </c>
      <c r="U176" s="288" t="e">
        <f t="shared" si="13"/>
        <v>#DIV/0!</v>
      </c>
      <c r="V176" s="288" t="e">
        <f t="shared" si="14"/>
        <v>#DIV/0!</v>
      </c>
    </row>
    <row r="177" spans="1:22" s="1" customFormat="1">
      <c r="A177" s="127" t="s">
        <v>31</v>
      </c>
      <c r="B177" s="287" t="e">
        <f>DIST_GAS_TOT!BO24</f>
        <v>#DIV/0!</v>
      </c>
      <c r="C177" s="287" t="e">
        <f>DIST_GAS_TOT!BP24</f>
        <v>#DIV/0!</v>
      </c>
      <c r="D177" s="287" t="e">
        <f>DIST_GAS_TOT!BQ24</f>
        <v>#DIV/0!</v>
      </c>
      <c r="E177" s="287" t="e">
        <f>DIST_GAS_TOT!BR24</f>
        <v>#DIV/0!</v>
      </c>
      <c r="F177" s="287" t="e">
        <f>DIST_GAS_TOT!BS24</f>
        <v>#DIV/0!</v>
      </c>
      <c r="G177" s="287" t="e">
        <f>DIST_GAS_TOT!BT24</f>
        <v>#DIV/0!</v>
      </c>
      <c r="H177" s="287" t="e">
        <f>DIST_ALC_TOT!AE24</f>
        <v>#DIV/0!</v>
      </c>
      <c r="I177" s="287" t="e">
        <f>DIST_ALC_TOT!AF24</f>
        <v>#DIV/0!</v>
      </c>
      <c r="J177" s="287" t="e">
        <f>DIST_DSL_TOT!CG24</f>
        <v>#DIV/0!</v>
      </c>
      <c r="K177" s="287" t="e">
        <f>DIST_DSL_TOT!CH24</f>
        <v>#DIV/0!</v>
      </c>
      <c r="L177" s="287" t="e">
        <f>DIST_DSL_TOT!CI24</f>
        <v>#DIV/0!</v>
      </c>
      <c r="M177" s="287" t="e">
        <f>DIST_DSL_TOT!CJ24</f>
        <v>#DIV/0!</v>
      </c>
      <c r="N177" s="287" t="e">
        <f>DIST_DSL_TOT!CK24</f>
        <v>#DIV/0!</v>
      </c>
      <c r="O177" s="287" t="e">
        <f>DIST_DSL_TOT!CL24</f>
        <v>#DIV/0!</v>
      </c>
      <c r="P177" s="287" t="e">
        <f>DIST_DSL_TOT!CM24</f>
        <v>#DIV/0!</v>
      </c>
      <c r="Q177" s="287" t="e">
        <f>DIST_DSL_TOT!CN24</f>
        <v>#DIV/0!</v>
      </c>
      <c r="R177" s="286">
        <f t="shared" si="15"/>
        <v>1</v>
      </c>
      <c r="T177" s="288" t="e">
        <f t="shared" si="12"/>
        <v>#DIV/0!</v>
      </c>
      <c r="U177" s="288" t="e">
        <f t="shared" si="13"/>
        <v>#DIV/0!</v>
      </c>
      <c r="V177" s="288" t="e">
        <f t="shared" si="14"/>
        <v>#DIV/0!</v>
      </c>
    </row>
    <row r="178" spans="1:22" s="1" customFormat="1">
      <c r="A178" s="127" t="s">
        <v>32</v>
      </c>
      <c r="B178" s="287" t="e">
        <f>DIST_GAS_TOT!BO25</f>
        <v>#DIV/0!</v>
      </c>
      <c r="C178" s="287" t="e">
        <f>DIST_GAS_TOT!BP25</f>
        <v>#DIV/0!</v>
      </c>
      <c r="D178" s="287" t="e">
        <f>DIST_GAS_TOT!BQ25</f>
        <v>#DIV/0!</v>
      </c>
      <c r="E178" s="287" t="e">
        <f>DIST_GAS_TOT!BR25</f>
        <v>#DIV/0!</v>
      </c>
      <c r="F178" s="287" t="e">
        <f>DIST_GAS_TOT!BS25</f>
        <v>#DIV/0!</v>
      </c>
      <c r="G178" s="287" t="e">
        <f>DIST_GAS_TOT!BT25</f>
        <v>#DIV/0!</v>
      </c>
      <c r="H178" s="287" t="e">
        <f>DIST_ALC_TOT!AE25</f>
        <v>#DIV/0!</v>
      </c>
      <c r="I178" s="287" t="e">
        <f>DIST_ALC_TOT!AF25</f>
        <v>#DIV/0!</v>
      </c>
      <c r="J178" s="287" t="e">
        <f>DIST_DSL_TOT!CG25</f>
        <v>#DIV/0!</v>
      </c>
      <c r="K178" s="287" t="e">
        <f>DIST_DSL_TOT!CH25</f>
        <v>#DIV/0!</v>
      </c>
      <c r="L178" s="287" t="e">
        <f>DIST_DSL_TOT!CI25</f>
        <v>#DIV/0!</v>
      </c>
      <c r="M178" s="287" t="e">
        <f>DIST_DSL_TOT!CJ25</f>
        <v>#DIV/0!</v>
      </c>
      <c r="N178" s="287" t="e">
        <f>DIST_DSL_TOT!CK25</f>
        <v>#DIV/0!</v>
      </c>
      <c r="O178" s="287" t="e">
        <f>DIST_DSL_TOT!CL25</f>
        <v>#DIV/0!</v>
      </c>
      <c r="P178" s="287" t="e">
        <f>DIST_DSL_TOT!CM25</f>
        <v>#DIV/0!</v>
      </c>
      <c r="Q178" s="287" t="e">
        <f>DIST_DSL_TOT!CN25</f>
        <v>#DIV/0!</v>
      </c>
      <c r="R178" s="286">
        <f t="shared" si="15"/>
        <v>1</v>
      </c>
      <c r="T178" s="288" t="e">
        <f t="shared" si="12"/>
        <v>#DIV/0!</v>
      </c>
      <c r="U178" s="288" t="e">
        <f t="shared" si="13"/>
        <v>#DIV/0!</v>
      </c>
      <c r="V178" s="288" t="e">
        <f t="shared" si="14"/>
        <v>#DIV/0!</v>
      </c>
    </row>
    <row r="179" spans="1:22" s="1" customFormat="1">
      <c r="A179" s="127" t="s">
        <v>33</v>
      </c>
      <c r="B179" s="287" t="e">
        <f>DIST_GAS_TOT!BO26</f>
        <v>#DIV/0!</v>
      </c>
      <c r="C179" s="287" t="e">
        <f>DIST_GAS_TOT!BP26</f>
        <v>#DIV/0!</v>
      </c>
      <c r="D179" s="287" t="e">
        <f>DIST_GAS_TOT!BQ26</f>
        <v>#DIV/0!</v>
      </c>
      <c r="E179" s="287" t="e">
        <f>DIST_GAS_TOT!BR26</f>
        <v>#DIV/0!</v>
      </c>
      <c r="F179" s="287" t="e">
        <f>DIST_GAS_TOT!BS26</f>
        <v>#DIV/0!</v>
      </c>
      <c r="G179" s="287" t="e">
        <f>DIST_GAS_TOT!BT26</f>
        <v>#DIV/0!</v>
      </c>
      <c r="H179" s="287" t="e">
        <f>DIST_ALC_TOT!AE26</f>
        <v>#DIV/0!</v>
      </c>
      <c r="I179" s="287" t="e">
        <f>DIST_ALC_TOT!AF26</f>
        <v>#DIV/0!</v>
      </c>
      <c r="J179" s="287" t="e">
        <f>DIST_DSL_TOT!CG26</f>
        <v>#DIV/0!</v>
      </c>
      <c r="K179" s="287" t="e">
        <f>DIST_DSL_TOT!CH26</f>
        <v>#DIV/0!</v>
      </c>
      <c r="L179" s="287" t="e">
        <f>DIST_DSL_TOT!CI26</f>
        <v>#DIV/0!</v>
      </c>
      <c r="M179" s="287" t="e">
        <f>DIST_DSL_TOT!CJ26</f>
        <v>#DIV/0!</v>
      </c>
      <c r="N179" s="287" t="e">
        <f>DIST_DSL_TOT!CK26</f>
        <v>#DIV/0!</v>
      </c>
      <c r="O179" s="287" t="e">
        <f>DIST_DSL_TOT!CL26</f>
        <v>#DIV/0!</v>
      </c>
      <c r="P179" s="287" t="e">
        <f>DIST_DSL_TOT!CM26</f>
        <v>#DIV/0!</v>
      </c>
      <c r="Q179" s="287" t="e">
        <f>DIST_DSL_TOT!CN26</f>
        <v>#DIV/0!</v>
      </c>
      <c r="R179" s="286">
        <f t="shared" si="15"/>
        <v>1</v>
      </c>
      <c r="T179" s="288" t="e">
        <f t="shared" si="12"/>
        <v>#DIV/0!</v>
      </c>
      <c r="U179" s="288" t="e">
        <f t="shared" si="13"/>
        <v>#DIV/0!</v>
      </c>
      <c r="V179" s="288" t="e">
        <f t="shared" si="14"/>
        <v>#DIV/0!</v>
      </c>
    </row>
    <row r="180" spans="1:22" s="1" customFormat="1" ht="15.75" thickBot="1">
      <c r="A180" s="128" t="s">
        <v>34</v>
      </c>
      <c r="B180" s="287" t="e">
        <f>DIST_GAS_TOT!BO27</f>
        <v>#DIV/0!</v>
      </c>
      <c r="C180" s="287" t="e">
        <f>DIST_GAS_TOT!BP27</f>
        <v>#DIV/0!</v>
      </c>
      <c r="D180" s="287" t="e">
        <f>DIST_GAS_TOT!BQ27</f>
        <v>#DIV/0!</v>
      </c>
      <c r="E180" s="287" t="e">
        <f>DIST_GAS_TOT!BR27</f>
        <v>#DIV/0!</v>
      </c>
      <c r="F180" s="287" t="e">
        <f>DIST_GAS_TOT!BS27</f>
        <v>#DIV/0!</v>
      </c>
      <c r="G180" s="287" t="e">
        <f>DIST_GAS_TOT!BT27</f>
        <v>#DIV/0!</v>
      </c>
      <c r="H180" s="287" t="e">
        <f>DIST_ALC_TOT!AE27</f>
        <v>#DIV/0!</v>
      </c>
      <c r="I180" s="287" t="e">
        <f>DIST_ALC_TOT!AF27</f>
        <v>#DIV/0!</v>
      </c>
      <c r="J180" s="287" t="e">
        <f>DIST_DSL_TOT!CG27</f>
        <v>#DIV/0!</v>
      </c>
      <c r="K180" s="287" t="e">
        <f>DIST_DSL_TOT!CH27</f>
        <v>#DIV/0!</v>
      </c>
      <c r="L180" s="287" t="e">
        <f>DIST_DSL_TOT!CI27</f>
        <v>#DIV/0!</v>
      </c>
      <c r="M180" s="287" t="e">
        <f>DIST_DSL_TOT!CJ27</f>
        <v>#DIV/0!</v>
      </c>
      <c r="N180" s="287" t="e">
        <f>DIST_DSL_TOT!CK27</f>
        <v>#DIV/0!</v>
      </c>
      <c r="O180" s="287" t="e">
        <f>DIST_DSL_TOT!CL27</f>
        <v>#DIV/0!</v>
      </c>
      <c r="P180" s="287" t="e">
        <f>DIST_DSL_TOT!CM27</f>
        <v>#DIV/0!</v>
      </c>
      <c r="Q180" s="287" t="e">
        <f>DIST_DSL_TOT!CN27</f>
        <v>#DIV/0!</v>
      </c>
      <c r="R180" s="286">
        <f t="shared" si="15"/>
        <v>1</v>
      </c>
      <c r="T180" s="288" t="e">
        <f t="shared" si="12"/>
        <v>#DIV/0!</v>
      </c>
      <c r="U180" s="288" t="e">
        <f t="shared" si="13"/>
        <v>#DIV/0!</v>
      </c>
      <c r="V180" s="288" t="e">
        <f t="shared" si="14"/>
        <v>#DIV/0!</v>
      </c>
    </row>
    <row r="181" spans="1:22" s="1" customFormat="1">
      <c r="A181" s="269" t="s">
        <v>69</v>
      </c>
      <c r="B181" s="287" t="e">
        <f>DIST_GAS_TOT!BO28</f>
        <v>#DIV/0!</v>
      </c>
      <c r="C181" s="287" t="e">
        <f>DIST_GAS_TOT!BP28</f>
        <v>#DIV/0!</v>
      </c>
      <c r="D181" s="287" t="e">
        <f>DIST_GAS_TOT!BQ28</f>
        <v>#DIV/0!</v>
      </c>
      <c r="E181" s="287" t="e">
        <f>DIST_GAS_TOT!BR28</f>
        <v>#DIV/0!</v>
      </c>
      <c r="F181" s="287" t="e">
        <f>DIST_GAS_TOT!BS28</f>
        <v>#DIV/0!</v>
      </c>
      <c r="G181" s="287" t="e">
        <f>DIST_GAS_TOT!BT28</f>
        <v>#DIV/0!</v>
      </c>
      <c r="H181" s="287" t="e">
        <f>DIST_ALC_TOT!AE28</f>
        <v>#DIV/0!</v>
      </c>
      <c r="I181" s="287" t="e">
        <f>DIST_ALC_TOT!AF28</f>
        <v>#DIV/0!</v>
      </c>
      <c r="J181" s="287" t="e">
        <f>DIST_DSL_TOT!CG28</f>
        <v>#DIV/0!</v>
      </c>
      <c r="K181" s="287" t="e">
        <f>DIST_DSL_TOT!CH28</f>
        <v>#DIV/0!</v>
      </c>
      <c r="L181" s="287" t="e">
        <f>DIST_DSL_TOT!CI28</f>
        <v>#DIV/0!</v>
      </c>
      <c r="M181" s="287" t="e">
        <f>DIST_DSL_TOT!CJ28</f>
        <v>#DIV/0!</v>
      </c>
      <c r="N181" s="287" t="e">
        <f>DIST_DSL_TOT!CK28</f>
        <v>#DIV/0!</v>
      </c>
      <c r="O181" s="287" t="e">
        <f>DIST_DSL_TOT!CL28</f>
        <v>#DIV/0!</v>
      </c>
      <c r="P181" s="287" t="e">
        <f>DIST_DSL_TOT!CM28</f>
        <v>#DIV/0!</v>
      </c>
      <c r="Q181" s="287" t="e">
        <f>DIST_DSL_TOT!CN28</f>
        <v>#DIV/0!</v>
      </c>
      <c r="R181" s="286">
        <f t="shared" si="15"/>
        <v>1</v>
      </c>
      <c r="T181" s="288" t="e">
        <f t="shared" si="12"/>
        <v>#DIV/0!</v>
      </c>
      <c r="U181" s="288" t="e">
        <f t="shared" si="13"/>
        <v>#DIV/0!</v>
      </c>
      <c r="V181" s="288" t="e">
        <f t="shared" si="14"/>
        <v>#DIV/0!</v>
      </c>
    </row>
    <row r="182" spans="1:22" s="1" customFormat="1">
      <c r="A182" s="127" t="s">
        <v>36</v>
      </c>
      <c r="B182" s="287" t="e">
        <f>DIST_GAS_TOT!BO29</f>
        <v>#DIV/0!</v>
      </c>
      <c r="C182" s="287" t="e">
        <f>DIST_GAS_TOT!BP29</f>
        <v>#DIV/0!</v>
      </c>
      <c r="D182" s="287" t="e">
        <f>DIST_GAS_TOT!BQ29</f>
        <v>#DIV/0!</v>
      </c>
      <c r="E182" s="287" t="e">
        <f>DIST_GAS_TOT!BR29</f>
        <v>#DIV/0!</v>
      </c>
      <c r="F182" s="287" t="e">
        <f>DIST_GAS_TOT!BS29</f>
        <v>#DIV/0!</v>
      </c>
      <c r="G182" s="287" t="e">
        <f>DIST_GAS_TOT!BT29</f>
        <v>#DIV/0!</v>
      </c>
      <c r="H182" s="287" t="e">
        <f>DIST_ALC_TOT!AE29</f>
        <v>#DIV/0!</v>
      </c>
      <c r="I182" s="287" t="e">
        <f>DIST_ALC_TOT!AF29</f>
        <v>#DIV/0!</v>
      </c>
      <c r="J182" s="287" t="e">
        <f>DIST_DSL_TOT!CG29</f>
        <v>#DIV/0!</v>
      </c>
      <c r="K182" s="287" t="e">
        <f>DIST_DSL_TOT!CH29</f>
        <v>#DIV/0!</v>
      </c>
      <c r="L182" s="287" t="e">
        <f>DIST_DSL_TOT!CI29</f>
        <v>#DIV/0!</v>
      </c>
      <c r="M182" s="287" t="e">
        <f>DIST_DSL_TOT!CJ29</f>
        <v>#DIV/0!</v>
      </c>
      <c r="N182" s="287" t="e">
        <f>DIST_DSL_TOT!CK29</f>
        <v>#DIV/0!</v>
      </c>
      <c r="O182" s="287" t="e">
        <f>DIST_DSL_TOT!CL29</f>
        <v>#DIV/0!</v>
      </c>
      <c r="P182" s="287" t="e">
        <f>DIST_DSL_TOT!CM29</f>
        <v>#DIV/0!</v>
      </c>
      <c r="Q182" s="287" t="e">
        <f>DIST_DSL_TOT!CN29</f>
        <v>#DIV/0!</v>
      </c>
      <c r="R182" s="286">
        <f t="shared" si="15"/>
        <v>1</v>
      </c>
      <c r="T182" s="288" t="e">
        <f t="shared" si="12"/>
        <v>#DIV/0!</v>
      </c>
      <c r="U182" s="288" t="e">
        <f t="shared" si="13"/>
        <v>#DIV/0!</v>
      </c>
      <c r="V182" s="288" t="e">
        <f t="shared" si="14"/>
        <v>#DIV/0!</v>
      </c>
    </row>
    <row r="183" spans="1:22" s="1" customFormat="1">
      <c r="A183" s="127" t="s">
        <v>37</v>
      </c>
      <c r="B183" s="287" t="e">
        <f>DIST_GAS_TOT!BO30</f>
        <v>#DIV/0!</v>
      </c>
      <c r="C183" s="287" t="e">
        <f>DIST_GAS_TOT!BP30</f>
        <v>#DIV/0!</v>
      </c>
      <c r="D183" s="287" t="e">
        <f>DIST_GAS_TOT!BQ30</f>
        <v>#DIV/0!</v>
      </c>
      <c r="E183" s="287" t="e">
        <f>DIST_GAS_TOT!BR30</f>
        <v>#DIV/0!</v>
      </c>
      <c r="F183" s="287" t="e">
        <f>DIST_GAS_TOT!BS30</f>
        <v>#DIV/0!</v>
      </c>
      <c r="G183" s="287" t="e">
        <f>DIST_GAS_TOT!BT30</f>
        <v>#DIV/0!</v>
      </c>
      <c r="H183" s="287" t="e">
        <f>DIST_ALC_TOT!AE30</f>
        <v>#DIV/0!</v>
      </c>
      <c r="I183" s="287" t="e">
        <f>DIST_ALC_TOT!AF30</f>
        <v>#DIV/0!</v>
      </c>
      <c r="J183" s="287" t="e">
        <f>DIST_DSL_TOT!CG30</f>
        <v>#DIV/0!</v>
      </c>
      <c r="K183" s="287" t="e">
        <f>DIST_DSL_TOT!CH30</f>
        <v>#DIV/0!</v>
      </c>
      <c r="L183" s="287" t="e">
        <f>DIST_DSL_TOT!CI30</f>
        <v>#DIV/0!</v>
      </c>
      <c r="M183" s="287" t="e">
        <f>DIST_DSL_TOT!CJ30</f>
        <v>#DIV/0!</v>
      </c>
      <c r="N183" s="287" t="e">
        <f>DIST_DSL_TOT!CK30</f>
        <v>#DIV/0!</v>
      </c>
      <c r="O183" s="287" t="e">
        <f>DIST_DSL_TOT!CL30</f>
        <v>#DIV/0!</v>
      </c>
      <c r="P183" s="287" t="e">
        <f>DIST_DSL_TOT!CM30</f>
        <v>#DIV/0!</v>
      </c>
      <c r="Q183" s="287" t="e">
        <f>DIST_DSL_TOT!CN30</f>
        <v>#DIV/0!</v>
      </c>
      <c r="R183" s="286">
        <f t="shared" si="15"/>
        <v>1</v>
      </c>
      <c r="T183" s="288" t="e">
        <f t="shared" si="12"/>
        <v>#DIV/0!</v>
      </c>
      <c r="U183" s="288" t="e">
        <f t="shared" si="13"/>
        <v>#DIV/0!</v>
      </c>
      <c r="V183" s="288" t="e">
        <f t="shared" si="14"/>
        <v>#DIV/0!</v>
      </c>
    </row>
    <row r="184" spans="1:22" s="1" customFormat="1" ht="15.75" thickBot="1">
      <c r="A184" s="128" t="s">
        <v>38</v>
      </c>
      <c r="B184" s="287" t="e">
        <f>DIST_GAS_TOT!BO31</f>
        <v>#DIV/0!</v>
      </c>
      <c r="C184" s="287" t="e">
        <f>DIST_GAS_TOT!BP31</f>
        <v>#DIV/0!</v>
      </c>
      <c r="D184" s="287" t="e">
        <f>DIST_GAS_TOT!BQ31</f>
        <v>#DIV/0!</v>
      </c>
      <c r="E184" s="287" t="e">
        <f>DIST_GAS_TOT!BR31</f>
        <v>#DIV/0!</v>
      </c>
      <c r="F184" s="287" t="e">
        <f>DIST_GAS_TOT!BS31</f>
        <v>#DIV/0!</v>
      </c>
      <c r="G184" s="287" t="e">
        <f>DIST_GAS_TOT!BT31</f>
        <v>#DIV/0!</v>
      </c>
      <c r="H184" s="287" t="e">
        <f>DIST_ALC_TOT!AE31</f>
        <v>#DIV/0!</v>
      </c>
      <c r="I184" s="287" t="e">
        <f>DIST_ALC_TOT!AF31</f>
        <v>#DIV/0!</v>
      </c>
      <c r="J184" s="287" t="e">
        <f>DIST_DSL_TOT!CG31</f>
        <v>#DIV/0!</v>
      </c>
      <c r="K184" s="287" t="e">
        <f>DIST_DSL_TOT!CH31</f>
        <v>#DIV/0!</v>
      </c>
      <c r="L184" s="287" t="e">
        <f>DIST_DSL_TOT!CI31</f>
        <v>#DIV/0!</v>
      </c>
      <c r="M184" s="287" t="e">
        <f>DIST_DSL_TOT!CJ31</f>
        <v>#DIV/0!</v>
      </c>
      <c r="N184" s="287" t="e">
        <f>DIST_DSL_TOT!CK31</f>
        <v>#DIV/0!</v>
      </c>
      <c r="O184" s="287" t="e">
        <f>DIST_DSL_TOT!CL31</f>
        <v>#DIV/0!</v>
      </c>
      <c r="P184" s="287" t="e">
        <f>DIST_DSL_TOT!CM31</f>
        <v>#DIV/0!</v>
      </c>
      <c r="Q184" s="287" t="e">
        <f>DIST_DSL_TOT!CN31</f>
        <v>#DIV/0!</v>
      </c>
      <c r="R184" s="286">
        <f t="shared" si="15"/>
        <v>1</v>
      </c>
      <c r="T184" s="288" t="e">
        <f t="shared" si="12"/>
        <v>#DIV/0!</v>
      </c>
      <c r="U184" s="288" t="e">
        <f t="shared" si="13"/>
        <v>#DIV/0!</v>
      </c>
      <c r="V184" s="288" t="e">
        <f t="shared" si="14"/>
        <v>#DIV/0!</v>
      </c>
    </row>
    <row r="185" spans="1:22" s="1" customFormat="1" ht="25.5">
      <c r="A185" s="274" t="s">
        <v>73</v>
      </c>
      <c r="B185" s="287" t="e">
        <f>DIST_GAS_TOT!BO32</f>
        <v>#DIV/0!</v>
      </c>
      <c r="C185" s="287" t="e">
        <f>DIST_GAS_TOT!BP32</f>
        <v>#DIV/0!</v>
      </c>
      <c r="D185" s="287" t="e">
        <f>DIST_GAS_TOT!BQ32</f>
        <v>#DIV/0!</v>
      </c>
      <c r="E185" s="287" t="e">
        <f>DIST_GAS_TOT!BR32</f>
        <v>#DIV/0!</v>
      </c>
      <c r="F185" s="287" t="e">
        <f>DIST_GAS_TOT!BS32</f>
        <v>#DIV/0!</v>
      </c>
      <c r="G185" s="287" t="e">
        <f>DIST_GAS_TOT!BT32</f>
        <v>#DIV/0!</v>
      </c>
      <c r="H185" s="287" t="e">
        <f>DIST_ALC_TOT!AE32</f>
        <v>#DIV/0!</v>
      </c>
      <c r="I185" s="287" t="e">
        <f>DIST_ALC_TOT!AF32</f>
        <v>#DIV/0!</v>
      </c>
      <c r="J185" s="287" t="e">
        <f>DIST_DSL_TOT!CG32</f>
        <v>#DIV/0!</v>
      </c>
      <c r="K185" s="287" t="e">
        <f>DIST_DSL_TOT!CH32</f>
        <v>#DIV/0!</v>
      </c>
      <c r="L185" s="287" t="e">
        <f>DIST_DSL_TOT!CI32</f>
        <v>#DIV/0!</v>
      </c>
      <c r="M185" s="287" t="e">
        <f>DIST_DSL_TOT!CJ32</f>
        <v>#DIV/0!</v>
      </c>
      <c r="N185" s="287" t="e">
        <f>DIST_DSL_TOT!CK32</f>
        <v>#DIV/0!</v>
      </c>
      <c r="O185" s="287" t="e">
        <f>DIST_DSL_TOT!CL32</f>
        <v>#DIV/0!</v>
      </c>
      <c r="P185" s="287" t="e">
        <f>DIST_DSL_TOT!CM32</f>
        <v>#DIV/0!</v>
      </c>
      <c r="Q185" s="287" t="e">
        <f>DIST_DSL_TOT!CN32</f>
        <v>#DIV/0!</v>
      </c>
      <c r="R185" s="286">
        <f t="shared" si="15"/>
        <v>1</v>
      </c>
      <c r="T185" s="288" t="e">
        <f t="shared" si="12"/>
        <v>#DIV/0!</v>
      </c>
      <c r="U185" s="288" t="e">
        <f t="shared" si="13"/>
        <v>#DIV/0!</v>
      </c>
      <c r="V185" s="288" t="e">
        <f t="shared" si="14"/>
        <v>#DIV/0!</v>
      </c>
    </row>
    <row r="186" spans="1:22" s="1" customFormat="1">
      <c r="A186" s="127" t="s">
        <v>40</v>
      </c>
      <c r="B186" s="287" t="e">
        <f>DIST_GAS_TOT!BO33</f>
        <v>#DIV/0!</v>
      </c>
      <c r="C186" s="287" t="e">
        <f>DIST_GAS_TOT!BP33</f>
        <v>#DIV/0!</v>
      </c>
      <c r="D186" s="287" t="e">
        <f>DIST_GAS_TOT!BQ33</f>
        <v>#DIV/0!</v>
      </c>
      <c r="E186" s="287" t="e">
        <f>DIST_GAS_TOT!BR33</f>
        <v>#DIV/0!</v>
      </c>
      <c r="F186" s="287" t="e">
        <f>DIST_GAS_TOT!BS33</f>
        <v>#DIV/0!</v>
      </c>
      <c r="G186" s="287" t="e">
        <f>DIST_GAS_TOT!BT33</f>
        <v>#DIV/0!</v>
      </c>
      <c r="H186" s="287" t="e">
        <f>DIST_ALC_TOT!AE33</f>
        <v>#DIV/0!</v>
      </c>
      <c r="I186" s="287" t="e">
        <f>DIST_ALC_TOT!AF33</f>
        <v>#DIV/0!</v>
      </c>
      <c r="J186" s="287" t="e">
        <f>DIST_DSL_TOT!CG33</f>
        <v>#DIV/0!</v>
      </c>
      <c r="K186" s="287" t="e">
        <f>DIST_DSL_TOT!CH33</f>
        <v>#DIV/0!</v>
      </c>
      <c r="L186" s="287" t="e">
        <f>DIST_DSL_TOT!CI33</f>
        <v>#DIV/0!</v>
      </c>
      <c r="M186" s="287" t="e">
        <f>DIST_DSL_TOT!CJ33</f>
        <v>#DIV/0!</v>
      </c>
      <c r="N186" s="287" t="e">
        <f>DIST_DSL_TOT!CK33</f>
        <v>#DIV/0!</v>
      </c>
      <c r="O186" s="287" t="e">
        <f>DIST_DSL_TOT!CL33</f>
        <v>#DIV/0!</v>
      </c>
      <c r="P186" s="287" t="e">
        <f>DIST_DSL_TOT!CM33</f>
        <v>#DIV/0!</v>
      </c>
      <c r="Q186" s="287" t="e">
        <f>DIST_DSL_TOT!CN33</f>
        <v>#DIV/0!</v>
      </c>
      <c r="R186" s="286">
        <f t="shared" si="15"/>
        <v>1</v>
      </c>
      <c r="T186" s="288" t="e">
        <f t="shared" si="12"/>
        <v>#DIV/0!</v>
      </c>
      <c r="U186" s="288" t="e">
        <f t="shared" si="13"/>
        <v>#DIV/0!</v>
      </c>
      <c r="V186" s="288" t="e">
        <f t="shared" si="14"/>
        <v>#DIV/0!</v>
      </c>
    </row>
    <row r="187" spans="1:22" s="1" customFormat="1">
      <c r="A187" s="127" t="s">
        <v>41</v>
      </c>
      <c r="B187" s="287" t="e">
        <f>DIST_GAS_TOT!BO34</f>
        <v>#DIV/0!</v>
      </c>
      <c r="C187" s="287" t="e">
        <f>DIST_GAS_TOT!BP34</f>
        <v>#DIV/0!</v>
      </c>
      <c r="D187" s="287" t="e">
        <f>DIST_GAS_TOT!BQ34</f>
        <v>#DIV/0!</v>
      </c>
      <c r="E187" s="287" t="e">
        <f>DIST_GAS_TOT!BR34</f>
        <v>#DIV/0!</v>
      </c>
      <c r="F187" s="287" t="e">
        <f>DIST_GAS_TOT!BS34</f>
        <v>#DIV/0!</v>
      </c>
      <c r="G187" s="287" t="e">
        <f>DIST_GAS_TOT!BT34</f>
        <v>#DIV/0!</v>
      </c>
      <c r="H187" s="287" t="e">
        <f>DIST_ALC_TOT!AE34</f>
        <v>#DIV/0!</v>
      </c>
      <c r="I187" s="287" t="e">
        <f>DIST_ALC_TOT!AF34</f>
        <v>#DIV/0!</v>
      </c>
      <c r="J187" s="287" t="e">
        <f>DIST_DSL_TOT!CG34</f>
        <v>#DIV/0!</v>
      </c>
      <c r="K187" s="287" t="e">
        <f>DIST_DSL_TOT!CH34</f>
        <v>#DIV/0!</v>
      </c>
      <c r="L187" s="287" t="e">
        <f>DIST_DSL_TOT!CI34</f>
        <v>#DIV/0!</v>
      </c>
      <c r="M187" s="287" t="e">
        <f>DIST_DSL_TOT!CJ34</f>
        <v>#DIV/0!</v>
      </c>
      <c r="N187" s="287" t="e">
        <f>DIST_DSL_TOT!CK34</f>
        <v>#DIV/0!</v>
      </c>
      <c r="O187" s="287" t="e">
        <f>DIST_DSL_TOT!CL34</f>
        <v>#DIV/0!</v>
      </c>
      <c r="P187" s="287" t="e">
        <f>DIST_DSL_TOT!CM34</f>
        <v>#DIV/0!</v>
      </c>
      <c r="Q187" s="287" t="e">
        <f>DIST_DSL_TOT!CN34</f>
        <v>#DIV/0!</v>
      </c>
      <c r="R187" s="286">
        <f t="shared" si="15"/>
        <v>1</v>
      </c>
      <c r="T187" s="288" t="e">
        <f t="shared" si="12"/>
        <v>#DIV/0!</v>
      </c>
      <c r="U187" s="288" t="e">
        <f t="shared" si="13"/>
        <v>#DIV/0!</v>
      </c>
      <c r="V187" s="288" t="e">
        <f t="shared" si="14"/>
        <v>#DIV/0!</v>
      </c>
    </row>
    <row r="188" spans="1:22" s="1" customFormat="1">
      <c r="A188" s="127" t="s">
        <v>42</v>
      </c>
      <c r="B188" s="287" t="e">
        <f>DIST_GAS_TOT!BO35</f>
        <v>#DIV/0!</v>
      </c>
      <c r="C188" s="287" t="e">
        <f>DIST_GAS_TOT!BP35</f>
        <v>#DIV/0!</v>
      </c>
      <c r="D188" s="287" t="e">
        <f>DIST_GAS_TOT!BQ35</f>
        <v>#DIV/0!</v>
      </c>
      <c r="E188" s="287" t="e">
        <f>DIST_GAS_TOT!BR35</f>
        <v>#DIV/0!</v>
      </c>
      <c r="F188" s="287" t="e">
        <f>DIST_GAS_TOT!BS35</f>
        <v>#DIV/0!</v>
      </c>
      <c r="G188" s="287" t="e">
        <f>DIST_GAS_TOT!BT35</f>
        <v>#DIV/0!</v>
      </c>
      <c r="H188" s="287" t="e">
        <f>DIST_ALC_TOT!AE35</f>
        <v>#DIV/0!</v>
      </c>
      <c r="I188" s="287" t="e">
        <f>DIST_ALC_TOT!AF35</f>
        <v>#DIV/0!</v>
      </c>
      <c r="J188" s="287" t="e">
        <f>DIST_DSL_TOT!CG35</f>
        <v>#DIV/0!</v>
      </c>
      <c r="K188" s="287" t="e">
        <f>DIST_DSL_TOT!CH35</f>
        <v>#DIV/0!</v>
      </c>
      <c r="L188" s="287" t="e">
        <f>DIST_DSL_TOT!CI35</f>
        <v>#DIV/0!</v>
      </c>
      <c r="M188" s="287" t="e">
        <f>DIST_DSL_TOT!CJ35</f>
        <v>#DIV/0!</v>
      </c>
      <c r="N188" s="287" t="e">
        <f>DIST_DSL_TOT!CK35</f>
        <v>#DIV/0!</v>
      </c>
      <c r="O188" s="287" t="e">
        <f>DIST_DSL_TOT!CL35</f>
        <v>#DIV/0!</v>
      </c>
      <c r="P188" s="287" t="e">
        <f>DIST_DSL_TOT!CM35</f>
        <v>#DIV/0!</v>
      </c>
      <c r="Q188" s="287" t="e">
        <f>DIST_DSL_TOT!CN35</f>
        <v>#DIV/0!</v>
      </c>
      <c r="R188" s="286">
        <f t="shared" si="15"/>
        <v>1</v>
      </c>
      <c r="T188" s="288" t="e">
        <f t="shared" si="12"/>
        <v>#DIV/0!</v>
      </c>
      <c r="U188" s="288" t="e">
        <f t="shared" si="13"/>
        <v>#DIV/0!</v>
      </c>
      <c r="V188" s="288" t="e">
        <f t="shared" si="14"/>
        <v>#DIV/0!</v>
      </c>
    </row>
    <row r="189" spans="1:22" s="1" customFormat="1" ht="26.25" thickBot="1">
      <c r="A189" s="128" t="s">
        <v>43</v>
      </c>
      <c r="B189" s="287" t="e">
        <f>DIST_GAS_TOT!BO36</f>
        <v>#DIV/0!</v>
      </c>
      <c r="C189" s="287" t="e">
        <f>DIST_GAS_TOT!BP36</f>
        <v>#DIV/0!</v>
      </c>
      <c r="D189" s="287" t="e">
        <f>DIST_GAS_TOT!BQ36</f>
        <v>#DIV/0!</v>
      </c>
      <c r="E189" s="287" t="e">
        <f>DIST_GAS_TOT!BR36</f>
        <v>#DIV/0!</v>
      </c>
      <c r="F189" s="287" t="e">
        <f>DIST_GAS_TOT!BS36</f>
        <v>#DIV/0!</v>
      </c>
      <c r="G189" s="287" t="e">
        <f>DIST_GAS_TOT!BT36</f>
        <v>#DIV/0!</v>
      </c>
      <c r="H189" s="287" t="e">
        <f>DIST_ALC_TOT!AE36</f>
        <v>#DIV/0!</v>
      </c>
      <c r="I189" s="287" t="e">
        <f>DIST_ALC_TOT!AF36</f>
        <v>#DIV/0!</v>
      </c>
      <c r="J189" s="287" t="e">
        <f>DIST_DSL_TOT!CG36</f>
        <v>#DIV/0!</v>
      </c>
      <c r="K189" s="287" t="e">
        <f>DIST_DSL_TOT!CH36</f>
        <v>#DIV/0!</v>
      </c>
      <c r="L189" s="287" t="e">
        <f>DIST_DSL_TOT!CI36</f>
        <v>#DIV/0!</v>
      </c>
      <c r="M189" s="287" t="e">
        <f>DIST_DSL_TOT!CJ36</f>
        <v>#DIV/0!</v>
      </c>
      <c r="N189" s="287" t="e">
        <f>DIST_DSL_TOT!CK36</f>
        <v>#DIV/0!</v>
      </c>
      <c r="O189" s="287" t="e">
        <f>DIST_DSL_TOT!CL36</f>
        <v>#DIV/0!</v>
      </c>
      <c r="P189" s="287" t="e">
        <f>DIST_DSL_TOT!CM36</f>
        <v>#DIV/0!</v>
      </c>
      <c r="Q189" s="287" t="e">
        <f>DIST_DSL_TOT!CN36</f>
        <v>#DIV/0!</v>
      </c>
      <c r="R189" s="286">
        <f t="shared" si="15"/>
        <v>1</v>
      </c>
      <c r="T189" s="288" t="e">
        <f t="shared" si="12"/>
        <v>#DIV/0!</v>
      </c>
      <c r="U189" s="288" t="e">
        <f t="shared" si="13"/>
        <v>#DIV/0!</v>
      </c>
      <c r="V189" s="288" t="e">
        <f t="shared" si="14"/>
        <v>#DIV/0!</v>
      </c>
    </row>
    <row r="190" spans="1:22" s="1" customFormat="1"/>
    <row r="191" spans="1:22" s="1" customFormat="1"/>
    <row r="192" spans="1:22" s="1" customFormat="1"/>
    <row r="193" s="1" customFormat="1"/>
    <row r="194" s="1" customFormat="1"/>
    <row r="195" s="1" customFormat="1"/>
    <row r="196" s="1" customFormat="1"/>
    <row r="197" s="1" customFormat="1"/>
    <row r="198" s="1" customFormat="1"/>
    <row r="199" s="1" customFormat="1"/>
    <row r="200" s="1" customFormat="1"/>
    <row r="201" s="1" customFormat="1"/>
    <row r="202" s="1" customFormat="1"/>
    <row r="203" s="1" customFormat="1"/>
    <row r="204" s="1" customFormat="1"/>
    <row r="205" s="1" customFormat="1"/>
    <row r="206" s="1" customFormat="1"/>
    <row r="207" s="1" customFormat="1"/>
    <row r="208" s="1" customFormat="1"/>
    <row r="209" s="1" customFormat="1"/>
    <row r="210" s="1" customFormat="1"/>
  </sheetData>
  <mergeCells count="75">
    <mergeCell ref="A153:A156"/>
    <mergeCell ref="B153:R153"/>
    <mergeCell ref="B154:G154"/>
    <mergeCell ref="H154:I154"/>
    <mergeCell ref="J154:Q154"/>
    <mergeCell ref="B155:B156"/>
    <mergeCell ref="C155:C156"/>
    <mergeCell ref="D155:G155"/>
    <mergeCell ref="H155:H156"/>
    <mergeCell ref="I155:I156"/>
    <mergeCell ref="J155:L155"/>
    <mergeCell ref="M155:O155"/>
    <mergeCell ref="P155:P156"/>
    <mergeCell ref="Q155:Q156"/>
    <mergeCell ref="R155:R156"/>
    <mergeCell ref="B115:R115"/>
    <mergeCell ref="B116:G116"/>
    <mergeCell ref="H116:I116"/>
    <mergeCell ref="J116:Q116"/>
    <mergeCell ref="B117:B118"/>
    <mergeCell ref="C117:C118"/>
    <mergeCell ref="Q117:Q118"/>
    <mergeCell ref="R117:R118"/>
    <mergeCell ref="D117:G117"/>
    <mergeCell ref="H117:H118"/>
    <mergeCell ref="I117:I118"/>
    <mergeCell ref="J117:L117"/>
    <mergeCell ref="M117:O117"/>
    <mergeCell ref="P117:P118"/>
    <mergeCell ref="A115:A118"/>
    <mergeCell ref="B77:R77"/>
    <mergeCell ref="B78:G78"/>
    <mergeCell ref="H78:I78"/>
    <mergeCell ref="J78:Q78"/>
    <mergeCell ref="B79:B80"/>
    <mergeCell ref="P79:P80"/>
    <mergeCell ref="Q79:Q80"/>
    <mergeCell ref="R79:R80"/>
    <mergeCell ref="C79:C80"/>
    <mergeCell ref="D79:G79"/>
    <mergeCell ref="H79:H80"/>
    <mergeCell ref="I79:I80"/>
    <mergeCell ref="J79:L79"/>
    <mergeCell ref="M79:O79"/>
    <mergeCell ref="A77:A80"/>
    <mergeCell ref="B39:R39"/>
    <mergeCell ref="B40:G40"/>
    <mergeCell ref="H40:I40"/>
    <mergeCell ref="J40:Q40"/>
    <mergeCell ref="M41:O41"/>
    <mergeCell ref="P41:P42"/>
    <mergeCell ref="Q41:Q42"/>
    <mergeCell ref="R41:R42"/>
    <mergeCell ref="B41:B42"/>
    <mergeCell ref="C41:C42"/>
    <mergeCell ref="D41:G41"/>
    <mergeCell ref="H41:H42"/>
    <mergeCell ref="I41:I42"/>
    <mergeCell ref="J41:L41"/>
    <mergeCell ref="A39:A42"/>
    <mergeCell ref="B1:R1"/>
    <mergeCell ref="B2:G2"/>
    <mergeCell ref="H2:I2"/>
    <mergeCell ref="J2:Q2"/>
    <mergeCell ref="B3:B4"/>
    <mergeCell ref="C3:C4"/>
    <mergeCell ref="D3:G3"/>
    <mergeCell ref="H3:H4"/>
    <mergeCell ref="I3:I4"/>
    <mergeCell ref="J3:L3"/>
    <mergeCell ref="M3:O3"/>
    <mergeCell ref="P3:P4"/>
    <mergeCell ref="Q3:Q4"/>
    <mergeCell ref="R3:R4"/>
    <mergeCell ref="A1:A4"/>
  </mergeCells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theme="7" tint="-0.249977111117893"/>
  </sheetPr>
  <dimension ref="A1:BG210"/>
  <sheetViews>
    <sheetView zoomScale="80" zoomScaleNormal="80" zoomScalePageLayoutView="80" workbookViewId="0">
      <selection activeCell="T8" sqref="T8"/>
    </sheetView>
  </sheetViews>
  <sheetFormatPr defaultColWidth="8.85546875" defaultRowHeight="15"/>
  <cols>
    <col min="1" max="1" width="17.42578125" customWidth="1"/>
    <col min="2" max="2" width="15.28515625" style="272" bestFit="1" customWidth="1"/>
    <col min="3" max="3" width="14.42578125" style="272" bestFit="1" customWidth="1"/>
    <col min="4" max="8" width="13.85546875" style="272" bestFit="1" customWidth="1"/>
    <col min="9" max="9" width="14.42578125" style="272" bestFit="1" customWidth="1"/>
    <col min="10" max="16" width="13.85546875" style="272" bestFit="1" customWidth="1"/>
    <col min="17" max="17" width="14.42578125" style="272" bestFit="1" customWidth="1"/>
    <col min="18" max="18" width="13.85546875" style="272" bestFit="1" customWidth="1"/>
    <col min="19" max="59" width="8.85546875" style="1"/>
  </cols>
  <sheetData>
    <row r="1" spans="1:20" ht="15.75" customHeight="1" thickBot="1">
      <c r="A1" s="1051" t="s">
        <v>479</v>
      </c>
      <c r="B1" s="1054">
        <v>2004</v>
      </c>
      <c r="C1" s="1055"/>
      <c r="D1" s="1055"/>
      <c r="E1" s="1055"/>
      <c r="F1" s="1055"/>
      <c r="G1" s="1055"/>
      <c r="H1" s="1055"/>
      <c r="I1" s="1055"/>
      <c r="J1" s="1055"/>
      <c r="K1" s="1055"/>
      <c r="L1" s="1055"/>
      <c r="M1" s="1055"/>
      <c r="N1" s="1055"/>
      <c r="O1" s="1055"/>
      <c r="P1" s="1055"/>
      <c r="Q1" s="1055"/>
      <c r="R1" s="1078"/>
    </row>
    <row r="2" spans="1:20">
      <c r="A2" s="1052"/>
      <c r="B2" s="1060" t="s">
        <v>97</v>
      </c>
      <c r="C2" s="1061"/>
      <c r="D2" s="1061"/>
      <c r="E2" s="1061"/>
      <c r="F2" s="1061"/>
      <c r="G2" s="1061"/>
      <c r="H2" s="1061" t="s">
        <v>98</v>
      </c>
      <c r="I2" s="1061"/>
      <c r="J2" s="1061" t="s">
        <v>99</v>
      </c>
      <c r="K2" s="1061"/>
      <c r="L2" s="1061"/>
      <c r="M2" s="1061"/>
      <c r="N2" s="1061"/>
      <c r="O2" s="1061"/>
      <c r="P2" s="1061"/>
      <c r="Q2" s="1061"/>
      <c r="R2" s="289" t="s">
        <v>100</v>
      </c>
    </row>
    <row r="3" spans="1:20">
      <c r="A3" s="1052"/>
      <c r="B3" s="1062" t="s">
        <v>101</v>
      </c>
      <c r="C3" s="1064" t="s">
        <v>102</v>
      </c>
      <c r="D3" s="1064" t="s">
        <v>103</v>
      </c>
      <c r="E3" s="1064"/>
      <c r="F3" s="1064"/>
      <c r="G3" s="1064"/>
      <c r="H3" s="1062" t="s">
        <v>101</v>
      </c>
      <c r="I3" s="1064" t="s">
        <v>102</v>
      </c>
      <c r="J3" s="1064" t="s">
        <v>104</v>
      </c>
      <c r="K3" s="1064"/>
      <c r="L3" s="1064"/>
      <c r="M3" s="1064" t="s">
        <v>105</v>
      </c>
      <c r="N3" s="1064"/>
      <c r="O3" s="1064"/>
      <c r="P3" s="1062" t="s">
        <v>101</v>
      </c>
      <c r="Q3" s="1064" t="s">
        <v>102</v>
      </c>
      <c r="R3" s="1062" t="s">
        <v>101</v>
      </c>
    </row>
    <row r="4" spans="1:20" ht="15.75" thickBot="1">
      <c r="A4" s="1053"/>
      <c r="B4" s="1063"/>
      <c r="C4" s="1065"/>
      <c r="D4" s="290" t="s">
        <v>106</v>
      </c>
      <c r="E4" s="290" t="s">
        <v>107</v>
      </c>
      <c r="F4" s="290" t="s">
        <v>108</v>
      </c>
      <c r="G4" s="290" t="s">
        <v>109</v>
      </c>
      <c r="H4" s="1063"/>
      <c r="I4" s="1065"/>
      <c r="J4" s="290" t="s">
        <v>110</v>
      </c>
      <c r="K4" s="290" t="s">
        <v>111</v>
      </c>
      <c r="L4" s="290" t="s">
        <v>112</v>
      </c>
      <c r="M4" s="290" t="s">
        <v>113</v>
      </c>
      <c r="N4" s="290" t="s">
        <v>114</v>
      </c>
      <c r="O4" s="290" t="s">
        <v>115</v>
      </c>
      <c r="P4" s="1063"/>
      <c r="Q4" s="1065"/>
      <c r="R4" s="1063"/>
    </row>
    <row r="5" spans="1:20" ht="15.75" thickBot="1">
      <c r="A5" s="164" t="s">
        <v>11</v>
      </c>
      <c r="B5" s="291">
        <f>B6+B14+B24+B29+B33</f>
        <v>25409089747.000019</v>
      </c>
      <c r="C5" s="291">
        <f t="shared" ref="C5:R5" si="0">C6+C14+C24+C29+C33</f>
        <v>25409089747.000019</v>
      </c>
      <c r="D5" s="291">
        <f t="shared" si="0"/>
        <v>25409089747.000019</v>
      </c>
      <c r="E5" s="291">
        <f t="shared" si="0"/>
        <v>25409089747.000019</v>
      </c>
      <c r="F5" s="291">
        <f t="shared" si="0"/>
        <v>25409089747.000019</v>
      </c>
      <c r="G5" s="291">
        <f t="shared" si="0"/>
        <v>25409089747.000019</v>
      </c>
      <c r="H5" s="291">
        <f t="shared" si="0"/>
        <v>16485000000</v>
      </c>
      <c r="I5" s="291">
        <f t="shared" si="0"/>
        <v>16485000000</v>
      </c>
      <c r="J5" s="291">
        <f t="shared" si="0"/>
        <v>35866416552.419334</v>
      </c>
      <c r="K5" s="291">
        <f t="shared" si="0"/>
        <v>35866416552.419334</v>
      </c>
      <c r="L5" s="291">
        <f t="shared" si="0"/>
        <v>35866416552.419334</v>
      </c>
      <c r="M5" s="291">
        <f t="shared" si="0"/>
        <v>35866416552.419334</v>
      </c>
      <c r="N5" s="291">
        <f t="shared" si="0"/>
        <v>35866416552.419334</v>
      </c>
      <c r="O5" s="291">
        <f t="shared" si="0"/>
        <v>35866416552.419334</v>
      </c>
      <c r="P5" s="291">
        <f t="shared" si="0"/>
        <v>35866416552.419334</v>
      </c>
      <c r="Q5" s="291">
        <f t="shared" si="0"/>
        <v>35866416552.419334</v>
      </c>
      <c r="R5" s="291">
        <f t="shared" si="0"/>
        <v>2101595310</v>
      </c>
    </row>
    <row r="6" spans="1:20">
      <c r="A6" s="269" t="s">
        <v>46</v>
      </c>
      <c r="B6" s="291">
        <f>SUM(B7:B13)</f>
        <v>1636286944.6008751</v>
      </c>
      <c r="C6" s="291">
        <f t="shared" ref="C6:R6" si="1">SUM(C7:C13)</f>
        <v>1636286944.6008751</v>
      </c>
      <c r="D6" s="291">
        <f t="shared" si="1"/>
        <v>1636286944.6008751</v>
      </c>
      <c r="E6" s="291">
        <f t="shared" si="1"/>
        <v>1636286944.6008751</v>
      </c>
      <c r="F6" s="291">
        <f t="shared" si="1"/>
        <v>1636286944.6008751</v>
      </c>
      <c r="G6" s="291">
        <f t="shared" si="1"/>
        <v>1636286944.6008751</v>
      </c>
      <c r="H6" s="291">
        <f t="shared" si="1"/>
        <v>276082403.68182182</v>
      </c>
      <c r="I6" s="291">
        <f t="shared" si="1"/>
        <v>276082403.68182182</v>
      </c>
      <c r="J6" s="291">
        <f t="shared" si="1"/>
        <v>3292706654.8864231</v>
      </c>
      <c r="K6" s="291">
        <f t="shared" si="1"/>
        <v>3292706654.8864231</v>
      </c>
      <c r="L6" s="291">
        <f t="shared" si="1"/>
        <v>3292706654.8864231</v>
      </c>
      <c r="M6" s="291">
        <f t="shared" si="1"/>
        <v>3292706654.8864231</v>
      </c>
      <c r="N6" s="291">
        <f t="shared" si="1"/>
        <v>3292706654.8864231</v>
      </c>
      <c r="O6" s="291">
        <f t="shared" si="1"/>
        <v>3292706654.8864231</v>
      </c>
      <c r="P6" s="291">
        <f t="shared" si="1"/>
        <v>3292706654.8864231</v>
      </c>
      <c r="Q6" s="291">
        <f t="shared" si="1"/>
        <v>3292706654.8864231</v>
      </c>
      <c r="R6" s="291">
        <f t="shared" si="1"/>
        <v>912500</v>
      </c>
    </row>
    <row r="7" spans="1:20">
      <c r="A7" s="127" t="s">
        <v>13</v>
      </c>
      <c r="B7" s="291">
        <f>COMB_CORR!$B5</f>
        <v>75724202.742917895</v>
      </c>
      <c r="C7" s="291">
        <f>COMB_CORR!$B5</f>
        <v>75724202.742917895</v>
      </c>
      <c r="D7" s="291">
        <f>COMB_CORR!$B5</f>
        <v>75724202.742917895</v>
      </c>
      <c r="E7" s="291">
        <f>COMB_CORR!$B5</f>
        <v>75724202.742917895</v>
      </c>
      <c r="F7" s="291">
        <f>COMB_CORR!$B5</f>
        <v>75724202.742917895</v>
      </c>
      <c r="G7" s="291">
        <f>COMB_CORR!$B5</f>
        <v>75724202.742917895</v>
      </c>
      <c r="H7" s="291">
        <f>COMB_CORR!$G5</f>
        <v>11962203.749581622</v>
      </c>
      <c r="I7" s="291">
        <f>COMB_CORR!$G5</f>
        <v>11962203.749581622</v>
      </c>
      <c r="J7" s="291">
        <f>COMB_CORR!$L5*CORR!$BJ4</f>
        <v>111988905.72051582</v>
      </c>
      <c r="K7" s="291">
        <f>COMB_CORR!$L5*CORR!$BJ4</f>
        <v>111988905.72051582</v>
      </c>
      <c r="L7" s="291">
        <f>COMB_CORR!$L5*CORR!$BJ4</f>
        <v>111988905.72051582</v>
      </c>
      <c r="M7" s="291">
        <f>COMB_CORR!$L5*CORR!$BJ4</f>
        <v>111988905.72051582</v>
      </c>
      <c r="N7" s="291">
        <f>COMB_CORR!$L5*CORR!$BJ4</f>
        <v>111988905.72051582</v>
      </c>
      <c r="O7" s="291">
        <f>COMB_CORR!$L5*CORR!$BJ4</f>
        <v>111988905.72051582</v>
      </c>
      <c r="P7" s="291">
        <f>COMB_CORR!$L5*CORR!$BJ4</f>
        <v>111988905.72051582</v>
      </c>
      <c r="Q7" s="291">
        <f>COMB_CORR!$L5*CORR!$BJ4</f>
        <v>111988905.72051582</v>
      </c>
      <c r="R7" s="291">
        <f>COMB_CORR!Q5</f>
        <v>0</v>
      </c>
      <c r="T7" s="1">
        <v>0.5</v>
      </c>
    </row>
    <row r="8" spans="1:20">
      <c r="A8" s="127" t="s">
        <v>14</v>
      </c>
      <c r="B8" s="291">
        <f>COMB_CORR!$B6</f>
        <v>86003946.648278996</v>
      </c>
      <c r="C8" s="291">
        <f>COMB_CORR!$B6</f>
        <v>86003946.648278996</v>
      </c>
      <c r="D8" s="291">
        <f>COMB_CORR!$B6</f>
        <v>86003946.648278996</v>
      </c>
      <c r="E8" s="291">
        <f>COMB_CORR!$B6</f>
        <v>86003946.648278996</v>
      </c>
      <c r="F8" s="291">
        <f>COMB_CORR!$B6</f>
        <v>86003946.648278996</v>
      </c>
      <c r="G8" s="291">
        <f>COMB_CORR!$B6</f>
        <v>86003946.648278996</v>
      </c>
      <c r="H8" s="291">
        <f>COMB_CORR!$G6</f>
        <v>8304180.5759246349</v>
      </c>
      <c r="I8" s="291">
        <f>COMB_CORR!$G6</f>
        <v>8304180.5759246349</v>
      </c>
      <c r="J8" s="291">
        <f>COMB_CORR!$L6*CORR!$BJ5</f>
        <v>139674088.89177969</v>
      </c>
      <c r="K8" s="291">
        <f>COMB_CORR!$L6*CORR!$BJ5</f>
        <v>139674088.89177969</v>
      </c>
      <c r="L8" s="291">
        <f>COMB_CORR!$L6*CORR!$BJ5</f>
        <v>139674088.89177969</v>
      </c>
      <c r="M8" s="291">
        <f>COMB_CORR!$L6*CORR!$BJ5</f>
        <v>139674088.89177969</v>
      </c>
      <c r="N8" s="291">
        <f>COMB_CORR!$L6*CORR!$BJ5</f>
        <v>139674088.89177969</v>
      </c>
      <c r="O8" s="291">
        <f>COMB_CORR!$L6*CORR!$BJ5</f>
        <v>139674088.89177969</v>
      </c>
      <c r="P8" s="291">
        <f>COMB_CORR!$L6*CORR!$BJ5</f>
        <v>139674088.89177969</v>
      </c>
      <c r="Q8" s="291">
        <f>COMB_CORR!$L6*CORR!$BJ5</f>
        <v>139674088.89177969</v>
      </c>
      <c r="R8" s="291">
        <f>COMB_CORR!Q6</f>
        <v>0</v>
      </c>
    </row>
    <row r="9" spans="1:20">
      <c r="A9" s="127" t="s">
        <v>15</v>
      </c>
      <c r="B9" s="291">
        <f>COMB_CORR!$B7</f>
        <v>403312309.05350298</v>
      </c>
      <c r="C9" s="291">
        <f>COMB_CORR!$B7</f>
        <v>403312309.05350298</v>
      </c>
      <c r="D9" s="291">
        <f>COMB_CORR!$B7</f>
        <v>403312309.05350298</v>
      </c>
      <c r="E9" s="291">
        <f>COMB_CORR!$B7</f>
        <v>403312309.05350298</v>
      </c>
      <c r="F9" s="291">
        <f>COMB_CORR!$B7</f>
        <v>403312309.05350298</v>
      </c>
      <c r="G9" s="291">
        <f>COMB_CORR!$B7</f>
        <v>403312309.05350298</v>
      </c>
      <c r="H9" s="291">
        <f>COMB_CORR!$G7</f>
        <v>79668638.776103243</v>
      </c>
      <c r="I9" s="291">
        <f>COMB_CORR!$G7</f>
        <v>79668638.776103243</v>
      </c>
      <c r="J9" s="291">
        <f>COMB_CORR!$L7*CORR!$BJ6</f>
        <v>671195709.16022527</v>
      </c>
      <c r="K9" s="291">
        <f>COMB_CORR!$L7*CORR!$BJ6</f>
        <v>671195709.16022527</v>
      </c>
      <c r="L9" s="291">
        <f>COMB_CORR!$L7*CORR!$BJ6</f>
        <v>671195709.16022527</v>
      </c>
      <c r="M9" s="291">
        <f>COMB_CORR!$L7*CORR!$BJ6</f>
        <v>671195709.16022527</v>
      </c>
      <c r="N9" s="291">
        <f>COMB_CORR!$L7*CORR!$BJ6</f>
        <v>671195709.16022527</v>
      </c>
      <c r="O9" s="291">
        <f>COMB_CORR!$L7*CORR!$BJ6</f>
        <v>671195709.16022527</v>
      </c>
      <c r="P9" s="291">
        <f>COMB_CORR!$L7*CORR!$BJ6</f>
        <v>671195709.16022527</v>
      </c>
      <c r="Q9" s="291">
        <f>COMB_CORR!$L7*CORR!$BJ6</f>
        <v>671195709.16022527</v>
      </c>
      <c r="R9" s="291">
        <f>COMB_CORR!Q7</f>
        <v>912500</v>
      </c>
    </row>
    <row r="10" spans="1:20">
      <c r="A10" s="127" t="s">
        <v>16</v>
      </c>
      <c r="B10" s="291">
        <f>COMB_CORR!$B8</f>
        <v>585376660.474558</v>
      </c>
      <c r="C10" s="291">
        <f>COMB_CORR!$B8</f>
        <v>585376660.474558</v>
      </c>
      <c r="D10" s="291">
        <f>COMB_CORR!$B8</f>
        <v>585376660.474558</v>
      </c>
      <c r="E10" s="291">
        <f>COMB_CORR!$B8</f>
        <v>585376660.474558</v>
      </c>
      <c r="F10" s="291">
        <f>COMB_CORR!$B8</f>
        <v>585376660.474558</v>
      </c>
      <c r="G10" s="291">
        <f>COMB_CORR!$B8</f>
        <v>585376660.474558</v>
      </c>
      <c r="H10" s="291">
        <f>COMB_CORR!$G8</f>
        <v>46231743.715788439</v>
      </c>
      <c r="I10" s="291">
        <f>COMB_CORR!$G8</f>
        <v>46231743.715788439</v>
      </c>
      <c r="J10" s="291">
        <f>COMB_CORR!$L8*CORR!$BJ7</f>
        <v>1216403129.0894985</v>
      </c>
      <c r="K10" s="291">
        <f>COMB_CORR!$L8*CORR!$BJ7</f>
        <v>1216403129.0894985</v>
      </c>
      <c r="L10" s="291">
        <f>COMB_CORR!$L8*CORR!$BJ7</f>
        <v>1216403129.0894985</v>
      </c>
      <c r="M10" s="291">
        <f>COMB_CORR!$L8*CORR!$BJ7</f>
        <v>1216403129.0894985</v>
      </c>
      <c r="N10" s="291">
        <f>COMB_CORR!$L8*CORR!$BJ7</f>
        <v>1216403129.0894985</v>
      </c>
      <c r="O10" s="291">
        <f>COMB_CORR!$L8*CORR!$BJ7</f>
        <v>1216403129.0894985</v>
      </c>
      <c r="P10" s="291">
        <f>COMB_CORR!$L8*CORR!$BJ7</f>
        <v>1216403129.0894985</v>
      </c>
      <c r="Q10" s="291">
        <f>COMB_CORR!$L8*CORR!$BJ7</f>
        <v>1216403129.0894985</v>
      </c>
      <c r="R10" s="291">
        <f>COMB_CORR!Q8</f>
        <v>0</v>
      </c>
    </row>
    <row r="11" spans="1:20">
      <c r="A11" s="127" t="s">
        <v>17</v>
      </c>
      <c r="B11" s="291">
        <f>COMB_CORR!$B9</f>
        <v>233616635.387871</v>
      </c>
      <c r="C11" s="291">
        <f>COMB_CORR!$B9</f>
        <v>233616635.387871</v>
      </c>
      <c r="D11" s="291">
        <f>COMB_CORR!$B9</f>
        <v>233616635.387871</v>
      </c>
      <c r="E11" s="291">
        <f>COMB_CORR!$B9</f>
        <v>233616635.387871</v>
      </c>
      <c r="F11" s="291">
        <f>COMB_CORR!$B9</f>
        <v>233616635.387871</v>
      </c>
      <c r="G11" s="291">
        <f>COMB_CORR!$B9</f>
        <v>233616635.387871</v>
      </c>
      <c r="H11" s="291">
        <f>COMB_CORR!$G9</f>
        <v>57236460.944793768</v>
      </c>
      <c r="I11" s="291">
        <f>COMB_CORR!$G9</f>
        <v>57236460.944793768</v>
      </c>
      <c r="J11" s="291">
        <f>COMB_CORR!$L9*CORR!$BJ8</f>
        <v>619417984.80493736</v>
      </c>
      <c r="K11" s="291">
        <f>COMB_CORR!$L9*CORR!$BJ8</f>
        <v>619417984.80493736</v>
      </c>
      <c r="L11" s="291">
        <f>COMB_CORR!$L9*CORR!$BJ8</f>
        <v>619417984.80493736</v>
      </c>
      <c r="M11" s="291">
        <f>COMB_CORR!$L9*CORR!$BJ8</f>
        <v>619417984.80493736</v>
      </c>
      <c r="N11" s="291">
        <f>COMB_CORR!$L9*CORR!$BJ8</f>
        <v>619417984.80493736</v>
      </c>
      <c r="O11" s="291">
        <f>COMB_CORR!$L9*CORR!$BJ8</f>
        <v>619417984.80493736</v>
      </c>
      <c r="P11" s="291">
        <f>COMB_CORR!$L9*CORR!$BJ8</f>
        <v>619417984.80493736</v>
      </c>
      <c r="Q11" s="291">
        <f>COMB_CORR!$L9*CORR!$BJ8</f>
        <v>619417984.80493736</v>
      </c>
      <c r="R11" s="291">
        <f>COMB_CORR!Q9</f>
        <v>0</v>
      </c>
    </row>
    <row r="12" spans="1:20">
      <c r="A12" s="127" t="s">
        <v>18</v>
      </c>
      <c r="B12" s="291">
        <f>COMB_CORR!$B10</f>
        <v>74627006.372739196</v>
      </c>
      <c r="C12" s="291">
        <f>COMB_CORR!$B10</f>
        <v>74627006.372739196</v>
      </c>
      <c r="D12" s="291">
        <f>COMB_CORR!$B10</f>
        <v>74627006.372739196</v>
      </c>
      <c r="E12" s="291">
        <f>COMB_CORR!$B10</f>
        <v>74627006.372739196</v>
      </c>
      <c r="F12" s="291">
        <f>COMB_CORR!$B10</f>
        <v>74627006.372739196</v>
      </c>
      <c r="G12" s="291">
        <f>COMB_CORR!$B10</f>
        <v>74627006.372739196</v>
      </c>
      <c r="H12" s="291">
        <f>COMB_CORR!$G10</f>
        <v>2910553.114302217</v>
      </c>
      <c r="I12" s="291">
        <f>COMB_CORR!$G10</f>
        <v>2910553.114302217</v>
      </c>
      <c r="J12" s="291">
        <f>COMB_CORR!$L10*CORR!$BJ9</f>
        <v>75369382.811808854</v>
      </c>
      <c r="K12" s="291">
        <f>COMB_CORR!$L10*CORR!$BJ9</f>
        <v>75369382.811808854</v>
      </c>
      <c r="L12" s="291">
        <f>COMB_CORR!$L10*CORR!$BJ9</f>
        <v>75369382.811808854</v>
      </c>
      <c r="M12" s="291">
        <f>COMB_CORR!$L10*CORR!$BJ9</f>
        <v>75369382.811808854</v>
      </c>
      <c r="N12" s="291">
        <f>COMB_CORR!$L10*CORR!$BJ9</f>
        <v>75369382.811808854</v>
      </c>
      <c r="O12" s="291">
        <f>COMB_CORR!$L10*CORR!$BJ9</f>
        <v>75369382.811808854</v>
      </c>
      <c r="P12" s="291">
        <f>COMB_CORR!$L10*CORR!$BJ9</f>
        <v>75369382.811808854</v>
      </c>
      <c r="Q12" s="291">
        <f>COMB_CORR!$L10*CORR!$BJ9</f>
        <v>75369382.811808854</v>
      </c>
      <c r="R12" s="291">
        <f>COMB_CORR!Q10</f>
        <v>0</v>
      </c>
    </row>
    <row r="13" spans="1:20" ht="15.75" thickBot="1">
      <c r="A13" s="128" t="s">
        <v>19</v>
      </c>
      <c r="B13" s="291">
        <f>COMB_CORR!$B11</f>
        <v>177626183.92100701</v>
      </c>
      <c r="C13" s="291">
        <f>COMB_CORR!$B11</f>
        <v>177626183.92100701</v>
      </c>
      <c r="D13" s="291">
        <f>COMB_CORR!$B11</f>
        <v>177626183.92100701</v>
      </c>
      <c r="E13" s="291">
        <f>COMB_CORR!$B11</f>
        <v>177626183.92100701</v>
      </c>
      <c r="F13" s="291">
        <f>COMB_CORR!$B11</f>
        <v>177626183.92100701</v>
      </c>
      <c r="G13" s="291">
        <f>COMB_CORR!$B11</f>
        <v>177626183.92100701</v>
      </c>
      <c r="H13" s="291">
        <f>COMB_CORR!$G11</f>
        <v>69768622.805327907</v>
      </c>
      <c r="I13" s="291">
        <f>COMB_CORR!$G11</f>
        <v>69768622.805327907</v>
      </c>
      <c r="J13" s="291">
        <f>COMB_CORR!$L11*CORR!$BJ10</f>
        <v>458657454.40765738</v>
      </c>
      <c r="K13" s="291">
        <f>COMB_CORR!$L11*CORR!$BJ10</f>
        <v>458657454.40765738</v>
      </c>
      <c r="L13" s="291">
        <f>COMB_CORR!$L11*CORR!$BJ10</f>
        <v>458657454.40765738</v>
      </c>
      <c r="M13" s="291">
        <f>COMB_CORR!$L11*CORR!$BJ10</f>
        <v>458657454.40765738</v>
      </c>
      <c r="N13" s="291">
        <f>COMB_CORR!$L11*CORR!$BJ10</f>
        <v>458657454.40765738</v>
      </c>
      <c r="O13" s="291">
        <f>COMB_CORR!$L11*CORR!$BJ10</f>
        <v>458657454.40765738</v>
      </c>
      <c r="P13" s="291">
        <f>COMB_CORR!$L11*CORR!$BJ10</f>
        <v>458657454.40765738</v>
      </c>
      <c r="Q13" s="291">
        <f>COMB_CORR!$L11*CORR!$BJ10</f>
        <v>458657454.40765738</v>
      </c>
      <c r="R13" s="291">
        <f>COMB_CORR!Q11</f>
        <v>0</v>
      </c>
    </row>
    <row r="14" spans="1:20">
      <c r="A14" s="269" t="s">
        <v>54</v>
      </c>
      <c r="B14" s="291">
        <f>SUM(B15:B23)</f>
        <v>4178166175.7577772</v>
      </c>
      <c r="C14" s="291">
        <f t="shared" ref="C14:R14" si="2">SUM(C15:C23)</f>
        <v>4178166175.7577772</v>
      </c>
      <c r="D14" s="291">
        <f t="shared" si="2"/>
        <v>4178166175.7577772</v>
      </c>
      <c r="E14" s="291">
        <f t="shared" si="2"/>
        <v>4178166175.7577772</v>
      </c>
      <c r="F14" s="291">
        <f t="shared" si="2"/>
        <v>4178166175.7577772</v>
      </c>
      <c r="G14" s="291">
        <f t="shared" si="2"/>
        <v>4178166175.7577772</v>
      </c>
      <c r="H14" s="291">
        <f t="shared" si="2"/>
        <v>1626752600.0849977</v>
      </c>
      <c r="I14" s="291">
        <f t="shared" si="2"/>
        <v>1626752600.0849977</v>
      </c>
      <c r="J14" s="291">
        <f t="shared" si="2"/>
        <v>5528614460.9326982</v>
      </c>
      <c r="K14" s="291">
        <f t="shared" si="2"/>
        <v>5528614460.9326982</v>
      </c>
      <c r="L14" s="291">
        <f t="shared" si="2"/>
        <v>5528614460.9326982</v>
      </c>
      <c r="M14" s="291">
        <f t="shared" si="2"/>
        <v>5528614460.9326982</v>
      </c>
      <c r="N14" s="291">
        <f t="shared" si="2"/>
        <v>5528614460.9326982</v>
      </c>
      <c r="O14" s="291">
        <f t="shared" si="2"/>
        <v>5528614460.9326982</v>
      </c>
      <c r="P14" s="291">
        <f t="shared" si="2"/>
        <v>5528614460.9326982</v>
      </c>
      <c r="Q14" s="291">
        <f t="shared" si="2"/>
        <v>5528614460.9326982</v>
      </c>
      <c r="R14" s="291">
        <f t="shared" si="2"/>
        <v>402944050</v>
      </c>
    </row>
    <row r="15" spans="1:20">
      <c r="A15" s="127" t="s">
        <v>21</v>
      </c>
      <c r="B15" s="291">
        <f>COMB_CORR!$B13</f>
        <v>179400465.826906</v>
      </c>
      <c r="C15" s="291">
        <f>COMB_CORR!$B13</f>
        <v>179400465.826906</v>
      </c>
      <c r="D15" s="291">
        <f>COMB_CORR!$B13</f>
        <v>179400465.826906</v>
      </c>
      <c r="E15" s="291">
        <f>COMB_CORR!$B13</f>
        <v>179400465.826906</v>
      </c>
      <c r="F15" s="291">
        <f>COMB_CORR!$B13</f>
        <v>179400465.826906</v>
      </c>
      <c r="G15" s="291">
        <f>COMB_CORR!$B13</f>
        <v>179400465.826906</v>
      </c>
      <c r="H15" s="291">
        <f>COMB_CORR!$G13</f>
        <v>104603557.69243026</v>
      </c>
      <c r="I15" s="291">
        <f>COMB_CORR!$G13</f>
        <v>104603557.69243026</v>
      </c>
      <c r="J15" s="291">
        <f>COMB_CORR!$L13*CORR!$BJ12</f>
        <v>231871975.56904864</v>
      </c>
      <c r="K15" s="291">
        <f>COMB_CORR!$L13*CORR!$BJ12</f>
        <v>231871975.56904864</v>
      </c>
      <c r="L15" s="291">
        <f>COMB_CORR!$L13*CORR!$BJ12</f>
        <v>231871975.56904864</v>
      </c>
      <c r="M15" s="291">
        <f>COMB_CORR!$L13*CORR!$BJ12</f>
        <v>231871975.56904864</v>
      </c>
      <c r="N15" s="291">
        <f>COMB_CORR!$L13*CORR!$BJ12</f>
        <v>231871975.56904864</v>
      </c>
      <c r="O15" s="291">
        <f>COMB_CORR!$L13*CORR!$BJ12</f>
        <v>231871975.56904864</v>
      </c>
      <c r="P15" s="291">
        <f>COMB_CORR!$L13*CORR!$BJ12</f>
        <v>231871975.56904864</v>
      </c>
      <c r="Q15" s="291">
        <f>COMB_CORR!$L13*CORR!$BJ12</f>
        <v>231871975.56904864</v>
      </c>
      <c r="R15" s="291">
        <f>COMB_CORR!Q13</f>
        <v>37282460</v>
      </c>
    </row>
    <row r="16" spans="1:20">
      <c r="A16" s="127" t="s">
        <v>22</v>
      </c>
      <c r="B16" s="291">
        <f>COMB_CORR!$B14</f>
        <v>1056462814.72923</v>
      </c>
      <c r="C16" s="291">
        <f>COMB_CORR!$B14</f>
        <v>1056462814.72923</v>
      </c>
      <c r="D16" s="291">
        <f>COMB_CORR!$B14</f>
        <v>1056462814.72923</v>
      </c>
      <c r="E16" s="291">
        <f>COMB_CORR!$B14</f>
        <v>1056462814.72923</v>
      </c>
      <c r="F16" s="291">
        <f>COMB_CORR!$B14</f>
        <v>1056462814.72923</v>
      </c>
      <c r="G16" s="291">
        <f>COMB_CORR!$B14</f>
        <v>1056462814.72923</v>
      </c>
      <c r="H16" s="291">
        <f>COMB_CORR!$G14</f>
        <v>541631354.05763054</v>
      </c>
      <c r="I16" s="291">
        <f>COMB_CORR!$G14</f>
        <v>541631354.05763054</v>
      </c>
      <c r="J16" s="291">
        <f>COMB_CORR!$L14*CORR!$BJ13</f>
        <v>2102604379.1512303</v>
      </c>
      <c r="K16" s="291">
        <f>COMB_CORR!$L14*CORR!$BJ13</f>
        <v>2102604379.1512303</v>
      </c>
      <c r="L16" s="291">
        <f>COMB_CORR!$L14*CORR!$BJ13</f>
        <v>2102604379.1512303</v>
      </c>
      <c r="M16" s="291">
        <f>COMB_CORR!$L14*CORR!$BJ13</f>
        <v>2102604379.1512303</v>
      </c>
      <c r="N16" s="291">
        <f>COMB_CORR!$L14*CORR!$BJ13</f>
        <v>2102604379.1512303</v>
      </c>
      <c r="O16" s="291">
        <f>COMB_CORR!$L14*CORR!$BJ13</f>
        <v>2102604379.1512303</v>
      </c>
      <c r="P16" s="291">
        <f>COMB_CORR!$L14*CORR!$BJ13</f>
        <v>2102604379.1512303</v>
      </c>
      <c r="Q16" s="291">
        <f>COMB_CORR!$L14*CORR!$BJ13</f>
        <v>2102604379.1512303</v>
      </c>
      <c r="R16" s="291">
        <f>COMB_CORR!Q14</f>
        <v>85857600</v>
      </c>
    </row>
    <row r="17" spans="1:18">
      <c r="A17" s="127" t="s">
        <v>23</v>
      </c>
      <c r="B17" s="291">
        <f>COMB_CORR!$B15</f>
        <v>665907708.0386709</v>
      </c>
      <c r="C17" s="291">
        <f>COMB_CORR!$B15</f>
        <v>665907708.0386709</v>
      </c>
      <c r="D17" s="291">
        <f>COMB_CORR!$B15</f>
        <v>665907708.0386709</v>
      </c>
      <c r="E17" s="291">
        <f>COMB_CORR!$B15</f>
        <v>665907708.0386709</v>
      </c>
      <c r="F17" s="291">
        <f>COMB_CORR!$B15</f>
        <v>665907708.0386709</v>
      </c>
      <c r="G17" s="291">
        <f>COMB_CORR!$B15</f>
        <v>665907708.0386709</v>
      </c>
      <c r="H17" s="291">
        <f>COMB_CORR!$G15</f>
        <v>174740682.18463778</v>
      </c>
      <c r="I17" s="291">
        <f>COMB_CORR!$G15</f>
        <v>174740682.18463778</v>
      </c>
      <c r="J17" s="291">
        <f>COMB_CORR!$L15*CORR!$BJ14</f>
        <v>676811216.30219901</v>
      </c>
      <c r="K17" s="291">
        <f>COMB_CORR!$L15*CORR!$BJ14</f>
        <v>676811216.30219901</v>
      </c>
      <c r="L17" s="291">
        <f>COMB_CORR!$L15*CORR!$BJ14</f>
        <v>676811216.30219901</v>
      </c>
      <c r="M17" s="291">
        <f>COMB_CORR!$L15*CORR!$BJ14</f>
        <v>676811216.30219901</v>
      </c>
      <c r="N17" s="291">
        <f>COMB_CORR!$L15*CORR!$BJ14</f>
        <v>676811216.30219901</v>
      </c>
      <c r="O17" s="291">
        <f>COMB_CORR!$L15*CORR!$BJ14</f>
        <v>676811216.30219901</v>
      </c>
      <c r="P17" s="291">
        <f>COMB_CORR!$L15*CORR!$BJ14</f>
        <v>676811216.30219901</v>
      </c>
      <c r="Q17" s="291">
        <f>COMB_CORR!$L15*CORR!$BJ14</f>
        <v>676811216.30219901</v>
      </c>
      <c r="R17" s="291">
        <f>COMB_CORR!Q15</f>
        <v>69084500</v>
      </c>
    </row>
    <row r="18" spans="1:18">
      <c r="A18" s="127" t="s">
        <v>24</v>
      </c>
      <c r="B18" s="291">
        <f>COMB_CORR!$B16</f>
        <v>392331048.65926397</v>
      </c>
      <c r="C18" s="291">
        <f>COMB_CORR!$B16</f>
        <v>392331048.65926397</v>
      </c>
      <c r="D18" s="291">
        <f>COMB_CORR!$B16</f>
        <v>392331048.65926397</v>
      </c>
      <c r="E18" s="291">
        <f>COMB_CORR!$B16</f>
        <v>392331048.65926397</v>
      </c>
      <c r="F18" s="291">
        <f>COMB_CORR!$B16</f>
        <v>392331048.65926397</v>
      </c>
      <c r="G18" s="291">
        <f>COMB_CORR!$B16</f>
        <v>392331048.65926397</v>
      </c>
      <c r="H18" s="291">
        <f>COMB_CORR!$G16</f>
        <v>142769875.94425711</v>
      </c>
      <c r="I18" s="291">
        <f>COMB_CORR!$G16</f>
        <v>142769875.94425711</v>
      </c>
      <c r="J18" s="291">
        <f>COMB_CORR!$L16*CORR!$BJ15</f>
        <v>367463850.04756862</v>
      </c>
      <c r="K18" s="291">
        <f>COMB_CORR!$L16*CORR!$BJ15</f>
        <v>367463850.04756862</v>
      </c>
      <c r="L18" s="291">
        <f>COMB_CORR!$L16*CORR!$BJ15</f>
        <v>367463850.04756862</v>
      </c>
      <c r="M18" s="291">
        <f>COMB_CORR!$L16*CORR!$BJ15</f>
        <v>367463850.04756862</v>
      </c>
      <c r="N18" s="291">
        <f>COMB_CORR!$L16*CORR!$BJ15</f>
        <v>367463850.04756862</v>
      </c>
      <c r="O18" s="291">
        <f>COMB_CORR!$L16*CORR!$BJ15</f>
        <v>367463850.04756862</v>
      </c>
      <c r="P18" s="291">
        <f>COMB_CORR!$L16*CORR!$BJ15</f>
        <v>367463850.04756862</v>
      </c>
      <c r="Q18" s="291">
        <f>COMB_CORR!$L16*CORR!$BJ15</f>
        <v>367463850.04756862</v>
      </c>
      <c r="R18" s="291">
        <f>COMB_CORR!Q16</f>
        <v>0</v>
      </c>
    </row>
    <row r="19" spans="1:18">
      <c r="A19" s="127" t="s">
        <v>25</v>
      </c>
      <c r="B19" s="291">
        <f>COMB_CORR!$B17</f>
        <v>359084676.50777</v>
      </c>
      <c r="C19" s="291">
        <f>COMB_CORR!$B17</f>
        <v>359084676.50777</v>
      </c>
      <c r="D19" s="291">
        <f>COMB_CORR!$B17</f>
        <v>359084676.50777</v>
      </c>
      <c r="E19" s="291">
        <f>COMB_CORR!$B17</f>
        <v>359084676.50777</v>
      </c>
      <c r="F19" s="291">
        <f>COMB_CORR!$B17</f>
        <v>359084676.50777</v>
      </c>
      <c r="G19" s="291">
        <f>COMB_CORR!$B17</f>
        <v>359084676.50777</v>
      </c>
      <c r="H19" s="291">
        <f>COMB_CORR!$G17</f>
        <v>113073000.98558407</v>
      </c>
      <c r="I19" s="291">
        <f>COMB_CORR!$G17</f>
        <v>113073000.98558407</v>
      </c>
      <c r="J19" s="291">
        <f>COMB_CORR!$L17*CORR!$BJ16</f>
        <v>310865037.13494468</v>
      </c>
      <c r="K19" s="291">
        <f>COMB_CORR!$L17*CORR!$BJ16</f>
        <v>310865037.13494468</v>
      </c>
      <c r="L19" s="291">
        <f>COMB_CORR!$L17*CORR!$BJ16</f>
        <v>310865037.13494468</v>
      </c>
      <c r="M19" s="291">
        <f>COMB_CORR!$L17*CORR!$BJ16</f>
        <v>310865037.13494468</v>
      </c>
      <c r="N19" s="291">
        <f>COMB_CORR!$L17*CORR!$BJ16</f>
        <v>310865037.13494468</v>
      </c>
      <c r="O19" s="291">
        <f>COMB_CORR!$L17*CORR!$BJ16</f>
        <v>310865037.13494468</v>
      </c>
      <c r="P19" s="291">
        <f>COMB_CORR!$L17*CORR!$BJ16</f>
        <v>310865037.13494468</v>
      </c>
      <c r="Q19" s="291">
        <f>COMB_CORR!$L17*CORR!$BJ16</f>
        <v>310865037.13494468</v>
      </c>
      <c r="R19" s="291">
        <f>COMB_CORR!Q17</f>
        <v>37124630</v>
      </c>
    </row>
    <row r="20" spans="1:18">
      <c r="A20" s="127" t="s">
        <v>26</v>
      </c>
      <c r="B20" s="291">
        <f>COMB_CORR!$B18</f>
        <v>701324890.37649202</v>
      </c>
      <c r="C20" s="291">
        <f>COMB_CORR!$B18</f>
        <v>701324890.37649202</v>
      </c>
      <c r="D20" s="291">
        <f>COMB_CORR!$B18</f>
        <v>701324890.37649202</v>
      </c>
      <c r="E20" s="291">
        <f>COMB_CORR!$B18</f>
        <v>701324890.37649202</v>
      </c>
      <c r="F20" s="291">
        <f>COMB_CORR!$B18</f>
        <v>701324890.37649202</v>
      </c>
      <c r="G20" s="291">
        <f>COMB_CORR!$B18</f>
        <v>701324890.37649202</v>
      </c>
      <c r="H20" s="291">
        <f>COMB_CORR!$G18</f>
        <v>365798964.56203777</v>
      </c>
      <c r="I20" s="291">
        <f>COMB_CORR!$G18</f>
        <v>365798964.56203777</v>
      </c>
      <c r="J20" s="291">
        <f>COMB_CORR!$L18*CORR!$BJ17</f>
        <v>921534226.96344531</v>
      </c>
      <c r="K20" s="291">
        <f>COMB_CORR!$L18*CORR!$BJ17</f>
        <v>921534226.96344531</v>
      </c>
      <c r="L20" s="291">
        <f>COMB_CORR!$L18*CORR!$BJ17</f>
        <v>921534226.96344531</v>
      </c>
      <c r="M20" s="291">
        <f>COMB_CORR!$L18*CORR!$BJ17</f>
        <v>921534226.96344531</v>
      </c>
      <c r="N20" s="291">
        <f>COMB_CORR!$L18*CORR!$BJ17</f>
        <v>921534226.96344531</v>
      </c>
      <c r="O20" s="291">
        <f>COMB_CORR!$L18*CORR!$BJ17</f>
        <v>921534226.96344531</v>
      </c>
      <c r="P20" s="291">
        <f>COMB_CORR!$L18*CORR!$BJ17</f>
        <v>921534226.96344531</v>
      </c>
      <c r="Q20" s="291">
        <f>COMB_CORR!$L18*CORR!$BJ17</f>
        <v>921534226.96344531</v>
      </c>
      <c r="R20" s="291">
        <f>COMB_CORR!Q18</f>
        <v>65243240</v>
      </c>
    </row>
    <row r="21" spans="1:18">
      <c r="A21" s="127" t="s">
        <v>27</v>
      </c>
      <c r="B21" s="291">
        <f>COMB_CORR!$B19</f>
        <v>279290036.64965701</v>
      </c>
      <c r="C21" s="291">
        <f>COMB_CORR!$B19</f>
        <v>279290036.64965701</v>
      </c>
      <c r="D21" s="291">
        <f>COMB_CORR!$B19</f>
        <v>279290036.64965701</v>
      </c>
      <c r="E21" s="291">
        <f>COMB_CORR!$B19</f>
        <v>279290036.64965701</v>
      </c>
      <c r="F21" s="291">
        <f>COMB_CORR!$B19</f>
        <v>279290036.64965701</v>
      </c>
      <c r="G21" s="291">
        <f>COMB_CORR!$B19</f>
        <v>279290036.64965701</v>
      </c>
      <c r="H21" s="291">
        <f>COMB_CORR!$G19</f>
        <v>33136336.716516901</v>
      </c>
      <c r="I21" s="291">
        <f>COMB_CORR!$G19</f>
        <v>33136336.716516901</v>
      </c>
      <c r="J21" s="291">
        <f>COMB_CORR!$L19*CORR!$BJ18</f>
        <v>321490388.41909337</v>
      </c>
      <c r="K21" s="291">
        <f>COMB_CORR!$L19*CORR!$BJ18</f>
        <v>321490388.41909337</v>
      </c>
      <c r="L21" s="291">
        <f>COMB_CORR!$L19*CORR!$BJ18</f>
        <v>321490388.41909337</v>
      </c>
      <c r="M21" s="291">
        <f>COMB_CORR!$L19*CORR!$BJ18</f>
        <v>321490388.41909337</v>
      </c>
      <c r="N21" s="291">
        <f>COMB_CORR!$L19*CORR!$BJ18</f>
        <v>321490388.41909337</v>
      </c>
      <c r="O21" s="291">
        <f>COMB_CORR!$L19*CORR!$BJ18</f>
        <v>321490388.41909337</v>
      </c>
      <c r="P21" s="291">
        <f>COMB_CORR!$L19*CORR!$BJ18</f>
        <v>321490388.41909337</v>
      </c>
      <c r="Q21" s="291">
        <f>COMB_CORR!$L19*CORR!$BJ18</f>
        <v>321490388.41909337</v>
      </c>
      <c r="R21" s="291">
        <f>COMB_CORR!Q19</f>
        <v>213879.99999999997</v>
      </c>
    </row>
    <row r="22" spans="1:18" ht="25.5">
      <c r="A22" s="127" t="s">
        <v>28</v>
      </c>
      <c r="B22" s="291">
        <f>COMB_CORR!$B20</f>
        <v>334293332.65803301</v>
      </c>
      <c r="C22" s="291">
        <f>COMB_CORR!$B20</f>
        <v>334293332.65803301</v>
      </c>
      <c r="D22" s="291">
        <f>COMB_CORR!$B20</f>
        <v>334293332.65803301</v>
      </c>
      <c r="E22" s="291">
        <f>COMB_CORR!$B20</f>
        <v>334293332.65803301</v>
      </c>
      <c r="F22" s="291">
        <f>COMB_CORR!$B20</f>
        <v>334293332.65803301</v>
      </c>
      <c r="G22" s="291">
        <f>COMB_CORR!$B20</f>
        <v>334293332.65803301</v>
      </c>
      <c r="H22" s="291">
        <f>COMB_CORR!$G20</f>
        <v>98457626.629599452</v>
      </c>
      <c r="I22" s="291">
        <f>COMB_CORR!$G20</f>
        <v>98457626.629599452</v>
      </c>
      <c r="J22" s="291">
        <f>COMB_CORR!$L20*CORR!$BJ19</f>
        <v>339572350.11910164</v>
      </c>
      <c r="K22" s="291">
        <f>COMB_CORR!$L20*CORR!$BJ19</f>
        <v>339572350.11910164</v>
      </c>
      <c r="L22" s="291">
        <f>COMB_CORR!$L20*CORR!$BJ19</f>
        <v>339572350.11910164</v>
      </c>
      <c r="M22" s="291">
        <f>COMB_CORR!$L20*CORR!$BJ19</f>
        <v>339572350.11910164</v>
      </c>
      <c r="N22" s="291">
        <f>COMB_CORR!$L20*CORR!$BJ19</f>
        <v>339572350.11910164</v>
      </c>
      <c r="O22" s="291">
        <f>COMB_CORR!$L20*CORR!$BJ19</f>
        <v>339572350.11910164</v>
      </c>
      <c r="P22" s="291">
        <f>COMB_CORR!$L20*CORR!$BJ19</f>
        <v>339572350.11910164</v>
      </c>
      <c r="Q22" s="291">
        <f>COMB_CORR!$L20*CORR!$BJ19</f>
        <v>339572350.11910164</v>
      </c>
      <c r="R22" s="291">
        <f>COMB_CORR!Q20</f>
        <v>67228470</v>
      </c>
    </row>
    <row r="23" spans="1:18" ht="15.75" thickBot="1">
      <c r="A23" s="128" t="s">
        <v>29</v>
      </c>
      <c r="B23" s="291">
        <f>COMB_CORR!$B21</f>
        <v>210071202.31175399</v>
      </c>
      <c r="C23" s="291">
        <f>COMB_CORR!$B21</f>
        <v>210071202.31175399</v>
      </c>
      <c r="D23" s="291">
        <f>COMB_CORR!$B21</f>
        <v>210071202.31175399</v>
      </c>
      <c r="E23" s="291">
        <f>COMB_CORR!$B21</f>
        <v>210071202.31175399</v>
      </c>
      <c r="F23" s="291">
        <f>COMB_CORR!$B21</f>
        <v>210071202.31175399</v>
      </c>
      <c r="G23" s="291">
        <f>COMB_CORR!$B21</f>
        <v>210071202.31175399</v>
      </c>
      <c r="H23" s="291">
        <f>COMB_CORR!$G21</f>
        <v>52541201.312303662</v>
      </c>
      <c r="I23" s="291">
        <f>COMB_CORR!$G21</f>
        <v>52541201.312303662</v>
      </c>
      <c r="J23" s="291">
        <f>COMB_CORR!$L21*CORR!$BJ20</f>
        <v>256401037.2260665</v>
      </c>
      <c r="K23" s="291">
        <f>COMB_CORR!$L21*CORR!$BJ20</f>
        <v>256401037.2260665</v>
      </c>
      <c r="L23" s="291">
        <f>COMB_CORR!$L21*CORR!$BJ20</f>
        <v>256401037.2260665</v>
      </c>
      <c r="M23" s="291">
        <f>COMB_CORR!$L21*CORR!$BJ20</f>
        <v>256401037.2260665</v>
      </c>
      <c r="N23" s="291">
        <f>COMB_CORR!$L21*CORR!$BJ20</f>
        <v>256401037.2260665</v>
      </c>
      <c r="O23" s="291">
        <f>COMB_CORR!$L21*CORR!$BJ20</f>
        <v>256401037.2260665</v>
      </c>
      <c r="P23" s="291">
        <f>COMB_CORR!$L21*CORR!$BJ20</f>
        <v>256401037.2260665</v>
      </c>
      <c r="Q23" s="291">
        <f>COMB_CORR!$L21*CORR!$BJ20</f>
        <v>256401037.2260665</v>
      </c>
      <c r="R23" s="291">
        <f>COMB_CORR!Q21</f>
        <v>40909270.000000007</v>
      </c>
    </row>
    <row r="24" spans="1:18">
      <c r="A24" s="269" t="s">
        <v>64</v>
      </c>
      <c r="B24" s="291">
        <f>SUM(B25:B28)</f>
        <v>11852960587.851254</v>
      </c>
      <c r="C24" s="291">
        <f t="shared" ref="C24:R24" si="3">SUM(C25:C28)</f>
        <v>11852960587.851254</v>
      </c>
      <c r="D24" s="291">
        <f t="shared" si="3"/>
        <v>11852960587.851254</v>
      </c>
      <c r="E24" s="291">
        <f t="shared" si="3"/>
        <v>11852960587.851254</v>
      </c>
      <c r="F24" s="291">
        <f t="shared" si="3"/>
        <v>11852960587.851254</v>
      </c>
      <c r="G24" s="291">
        <f t="shared" si="3"/>
        <v>11852960587.851254</v>
      </c>
      <c r="H24" s="291">
        <f t="shared" si="3"/>
        <v>10869339550.348612</v>
      </c>
      <c r="I24" s="291">
        <f t="shared" si="3"/>
        <v>10869339550.348612</v>
      </c>
      <c r="J24" s="291">
        <f t="shared" si="3"/>
        <v>16133729729.750183</v>
      </c>
      <c r="K24" s="291">
        <f t="shared" si="3"/>
        <v>16133729729.750183</v>
      </c>
      <c r="L24" s="291">
        <f t="shared" si="3"/>
        <v>16133729729.750183</v>
      </c>
      <c r="M24" s="291">
        <f t="shared" si="3"/>
        <v>16133729729.750183</v>
      </c>
      <c r="N24" s="291">
        <f t="shared" si="3"/>
        <v>16133729729.750183</v>
      </c>
      <c r="O24" s="291">
        <f t="shared" si="3"/>
        <v>16133729729.750183</v>
      </c>
      <c r="P24" s="291">
        <f t="shared" si="3"/>
        <v>16133729729.750183</v>
      </c>
      <c r="Q24" s="291">
        <f t="shared" si="3"/>
        <v>16133729729.750183</v>
      </c>
      <c r="R24" s="291">
        <f t="shared" si="3"/>
        <v>1445934590</v>
      </c>
    </row>
    <row r="25" spans="1:18">
      <c r="A25" s="127" t="s">
        <v>31</v>
      </c>
      <c r="B25" s="291">
        <f>COMB_CORR!$B23</f>
        <v>511197594.61410403</v>
      </c>
      <c r="C25" s="291">
        <f>COMB_CORR!$B23</f>
        <v>511197594.61410403</v>
      </c>
      <c r="D25" s="291">
        <f>COMB_CORR!$B23</f>
        <v>511197594.61410403</v>
      </c>
      <c r="E25" s="291">
        <f>COMB_CORR!$B23</f>
        <v>511197594.61410403</v>
      </c>
      <c r="F25" s="291">
        <f>COMB_CORR!$B23</f>
        <v>511197594.61410403</v>
      </c>
      <c r="G25" s="291">
        <f>COMB_CORR!$B23</f>
        <v>511197594.61410403</v>
      </c>
      <c r="H25" s="291">
        <f>COMB_CORR!$G23</f>
        <v>172979374.03529057</v>
      </c>
      <c r="I25" s="291">
        <f>COMB_CORR!$G23</f>
        <v>172979374.03529057</v>
      </c>
      <c r="J25" s="291">
        <f>COMB_CORR!$L23*CORR!$BJ22</f>
        <v>648367060.49495184</v>
      </c>
      <c r="K25" s="291">
        <f>COMB_CORR!$L23*CORR!$BJ22</f>
        <v>648367060.49495184</v>
      </c>
      <c r="L25" s="291">
        <f>COMB_CORR!$L23*CORR!$BJ22</f>
        <v>648367060.49495184</v>
      </c>
      <c r="M25" s="291">
        <f>COMB_CORR!$L23*CORR!$BJ22</f>
        <v>648367060.49495184</v>
      </c>
      <c r="N25" s="291">
        <f>COMB_CORR!$L23*CORR!$BJ22</f>
        <v>648367060.49495184</v>
      </c>
      <c r="O25" s="291">
        <f>COMB_CORR!$L23*CORR!$BJ22</f>
        <v>648367060.49495184</v>
      </c>
      <c r="P25" s="291">
        <f>COMB_CORR!$L23*CORR!$BJ22</f>
        <v>648367060.49495184</v>
      </c>
      <c r="Q25" s="291">
        <f>COMB_CORR!$L23*CORR!$BJ22</f>
        <v>648367060.49495184</v>
      </c>
      <c r="R25" s="291">
        <f>COMB_CORR!Q23</f>
        <v>38835410</v>
      </c>
    </row>
    <row r="26" spans="1:18">
      <c r="A26" s="127" t="s">
        <v>32</v>
      </c>
      <c r="B26" s="291">
        <f>COMB_CORR!$B24</f>
        <v>3008093693.97715</v>
      </c>
      <c r="C26" s="291">
        <f>COMB_CORR!$B24</f>
        <v>3008093693.97715</v>
      </c>
      <c r="D26" s="291">
        <f>COMB_CORR!$B24</f>
        <v>3008093693.97715</v>
      </c>
      <c r="E26" s="291">
        <f>COMB_CORR!$B24</f>
        <v>3008093693.97715</v>
      </c>
      <c r="F26" s="291">
        <f>COMB_CORR!$B24</f>
        <v>3008093693.97715</v>
      </c>
      <c r="G26" s="291">
        <f>COMB_CORR!$B24</f>
        <v>3008093693.97715</v>
      </c>
      <c r="H26" s="291">
        <f>COMB_CORR!$G24</f>
        <v>1205457061.8587205</v>
      </c>
      <c r="I26" s="291">
        <f>COMB_CORR!$G24</f>
        <v>1205457061.8587205</v>
      </c>
      <c r="J26" s="291">
        <f>COMB_CORR!$L24*CORR!$BJ23</f>
        <v>4825034886.3069782</v>
      </c>
      <c r="K26" s="291">
        <f>COMB_CORR!$L24*CORR!$BJ23</f>
        <v>4825034886.3069782</v>
      </c>
      <c r="L26" s="291">
        <f>COMB_CORR!$L24*CORR!$BJ23</f>
        <v>4825034886.3069782</v>
      </c>
      <c r="M26" s="291">
        <f>COMB_CORR!$L24*CORR!$BJ23</f>
        <v>4825034886.3069782</v>
      </c>
      <c r="N26" s="291">
        <f>COMB_CORR!$L24*CORR!$BJ23</f>
        <v>4825034886.3069782</v>
      </c>
      <c r="O26" s="291">
        <f>COMB_CORR!$L24*CORR!$BJ23</f>
        <v>4825034886.3069782</v>
      </c>
      <c r="P26" s="291">
        <f>COMB_CORR!$L24*CORR!$BJ23</f>
        <v>4825034886.3069782</v>
      </c>
      <c r="Q26" s="291">
        <f>COMB_CORR!$L24*CORR!$BJ23</f>
        <v>4825034886.3069782</v>
      </c>
      <c r="R26" s="291">
        <f>COMB_CORR!Q24</f>
        <v>53446159.999999993</v>
      </c>
    </row>
    <row r="27" spans="1:18">
      <c r="A27" s="127" t="s">
        <v>33</v>
      </c>
      <c r="B27" s="291">
        <f>COMB_CORR!$B25</f>
        <v>1636890677.4967799</v>
      </c>
      <c r="C27" s="291">
        <f>COMB_CORR!$B25</f>
        <v>1636890677.4967799</v>
      </c>
      <c r="D27" s="291">
        <f>COMB_CORR!$B25</f>
        <v>1636890677.4967799</v>
      </c>
      <c r="E27" s="291">
        <f>COMB_CORR!$B25</f>
        <v>1636890677.4967799</v>
      </c>
      <c r="F27" s="291">
        <f>COMB_CORR!$B25</f>
        <v>1636890677.4967799</v>
      </c>
      <c r="G27" s="291">
        <f>COMB_CORR!$B25</f>
        <v>1636890677.4967799</v>
      </c>
      <c r="H27" s="291">
        <f>COMB_CORR!$G25</f>
        <v>873558471.42966282</v>
      </c>
      <c r="I27" s="291">
        <f>COMB_CORR!$G25</f>
        <v>873558471.42966282</v>
      </c>
      <c r="J27" s="291">
        <f>COMB_CORR!$L25*CORR!$BJ24</f>
        <v>2219092460.2125263</v>
      </c>
      <c r="K27" s="291">
        <f>COMB_CORR!$L25*CORR!$BJ24</f>
        <v>2219092460.2125263</v>
      </c>
      <c r="L27" s="291">
        <f>COMB_CORR!$L25*CORR!$BJ24</f>
        <v>2219092460.2125263</v>
      </c>
      <c r="M27" s="291">
        <f>COMB_CORR!$L25*CORR!$BJ24</f>
        <v>2219092460.2125263</v>
      </c>
      <c r="N27" s="291">
        <f>COMB_CORR!$L25*CORR!$BJ24</f>
        <v>2219092460.2125263</v>
      </c>
      <c r="O27" s="291">
        <f>COMB_CORR!$L25*CORR!$BJ24</f>
        <v>2219092460.2125263</v>
      </c>
      <c r="P27" s="291">
        <f>COMB_CORR!$L25*CORR!$BJ24</f>
        <v>2219092460.2125263</v>
      </c>
      <c r="Q27" s="291">
        <f>COMB_CORR!$L25*CORR!$BJ24</f>
        <v>2219092460.2125263</v>
      </c>
      <c r="R27" s="291">
        <f>COMB_CORR!Q25</f>
        <v>957914120</v>
      </c>
    </row>
    <row r="28" spans="1:18" ht="15.75" thickBot="1">
      <c r="A28" s="128" t="s">
        <v>34</v>
      </c>
      <c r="B28" s="291">
        <f>COMB_CORR!$B26</f>
        <v>6696778621.7632198</v>
      </c>
      <c r="C28" s="291">
        <f>COMB_CORR!$B26</f>
        <v>6696778621.7632198</v>
      </c>
      <c r="D28" s="291">
        <f>COMB_CORR!$B26</f>
        <v>6696778621.7632198</v>
      </c>
      <c r="E28" s="291">
        <f>COMB_CORR!$B26</f>
        <v>6696778621.7632198</v>
      </c>
      <c r="F28" s="291">
        <f>COMB_CORR!$B26</f>
        <v>6696778621.7632198</v>
      </c>
      <c r="G28" s="291">
        <f>COMB_CORR!$B26</f>
        <v>6696778621.7632198</v>
      </c>
      <c r="H28" s="291">
        <f>COMB_CORR!$G26</f>
        <v>8617344643.0249386</v>
      </c>
      <c r="I28" s="291">
        <f>COMB_CORR!$G26</f>
        <v>8617344643.0249386</v>
      </c>
      <c r="J28" s="291">
        <f>COMB_CORR!$L26*CORR!$BJ25</f>
        <v>8441235322.7357254</v>
      </c>
      <c r="K28" s="291">
        <f>COMB_CORR!$L26*CORR!$BJ25</f>
        <v>8441235322.7357254</v>
      </c>
      <c r="L28" s="291">
        <f>COMB_CORR!$L26*CORR!$BJ25</f>
        <v>8441235322.7357254</v>
      </c>
      <c r="M28" s="291">
        <f>COMB_CORR!$L26*CORR!$BJ25</f>
        <v>8441235322.7357254</v>
      </c>
      <c r="N28" s="291">
        <f>COMB_CORR!$L26*CORR!$BJ25</f>
        <v>8441235322.7357254</v>
      </c>
      <c r="O28" s="291">
        <f>COMB_CORR!$L26*CORR!$BJ25</f>
        <v>8441235322.7357254</v>
      </c>
      <c r="P28" s="291">
        <f>COMB_CORR!$L26*CORR!$BJ25</f>
        <v>8441235322.7357254</v>
      </c>
      <c r="Q28" s="291">
        <f>COMB_CORR!$L26*CORR!$BJ25</f>
        <v>8441235322.7357254</v>
      </c>
      <c r="R28" s="291">
        <f>COMB_CORR!Q26</f>
        <v>395738900</v>
      </c>
    </row>
    <row r="29" spans="1:18">
      <c r="A29" s="269" t="s">
        <v>69</v>
      </c>
      <c r="B29" s="291">
        <f>SUM(B30:B32)</f>
        <v>5301278691.4635601</v>
      </c>
      <c r="C29" s="291">
        <f t="shared" ref="C29" si="4">SUM(C30:C32)</f>
        <v>5301278691.4635601</v>
      </c>
      <c r="D29" s="291">
        <f t="shared" ref="D29" si="5">SUM(D30:D32)</f>
        <v>5301278691.4635601</v>
      </c>
      <c r="E29" s="291">
        <f t="shared" ref="E29" si="6">SUM(E30:E32)</f>
        <v>5301278691.4635601</v>
      </c>
      <c r="F29" s="291">
        <f t="shared" ref="F29" si="7">SUM(F30:F32)</f>
        <v>5301278691.4635601</v>
      </c>
      <c r="G29" s="291">
        <f t="shared" ref="G29" si="8">SUM(G30:G32)</f>
        <v>5301278691.4635601</v>
      </c>
      <c r="H29" s="291">
        <f t="shared" ref="H29" si="9">SUM(H30:H32)</f>
        <v>2096495161.2074142</v>
      </c>
      <c r="I29" s="291">
        <f t="shared" ref="I29" si="10">SUM(I30:I32)</f>
        <v>2096495161.2074142</v>
      </c>
      <c r="J29" s="291">
        <f t="shared" ref="J29" si="11">SUM(J30:J32)</f>
        <v>6979414352.5009575</v>
      </c>
      <c r="K29" s="291">
        <f t="shared" ref="K29" si="12">SUM(K30:K32)</f>
        <v>6979414352.5009575</v>
      </c>
      <c r="L29" s="291">
        <f t="shared" ref="L29" si="13">SUM(L30:L32)</f>
        <v>6979414352.5009575</v>
      </c>
      <c r="M29" s="291">
        <f t="shared" ref="M29" si="14">SUM(M30:M32)</f>
        <v>6979414352.5009575</v>
      </c>
      <c r="N29" s="291">
        <f t="shared" ref="N29" si="15">SUM(N30:N32)</f>
        <v>6979414352.5009575</v>
      </c>
      <c r="O29" s="291">
        <f t="shared" ref="O29" si="16">SUM(O30:O32)</f>
        <v>6979414352.5009575</v>
      </c>
      <c r="P29" s="291">
        <f t="shared" ref="P29" si="17">SUM(P30:P32)</f>
        <v>6979414352.5009575</v>
      </c>
      <c r="Q29" s="291">
        <f t="shared" ref="Q29" si="18">SUM(Q30:Q32)</f>
        <v>6979414352.5009575</v>
      </c>
      <c r="R29" s="291">
        <f t="shared" ref="R29" si="19">SUM(R30:R32)</f>
        <v>235514820</v>
      </c>
    </row>
    <row r="30" spans="1:18">
      <c r="A30" s="127" t="s">
        <v>36</v>
      </c>
      <c r="B30" s="291">
        <f>COMB_CORR!$B28</f>
        <v>1604062920.8762698</v>
      </c>
      <c r="C30" s="291">
        <f>COMB_CORR!$B28</f>
        <v>1604062920.8762698</v>
      </c>
      <c r="D30" s="291">
        <f>COMB_CORR!$B28</f>
        <v>1604062920.8762698</v>
      </c>
      <c r="E30" s="291">
        <f>COMB_CORR!$B28</f>
        <v>1604062920.8762698</v>
      </c>
      <c r="F30" s="291">
        <f>COMB_CORR!$B28</f>
        <v>1604062920.8762698</v>
      </c>
      <c r="G30" s="291">
        <f>COMB_CORR!$B28</f>
        <v>1604062920.8762698</v>
      </c>
      <c r="H30" s="291">
        <f>COMB_CORR!$G28</f>
        <v>1194047730.7540574</v>
      </c>
      <c r="I30" s="291">
        <f>COMB_CORR!$G28</f>
        <v>1194047730.7540574</v>
      </c>
      <c r="J30" s="291">
        <f>COMB_CORR!$L28*CORR!$BJ27</f>
        <v>2820142241.3838215</v>
      </c>
      <c r="K30" s="291">
        <f>COMB_CORR!$L28*CORR!$BJ27</f>
        <v>2820142241.3838215</v>
      </c>
      <c r="L30" s="291">
        <f>COMB_CORR!$L28*CORR!$BJ27</f>
        <v>2820142241.3838215</v>
      </c>
      <c r="M30" s="291">
        <f>COMB_CORR!$L28*CORR!$BJ27</f>
        <v>2820142241.3838215</v>
      </c>
      <c r="N30" s="291">
        <f>COMB_CORR!$L28*CORR!$BJ27</f>
        <v>2820142241.3838215</v>
      </c>
      <c r="O30" s="291">
        <f>COMB_CORR!$L28*CORR!$BJ27</f>
        <v>2820142241.3838215</v>
      </c>
      <c r="P30" s="291">
        <f>COMB_CORR!$L28*CORR!$BJ27</f>
        <v>2820142241.3838215</v>
      </c>
      <c r="Q30" s="291">
        <f>COMB_CORR!$L28*CORR!$BJ27</f>
        <v>2820142241.3838215</v>
      </c>
      <c r="R30" s="291">
        <f>COMB_CORR!Q28</f>
        <v>29242170</v>
      </c>
    </row>
    <row r="31" spans="1:18">
      <c r="A31" s="127" t="s">
        <v>37</v>
      </c>
      <c r="B31" s="291">
        <f>COMB_CORR!$B29</f>
        <v>2245512798.1675401</v>
      </c>
      <c r="C31" s="291">
        <f>COMB_CORR!$B29</f>
        <v>2245512798.1675401</v>
      </c>
      <c r="D31" s="291">
        <f>COMB_CORR!$B29</f>
        <v>2245512798.1675401</v>
      </c>
      <c r="E31" s="291">
        <f>COMB_CORR!$B29</f>
        <v>2245512798.1675401</v>
      </c>
      <c r="F31" s="291">
        <f>COMB_CORR!$B29</f>
        <v>2245512798.1675401</v>
      </c>
      <c r="G31" s="291">
        <f>COMB_CORR!$B29</f>
        <v>2245512798.1675401</v>
      </c>
      <c r="H31" s="291">
        <f>COMB_CORR!$G29</f>
        <v>403372168.23930967</v>
      </c>
      <c r="I31" s="291">
        <f>COMB_CORR!$G29</f>
        <v>403372168.23930967</v>
      </c>
      <c r="J31" s="291">
        <f>COMB_CORR!$L29*CORR!$BJ28</f>
        <v>2564756612.8692422</v>
      </c>
      <c r="K31" s="291">
        <f>COMB_CORR!$L29*CORR!$BJ28</f>
        <v>2564756612.8692422</v>
      </c>
      <c r="L31" s="291">
        <f>COMB_CORR!$L29*CORR!$BJ28</f>
        <v>2564756612.8692422</v>
      </c>
      <c r="M31" s="291">
        <f>COMB_CORR!$L29*CORR!$BJ28</f>
        <v>2564756612.8692422</v>
      </c>
      <c r="N31" s="291">
        <f>COMB_CORR!$L29*CORR!$BJ28</f>
        <v>2564756612.8692422</v>
      </c>
      <c r="O31" s="291">
        <f>COMB_CORR!$L29*CORR!$BJ28</f>
        <v>2564756612.8692422</v>
      </c>
      <c r="P31" s="291">
        <f>COMB_CORR!$L29*CORR!$BJ28</f>
        <v>2564756612.8692422</v>
      </c>
      <c r="Q31" s="291">
        <f>COMB_CORR!$L29*CORR!$BJ28</f>
        <v>2564756612.8692422</v>
      </c>
      <c r="R31" s="291">
        <f>COMB_CORR!Q29</f>
        <v>76559670.000000015</v>
      </c>
    </row>
    <row r="32" spans="1:18" ht="15.75" thickBot="1">
      <c r="A32" s="128" t="s">
        <v>38</v>
      </c>
      <c r="B32" s="291">
        <f>COMB_CORR!$B30</f>
        <v>1451702972.41975</v>
      </c>
      <c r="C32" s="291">
        <f>COMB_CORR!$B30</f>
        <v>1451702972.41975</v>
      </c>
      <c r="D32" s="291">
        <f>COMB_CORR!$B30</f>
        <v>1451702972.41975</v>
      </c>
      <c r="E32" s="291">
        <f>COMB_CORR!$B30</f>
        <v>1451702972.41975</v>
      </c>
      <c r="F32" s="291">
        <f>COMB_CORR!$B30</f>
        <v>1451702972.41975</v>
      </c>
      <c r="G32" s="291">
        <f>COMB_CORR!$B30</f>
        <v>1451702972.41975</v>
      </c>
      <c r="H32" s="291">
        <f>COMB_CORR!$G30</f>
        <v>499075262.21404701</v>
      </c>
      <c r="I32" s="291">
        <f>COMB_CORR!$G30</f>
        <v>499075262.21404701</v>
      </c>
      <c r="J32" s="291">
        <f>COMB_CORR!$L30*CORR!$BJ29</f>
        <v>1594515498.2478948</v>
      </c>
      <c r="K32" s="291">
        <f>COMB_CORR!$L30*CORR!$BJ29</f>
        <v>1594515498.2478948</v>
      </c>
      <c r="L32" s="291">
        <f>COMB_CORR!$L30*CORR!$BJ29</f>
        <v>1594515498.2478948</v>
      </c>
      <c r="M32" s="291">
        <f>COMB_CORR!$L30*CORR!$BJ29</f>
        <v>1594515498.2478948</v>
      </c>
      <c r="N32" s="291">
        <f>COMB_CORR!$L30*CORR!$BJ29</f>
        <v>1594515498.2478948</v>
      </c>
      <c r="O32" s="291">
        <f>COMB_CORR!$L30*CORR!$BJ29</f>
        <v>1594515498.2478948</v>
      </c>
      <c r="P32" s="291">
        <f>COMB_CORR!$L30*CORR!$BJ29</f>
        <v>1594515498.2478948</v>
      </c>
      <c r="Q32" s="291">
        <f>COMB_CORR!$L30*CORR!$BJ29</f>
        <v>1594515498.2478948</v>
      </c>
      <c r="R32" s="291">
        <f>COMB_CORR!Q30</f>
        <v>129712980</v>
      </c>
    </row>
    <row r="33" spans="1:18" ht="25.5">
      <c r="A33" s="274" t="s">
        <v>73</v>
      </c>
      <c r="B33" s="291">
        <f>SUM(B34:B37)</f>
        <v>2440397347.3265481</v>
      </c>
      <c r="C33" s="291">
        <f t="shared" ref="C33:R33" si="20">SUM(C34:C37)</f>
        <v>2440397347.3265481</v>
      </c>
      <c r="D33" s="291">
        <f t="shared" si="20"/>
        <v>2440397347.3265481</v>
      </c>
      <c r="E33" s="291">
        <f t="shared" si="20"/>
        <v>2440397347.3265481</v>
      </c>
      <c r="F33" s="291">
        <f t="shared" si="20"/>
        <v>2440397347.3265481</v>
      </c>
      <c r="G33" s="291">
        <f t="shared" si="20"/>
        <v>2440397347.3265481</v>
      </c>
      <c r="H33" s="291">
        <f t="shared" si="20"/>
        <v>1616330284.6771536</v>
      </c>
      <c r="I33" s="291">
        <f t="shared" si="20"/>
        <v>1616330284.6771536</v>
      </c>
      <c r="J33" s="291">
        <f t="shared" si="20"/>
        <v>3931951354.3490715</v>
      </c>
      <c r="K33" s="291">
        <f t="shared" si="20"/>
        <v>3931951354.3490715</v>
      </c>
      <c r="L33" s="291">
        <f t="shared" si="20"/>
        <v>3931951354.3490715</v>
      </c>
      <c r="M33" s="291">
        <f t="shared" si="20"/>
        <v>3931951354.3490715</v>
      </c>
      <c r="N33" s="291">
        <f t="shared" si="20"/>
        <v>3931951354.3490715</v>
      </c>
      <c r="O33" s="291">
        <f t="shared" si="20"/>
        <v>3931951354.3490715</v>
      </c>
      <c r="P33" s="291">
        <f t="shared" si="20"/>
        <v>3931951354.3490715</v>
      </c>
      <c r="Q33" s="291">
        <f t="shared" si="20"/>
        <v>3931951354.3490715</v>
      </c>
      <c r="R33" s="291">
        <f t="shared" si="20"/>
        <v>16289350</v>
      </c>
    </row>
    <row r="34" spans="1:18">
      <c r="A34" s="127" t="s">
        <v>40</v>
      </c>
      <c r="B34" s="291">
        <f>COMB_CORR!$B32</f>
        <v>761670982.53293598</v>
      </c>
      <c r="C34" s="291">
        <f>COMB_CORR!$B32</f>
        <v>761670982.53293598</v>
      </c>
      <c r="D34" s="291">
        <f>COMB_CORR!$B32</f>
        <v>761670982.53293598</v>
      </c>
      <c r="E34" s="291">
        <f>COMB_CORR!$B32</f>
        <v>761670982.53293598</v>
      </c>
      <c r="F34" s="291">
        <f>COMB_CORR!$B32</f>
        <v>761670982.53293598</v>
      </c>
      <c r="G34" s="291">
        <f>COMB_CORR!$B32</f>
        <v>761670982.53293598</v>
      </c>
      <c r="H34" s="291">
        <f>COMB_CORR!$G32</f>
        <v>239558090.02774388</v>
      </c>
      <c r="I34" s="291">
        <f>COMB_CORR!$G32</f>
        <v>239558090.02774388</v>
      </c>
      <c r="J34" s="291">
        <f>COMB_CORR!$L32*CORR!$BJ31</f>
        <v>497870464.17121232</v>
      </c>
      <c r="K34" s="291">
        <f>COMB_CORR!$L32*CORR!$BJ31</f>
        <v>497870464.17121232</v>
      </c>
      <c r="L34" s="291">
        <f>COMB_CORR!$L32*CORR!$BJ31</f>
        <v>497870464.17121232</v>
      </c>
      <c r="M34" s="291">
        <f>COMB_CORR!$L32*CORR!$BJ31</f>
        <v>497870464.17121232</v>
      </c>
      <c r="N34" s="291">
        <f>COMB_CORR!$L32*CORR!$BJ31</f>
        <v>497870464.17121232</v>
      </c>
      <c r="O34" s="291">
        <f>COMB_CORR!$L32*CORR!$BJ31</f>
        <v>497870464.17121232</v>
      </c>
      <c r="P34" s="291">
        <f>COMB_CORR!$L32*CORR!$BJ31</f>
        <v>497870464.17121232</v>
      </c>
      <c r="Q34" s="291">
        <f>COMB_CORR!$L32*CORR!$BJ31</f>
        <v>497870464.17121232</v>
      </c>
      <c r="R34" s="291">
        <f>COMB_CORR!Q32</f>
        <v>3209550</v>
      </c>
    </row>
    <row r="35" spans="1:18">
      <c r="A35" s="127" t="s">
        <v>41</v>
      </c>
      <c r="B35" s="291">
        <f>COMB_CORR!$B33</f>
        <v>951247638.26719797</v>
      </c>
      <c r="C35" s="291">
        <f>COMB_CORR!$B33</f>
        <v>951247638.26719797</v>
      </c>
      <c r="D35" s="291">
        <f>COMB_CORR!$B33</f>
        <v>951247638.26719797</v>
      </c>
      <c r="E35" s="291">
        <f>COMB_CORR!$B33</f>
        <v>951247638.26719797</v>
      </c>
      <c r="F35" s="291">
        <f>COMB_CORR!$B33</f>
        <v>951247638.26719797</v>
      </c>
      <c r="G35" s="291">
        <f>COMB_CORR!$B33</f>
        <v>951247638.26719797</v>
      </c>
      <c r="H35" s="291">
        <f>COMB_CORR!$G33</f>
        <v>774341526.8083899</v>
      </c>
      <c r="I35" s="291">
        <f>COMB_CORR!$G33</f>
        <v>774341526.8083899</v>
      </c>
      <c r="J35" s="291">
        <f>COMB_CORR!$L33*CORR!$BJ32</f>
        <v>1435189499.3894393</v>
      </c>
      <c r="K35" s="291">
        <f>COMB_CORR!$L33*CORR!$BJ32</f>
        <v>1435189499.3894393</v>
      </c>
      <c r="L35" s="291">
        <f>COMB_CORR!$L33*CORR!$BJ32</f>
        <v>1435189499.3894393</v>
      </c>
      <c r="M35" s="291">
        <f>COMB_CORR!$L33*CORR!$BJ32</f>
        <v>1435189499.3894393</v>
      </c>
      <c r="N35" s="291">
        <f>COMB_CORR!$L33*CORR!$BJ32</f>
        <v>1435189499.3894393</v>
      </c>
      <c r="O35" s="291">
        <f>COMB_CORR!$L33*CORR!$BJ32</f>
        <v>1435189499.3894393</v>
      </c>
      <c r="P35" s="291">
        <f>COMB_CORR!$L33*CORR!$BJ32</f>
        <v>1435189499.3894393</v>
      </c>
      <c r="Q35" s="291">
        <f>COMB_CORR!$L33*CORR!$BJ32</f>
        <v>1435189499.3894393</v>
      </c>
      <c r="R35" s="291">
        <f>COMB_CORR!Q33</f>
        <v>1094700</v>
      </c>
    </row>
    <row r="36" spans="1:18">
      <c r="A36" s="127" t="s">
        <v>42</v>
      </c>
      <c r="B36" s="291">
        <f>COMB_CORR!$B34</f>
        <v>354940567.20392001</v>
      </c>
      <c r="C36" s="291">
        <f>COMB_CORR!$B34</f>
        <v>354940567.20392001</v>
      </c>
      <c r="D36" s="291">
        <f>COMB_CORR!$B34</f>
        <v>354940567.20392001</v>
      </c>
      <c r="E36" s="291">
        <f>COMB_CORR!$B34</f>
        <v>354940567.20392001</v>
      </c>
      <c r="F36" s="291">
        <f>COMB_CORR!$B34</f>
        <v>354940567.20392001</v>
      </c>
      <c r="G36" s="291">
        <f>COMB_CORR!$B34</f>
        <v>354940567.20392001</v>
      </c>
      <c r="H36" s="291">
        <f>COMB_CORR!$G34</f>
        <v>394276705.11057419</v>
      </c>
      <c r="I36" s="291">
        <f>COMB_CORR!$G34</f>
        <v>394276705.11057419</v>
      </c>
      <c r="J36" s="291">
        <f>COMB_CORR!$L34*CORR!$BJ33</f>
        <v>1214598545.7921247</v>
      </c>
      <c r="K36" s="291">
        <f>COMB_CORR!$L34*CORR!$BJ33</f>
        <v>1214598545.7921247</v>
      </c>
      <c r="L36" s="291">
        <f>COMB_CORR!$L34*CORR!$BJ33</f>
        <v>1214598545.7921247</v>
      </c>
      <c r="M36" s="291">
        <f>COMB_CORR!$L34*CORR!$BJ33</f>
        <v>1214598545.7921247</v>
      </c>
      <c r="N36" s="291">
        <f>COMB_CORR!$L34*CORR!$BJ33</f>
        <v>1214598545.7921247</v>
      </c>
      <c r="O36" s="291">
        <f>COMB_CORR!$L34*CORR!$BJ33</f>
        <v>1214598545.7921247</v>
      </c>
      <c r="P36" s="291">
        <f>COMB_CORR!$L34*CORR!$BJ33</f>
        <v>1214598545.7921247</v>
      </c>
      <c r="Q36" s="291">
        <f>COMB_CORR!$L34*CORR!$BJ33</f>
        <v>1214598545.7921247</v>
      </c>
      <c r="R36" s="291">
        <f>COMB_CORR!Q34</f>
        <v>2051450.0000000002</v>
      </c>
    </row>
    <row r="37" spans="1:18" ht="26.25" thickBot="1">
      <c r="A37" s="128" t="s">
        <v>43</v>
      </c>
      <c r="B37" s="291">
        <f>COMB_CORR!$B35</f>
        <v>372538159.32249403</v>
      </c>
      <c r="C37" s="291">
        <f>COMB_CORR!$B35</f>
        <v>372538159.32249403</v>
      </c>
      <c r="D37" s="291">
        <f>COMB_CORR!$B35</f>
        <v>372538159.32249403</v>
      </c>
      <c r="E37" s="291">
        <f>COMB_CORR!$B35</f>
        <v>372538159.32249403</v>
      </c>
      <c r="F37" s="291">
        <f>COMB_CORR!$B35</f>
        <v>372538159.32249403</v>
      </c>
      <c r="G37" s="291">
        <f>COMB_CORR!$B35</f>
        <v>372538159.32249403</v>
      </c>
      <c r="H37" s="291">
        <f>COMB_CORR!$G35</f>
        <v>208153962.73044553</v>
      </c>
      <c r="I37" s="291">
        <f>COMB_CORR!$G35</f>
        <v>208153962.73044553</v>
      </c>
      <c r="J37" s="291">
        <f>COMB_CORR!$L35*CORR!$BJ34</f>
        <v>784292844.99629498</v>
      </c>
      <c r="K37" s="291">
        <f>COMB_CORR!$L35*CORR!$BJ34</f>
        <v>784292844.99629498</v>
      </c>
      <c r="L37" s="291">
        <f>COMB_CORR!$L35*CORR!$BJ34</f>
        <v>784292844.99629498</v>
      </c>
      <c r="M37" s="291">
        <f>COMB_CORR!$L35*CORR!$BJ34</f>
        <v>784292844.99629498</v>
      </c>
      <c r="N37" s="291">
        <f>COMB_CORR!$L35*CORR!$BJ34</f>
        <v>784292844.99629498</v>
      </c>
      <c r="O37" s="291">
        <f>COMB_CORR!$L35*CORR!$BJ34</f>
        <v>784292844.99629498</v>
      </c>
      <c r="P37" s="291">
        <f>COMB_CORR!$L35*CORR!$BJ34</f>
        <v>784292844.99629498</v>
      </c>
      <c r="Q37" s="291">
        <f>COMB_CORR!$L35*CORR!$BJ34</f>
        <v>784292844.99629498</v>
      </c>
      <c r="R37" s="291">
        <f>COMB_CORR!Q35</f>
        <v>9933650</v>
      </c>
    </row>
    <row r="38" spans="1:18" s="1" customFormat="1" ht="15.75" thickBot="1"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</row>
    <row r="39" spans="1:18" ht="15.75" customHeight="1" thickBot="1">
      <c r="A39" s="1051" t="s">
        <v>480</v>
      </c>
      <c r="B39" s="1054">
        <v>2005</v>
      </c>
      <c r="C39" s="1055"/>
      <c r="D39" s="1055"/>
      <c r="E39" s="1055"/>
      <c r="F39" s="1055"/>
      <c r="G39" s="1055"/>
      <c r="H39" s="1055"/>
      <c r="I39" s="1055"/>
      <c r="J39" s="1055"/>
      <c r="K39" s="1055"/>
      <c r="L39" s="1055"/>
      <c r="M39" s="1055"/>
      <c r="N39" s="1055"/>
      <c r="O39" s="1055"/>
      <c r="P39" s="1055"/>
      <c r="Q39" s="1055"/>
      <c r="R39" s="1078"/>
    </row>
    <row r="40" spans="1:18">
      <c r="A40" s="1052"/>
      <c r="B40" s="1060" t="s">
        <v>97</v>
      </c>
      <c r="C40" s="1061"/>
      <c r="D40" s="1061"/>
      <c r="E40" s="1061"/>
      <c r="F40" s="1061"/>
      <c r="G40" s="1061"/>
      <c r="H40" s="1061" t="s">
        <v>98</v>
      </c>
      <c r="I40" s="1061"/>
      <c r="J40" s="1061" t="s">
        <v>99</v>
      </c>
      <c r="K40" s="1061"/>
      <c r="L40" s="1061"/>
      <c r="M40" s="1061"/>
      <c r="N40" s="1061"/>
      <c r="O40" s="1061"/>
      <c r="P40" s="1061"/>
      <c r="Q40" s="1061"/>
      <c r="R40" s="289" t="s">
        <v>100</v>
      </c>
    </row>
    <row r="41" spans="1:18">
      <c r="A41" s="1052"/>
      <c r="B41" s="1062" t="s">
        <v>101</v>
      </c>
      <c r="C41" s="1064" t="s">
        <v>102</v>
      </c>
      <c r="D41" s="1064" t="s">
        <v>103</v>
      </c>
      <c r="E41" s="1064"/>
      <c r="F41" s="1064"/>
      <c r="G41" s="1064"/>
      <c r="H41" s="1062" t="s">
        <v>101</v>
      </c>
      <c r="I41" s="1064" t="s">
        <v>102</v>
      </c>
      <c r="J41" s="1064" t="s">
        <v>104</v>
      </c>
      <c r="K41" s="1064"/>
      <c r="L41" s="1064"/>
      <c r="M41" s="1064" t="s">
        <v>105</v>
      </c>
      <c r="N41" s="1064"/>
      <c r="O41" s="1064"/>
      <c r="P41" s="1062" t="s">
        <v>101</v>
      </c>
      <c r="Q41" s="1064" t="s">
        <v>102</v>
      </c>
      <c r="R41" s="1062" t="s">
        <v>101</v>
      </c>
    </row>
    <row r="42" spans="1:18" ht="15.75" thickBot="1">
      <c r="A42" s="1053"/>
      <c r="B42" s="1063"/>
      <c r="C42" s="1065"/>
      <c r="D42" s="290" t="s">
        <v>106</v>
      </c>
      <c r="E42" s="290" t="s">
        <v>107</v>
      </c>
      <c r="F42" s="290" t="s">
        <v>108</v>
      </c>
      <c r="G42" s="290" t="s">
        <v>109</v>
      </c>
      <c r="H42" s="1063"/>
      <c r="I42" s="1065"/>
      <c r="J42" s="290" t="s">
        <v>110</v>
      </c>
      <c r="K42" s="290" t="s">
        <v>111</v>
      </c>
      <c r="L42" s="290" t="s">
        <v>112</v>
      </c>
      <c r="M42" s="290" t="s">
        <v>113</v>
      </c>
      <c r="N42" s="290" t="s">
        <v>114</v>
      </c>
      <c r="O42" s="290" t="s">
        <v>115</v>
      </c>
      <c r="P42" s="1063"/>
      <c r="Q42" s="1065"/>
      <c r="R42" s="1063"/>
    </row>
    <row r="43" spans="1:18" ht="15.75" thickBot="1">
      <c r="A43" s="164" t="s">
        <v>11</v>
      </c>
      <c r="B43" s="291">
        <f>B44+B52+B62+B67+B71</f>
        <v>29843664982</v>
      </c>
      <c r="C43" s="291">
        <f t="shared" ref="C43" si="21">C44+C52+C62+C67+C71</f>
        <v>29843664982</v>
      </c>
      <c r="D43" s="291">
        <f t="shared" ref="D43" si="22">D44+D52+D62+D67+D71</f>
        <v>29843664982</v>
      </c>
      <c r="E43" s="291">
        <f t="shared" ref="E43" si="23">E44+E52+E62+E67+E71</f>
        <v>29843664982</v>
      </c>
      <c r="F43" s="291">
        <f t="shared" ref="F43" si="24">F44+F52+F62+F67+F71</f>
        <v>29843664982</v>
      </c>
      <c r="G43" s="291">
        <f t="shared" ref="G43" si="25">G44+G52+G62+G67+G71</f>
        <v>29843664982</v>
      </c>
      <c r="H43" s="291">
        <f t="shared" ref="H43" si="26">H44+H52+H62+H67+H71</f>
        <v>16177999999.999998</v>
      </c>
      <c r="I43" s="291">
        <f t="shared" ref="I43" si="27">I44+I52+I62+I67+I71</f>
        <v>16177999999.999998</v>
      </c>
      <c r="J43" s="291">
        <f t="shared" ref="J43" si="28">J44+J52+J62+J67+J71</f>
        <v>39249982456.110344</v>
      </c>
      <c r="K43" s="291">
        <f t="shared" ref="K43" si="29">K44+K52+K62+K67+K71</f>
        <v>39249982456.110344</v>
      </c>
      <c r="L43" s="291">
        <f t="shared" ref="L43" si="30">L44+L52+L62+L67+L71</f>
        <v>39249982456.110344</v>
      </c>
      <c r="M43" s="291">
        <f t="shared" ref="M43" si="31">M44+M52+M62+M67+M71</f>
        <v>39249982456.110344</v>
      </c>
      <c r="N43" s="291">
        <f t="shared" ref="N43" si="32">N44+N52+N62+N67+N71</f>
        <v>39249982456.110344</v>
      </c>
      <c r="O43" s="291">
        <f t="shared" ref="O43" si="33">O44+O52+O62+O67+O71</f>
        <v>39249982456.110344</v>
      </c>
      <c r="P43" s="291">
        <f t="shared" ref="P43" si="34">P44+P52+P62+P67+P71</f>
        <v>39249982456.110344</v>
      </c>
      <c r="Q43" s="291">
        <f t="shared" ref="Q43" si="35">Q44+Q52+Q62+Q67+Q71</f>
        <v>39249982456.110344</v>
      </c>
      <c r="R43" s="291">
        <f t="shared" ref="R43" si="36">R44+R52+R62+R67+R71</f>
        <v>2007264580</v>
      </c>
    </row>
    <row r="44" spans="1:18">
      <c r="A44" s="269" t="s">
        <v>46</v>
      </c>
      <c r="B44" s="291">
        <f>SUM(B45:B51)</f>
        <v>1927184313</v>
      </c>
      <c r="C44" s="291">
        <f t="shared" ref="C44" si="37">SUM(C45:C51)</f>
        <v>1927184313</v>
      </c>
      <c r="D44" s="291">
        <f t="shared" ref="D44" si="38">SUM(D45:D51)</f>
        <v>1927184313</v>
      </c>
      <c r="E44" s="291">
        <f t="shared" ref="E44" si="39">SUM(E45:E51)</f>
        <v>1927184313</v>
      </c>
      <c r="F44" s="291">
        <f t="shared" ref="F44" si="40">SUM(F45:F51)</f>
        <v>1927184313</v>
      </c>
      <c r="G44" s="291">
        <f t="shared" ref="G44" si="41">SUM(G45:G51)</f>
        <v>1927184313</v>
      </c>
      <c r="H44" s="291">
        <f t="shared" ref="H44" si="42">SUM(H45:H51)</f>
        <v>237562370.26908046</v>
      </c>
      <c r="I44" s="291">
        <f t="shared" ref="I44" si="43">SUM(I45:I51)</f>
        <v>237562370.26908046</v>
      </c>
      <c r="J44" s="291">
        <f t="shared" ref="J44" si="44">SUM(J45:J51)</f>
        <v>3545733549.5792394</v>
      </c>
      <c r="K44" s="291">
        <f t="shared" ref="K44" si="45">SUM(K45:K51)</f>
        <v>3545733549.5792394</v>
      </c>
      <c r="L44" s="291">
        <f t="shared" ref="L44" si="46">SUM(L45:L51)</f>
        <v>3545733549.5792394</v>
      </c>
      <c r="M44" s="291">
        <f t="shared" ref="M44" si="47">SUM(M45:M51)</f>
        <v>3545733549.5792394</v>
      </c>
      <c r="N44" s="291">
        <f t="shared" ref="N44" si="48">SUM(N45:N51)</f>
        <v>3545733549.5792394</v>
      </c>
      <c r="O44" s="291">
        <f t="shared" ref="O44" si="49">SUM(O45:O51)</f>
        <v>3545733549.5792394</v>
      </c>
      <c r="P44" s="291">
        <f t="shared" ref="P44" si="50">SUM(P45:P51)</f>
        <v>3545733549.5792394</v>
      </c>
      <c r="Q44" s="291">
        <f t="shared" ref="Q44" si="51">SUM(Q45:Q51)</f>
        <v>3545733549.5792394</v>
      </c>
      <c r="R44" s="291">
        <f t="shared" ref="R44" si="52">SUM(R45:R51)</f>
        <v>913980</v>
      </c>
    </row>
    <row r="45" spans="1:18">
      <c r="A45" s="127" t="s">
        <v>13</v>
      </c>
      <c r="B45" s="291">
        <f>COMB_CORR!$C5</f>
        <v>94983801</v>
      </c>
      <c r="C45" s="291">
        <f>COMB_CORR!$C5</f>
        <v>94983801</v>
      </c>
      <c r="D45" s="291">
        <f>COMB_CORR!$C5</f>
        <v>94983801</v>
      </c>
      <c r="E45" s="291">
        <f>COMB_CORR!$C5</f>
        <v>94983801</v>
      </c>
      <c r="F45" s="291">
        <f>COMB_CORR!$C5</f>
        <v>94983801</v>
      </c>
      <c r="G45" s="291">
        <f>COMB_CORR!$C5</f>
        <v>94983801</v>
      </c>
      <c r="H45" s="291">
        <f>COMB_CORR!$H5</f>
        <v>10189695.61170375</v>
      </c>
      <c r="I45" s="291">
        <f>COMB_CORR!$H5</f>
        <v>10189695.61170375</v>
      </c>
      <c r="J45" s="291">
        <f>COMB_CORR!$M5*CORR!$BK4</f>
        <v>133841404.70403644</v>
      </c>
      <c r="K45" s="291">
        <f>COMB_CORR!$M5*CORR!$BK4</f>
        <v>133841404.70403644</v>
      </c>
      <c r="L45" s="291">
        <f>COMB_CORR!$M5*CORR!$BK4</f>
        <v>133841404.70403644</v>
      </c>
      <c r="M45" s="291">
        <f>COMB_CORR!$M5*CORR!$BK4</f>
        <v>133841404.70403644</v>
      </c>
      <c r="N45" s="291">
        <f>COMB_CORR!$M5*CORR!$BK4</f>
        <v>133841404.70403644</v>
      </c>
      <c r="O45" s="291">
        <f>COMB_CORR!$M5*CORR!$BK4</f>
        <v>133841404.70403644</v>
      </c>
      <c r="P45" s="291">
        <f>COMB_CORR!$M5*CORR!$BK4</f>
        <v>133841404.70403644</v>
      </c>
      <c r="Q45" s="291">
        <f>COMB_CORR!$M5*CORR!$BK4</f>
        <v>133841404.70403644</v>
      </c>
      <c r="R45" s="291">
        <f>COMB_CORR!R5</f>
        <v>0</v>
      </c>
    </row>
    <row r="46" spans="1:18">
      <c r="A46" s="127" t="s">
        <v>14</v>
      </c>
      <c r="B46" s="291">
        <f>COMB_CORR!$C6</f>
        <v>99396500</v>
      </c>
      <c r="C46" s="291">
        <f>COMB_CORR!$C6</f>
        <v>99396500</v>
      </c>
      <c r="D46" s="291">
        <f>COMB_CORR!$C6</f>
        <v>99396500</v>
      </c>
      <c r="E46" s="291">
        <f>COMB_CORR!$C6</f>
        <v>99396500</v>
      </c>
      <c r="F46" s="291">
        <f>COMB_CORR!$C6</f>
        <v>99396500</v>
      </c>
      <c r="G46" s="291">
        <f>COMB_CORR!$C6</f>
        <v>99396500</v>
      </c>
      <c r="H46" s="291">
        <f>COMB_CORR!$H6</f>
        <v>7213783.3268750645</v>
      </c>
      <c r="I46" s="291">
        <f>COMB_CORR!$H6</f>
        <v>7213783.3268750645</v>
      </c>
      <c r="J46" s="291">
        <f>COMB_CORR!$M6*CORR!$BK5</f>
        <v>149049719.65988374</v>
      </c>
      <c r="K46" s="291">
        <f>COMB_CORR!$M6*CORR!$BK5</f>
        <v>149049719.65988374</v>
      </c>
      <c r="L46" s="291">
        <f>COMB_CORR!$M6*CORR!$BK5</f>
        <v>149049719.65988374</v>
      </c>
      <c r="M46" s="291">
        <f>COMB_CORR!$M6*CORR!$BK5</f>
        <v>149049719.65988374</v>
      </c>
      <c r="N46" s="291">
        <f>COMB_CORR!$M6*CORR!$BK5</f>
        <v>149049719.65988374</v>
      </c>
      <c r="O46" s="291">
        <f>COMB_CORR!$M6*CORR!$BK5</f>
        <v>149049719.65988374</v>
      </c>
      <c r="P46" s="291">
        <f>COMB_CORR!$M6*CORR!$BK5</f>
        <v>149049719.65988374</v>
      </c>
      <c r="Q46" s="291">
        <f>COMB_CORR!$M6*CORR!$BK5</f>
        <v>149049719.65988374</v>
      </c>
      <c r="R46" s="291">
        <f>COMB_CORR!R6</f>
        <v>0</v>
      </c>
    </row>
    <row r="47" spans="1:18">
      <c r="A47" s="127" t="s">
        <v>15</v>
      </c>
      <c r="B47" s="291">
        <f>COMB_CORR!$C7</f>
        <v>468688196</v>
      </c>
      <c r="C47" s="291">
        <f>COMB_CORR!$C7</f>
        <v>468688196</v>
      </c>
      <c r="D47" s="291">
        <f>COMB_CORR!$C7</f>
        <v>468688196</v>
      </c>
      <c r="E47" s="291">
        <f>COMB_CORR!$C7</f>
        <v>468688196</v>
      </c>
      <c r="F47" s="291">
        <f>COMB_CORR!$C7</f>
        <v>468688196</v>
      </c>
      <c r="G47" s="291">
        <f>COMB_CORR!$C7</f>
        <v>468688196</v>
      </c>
      <c r="H47" s="291">
        <f>COMB_CORR!$H7</f>
        <v>58893543.678593881</v>
      </c>
      <c r="I47" s="291">
        <f>COMB_CORR!$H7</f>
        <v>58893543.678593881</v>
      </c>
      <c r="J47" s="291">
        <f>COMB_CORR!$M7*CORR!$BK6</f>
        <v>564790382.3983593</v>
      </c>
      <c r="K47" s="291">
        <f>COMB_CORR!$M7*CORR!$BK6</f>
        <v>564790382.3983593</v>
      </c>
      <c r="L47" s="291">
        <f>COMB_CORR!$M7*CORR!$BK6</f>
        <v>564790382.3983593</v>
      </c>
      <c r="M47" s="291">
        <f>COMB_CORR!$M7*CORR!$BK6</f>
        <v>564790382.3983593</v>
      </c>
      <c r="N47" s="291">
        <f>COMB_CORR!$M7*CORR!$BK6</f>
        <v>564790382.3983593</v>
      </c>
      <c r="O47" s="291">
        <f>COMB_CORR!$M7*CORR!$BK6</f>
        <v>564790382.3983593</v>
      </c>
      <c r="P47" s="291">
        <f>COMB_CORR!$M7*CORR!$BK6</f>
        <v>564790382.3983593</v>
      </c>
      <c r="Q47" s="291">
        <f>COMB_CORR!$M7*CORR!$BK6</f>
        <v>564790382.3983593</v>
      </c>
      <c r="R47" s="291">
        <f>COMB_CORR!R7</f>
        <v>913980</v>
      </c>
    </row>
    <row r="48" spans="1:18">
      <c r="A48" s="127" t="s">
        <v>16</v>
      </c>
      <c r="B48" s="291">
        <f>COMB_CORR!$C8</f>
        <v>674940641</v>
      </c>
      <c r="C48" s="291">
        <f>COMB_CORR!$C8</f>
        <v>674940641</v>
      </c>
      <c r="D48" s="291">
        <f>COMB_CORR!$C8</f>
        <v>674940641</v>
      </c>
      <c r="E48" s="291">
        <f>COMB_CORR!$C8</f>
        <v>674940641</v>
      </c>
      <c r="F48" s="291">
        <f>COMB_CORR!$C8</f>
        <v>674940641</v>
      </c>
      <c r="G48" s="291">
        <f>COMB_CORR!$C8</f>
        <v>674940641</v>
      </c>
      <c r="H48" s="291">
        <f>COMB_CORR!$H8</f>
        <v>50405369.988024153</v>
      </c>
      <c r="I48" s="291">
        <f>COMB_CORR!$H8</f>
        <v>50405369.988024153</v>
      </c>
      <c r="J48" s="291">
        <f>COMB_CORR!$M8*CORR!$BK7</f>
        <v>1375517566.3604836</v>
      </c>
      <c r="K48" s="291">
        <f>COMB_CORR!$M8*CORR!$BK7</f>
        <v>1375517566.3604836</v>
      </c>
      <c r="L48" s="291">
        <f>COMB_CORR!$M8*CORR!$BK7</f>
        <v>1375517566.3604836</v>
      </c>
      <c r="M48" s="291">
        <f>COMB_CORR!$M8*CORR!$BK7</f>
        <v>1375517566.3604836</v>
      </c>
      <c r="N48" s="291">
        <f>COMB_CORR!$M8*CORR!$BK7</f>
        <v>1375517566.3604836</v>
      </c>
      <c r="O48" s="291">
        <f>COMB_CORR!$M8*CORR!$BK7</f>
        <v>1375517566.3604836</v>
      </c>
      <c r="P48" s="291">
        <f>COMB_CORR!$M8*CORR!$BK7</f>
        <v>1375517566.3604836</v>
      </c>
      <c r="Q48" s="291">
        <f>COMB_CORR!$M8*CORR!$BK7</f>
        <v>1375517566.3604836</v>
      </c>
      <c r="R48" s="291">
        <f>COMB_CORR!R8</f>
        <v>0</v>
      </c>
    </row>
    <row r="49" spans="1:18">
      <c r="A49" s="127" t="s">
        <v>17</v>
      </c>
      <c r="B49" s="291">
        <f>COMB_CORR!$C9</f>
        <v>286145898</v>
      </c>
      <c r="C49" s="291">
        <f>COMB_CORR!$C9</f>
        <v>286145898</v>
      </c>
      <c r="D49" s="291">
        <f>COMB_CORR!$C9</f>
        <v>286145898</v>
      </c>
      <c r="E49" s="291">
        <f>COMB_CORR!$C9</f>
        <v>286145898</v>
      </c>
      <c r="F49" s="291">
        <f>COMB_CORR!$C9</f>
        <v>286145898</v>
      </c>
      <c r="G49" s="291">
        <f>COMB_CORR!$C9</f>
        <v>286145898</v>
      </c>
      <c r="H49" s="291">
        <f>COMB_CORR!$H9</f>
        <v>43015318.834508985</v>
      </c>
      <c r="I49" s="291">
        <f>COMB_CORR!$H9</f>
        <v>43015318.834508985</v>
      </c>
      <c r="J49" s="291">
        <f>COMB_CORR!$M9*CORR!$BK8</f>
        <v>671138072.06970549</v>
      </c>
      <c r="K49" s="291">
        <f>COMB_CORR!$M9*CORR!$BK8</f>
        <v>671138072.06970549</v>
      </c>
      <c r="L49" s="291">
        <f>COMB_CORR!$M9*CORR!$BK8</f>
        <v>671138072.06970549</v>
      </c>
      <c r="M49" s="291">
        <f>COMB_CORR!$M9*CORR!$BK8</f>
        <v>671138072.06970549</v>
      </c>
      <c r="N49" s="291">
        <f>COMB_CORR!$M9*CORR!$BK8</f>
        <v>671138072.06970549</v>
      </c>
      <c r="O49" s="291">
        <f>COMB_CORR!$M9*CORR!$BK8</f>
        <v>671138072.06970549</v>
      </c>
      <c r="P49" s="291">
        <f>COMB_CORR!$M9*CORR!$BK8</f>
        <v>671138072.06970549</v>
      </c>
      <c r="Q49" s="291">
        <f>COMB_CORR!$M9*CORR!$BK8</f>
        <v>671138072.06970549</v>
      </c>
      <c r="R49" s="291">
        <f>COMB_CORR!R9</f>
        <v>0</v>
      </c>
    </row>
    <row r="50" spans="1:18">
      <c r="A50" s="127" t="s">
        <v>18</v>
      </c>
      <c r="B50" s="291">
        <f>COMB_CORR!$C10</f>
        <v>85768400</v>
      </c>
      <c r="C50" s="291">
        <f>COMB_CORR!$C10</f>
        <v>85768400</v>
      </c>
      <c r="D50" s="291">
        <f>COMB_CORR!$C10</f>
        <v>85768400</v>
      </c>
      <c r="E50" s="291">
        <f>COMB_CORR!$C10</f>
        <v>85768400</v>
      </c>
      <c r="F50" s="291">
        <f>COMB_CORR!$C10</f>
        <v>85768400</v>
      </c>
      <c r="G50" s="291">
        <f>COMB_CORR!$C10</f>
        <v>85768400</v>
      </c>
      <c r="H50" s="291">
        <f>COMB_CORR!$H10</f>
        <v>2958124.937946951</v>
      </c>
      <c r="I50" s="291">
        <f>COMB_CORR!$H10</f>
        <v>2958124.937946951</v>
      </c>
      <c r="J50" s="291">
        <f>COMB_CORR!$M10*CORR!$BK9</f>
        <v>120530631.89904872</v>
      </c>
      <c r="K50" s="291">
        <f>COMB_CORR!$M10*CORR!$BK9</f>
        <v>120530631.89904872</v>
      </c>
      <c r="L50" s="291">
        <f>COMB_CORR!$M10*CORR!$BK9</f>
        <v>120530631.89904872</v>
      </c>
      <c r="M50" s="291">
        <f>COMB_CORR!$M10*CORR!$BK9</f>
        <v>120530631.89904872</v>
      </c>
      <c r="N50" s="291">
        <f>COMB_CORR!$M10*CORR!$BK9</f>
        <v>120530631.89904872</v>
      </c>
      <c r="O50" s="291">
        <f>COMB_CORR!$M10*CORR!$BK9</f>
        <v>120530631.89904872</v>
      </c>
      <c r="P50" s="291">
        <f>COMB_CORR!$M10*CORR!$BK9</f>
        <v>120530631.89904872</v>
      </c>
      <c r="Q50" s="291">
        <f>COMB_CORR!$M10*CORR!$BK9</f>
        <v>120530631.89904872</v>
      </c>
      <c r="R50" s="291">
        <f>COMB_CORR!R10</f>
        <v>0</v>
      </c>
    </row>
    <row r="51" spans="1:18" ht="15.75" thickBot="1">
      <c r="A51" s="128" t="s">
        <v>19</v>
      </c>
      <c r="B51" s="291">
        <f>COMB_CORR!$C11</f>
        <v>217260877</v>
      </c>
      <c r="C51" s="291">
        <f>COMB_CORR!$C11</f>
        <v>217260877</v>
      </c>
      <c r="D51" s="291">
        <f>COMB_CORR!$C11</f>
        <v>217260877</v>
      </c>
      <c r="E51" s="291">
        <f>COMB_CORR!$C11</f>
        <v>217260877</v>
      </c>
      <c r="F51" s="291">
        <f>COMB_CORR!$C11</f>
        <v>217260877</v>
      </c>
      <c r="G51" s="291">
        <f>COMB_CORR!$C11</f>
        <v>217260877</v>
      </c>
      <c r="H51" s="291">
        <f>COMB_CORR!$H11</f>
        <v>64886533.891427681</v>
      </c>
      <c r="I51" s="291">
        <f>COMB_CORR!$H11</f>
        <v>64886533.891427681</v>
      </c>
      <c r="J51" s="291">
        <f>COMB_CORR!$M11*CORR!$BK10</f>
        <v>530865772.48772174</v>
      </c>
      <c r="K51" s="291">
        <f>COMB_CORR!$M11*CORR!$BK10</f>
        <v>530865772.48772174</v>
      </c>
      <c r="L51" s="291">
        <f>COMB_CORR!$M11*CORR!$BK10</f>
        <v>530865772.48772174</v>
      </c>
      <c r="M51" s="291">
        <f>COMB_CORR!$M11*CORR!$BK10</f>
        <v>530865772.48772174</v>
      </c>
      <c r="N51" s="291">
        <f>COMB_CORR!$M11*CORR!$BK10</f>
        <v>530865772.48772174</v>
      </c>
      <c r="O51" s="291">
        <f>COMB_CORR!$M11*CORR!$BK10</f>
        <v>530865772.48772174</v>
      </c>
      <c r="P51" s="291">
        <f>COMB_CORR!$M11*CORR!$BK10</f>
        <v>530865772.48772174</v>
      </c>
      <c r="Q51" s="291">
        <f>COMB_CORR!$M11*CORR!$BK10</f>
        <v>530865772.48772174</v>
      </c>
      <c r="R51" s="291">
        <f>COMB_CORR!R11</f>
        <v>0</v>
      </c>
    </row>
    <row r="52" spans="1:18">
      <c r="A52" s="269" t="s">
        <v>54</v>
      </c>
      <c r="B52" s="291">
        <f>SUM(B53:B61)</f>
        <v>5212948677</v>
      </c>
      <c r="C52" s="291">
        <f t="shared" ref="C52" si="53">SUM(C53:C61)</f>
        <v>5212948677</v>
      </c>
      <c r="D52" s="291">
        <f t="shared" ref="D52" si="54">SUM(D53:D61)</f>
        <v>5212948677</v>
      </c>
      <c r="E52" s="291">
        <f t="shared" ref="E52" si="55">SUM(E53:E61)</f>
        <v>5212948677</v>
      </c>
      <c r="F52" s="291">
        <f t="shared" ref="F52" si="56">SUM(F53:F61)</f>
        <v>5212948677</v>
      </c>
      <c r="G52" s="291">
        <f t="shared" ref="G52" si="57">SUM(G53:G61)</f>
        <v>5212948677</v>
      </c>
      <c r="H52" s="291">
        <f t="shared" ref="H52" si="58">SUM(H53:H61)</f>
        <v>1459606551.7455111</v>
      </c>
      <c r="I52" s="291">
        <f t="shared" ref="I52" si="59">SUM(I53:I61)</f>
        <v>1459606551.7455111</v>
      </c>
      <c r="J52" s="291">
        <f t="shared" ref="J52" si="60">SUM(J53:J61)</f>
        <v>6122834426.9680967</v>
      </c>
      <c r="K52" s="291">
        <f t="shared" ref="K52" si="61">SUM(K53:K61)</f>
        <v>6122834426.9680967</v>
      </c>
      <c r="L52" s="291">
        <f t="shared" ref="L52" si="62">SUM(L53:L61)</f>
        <v>6122834426.9680967</v>
      </c>
      <c r="M52" s="291">
        <f t="shared" ref="M52" si="63">SUM(M53:M61)</f>
        <v>6122834426.9680967</v>
      </c>
      <c r="N52" s="291">
        <f t="shared" ref="N52" si="64">SUM(N53:N61)</f>
        <v>6122834426.9680967</v>
      </c>
      <c r="O52" s="291">
        <f t="shared" ref="O52" si="65">SUM(O53:O61)</f>
        <v>6122834426.9680967</v>
      </c>
      <c r="P52" s="291">
        <f t="shared" ref="P52" si="66">SUM(P53:P61)</f>
        <v>6122834426.9680967</v>
      </c>
      <c r="Q52" s="291">
        <f t="shared" ref="Q52" si="67">SUM(Q53:Q61)</f>
        <v>6122834426.9680967</v>
      </c>
      <c r="R52" s="291">
        <f t="shared" ref="R52" si="68">SUM(R53:R61)</f>
        <v>376488990</v>
      </c>
    </row>
    <row r="53" spans="1:18">
      <c r="A53" s="127" t="s">
        <v>21</v>
      </c>
      <c r="B53" s="291">
        <f>COMB_CORR!$C13</f>
        <v>245327832</v>
      </c>
      <c r="C53" s="291">
        <f>COMB_CORR!$C13</f>
        <v>245327832</v>
      </c>
      <c r="D53" s="291">
        <f>COMB_CORR!$C13</f>
        <v>245327832</v>
      </c>
      <c r="E53" s="291">
        <f>COMB_CORR!$C13</f>
        <v>245327832</v>
      </c>
      <c r="F53" s="291">
        <f>COMB_CORR!$C13</f>
        <v>245327832</v>
      </c>
      <c r="G53" s="291">
        <f>COMB_CORR!$C13</f>
        <v>245327832</v>
      </c>
      <c r="H53" s="291">
        <f>COMB_CORR!$H13</f>
        <v>81672323.815833092</v>
      </c>
      <c r="I53" s="291">
        <f>COMB_CORR!$H13</f>
        <v>81672323.815833092</v>
      </c>
      <c r="J53" s="291">
        <f>COMB_CORR!$M13*CORR!$BK12</f>
        <v>257560372.87700903</v>
      </c>
      <c r="K53" s="291">
        <f>COMB_CORR!$M13*CORR!$BK12</f>
        <v>257560372.87700903</v>
      </c>
      <c r="L53" s="291">
        <f>COMB_CORR!$M13*CORR!$BK12</f>
        <v>257560372.87700903</v>
      </c>
      <c r="M53" s="291">
        <f>COMB_CORR!$M13*CORR!$BK12</f>
        <v>257560372.87700903</v>
      </c>
      <c r="N53" s="291">
        <f>COMB_CORR!$M13*CORR!$BK12</f>
        <v>257560372.87700903</v>
      </c>
      <c r="O53" s="291">
        <f>COMB_CORR!$M13*CORR!$BK12</f>
        <v>257560372.87700903</v>
      </c>
      <c r="P53" s="291">
        <f>COMB_CORR!$M13*CORR!$BK12</f>
        <v>257560372.87700903</v>
      </c>
      <c r="Q53" s="291">
        <f>COMB_CORR!$M13*CORR!$BK12</f>
        <v>257560372.87700903</v>
      </c>
      <c r="R53" s="291">
        <f>COMB_CORR!R13</f>
        <v>36079430</v>
      </c>
    </row>
    <row r="54" spans="1:18">
      <c r="A54" s="127" t="s">
        <v>22</v>
      </c>
      <c r="B54" s="291">
        <f>COMB_CORR!$C14</f>
        <v>1273406049</v>
      </c>
      <c r="C54" s="291">
        <f>COMB_CORR!$C14</f>
        <v>1273406049</v>
      </c>
      <c r="D54" s="291">
        <f>COMB_CORR!$C14</f>
        <v>1273406049</v>
      </c>
      <c r="E54" s="291">
        <f>COMB_CORR!$C14</f>
        <v>1273406049</v>
      </c>
      <c r="F54" s="291">
        <f>COMB_CORR!$C14</f>
        <v>1273406049</v>
      </c>
      <c r="G54" s="291">
        <f>COMB_CORR!$C14</f>
        <v>1273406049</v>
      </c>
      <c r="H54" s="291">
        <f>COMB_CORR!$H14</f>
        <v>534849053.03190422</v>
      </c>
      <c r="I54" s="291">
        <f>COMB_CORR!$H14</f>
        <v>534849053.03190422</v>
      </c>
      <c r="J54" s="291">
        <f>COMB_CORR!$M14*CORR!$BK13</f>
        <v>2311810123.0372095</v>
      </c>
      <c r="K54" s="291">
        <f>COMB_CORR!$M14*CORR!$BK13</f>
        <v>2311810123.0372095</v>
      </c>
      <c r="L54" s="291">
        <f>COMB_CORR!$M14*CORR!$BK13</f>
        <v>2311810123.0372095</v>
      </c>
      <c r="M54" s="291">
        <f>COMB_CORR!$M14*CORR!$BK13</f>
        <v>2311810123.0372095</v>
      </c>
      <c r="N54" s="291">
        <f>COMB_CORR!$M14*CORR!$BK13</f>
        <v>2311810123.0372095</v>
      </c>
      <c r="O54" s="291">
        <f>COMB_CORR!$M14*CORR!$BK13</f>
        <v>2311810123.0372095</v>
      </c>
      <c r="P54" s="291">
        <f>COMB_CORR!$M14*CORR!$BK13</f>
        <v>2311810123.0372095</v>
      </c>
      <c r="Q54" s="291">
        <f>COMB_CORR!$M14*CORR!$BK13</f>
        <v>2311810123.0372095</v>
      </c>
      <c r="R54" s="291">
        <f>COMB_CORR!R14</f>
        <v>72277570</v>
      </c>
    </row>
    <row r="55" spans="1:18">
      <c r="A55" s="127" t="s">
        <v>23</v>
      </c>
      <c r="B55" s="291">
        <f>COMB_CORR!$C15</f>
        <v>820165031</v>
      </c>
      <c r="C55" s="291">
        <f>COMB_CORR!$C15</f>
        <v>820165031</v>
      </c>
      <c r="D55" s="291">
        <f>COMB_CORR!$C15</f>
        <v>820165031</v>
      </c>
      <c r="E55" s="291">
        <f>COMB_CORR!$C15</f>
        <v>820165031</v>
      </c>
      <c r="F55" s="291">
        <f>COMB_CORR!$C15</f>
        <v>820165031</v>
      </c>
      <c r="G55" s="291">
        <f>COMB_CORR!$C15</f>
        <v>820165031</v>
      </c>
      <c r="H55" s="291">
        <f>COMB_CORR!$H15</f>
        <v>169038119.35034844</v>
      </c>
      <c r="I55" s="291">
        <f>COMB_CORR!$H15</f>
        <v>169038119.35034844</v>
      </c>
      <c r="J55" s="291">
        <f>COMB_CORR!$M15*CORR!$BK14</f>
        <v>767312816.7740382</v>
      </c>
      <c r="K55" s="291">
        <f>COMB_CORR!$M15*CORR!$BK14</f>
        <v>767312816.7740382</v>
      </c>
      <c r="L55" s="291">
        <f>COMB_CORR!$M15*CORR!$BK14</f>
        <v>767312816.7740382</v>
      </c>
      <c r="M55" s="291">
        <f>COMB_CORR!$M15*CORR!$BK14</f>
        <v>767312816.7740382</v>
      </c>
      <c r="N55" s="291">
        <f>COMB_CORR!$M15*CORR!$BK14</f>
        <v>767312816.7740382</v>
      </c>
      <c r="O55" s="291">
        <f>COMB_CORR!$M15*CORR!$BK14</f>
        <v>767312816.7740382</v>
      </c>
      <c r="P55" s="291">
        <f>COMB_CORR!$M15*CORR!$BK14</f>
        <v>767312816.7740382</v>
      </c>
      <c r="Q55" s="291">
        <f>COMB_CORR!$M15*CORR!$BK14</f>
        <v>767312816.7740382</v>
      </c>
      <c r="R55" s="291">
        <f>COMB_CORR!R15</f>
        <v>66339740.000000007</v>
      </c>
    </row>
    <row r="56" spans="1:18">
      <c r="A56" s="127" t="s">
        <v>24</v>
      </c>
      <c r="B56" s="291">
        <f>COMB_CORR!$C16</f>
        <v>522287338</v>
      </c>
      <c r="C56" s="291">
        <f>COMB_CORR!$C16</f>
        <v>522287338</v>
      </c>
      <c r="D56" s="291">
        <f>COMB_CORR!$C16</f>
        <v>522287338</v>
      </c>
      <c r="E56" s="291">
        <f>COMB_CORR!$C16</f>
        <v>522287338</v>
      </c>
      <c r="F56" s="291">
        <f>COMB_CORR!$C16</f>
        <v>522287338</v>
      </c>
      <c r="G56" s="291">
        <f>COMB_CORR!$C16</f>
        <v>522287338</v>
      </c>
      <c r="H56" s="291">
        <f>COMB_CORR!$H16</f>
        <v>94934168.451156855</v>
      </c>
      <c r="I56" s="291">
        <f>COMB_CORR!$H16</f>
        <v>94934168.451156855</v>
      </c>
      <c r="J56" s="291">
        <f>COMB_CORR!$M16*CORR!$BK15</f>
        <v>402571743.16594177</v>
      </c>
      <c r="K56" s="291">
        <f>COMB_CORR!$M16*CORR!$BK15</f>
        <v>402571743.16594177</v>
      </c>
      <c r="L56" s="291">
        <f>COMB_CORR!$M16*CORR!$BK15</f>
        <v>402571743.16594177</v>
      </c>
      <c r="M56" s="291">
        <f>COMB_CORR!$M16*CORR!$BK15</f>
        <v>402571743.16594177</v>
      </c>
      <c r="N56" s="291">
        <f>COMB_CORR!$M16*CORR!$BK15</f>
        <v>402571743.16594177</v>
      </c>
      <c r="O56" s="291">
        <f>COMB_CORR!$M16*CORR!$BK15</f>
        <v>402571743.16594177</v>
      </c>
      <c r="P56" s="291">
        <f>COMB_CORR!$M16*CORR!$BK15</f>
        <v>402571743.16594177</v>
      </c>
      <c r="Q56" s="291">
        <f>COMB_CORR!$M16*CORR!$BK15</f>
        <v>402571743.16594177</v>
      </c>
      <c r="R56" s="291">
        <f>COMB_CORR!R16</f>
        <v>0</v>
      </c>
    </row>
    <row r="57" spans="1:18">
      <c r="A57" s="127" t="s">
        <v>25</v>
      </c>
      <c r="B57" s="291">
        <f>COMB_CORR!$C17</f>
        <v>444825636</v>
      </c>
      <c r="C57" s="291">
        <f>COMB_CORR!$C17</f>
        <v>444825636</v>
      </c>
      <c r="D57" s="291">
        <f>COMB_CORR!$C17</f>
        <v>444825636</v>
      </c>
      <c r="E57" s="291">
        <f>COMB_CORR!$C17</f>
        <v>444825636</v>
      </c>
      <c r="F57" s="291">
        <f>COMB_CORR!$C17</f>
        <v>444825636</v>
      </c>
      <c r="G57" s="291">
        <f>COMB_CORR!$C17</f>
        <v>444825636</v>
      </c>
      <c r="H57" s="291">
        <f>COMB_CORR!$H17</f>
        <v>92897508.832218572</v>
      </c>
      <c r="I57" s="291">
        <f>COMB_CORR!$H17</f>
        <v>92897508.832218572</v>
      </c>
      <c r="J57" s="291">
        <f>COMB_CORR!$M17*CORR!$BK16</f>
        <v>337545021.52843249</v>
      </c>
      <c r="K57" s="291">
        <f>COMB_CORR!$M17*CORR!$BK16</f>
        <v>337545021.52843249</v>
      </c>
      <c r="L57" s="291">
        <f>COMB_CORR!$M17*CORR!$BK16</f>
        <v>337545021.52843249</v>
      </c>
      <c r="M57" s="291">
        <f>COMB_CORR!$M17*CORR!$BK16</f>
        <v>337545021.52843249</v>
      </c>
      <c r="N57" s="291">
        <f>COMB_CORR!$M17*CORR!$BK16</f>
        <v>337545021.52843249</v>
      </c>
      <c r="O57" s="291">
        <f>COMB_CORR!$M17*CORR!$BK16</f>
        <v>337545021.52843249</v>
      </c>
      <c r="P57" s="291">
        <f>COMB_CORR!$M17*CORR!$BK16</f>
        <v>337545021.52843249</v>
      </c>
      <c r="Q57" s="291">
        <f>COMB_CORR!$M17*CORR!$BK16</f>
        <v>337545021.52843249</v>
      </c>
      <c r="R57" s="291">
        <f>COMB_CORR!R17</f>
        <v>35061760</v>
      </c>
    </row>
    <row r="58" spans="1:18">
      <c r="A58" s="127" t="s">
        <v>26</v>
      </c>
      <c r="B58" s="291">
        <f>COMB_CORR!$C18</f>
        <v>898932823</v>
      </c>
      <c r="C58" s="291">
        <f>COMB_CORR!$C18</f>
        <v>898932823</v>
      </c>
      <c r="D58" s="291">
        <f>COMB_CORR!$C18</f>
        <v>898932823</v>
      </c>
      <c r="E58" s="291">
        <f>COMB_CORR!$C18</f>
        <v>898932823</v>
      </c>
      <c r="F58" s="291">
        <f>COMB_CORR!$C18</f>
        <v>898932823</v>
      </c>
      <c r="G58" s="291">
        <f>COMB_CORR!$C18</f>
        <v>898932823</v>
      </c>
      <c r="H58" s="291">
        <f>COMB_CORR!$H18</f>
        <v>338500755.31491405</v>
      </c>
      <c r="I58" s="291">
        <f>COMB_CORR!$H18</f>
        <v>338500755.31491405</v>
      </c>
      <c r="J58" s="291">
        <f>COMB_CORR!$M18*CORR!$BK17</f>
        <v>1048799569.6914824</v>
      </c>
      <c r="K58" s="291">
        <f>COMB_CORR!$M18*CORR!$BK17</f>
        <v>1048799569.6914824</v>
      </c>
      <c r="L58" s="291">
        <f>COMB_CORR!$M18*CORR!$BK17</f>
        <v>1048799569.6914824</v>
      </c>
      <c r="M58" s="291">
        <f>COMB_CORR!$M18*CORR!$BK17</f>
        <v>1048799569.6914824</v>
      </c>
      <c r="N58" s="291">
        <f>COMB_CORR!$M18*CORR!$BK17</f>
        <v>1048799569.6914824</v>
      </c>
      <c r="O58" s="291">
        <f>COMB_CORR!$M18*CORR!$BK17</f>
        <v>1048799569.6914824</v>
      </c>
      <c r="P58" s="291">
        <f>COMB_CORR!$M18*CORR!$BK17</f>
        <v>1048799569.6914824</v>
      </c>
      <c r="Q58" s="291">
        <f>COMB_CORR!$M18*CORR!$BK17</f>
        <v>1048799569.6914824</v>
      </c>
      <c r="R58" s="291">
        <f>COMB_CORR!R18</f>
        <v>66057329.999999985</v>
      </c>
    </row>
    <row r="59" spans="1:18">
      <c r="A59" s="127" t="s">
        <v>27</v>
      </c>
      <c r="B59" s="291">
        <f>COMB_CORR!$C19</f>
        <v>345390950</v>
      </c>
      <c r="C59" s="291">
        <f>COMB_CORR!$C19</f>
        <v>345390950</v>
      </c>
      <c r="D59" s="291">
        <f>COMB_CORR!$C19</f>
        <v>345390950</v>
      </c>
      <c r="E59" s="291">
        <f>COMB_CORR!$C19</f>
        <v>345390950</v>
      </c>
      <c r="F59" s="291">
        <f>COMB_CORR!$C19</f>
        <v>345390950</v>
      </c>
      <c r="G59" s="291">
        <f>COMB_CORR!$C19</f>
        <v>345390950</v>
      </c>
      <c r="H59" s="291">
        <f>COMB_CORR!$H19</f>
        <v>20661387.115413859</v>
      </c>
      <c r="I59" s="291">
        <f>COMB_CORR!$H19</f>
        <v>20661387.115413859</v>
      </c>
      <c r="J59" s="291">
        <f>COMB_CORR!$M19*CORR!$BK18</f>
        <v>362466123.46031338</v>
      </c>
      <c r="K59" s="291">
        <f>COMB_CORR!$M19*CORR!$BK18</f>
        <v>362466123.46031338</v>
      </c>
      <c r="L59" s="291">
        <f>COMB_CORR!$M19*CORR!$BK18</f>
        <v>362466123.46031338</v>
      </c>
      <c r="M59" s="291">
        <f>COMB_CORR!$M19*CORR!$BK18</f>
        <v>362466123.46031338</v>
      </c>
      <c r="N59" s="291">
        <f>COMB_CORR!$M19*CORR!$BK18</f>
        <v>362466123.46031338</v>
      </c>
      <c r="O59" s="291">
        <f>COMB_CORR!$M19*CORR!$BK18</f>
        <v>362466123.46031338</v>
      </c>
      <c r="P59" s="291">
        <f>COMB_CORR!$M19*CORR!$BK18</f>
        <v>362466123.46031338</v>
      </c>
      <c r="Q59" s="291">
        <f>COMB_CORR!$M19*CORR!$BK18</f>
        <v>362466123.46031338</v>
      </c>
      <c r="R59" s="291">
        <f>COMB_CORR!R19</f>
        <v>0</v>
      </c>
    </row>
    <row r="60" spans="1:18" ht="25.5">
      <c r="A60" s="127" t="s">
        <v>28</v>
      </c>
      <c r="B60" s="291">
        <f>COMB_CORR!$C20</f>
        <v>403549728</v>
      </c>
      <c r="C60" s="291">
        <f>COMB_CORR!$C20</f>
        <v>403549728</v>
      </c>
      <c r="D60" s="291">
        <f>COMB_CORR!$C20</f>
        <v>403549728</v>
      </c>
      <c r="E60" s="291">
        <f>COMB_CORR!$C20</f>
        <v>403549728</v>
      </c>
      <c r="F60" s="291">
        <f>COMB_CORR!$C20</f>
        <v>403549728</v>
      </c>
      <c r="G60" s="291">
        <f>COMB_CORR!$C20</f>
        <v>403549728</v>
      </c>
      <c r="H60" s="291">
        <f>COMB_CORR!$H20</f>
        <v>84951628.672499388</v>
      </c>
      <c r="I60" s="291">
        <f>COMB_CORR!$H20</f>
        <v>84951628.672499388</v>
      </c>
      <c r="J60" s="291">
        <f>COMB_CORR!$M20*CORR!$BK19</f>
        <v>353178817.57147986</v>
      </c>
      <c r="K60" s="291">
        <f>COMB_CORR!$M20*CORR!$BK19</f>
        <v>353178817.57147986</v>
      </c>
      <c r="L60" s="291">
        <f>COMB_CORR!$M20*CORR!$BK19</f>
        <v>353178817.57147986</v>
      </c>
      <c r="M60" s="291">
        <f>COMB_CORR!$M20*CORR!$BK19</f>
        <v>353178817.57147986</v>
      </c>
      <c r="N60" s="291">
        <f>COMB_CORR!$M20*CORR!$BK19</f>
        <v>353178817.57147986</v>
      </c>
      <c r="O60" s="291">
        <f>COMB_CORR!$M20*CORR!$BK19</f>
        <v>353178817.57147986</v>
      </c>
      <c r="P60" s="291">
        <f>COMB_CORR!$M20*CORR!$BK19</f>
        <v>353178817.57147986</v>
      </c>
      <c r="Q60" s="291">
        <f>COMB_CORR!$M20*CORR!$BK19</f>
        <v>353178817.57147986</v>
      </c>
      <c r="R60" s="291">
        <f>COMB_CORR!R20</f>
        <v>65665410</v>
      </c>
    </row>
    <row r="61" spans="1:18" ht="15.75" thickBot="1">
      <c r="A61" s="128" t="s">
        <v>29</v>
      </c>
      <c r="B61" s="291">
        <f>COMB_CORR!$C21</f>
        <v>259063290</v>
      </c>
      <c r="C61" s="291">
        <f>COMB_CORR!$C21</f>
        <v>259063290</v>
      </c>
      <c r="D61" s="291">
        <f>COMB_CORR!$C21</f>
        <v>259063290</v>
      </c>
      <c r="E61" s="291">
        <f>COMB_CORR!$C21</f>
        <v>259063290</v>
      </c>
      <c r="F61" s="291">
        <f>COMB_CORR!$C21</f>
        <v>259063290</v>
      </c>
      <c r="G61" s="291">
        <f>COMB_CORR!$C21</f>
        <v>259063290</v>
      </c>
      <c r="H61" s="291">
        <f>COMB_CORR!$H21</f>
        <v>42101607.161222458</v>
      </c>
      <c r="I61" s="291">
        <f>COMB_CORR!$H21</f>
        <v>42101607.161222458</v>
      </c>
      <c r="J61" s="291">
        <f>COMB_CORR!$M21*CORR!$BK20</f>
        <v>281589838.86219031</v>
      </c>
      <c r="K61" s="291">
        <f>COMB_CORR!$M21*CORR!$BK20</f>
        <v>281589838.86219031</v>
      </c>
      <c r="L61" s="291">
        <f>COMB_CORR!$M21*CORR!$BK20</f>
        <v>281589838.86219031</v>
      </c>
      <c r="M61" s="291">
        <f>COMB_CORR!$M21*CORR!$BK20</f>
        <v>281589838.86219031</v>
      </c>
      <c r="N61" s="291">
        <f>COMB_CORR!$M21*CORR!$BK20</f>
        <v>281589838.86219031</v>
      </c>
      <c r="O61" s="291">
        <f>COMB_CORR!$M21*CORR!$BK20</f>
        <v>281589838.86219031</v>
      </c>
      <c r="P61" s="291">
        <f>COMB_CORR!$M21*CORR!$BK20</f>
        <v>281589838.86219031</v>
      </c>
      <c r="Q61" s="291">
        <f>COMB_CORR!$M21*CORR!$BK20</f>
        <v>281589838.86219031</v>
      </c>
      <c r="R61" s="291">
        <f>COMB_CORR!R21</f>
        <v>35007750</v>
      </c>
    </row>
    <row r="62" spans="1:18">
      <c r="A62" s="269" t="s">
        <v>64</v>
      </c>
      <c r="B62" s="291">
        <f>SUM(B63:B66)</f>
        <v>13619626480</v>
      </c>
      <c r="C62" s="291">
        <f t="shared" ref="C62" si="69">SUM(C63:C66)</f>
        <v>13619626480</v>
      </c>
      <c r="D62" s="291">
        <f t="shared" ref="D62" si="70">SUM(D63:D66)</f>
        <v>13619626480</v>
      </c>
      <c r="E62" s="291">
        <f t="shared" ref="E62" si="71">SUM(E63:E66)</f>
        <v>13619626480</v>
      </c>
      <c r="F62" s="291">
        <f t="shared" ref="F62" si="72">SUM(F63:F66)</f>
        <v>13619626480</v>
      </c>
      <c r="G62" s="291">
        <f t="shared" ref="G62" si="73">SUM(G63:G66)</f>
        <v>13619626480</v>
      </c>
      <c r="H62" s="291">
        <f t="shared" ref="H62" si="74">SUM(H63:H66)</f>
        <v>10780075366.18261</v>
      </c>
      <c r="I62" s="291">
        <f t="shared" ref="I62" si="75">SUM(I63:I66)</f>
        <v>10780075366.18261</v>
      </c>
      <c r="J62" s="291">
        <f t="shared" ref="J62" si="76">SUM(J63:J66)</f>
        <v>17700120051.415997</v>
      </c>
      <c r="K62" s="291">
        <f t="shared" ref="K62" si="77">SUM(K63:K66)</f>
        <v>17700120051.415997</v>
      </c>
      <c r="L62" s="291">
        <f t="shared" ref="L62" si="78">SUM(L63:L66)</f>
        <v>17700120051.415997</v>
      </c>
      <c r="M62" s="291">
        <f t="shared" ref="M62" si="79">SUM(M63:M66)</f>
        <v>17700120051.415997</v>
      </c>
      <c r="N62" s="291">
        <f t="shared" ref="N62" si="80">SUM(N63:N66)</f>
        <v>17700120051.415997</v>
      </c>
      <c r="O62" s="291">
        <f t="shared" ref="O62" si="81">SUM(O63:O66)</f>
        <v>17700120051.415997</v>
      </c>
      <c r="P62" s="291">
        <f t="shared" ref="P62" si="82">SUM(P63:P66)</f>
        <v>17700120051.415997</v>
      </c>
      <c r="Q62" s="291">
        <f t="shared" ref="Q62" si="83">SUM(Q63:Q66)</f>
        <v>17700120051.415997</v>
      </c>
      <c r="R62" s="291">
        <f t="shared" ref="R62" si="84">SUM(R63:R66)</f>
        <v>1373251550</v>
      </c>
    </row>
    <row r="63" spans="1:18">
      <c r="A63" s="127" t="s">
        <v>31</v>
      </c>
      <c r="B63" s="291">
        <f>COMB_CORR!$C23</f>
        <v>638223617</v>
      </c>
      <c r="C63" s="291">
        <f>COMB_CORR!$C23</f>
        <v>638223617</v>
      </c>
      <c r="D63" s="291">
        <f>COMB_CORR!$C23</f>
        <v>638223617</v>
      </c>
      <c r="E63" s="291">
        <f>COMB_CORR!$C23</f>
        <v>638223617</v>
      </c>
      <c r="F63" s="291">
        <f>COMB_CORR!$C23</f>
        <v>638223617</v>
      </c>
      <c r="G63" s="291">
        <f>COMB_CORR!$C23</f>
        <v>638223617</v>
      </c>
      <c r="H63" s="291">
        <f>COMB_CORR!$H23</f>
        <v>92038181.478530332</v>
      </c>
      <c r="I63" s="291">
        <f>COMB_CORR!$H23</f>
        <v>92038181.478530332</v>
      </c>
      <c r="J63" s="291">
        <f>COMB_CORR!$M23*CORR!$BK22</f>
        <v>737475436.99810874</v>
      </c>
      <c r="K63" s="291">
        <f>COMB_CORR!$M23*CORR!$BK22</f>
        <v>737475436.99810874</v>
      </c>
      <c r="L63" s="291">
        <f>COMB_CORR!$M23*CORR!$BK22</f>
        <v>737475436.99810874</v>
      </c>
      <c r="M63" s="291">
        <f>COMB_CORR!$M23*CORR!$BK22</f>
        <v>737475436.99810874</v>
      </c>
      <c r="N63" s="291">
        <f>COMB_CORR!$M23*CORR!$BK22</f>
        <v>737475436.99810874</v>
      </c>
      <c r="O63" s="291">
        <f>COMB_CORR!$M23*CORR!$BK22</f>
        <v>737475436.99810874</v>
      </c>
      <c r="P63" s="291">
        <f>COMB_CORR!$M23*CORR!$BK22</f>
        <v>737475436.99810874</v>
      </c>
      <c r="Q63" s="291">
        <f>COMB_CORR!$M23*CORR!$BK22</f>
        <v>737475436.99810874</v>
      </c>
      <c r="R63" s="291">
        <f>COMB_CORR!R23</f>
        <v>34023090</v>
      </c>
    </row>
    <row r="64" spans="1:18">
      <c r="A64" s="127" t="s">
        <v>32</v>
      </c>
      <c r="B64" s="291">
        <f>COMB_CORR!$C24</f>
        <v>3677903756</v>
      </c>
      <c r="C64" s="291">
        <f>COMB_CORR!$C24</f>
        <v>3677903756</v>
      </c>
      <c r="D64" s="291">
        <f>COMB_CORR!$C24</f>
        <v>3677903756</v>
      </c>
      <c r="E64" s="291">
        <f>COMB_CORR!$C24</f>
        <v>3677903756</v>
      </c>
      <c r="F64" s="291">
        <f>COMB_CORR!$C24</f>
        <v>3677903756</v>
      </c>
      <c r="G64" s="291">
        <f>COMB_CORR!$C24</f>
        <v>3677903756</v>
      </c>
      <c r="H64" s="291">
        <f>COMB_CORR!$H24</f>
        <v>899528921.99384964</v>
      </c>
      <c r="I64" s="291">
        <f>COMB_CORR!$H24</f>
        <v>899528921.99384964</v>
      </c>
      <c r="J64" s="291">
        <f>COMB_CORR!$M24*CORR!$BK23</f>
        <v>5332963919.4904785</v>
      </c>
      <c r="K64" s="291">
        <f>COMB_CORR!$M24*CORR!$BK23</f>
        <v>5332963919.4904785</v>
      </c>
      <c r="L64" s="291">
        <f>COMB_CORR!$M24*CORR!$BK23</f>
        <v>5332963919.4904785</v>
      </c>
      <c r="M64" s="291">
        <f>COMB_CORR!$M24*CORR!$BK23</f>
        <v>5332963919.4904785</v>
      </c>
      <c r="N64" s="291">
        <f>COMB_CORR!$M24*CORR!$BK23</f>
        <v>5332963919.4904785</v>
      </c>
      <c r="O64" s="291">
        <f>COMB_CORR!$M24*CORR!$BK23</f>
        <v>5332963919.4904785</v>
      </c>
      <c r="P64" s="291">
        <f>COMB_CORR!$M24*CORR!$BK23</f>
        <v>5332963919.4904785</v>
      </c>
      <c r="Q64" s="291">
        <f>COMB_CORR!$M24*CORR!$BK23</f>
        <v>5332963919.4904785</v>
      </c>
      <c r="R64" s="291">
        <f>COMB_CORR!R24</f>
        <v>44146939.999999985</v>
      </c>
    </row>
    <row r="65" spans="1:18">
      <c r="A65" s="127" t="s">
        <v>33</v>
      </c>
      <c r="B65" s="291">
        <f>COMB_CORR!$C25</f>
        <v>1867262452</v>
      </c>
      <c r="C65" s="291">
        <f>COMB_CORR!$C25</f>
        <v>1867262452</v>
      </c>
      <c r="D65" s="291">
        <f>COMB_CORR!$C25</f>
        <v>1867262452</v>
      </c>
      <c r="E65" s="291">
        <f>COMB_CORR!$C25</f>
        <v>1867262452</v>
      </c>
      <c r="F65" s="291">
        <f>COMB_CORR!$C25</f>
        <v>1867262452</v>
      </c>
      <c r="G65" s="291">
        <f>COMB_CORR!$C25</f>
        <v>1867262452</v>
      </c>
      <c r="H65" s="291">
        <f>COMB_CORR!$H25</f>
        <v>801111138.29650521</v>
      </c>
      <c r="I65" s="291">
        <f>COMB_CORR!$H25</f>
        <v>801111138.29650521</v>
      </c>
      <c r="J65" s="291">
        <f>COMB_CORR!$M25*CORR!$BK24</f>
        <v>2372329039.8256416</v>
      </c>
      <c r="K65" s="291">
        <f>COMB_CORR!$M25*CORR!$BK24</f>
        <v>2372329039.8256416</v>
      </c>
      <c r="L65" s="291">
        <f>COMB_CORR!$M25*CORR!$BK24</f>
        <v>2372329039.8256416</v>
      </c>
      <c r="M65" s="291">
        <f>COMB_CORR!$M25*CORR!$BK24</f>
        <v>2372329039.8256416</v>
      </c>
      <c r="N65" s="291">
        <f>COMB_CORR!$M25*CORR!$BK24</f>
        <v>2372329039.8256416</v>
      </c>
      <c r="O65" s="291">
        <f>COMB_CORR!$M25*CORR!$BK24</f>
        <v>2372329039.8256416</v>
      </c>
      <c r="P65" s="291">
        <f>COMB_CORR!$M25*CORR!$BK24</f>
        <v>2372329039.8256416</v>
      </c>
      <c r="Q65" s="291">
        <f>COMB_CORR!$M25*CORR!$BK24</f>
        <v>2372329039.8256416</v>
      </c>
      <c r="R65" s="291">
        <f>COMB_CORR!R25</f>
        <v>952872249.99999988</v>
      </c>
    </row>
    <row r="66" spans="1:18" ht="15.75" thickBot="1">
      <c r="A66" s="128" t="s">
        <v>34</v>
      </c>
      <c r="B66" s="291">
        <f>COMB_CORR!$C26</f>
        <v>7436236655</v>
      </c>
      <c r="C66" s="291">
        <f>COMB_CORR!$C26</f>
        <v>7436236655</v>
      </c>
      <c r="D66" s="291">
        <f>COMB_CORR!$C26</f>
        <v>7436236655</v>
      </c>
      <c r="E66" s="291">
        <f>COMB_CORR!$C26</f>
        <v>7436236655</v>
      </c>
      <c r="F66" s="291">
        <f>COMB_CORR!$C26</f>
        <v>7436236655</v>
      </c>
      <c r="G66" s="291">
        <f>COMB_CORR!$C26</f>
        <v>7436236655</v>
      </c>
      <c r="H66" s="291">
        <f>COMB_CORR!$H26</f>
        <v>8987397124.4137249</v>
      </c>
      <c r="I66" s="291">
        <f>COMB_CORR!$H26</f>
        <v>8987397124.4137249</v>
      </c>
      <c r="J66" s="291">
        <f>COMB_CORR!$M26*CORR!$BK25</f>
        <v>9257351655.1017666</v>
      </c>
      <c r="K66" s="291">
        <f>COMB_CORR!$M26*CORR!$BK25</f>
        <v>9257351655.1017666</v>
      </c>
      <c r="L66" s="291">
        <f>COMB_CORR!$M26*CORR!$BK25</f>
        <v>9257351655.1017666</v>
      </c>
      <c r="M66" s="291">
        <f>COMB_CORR!$M26*CORR!$BK25</f>
        <v>9257351655.1017666</v>
      </c>
      <c r="N66" s="291">
        <f>COMB_CORR!$M26*CORR!$BK25</f>
        <v>9257351655.1017666</v>
      </c>
      <c r="O66" s="291">
        <f>COMB_CORR!$M26*CORR!$BK25</f>
        <v>9257351655.1017666</v>
      </c>
      <c r="P66" s="291">
        <f>COMB_CORR!$M26*CORR!$BK25</f>
        <v>9257351655.1017666</v>
      </c>
      <c r="Q66" s="291">
        <f>COMB_CORR!$M26*CORR!$BK25</f>
        <v>9257351655.1017666</v>
      </c>
      <c r="R66" s="291">
        <f>COMB_CORR!R26</f>
        <v>342209270</v>
      </c>
    </row>
    <row r="67" spans="1:18">
      <c r="A67" s="269" t="s">
        <v>69</v>
      </c>
      <c r="B67" s="291">
        <f>SUM(B68:B70)</f>
        <v>6255753424</v>
      </c>
      <c r="C67" s="291">
        <f t="shared" ref="C67" si="85">SUM(C68:C70)</f>
        <v>6255753424</v>
      </c>
      <c r="D67" s="291">
        <f t="shared" ref="D67" si="86">SUM(D68:D70)</f>
        <v>6255753424</v>
      </c>
      <c r="E67" s="291">
        <f t="shared" ref="E67" si="87">SUM(E68:E70)</f>
        <v>6255753424</v>
      </c>
      <c r="F67" s="291">
        <f t="shared" ref="F67" si="88">SUM(F68:F70)</f>
        <v>6255753424</v>
      </c>
      <c r="G67" s="291">
        <f t="shared" ref="G67" si="89">SUM(G68:G70)</f>
        <v>6255753424</v>
      </c>
      <c r="H67" s="291">
        <f t="shared" ref="H67" si="90">SUM(H68:H70)</f>
        <v>2016025035.1107945</v>
      </c>
      <c r="I67" s="291">
        <f t="shared" ref="I67" si="91">SUM(I68:I70)</f>
        <v>2016025035.1107945</v>
      </c>
      <c r="J67" s="291">
        <f t="shared" ref="J67" si="92">SUM(J68:J70)</f>
        <v>7566670170.5451355</v>
      </c>
      <c r="K67" s="291">
        <f t="shared" ref="K67" si="93">SUM(K68:K70)</f>
        <v>7566670170.5451355</v>
      </c>
      <c r="L67" s="291">
        <f t="shared" ref="L67" si="94">SUM(L68:L70)</f>
        <v>7566670170.5451355</v>
      </c>
      <c r="M67" s="291">
        <f t="shared" ref="M67" si="95">SUM(M68:M70)</f>
        <v>7566670170.5451355</v>
      </c>
      <c r="N67" s="291">
        <f t="shared" ref="N67" si="96">SUM(N68:N70)</f>
        <v>7566670170.5451355</v>
      </c>
      <c r="O67" s="291">
        <f t="shared" ref="O67" si="97">SUM(O68:O70)</f>
        <v>7566670170.5451355</v>
      </c>
      <c r="P67" s="291">
        <f t="shared" ref="P67" si="98">SUM(P68:P70)</f>
        <v>7566670170.5451355</v>
      </c>
      <c r="Q67" s="291">
        <f t="shared" ref="Q67" si="99">SUM(Q68:Q70)</f>
        <v>7566670170.5451355</v>
      </c>
      <c r="R67" s="291">
        <f t="shared" ref="R67" si="100">SUM(R68:R70)</f>
        <v>241353430</v>
      </c>
    </row>
    <row r="68" spans="1:18">
      <c r="A68" s="127" t="s">
        <v>36</v>
      </c>
      <c r="B68" s="291">
        <f>COMB_CORR!$C28</f>
        <v>1885665168</v>
      </c>
      <c r="C68" s="291">
        <f>COMB_CORR!$C28</f>
        <v>1885665168</v>
      </c>
      <c r="D68" s="291">
        <f>COMB_CORR!$C28</f>
        <v>1885665168</v>
      </c>
      <c r="E68" s="291">
        <f>COMB_CORR!$C28</f>
        <v>1885665168</v>
      </c>
      <c r="F68" s="291">
        <f>COMB_CORR!$C28</f>
        <v>1885665168</v>
      </c>
      <c r="G68" s="291">
        <f>COMB_CORR!$C28</f>
        <v>1885665168</v>
      </c>
      <c r="H68" s="291">
        <f>COMB_CORR!$H28</f>
        <v>1445624267.8008785</v>
      </c>
      <c r="I68" s="291">
        <f>COMB_CORR!$H28</f>
        <v>1445624267.8008785</v>
      </c>
      <c r="J68" s="291">
        <f>COMB_CORR!$M28*CORR!$BK27</f>
        <v>3097158541.8831949</v>
      </c>
      <c r="K68" s="291">
        <f>COMB_CORR!$M28*CORR!$BK27</f>
        <v>3097158541.8831949</v>
      </c>
      <c r="L68" s="291">
        <f>COMB_CORR!$M28*CORR!$BK27</f>
        <v>3097158541.8831949</v>
      </c>
      <c r="M68" s="291">
        <f>COMB_CORR!$M28*CORR!$BK27</f>
        <v>3097158541.8831949</v>
      </c>
      <c r="N68" s="291">
        <f>COMB_CORR!$M28*CORR!$BK27</f>
        <v>3097158541.8831949</v>
      </c>
      <c r="O68" s="291">
        <f>COMB_CORR!$M28*CORR!$BK27</f>
        <v>3097158541.8831949</v>
      </c>
      <c r="P68" s="291">
        <f>COMB_CORR!$M28*CORR!$BK27</f>
        <v>3097158541.8831949</v>
      </c>
      <c r="Q68" s="291">
        <f>COMB_CORR!$M28*CORR!$BK27</f>
        <v>3097158541.8831949</v>
      </c>
      <c r="R68" s="291">
        <f>COMB_CORR!R28</f>
        <v>29985059.999999996</v>
      </c>
    </row>
    <row r="69" spans="1:18">
      <c r="A69" s="127" t="s">
        <v>37</v>
      </c>
      <c r="B69" s="291">
        <f>COMB_CORR!$C29</f>
        <v>2582903536</v>
      </c>
      <c r="C69" s="291">
        <f>COMB_CORR!$C29</f>
        <v>2582903536</v>
      </c>
      <c r="D69" s="291">
        <f>COMB_CORR!$C29</f>
        <v>2582903536</v>
      </c>
      <c r="E69" s="291">
        <f>COMB_CORR!$C29</f>
        <v>2582903536</v>
      </c>
      <c r="F69" s="291">
        <f>COMB_CORR!$C29</f>
        <v>2582903536</v>
      </c>
      <c r="G69" s="291">
        <f>COMB_CORR!$C29</f>
        <v>2582903536</v>
      </c>
      <c r="H69" s="291">
        <f>COMB_CORR!$H29</f>
        <v>258530860.09570149</v>
      </c>
      <c r="I69" s="291">
        <f>COMB_CORR!$H29</f>
        <v>258530860.09570149</v>
      </c>
      <c r="J69" s="291">
        <f>COMB_CORR!$M29*CORR!$BK28</f>
        <v>2741248278.1821737</v>
      </c>
      <c r="K69" s="291">
        <f>COMB_CORR!$M29*CORR!$BK28</f>
        <v>2741248278.1821737</v>
      </c>
      <c r="L69" s="291">
        <f>COMB_CORR!$M29*CORR!$BK28</f>
        <v>2741248278.1821737</v>
      </c>
      <c r="M69" s="291">
        <f>COMB_CORR!$M29*CORR!$BK28</f>
        <v>2741248278.1821737</v>
      </c>
      <c r="N69" s="291">
        <f>COMB_CORR!$M29*CORR!$BK28</f>
        <v>2741248278.1821737</v>
      </c>
      <c r="O69" s="291">
        <f>COMB_CORR!$M29*CORR!$BK28</f>
        <v>2741248278.1821737</v>
      </c>
      <c r="P69" s="291">
        <f>COMB_CORR!$M29*CORR!$BK28</f>
        <v>2741248278.1821737</v>
      </c>
      <c r="Q69" s="291">
        <f>COMB_CORR!$M29*CORR!$BK28</f>
        <v>2741248278.1821737</v>
      </c>
      <c r="R69" s="291">
        <f>COMB_CORR!R29</f>
        <v>79879590</v>
      </c>
    </row>
    <row r="70" spans="1:18" ht="15.75" thickBot="1">
      <c r="A70" s="128" t="s">
        <v>38</v>
      </c>
      <c r="B70" s="291">
        <f>COMB_CORR!$C30</f>
        <v>1787184720</v>
      </c>
      <c r="C70" s="291">
        <f>COMB_CORR!$C30</f>
        <v>1787184720</v>
      </c>
      <c r="D70" s="291">
        <f>COMB_CORR!$C30</f>
        <v>1787184720</v>
      </c>
      <c r="E70" s="291">
        <f>COMB_CORR!$C30</f>
        <v>1787184720</v>
      </c>
      <c r="F70" s="291">
        <f>COMB_CORR!$C30</f>
        <v>1787184720</v>
      </c>
      <c r="G70" s="291">
        <f>COMB_CORR!$C30</f>
        <v>1787184720</v>
      </c>
      <c r="H70" s="291">
        <f>COMB_CORR!$H30</f>
        <v>311869907.21421444</v>
      </c>
      <c r="I70" s="291">
        <f>COMB_CORR!$H30</f>
        <v>311869907.21421444</v>
      </c>
      <c r="J70" s="291">
        <f>COMB_CORR!$M30*CORR!$BK29</f>
        <v>1728263350.4797668</v>
      </c>
      <c r="K70" s="291">
        <f>COMB_CORR!$M30*CORR!$BK29</f>
        <v>1728263350.4797668</v>
      </c>
      <c r="L70" s="291">
        <f>COMB_CORR!$M30*CORR!$BK29</f>
        <v>1728263350.4797668</v>
      </c>
      <c r="M70" s="291">
        <f>COMB_CORR!$M30*CORR!$BK29</f>
        <v>1728263350.4797668</v>
      </c>
      <c r="N70" s="291">
        <f>COMB_CORR!$M30*CORR!$BK29</f>
        <v>1728263350.4797668</v>
      </c>
      <c r="O70" s="291">
        <f>COMB_CORR!$M30*CORR!$BK29</f>
        <v>1728263350.4797668</v>
      </c>
      <c r="P70" s="291">
        <f>COMB_CORR!$M30*CORR!$BK29</f>
        <v>1728263350.4797668</v>
      </c>
      <c r="Q70" s="291">
        <f>COMB_CORR!$M30*CORR!$BK29</f>
        <v>1728263350.4797668</v>
      </c>
      <c r="R70" s="291">
        <f>COMB_CORR!R30</f>
        <v>131488780</v>
      </c>
    </row>
    <row r="71" spans="1:18" ht="25.5">
      <c r="A71" s="274" t="s">
        <v>73</v>
      </c>
      <c r="B71" s="291">
        <f>SUM(B72:B75)</f>
        <v>2828152088</v>
      </c>
      <c r="C71" s="291">
        <f t="shared" ref="C71" si="101">SUM(C72:C75)</f>
        <v>2828152088</v>
      </c>
      <c r="D71" s="291">
        <f t="shared" ref="D71" si="102">SUM(D72:D75)</f>
        <v>2828152088</v>
      </c>
      <c r="E71" s="291">
        <f t="shared" ref="E71" si="103">SUM(E72:E75)</f>
        <v>2828152088</v>
      </c>
      <c r="F71" s="291">
        <f t="shared" ref="F71" si="104">SUM(F72:F75)</f>
        <v>2828152088</v>
      </c>
      <c r="G71" s="291">
        <f t="shared" ref="G71" si="105">SUM(G72:G75)</f>
        <v>2828152088</v>
      </c>
      <c r="H71" s="291">
        <f t="shared" ref="H71" si="106">SUM(H72:H75)</f>
        <v>1684730676.6920037</v>
      </c>
      <c r="I71" s="291">
        <f t="shared" ref="I71" si="107">SUM(I72:I75)</f>
        <v>1684730676.6920037</v>
      </c>
      <c r="J71" s="291">
        <f t="shared" ref="J71" si="108">SUM(J72:J75)</f>
        <v>4314624257.6018763</v>
      </c>
      <c r="K71" s="291">
        <f t="shared" ref="K71" si="109">SUM(K72:K75)</f>
        <v>4314624257.6018763</v>
      </c>
      <c r="L71" s="291">
        <f t="shared" ref="L71" si="110">SUM(L72:L75)</f>
        <v>4314624257.6018763</v>
      </c>
      <c r="M71" s="291">
        <f t="shared" ref="M71" si="111">SUM(M72:M75)</f>
        <v>4314624257.6018763</v>
      </c>
      <c r="N71" s="291">
        <f t="shared" ref="N71" si="112">SUM(N72:N75)</f>
        <v>4314624257.6018763</v>
      </c>
      <c r="O71" s="291">
        <f t="shared" ref="O71" si="113">SUM(O72:O75)</f>
        <v>4314624257.6018763</v>
      </c>
      <c r="P71" s="291">
        <f t="shared" ref="P71" si="114">SUM(P72:P75)</f>
        <v>4314624257.6018763</v>
      </c>
      <c r="Q71" s="291">
        <f t="shared" ref="Q71" si="115">SUM(Q72:Q75)</f>
        <v>4314624257.6018763</v>
      </c>
      <c r="R71" s="291">
        <f t="shared" ref="R71" si="116">SUM(R72:R75)</f>
        <v>15256630</v>
      </c>
    </row>
    <row r="72" spans="1:18">
      <c r="A72" s="127" t="s">
        <v>40</v>
      </c>
      <c r="B72" s="291">
        <f>COMB_CORR!$C32</f>
        <v>899566911</v>
      </c>
      <c r="C72" s="291">
        <f>COMB_CORR!$C32</f>
        <v>899566911</v>
      </c>
      <c r="D72" s="291">
        <f>COMB_CORR!$C32</f>
        <v>899566911</v>
      </c>
      <c r="E72" s="291">
        <f>COMB_CORR!$C32</f>
        <v>899566911</v>
      </c>
      <c r="F72" s="291">
        <f>COMB_CORR!$C32</f>
        <v>899566911</v>
      </c>
      <c r="G72" s="291">
        <f>COMB_CORR!$C32</f>
        <v>899566911</v>
      </c>
      <c r="H72" s="291">
        <f>COMB_CORR!$H32</f>
        <v>143955576.09771353</v>
      </c>
      <c r="I72" s="291">
        <f>COMB_CORR!$H32</f>
        <v>143955576.09771353</v>
      </c>
      <c r="J72" s="291">
        <f>COMB_CORR!$M32*CORR!$BK31</f>
        <v>515980476.26213098</v>
      </c>
      <c r="K72" s="291">
        <f>COMB_CORR!$M32*CORR!$BK31</f>
        <v>515980476.26213098</v>
      </c>
      <c r="L72" s="291">
        <f>COMB_CORR!$M32*CORR!$BK31</f>
        <v>515980476.26213098</v>
      </c>
      <c r="M72" s="291">
        <f>COMB_CORR!$M32*CORR!$BK31</f>
        <v>515980476.26213098</v>
      </c>
      <c r="N72" s="291">
        <f>COMB_CORR!$M32*CORR!$BK31</f>
        <v>515980476.26213098</v>
      </c>
      <c r="O72" s="291">
        <f>COMB_CORR!$M32*CORR!$BK31</f>
        <v>515980476.26213098</v>
      </c>
      <c r="P72" s="291">
        <f>COMB_CORR!$M32*CORR!$BK31</f>
        <v>515980476.26213098</v>
      </c>
      <c r="Q72" s="291">
        <f>COMB_CORR!$M32*CORR!$BK31</f>
        <v>515980476.26213098</v>
      </c>
      <c r="R72" s="291">
        <f>COMB_CORR!R32</f>
        <v>3810200.0000000005</v>
      </c>
    </row>
    <row r="73" spans="1:18">
      <c r="A73" s="127" t="s">
        <v>41</v>
      </c>
      <c r="B73" s="291">
        <f>COMB_CORR!$C33</f>
        <v>1083507324</v>
      </c>
      <c r="C73" s="291">
        <f>COMB_CORR!$C33</f>
        <v>1083507324</v>
      </c>
      <c r="D73" s="291">
        <f>COMB_CORR!$C33</f>
        <v>1083507324</v>
      </c>
      <c r="E73" s="291">
        <f>COMB_CORR!$C33</f>
        <v>1083507324</v>
      </c>
      <c r="F73" s="291">
        <f>COMB_CORR!$C33</f>
        <v>1083507324</v>
      </c>
      <c r="G73" s="291">
        <f>COMB_CORR!$C33</f>
        <v>1083507324</v>
      </c>
      <c r="H73" s="291">
        <f>COMB_CORR!$H33</f>
        <v>913390652.47744441</v>
      </c>
      <c r="I73" s="291">
        <f>COMB_CORR!$H33</f>
        <v>913390652.47744441</v>
      </c>
      <c r="J73" s="291">
        <f>COMB_CORR!$M33*CORR!$BK32</f>
        <v>1630506181.6156757</v>
      </c>
      <c r="K73" s="291">
        <f>COMB_CORR!$M33*CORR!$BK32</f>
        <v>1630506181.6156757</v>
      </c>
      <c r="L73" s="291">
        <f>COMB_CORR!$M33*CORR!$BK32</f>
        <v>1630506181.6156757</v>
      </c>
      <c r="M73" s="291">
        <f>COMB_CORR!$M33*CORR!$BK32</f>
        <v>1630506181.6156757</v>
      </c>
      <c r="N73" s="291">
        <f>COMB_CORR!$M33*CORR!$BK32</f>
        <v>1630506181.6156757</v>
      </c>
      <c r="O73" s="291">
        <f>COMB_CORR!$M33*CORR!$BK32</f>
        <v>1630506181.6156757</v>
      </c>
      <c r="P73" s="291">
        <f>COMB_CORR!$M33*CORR!$BK32</f>
        <v>1630506181.6156757</v>
      </c>
      <c r="Q73" s="291">
        <f>COMB_CORR!$M33*CORR!$BK32</f>
        <v>1630506181.6156757</v>
      </c>
      <c r="R73" s="291">
        <f>COMB_CORR!R33</f>
        <v>1053330.0000000002</v>
      </c>
    </row>
    <row r="74" spans="1:18">
      <c r="A74" s="127" t="s">
        <v>42</v>
      </c>
      <c r="B74" s="291">
        <f>COMB_CORR!$C34</f>
        <v>393806617</v>
      </c>
      <c r="C74" s="291">
        <f>COMB_CORR!$C34</f>
        <v>393806617</v>
      </c>
      <c r="D74" s="291">
        <f>COMB_CORR!$C34</f>
        <v>393806617</v>
      </c>
      <c r="E74" s="291">
        <f>COMB_CORR!$C34</f>
        <v>393806617</v>
      </c>
      <c r="F74" s="291">
        <f>COMB_CORR!$C34</f>
        <v>393806617</v>
      </c>
      <c r="G74" s="291">
        <f>COMB_CORR!$C34</f>
        <v>393806617</v>
      </c>
      <c r="H74" s="291">
        <f>COMB_CORR!$H34</f>
        <v>446792199.84204596</v>
      </c>
      <c r="I74" s="291">
        <f>COMB_CORR!$H34</f>
        <v>446792199.84204596</v>
      </c>
      <c r="J74" s="291">
        <f>COMB_CORR!$M34*CORR!$BK33</f>
        <v>1294987250.1328378</v>
      </c>
      <c r="K74" s="291">
        <f>COMB_CORR!$M34*CORR!$BK33</f>
        <v>1294987250.1328378</v>
      </c>
      <c r="L74" s="291">
        <f>COMB_CORR!$M34*CORR!$BK33</f>
        <v>1294987250.1328378</v>
      </c>
      <c r="M74" s="291">
        <f>COMB_CORR!$M34*CORR!$BK33</f>
        <v>1294987250.1328378</v>
      </c>
      <c r="N74" s="291">
        <f>COMB_CORR!$M34*CORR!$BK33</f>
        <v>1294987250.1328378</v>
      </c>
      <c r="O74" s="291">
        <f>COMB_CORR!$M34*CORR!$BK33</f>
        <v>1294987250.1328378</v>
      </c>
      <c r="P74" s="291">
        <f>COMB_CORR!$M34*CORR!$BK33</f>
        <v>1294987250.1328378</v>
      </c>
      <c r="Q74" s="291">
        <f>COMB_CORR!$M34*CORR!$BK33</f>
        <v>1294987250.1328378</v>
      </c>
      <c r="R74" s="291">
        <f>COMB_CORR!R34</f>
        <v>1734500</v>
      </c>
    </row>
    <row r="75" spans="1:18" ht="26.25" thickBot="1">
      <c r="A75" s="128" t="s">
        <v>43</v>
      </c>
      <c r="B75" s="291">
        <f>COMB_CORR!$C35</f>
        <v>451271236</v>
      </c>
      <c r="C75" s="291">
        <f>COMB_CORR!$C35</f>
        <v>451271236</v>
      </c>
      <c r="D75" s="291">
        <f>COMB_CORR!$C35</f>
        <v>451271236</v>
      </c>
      <c r="E75" s="291">
        <f>COMB_CORR!$C35</f>
        <v>451271236</v>
      </c>
      <c r="F75" s="291">
        <f>COMB_CORR!$C35</f>
        <v>451271236</v>
      </c>
      <c r="G75" s="291">
        <f>COMB_CORR!$C35</f>
        <v>451271236</v>
      </c>
      <c r="H75" s="291">
        <f>COMB_CORR!$H35</f>
        <v>180592248.27479991</v>
      </c>
      <c r="I75" s="291">
        <f>COMB_CORR!$H35</f>
        <v>180592248.27479991</v>
      </c>
      <c r="J75" s="291">
        <f>COMB_CORR!$M35*CORR!$BK34</f>
        <v>873150349.59123182</v>
      </c>
      <c r="K75" s="291">
        <f>COMB_CORR!$M35*CORR!$BK34</f>
        <v>873150349.59123182</v>
      </c>
      <c r="L75" s="291">
        <f>COMB_CORR!$M35*CORR!$BK34</f>
        <v>873150349.59123182</v>
      </c>
      <c r="M75" s="291">
        <f>COMB_CORR!$M35*CORR!$BK34</f>
        <v>873150349.59123182</v>
      </c>
      <c r="N75" s="291">
        <f>COMB_CORR!$M35*CORR!$BK34</f>
        <v>873150349.59123182</v>
      </c>
      <c r="O75" s="291">
        <f>COMB_CORR!$M35*CORR!$BK34</f>
        <v>873150349.59123182</v>
      </c>
      <c r="P75" s="291">
        <f>COMB_CORR!$M35*CORR!$BK34</f>
        <v>873150349.59123182</v>
      </c>
      <c r="Q75" s="291">
        <f>COMB_CORR!$M35*CORR!$BK34</f>
        <v>873150349.59123182</v>
      </c>
      <c r="R75" s="291">
        <f>COMB_CORR!R35</f>
        <v>8658599.9999999981</v>
      </c>
    </row>
    <row r="76" spans="1:18" s="1" customFormat="1" ht="15.75" thickBot="1"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</row>
    <row r="77" spans="1:18" ht="15.75" customHeight="1" thickBot="1">
      <c r="A77" s="1051" t="s">
        <v>481</v>
      </c>
      <c r="B77" s="1054">
        <v>2006</v>
      </c>
      <c r="C77" s="1055"/>
      <c r="D77" s="1055"/>
      <c r="E77" s="1055"/>
      <c r="F77" s="1055"/>
      <c r="G77" s="1055"/>
      <c r="H77" s="1055"/>
      <c r="I77" s="1055"/>
      <c r="J77" s="1055"/>
      <c r="K77" s="1055"/>
      <c r="L77" s="1055"/>
      <c r="M77" s="1055"/>
      <c r="N77" s="1055"/>
      <c r="O77" s="1055"/>
      <c r="P77" s="1055"/>
      <c r="Q77" s="1055"/>
      <c r="R77" s="1078"/>
    </row>
    <row r="78" spans="1:18">
      <c r="A78" s="1052"/>
      <c r="B78" s="1060" t="s">
        <v>97</v>
      </c>
      <c r="C78" s="1061"/>
      <c r="D78" s="1061"/>
      <c r="E78" s="1061"/>
      <c r="F78" s="1061"/>
      <c r="G78" s="1061"/>
      <c r="H78" s="1061" t="s">
        <v>98</v>
      </c>
      <c r="I78" s="1061"/>
      <c r="J78" s="1061" t="s">
        <v>99</v>
      </c>
      <c r="K78" s="1061"/>
      <c r="L78" s="1061"/>
      <c r="M78" s="1061"/>
      <c r="N78" s="1061"/>
      <c r="O78" s="1061"/>
      <c r="P78" s="1061"/>
      <c r="Q78" s="1061"/>
      <c r="R78" s="289" t="s">
        <v>100</v>
      </c>
    </row>
    <row r="79" spans="1:18">
      <c r="A79" s="1052"/>
      <c r="B79" s="1062" t="s">
        <v>101</v>
      </c>
      <c r="C79" s="1064" t="s">
        <v>102</v>
      </c>
      <c r="D79" s="1064" t="s">
        <v>103</v>
      </c>
      <c r="E79" s="1064"/>
      <c r="F79" s="1064"/>
      <c r="G79" s="1064"/>
      <c r="H79" s="1062" t="s">
        <v>101</v>
      </c>
      <c r="I79" s="1064" t="s">
        <v>102</v>
      </c>
      <c r="J79" s="1064" t="s">
        <v>104</v>
      </c>
      <c r="K79" s="1064"/>
      <c r="L79" s="1064"/>
      <c r="M79" s="1064" t="s">
        <v>105</v>
      </c>
      <c r="N79" s="1064"/>
      <c r="O79" s="1064"/>
      <c r="P79" s="1062" t="s">
        <v>101</v>
      </c>
      <c r="Q79" s="1064" t="s">
        <v>102</v>
      </c>
      <c r="R79" s="1062" t="s">
        <v>101</v>
      </c>
    </row>
    <row r="80" spans="1:18" ht="15.75" thickBot="1">
      <c r="A80" s="1053"/>
      <c r="B80" s="1063"/>
      <c r="C80" s="1065"/>
      <c r="D80" s="290" t="s">
        <v>106</v>
      </c>
      <c r="E80" s="290" t="s">
        <v>107</v>
      </c>
      <c r="F80" s="290" t="s">
        <v>108</v>
      </c>
      <c r="G80" s="290" t="s">
        <v>109</v>
      </c>
      <c r="H80" s="1063"/>
      <c r="I80" s="1065"/>
      <c r="J80" s="290" t="s">
        <v>110</v>
      </c>
      <c r="K80" s="290" t="s">
        <v>111</v>
      </c>
      <c r="L80" s="290" t="s">
        <v>112</v>
      </c>
      <c r="M80" s="290" t="s">
        <v>113</v>
      </c>
      <c r="N80" s="290" t="s">
        <v>114</v>
      </c>
      <c r="O80" s="290" t="s">
        <v>115</v>
      </c>
      <c r="P80" s="1063"/>
      <c r="Q80" s="1065"/>
      <c r="R80" s="1063"/>
    </row>
    <row r="81" spans="1:18" ht="15.75" thickBot="1">
      <c r="A81" s="164" t="s">
        <v>11</v>
      </c>
      <c r="B81" s="291">
        <f>B82+B90+B100+B105+B109</f>
        <v>35491255695</v>
      </c>
      <c r="C81" s="291">
        <f t="shared" ref="C81" si="117">C82+C90+C100+C105+C109</f>
        <v>35491255695</v>
      </c>
      <c r="D81" s="291">
        <f t="shared" ref="D81" si="118">D82+D90+D100+D105+D109</f>
        <v>35491255695</v>
      </c>
      <c r="E81" s="291">
        <f t="shared" ref="E81" si="119">E82+E90+E100+E105+E109</f>
        <v>35491255695</v>
      </c>
      <c r="F81" s="291">
        <f t="shared" ref="F81" si="120">F82+F90+F100+F105+F109</f>
        <v>35491255695</v>
      </c>
      <c r="G81" s="291">
        <f t="shared" ref="G81" si="121">G82+G90+G100+G105+G109</f>
        <v>35491255695</v>
      </c>
      <c r="H81" s="291">
        <f t="shared" ref="H81" si="122">H82+H90+H100+H105+H109</f>
        <v>12233999999.999998</v>
      </c>
      <c r="I81" s="291">
        <f t="shared" ref="I81" si="123">I82+I90+I100+I105+I109</f>
        <v>12233999999.999998</v>
      </c>
      <c r="J81" s="291">
        <f t="shared" ref="J81" si="124">J82+J90+J100+J105+J109</f>
        <v>41499013537.480698</v>
      </c>
      <c r="K81" s="291">
        <f t="shared" ref="K81" si="125">K82+K90+K100+K105+K109</f>
        <v>41499013537.480698</v>
      </c>
      <c r="L81" s="291">
        <f t="shared" ref="L81" si="126">L82+L90+L100+L105+L109</f>
        <v>41499013537.480698</v>
      </c>
      <c r="M81" s="291">
        <f t="shared" ref="M81" si="127">M82+M90+M100+M105+M109</f>
        <v>41499013537.480698</v>
      </c>
      <c r="N81" s="291">
        <f t="shared" ref="N81" si="128">N82+N90+N100+N105+N109</f>
        <v>41499013537.480698</v>
      </c>
      <c r="O81" s="291">
        <f t="shared" ref="O81" si="129">O82+O90+O100+O105+O109</f>
        <v>41499013537.480698</v>
      </c>
      <c r="P81" s="291">
        <f t="shared" ref="P81" si="130">P82+P90+P100+P105+P109</f>
        <v>41499013537.480698</v>
      </c>
      <c r="Q81" s="291">
        <f t="shared" ref="Q81" si="131">Q82+Q90+Q100+Q105+Q109</f>
        <v>41499013537.480698</v>
      </c>
      <c r="R81" s="291">
        <f t="shared" ref="R81" si="132">R82+R90+R100+R105+R109</f>
        <v>1971808910</v>
      </c>
    </row>
    <row r="82" spans="1:18">
      <c r="A82" s="269" t="s">
        <v>46</v>
      </c>
      <c r="B82" s="291">
        <f>SUM(B83:B89)</f>
        <v>2169569578</v>
      </c>
      <c r="C82" s="291">
        <f t="shared" ref="C82" si="133">SUM(C83:C89)</f>
        <v>2169569578</v>
      </c>
      <c r="D82" s="291">
        <f t="shared" ref="D82" si="134">SUM(D83:D89)</f>
        <v>2169569578</v>
      </c>
      <c r="E82" s="291">
        <f t="shared" ref="E82" si="135">SUM(E83:E89)</f>
        <v>2169569578</v>
      </c>
      <c r="F82" s="291">
        <f t="shared" ref="F82" si="136">SUM(F83:F89)</f>
        <v>2169569578</v>
      </c>
      <c r="G82" s="291">
        <f t="shared" ref="G82" si="137">SUM(G83:G89)</f>
        <v>2169569578</v>
      </c>
      <c r="H82" s="291">
        <f t="shared" ref="H82" si="138">SUM(H83:H89)</f>
        <v>172939248.40934926</v>
      </c>
      <c r="I82" s="291">
        <f t="shared" ref="I82" si="139">SUM(I83:I89)</f>
        <v>172939248.40934926</v>
      </c>
      <c r="J82" s="291">
        <f t="shared" ref="J82" si="140">SUM(J83:J89)</f>
        <v>3837339324.5116425</v>
      </c>
      <c r="K82" s="291">
        <f t="shared" ref="K82" si="141">SUM(K83:K89)</f>
        <v>3837339324.5116425</v>
      </c>
      <c r="L82" s="291">
        <f t="shared" ref="L82" si="142">SUM(L83:L89)</f>
        <v>3837339324.5116425</v>
      </c>
      <c r="M82" s="291">
        <f t="shared" ref="M82" si="143">SUM(M83:M89)</f>
        <v>3837339324.5116425</v>
      </c>
      <c r="N82" s="291">
        <f t="shared" ref="N82" si="144">SUM(N83:N89)</f>
        <v>3837339324.5116425</v>
      </c>
      <c r="O82" s="291">
        <f t="shared" ref="O82" si="145">SUM(O83:O89)</f>
        <v>3837339324.5116425</v>
      </c>
      <c r="P82" s="291">
        <f t="shared" ref="P82" si="146">SUM(P83:P89)</f>
        <v>3837339324.5116425</v>
      </c>
      <c r="Q82" s="291">
        <f t="shared" ref="Q82" si="147">SUM(Q83:Q89)</f>
        <v>3837339324.5116425</v>
      </c>
      <c r="R82" s="291">
        <f t="shared" ref="R82" si="148">SUM(R83:R89)</f>
        <v>1297580</v>
      </c>
    </row>
    <row r="83" spans="1:18">
      <c r="A83" s="127" t="s">
        <v>13</v>
      </c>
      <c r="B83" s="291">
        <f>COMB_CORR!$D5</f>
        <v>106948783</v>
      </c>
      <c r="C83" s="291">
        <f>COMB_CORR!$D5</f>
        <v>106948783</v>
      </c>
      <c r="D83" s="291">
        <f>COMB_CORR!$D5</f>
        <v>106948783</v>
      </c>
      <c r="E83" s="291">
        <f>COMB_CORR!$D5</f>
        <v>106948783</v>
      </c>
      <c r="F83" s="291">
        <f>COMB_CORR!$D5</f>
        <v>106948783</v>
      </c>
      <c r="G83" s="291">
        <f>COMB_CORR!$D5</f>
        <v>106948783</v>
      </c>
      <c r="H83" s="291">
        <f>COMB_CORR!$I5</f>
        <v>9635873.7212088462</v>
      </c>
      <c r="I83" s="291">
        <f>COMB_CORR!$I5</f>
        <v>9635873.7212088462</v>
      </c>
      <c r="J83" s="291">
        <f>COMB_CORR!$N5*CORR!$BL4</f>
        <v>138018848.330437</v>
      </c>
      <c r="K83" s="291">
        <f>COMB_CORR!$N5*CORR!$BL4</f>
        <v>138018848.330437</v>
      </c>
      <c r="L83" s="291">
        <f>COMB_CORR!$N5*CORR!$BL4</f>
        <v>138018848.330437</v>
      </c>
      <c r="M83" s="291">
        <f>COMB_CORR!$N5*CORR!$BL4</f>
        <v>138018848.330437</v>
      </c>
      <c r="N83" s="291">
        <f>COMB_CORR!$N5*CORR!$BL4</f>
        <v>138018848.330437</v>
      </c>
      <c r="O83" s="291">
        <f>COMB_CORR!$N5*CORR!$BL4</f>
        <v>138018848.330437</v>
      </c>
      <c r="P83" s="291">
        <f>COMB_CORR!$N5*CORR!$BL4</f>
        <v>138018848.330437</v>
      </c>
      <c r="Q83" s="291">
        <f>COMB_CORR!$N5*CORR!$BL4</f>
        <v>138018848.330437</v>
      </c>
      <c r="R83" s="291">
        <f>COMB_CORR!S5</f>
        <v>0</v>
      </c>
    </row>
    <row r="84" spans="1:18">
      <c r="A84" s="127" t="s">
        <v>14</v>
      </c>
      <c r="B84" s="291">
        <f>COMB_CORR!$D6</f>
        <v>109515600</v>
      </c>
      <c r="C84" s="291">
        <f>COMB_CORR!$D6</f>
        <v>109515600</v>
      </c>
      <c r="D84" s="291">
        <f>COMB_CORR!$D6</f>
        <v>109515600</v>
      </c>
      <c r="E84" s="291">
        <f>COMB_CORR!$D6</f>
        <v>109515600</v>
      </c>
      <c r="F84" s="291">
        <f>COMB_CORR!$D6</f>
        <v>109515600</v>
      </c>
      <c r="G84" s="291">
        <f>COMB_CORR!$D6</f>
        <v>109515600</v>
      </c>
      <c r="H84" s="291">
        <f>COMB_CORR!$I6</f>
        <v>5537844.2798387306</v>
      </c>
      <c r="I84" s="291">
        <f>COMB_CORR!$I6</f>
        <v>5537844.2798387306</v>
      </c>
      <c r="J84" s="291">
        <f>COMB_CORR!$N6*CORR!$BL5</f>
        <v>173058313.9633655</v>
      </c>
      <c r="K84" s="291">
        <f>COMB_CORR!$N6*CORR!$BL5</f>
        <v>173058313.9633655</v>
      </c>
      <c r="L84" s="291">
        <f>COMB_CORR!$N6*CORR!$BL5</f>
        <v>173058313.9633655</v>
      </c>
      <c r="M84" s="291">
        <f>COMB_CORR!$N6*CORR!$BL5</f>
        <v>173058313.9633655</v>
      </c>
      <c r="N84" s="291">
        <f>COMB_CORR!$N6*CORR!$BL5</f>
        <v>173058313.9633655</v>
      </c>
      <c r="O84" s="291">
        <f>COMB_CORR!$N6*CORR!$BL5</f>
        <v>173058313.9633655</v>
      </c>
      <c r="P84" s="291">
        <f>COMB_CORR!$N6*CORR!$BL5</f>
        <v>173058313.9633655</v>
      </c>
      <c r="Q84" s="291">
        <f>COMB_CORR!$N6*CORR!$BL5</f>
        <v>173058313.9633655</v>
      </c>
      <c r="R84" s="291">
        <f>COMB_CORR!S6</f>
        <v>0</v>
      </c>
    </row>
    <row r="85" spans="1:18">
      <c r="A85" s="127" t="s">
        <v>15</v>
      </c>
      <c r="B85" s="291">
        <f>COMB_CORR!$D7</f>
        <v>521355097.00000006</v>
      </c>
      <c r="C85" s="291">
        <f>COMB_CORR!$D7</f>
        <v>521355097.00000006</v>
      </c>
      <c r="D85" s="291">
        <f>COMB_CORR!$D7</f>
        <v>521355097.00000006</v>
      </c>
      <c r="E85" s="291">
        <f>COMB_CORR!$D7</f>
        <v>521355097.00000006</v>
      </c>
      <c r="F85" s="291">
        <f>COMB_CORR!$D7</f>
        <v>521355097.00000006</v>
      </c>
      <c r="G85" s="291">
        <f>COMB_CORR!$D7</f>
        <v>521355097.00000006</v>
      </c>
      <c r="H85" s="291">
        <f>COMB_CORR!$I7</f>
        <v>45479291.264493965</v>
      </c>
      <c r="I85" s="291">
        <f>COMB_CORR!$I7</f>
        <v>45479291.264493965</v>
      </c>
      <c r="J85" s="291">
        <f>COMB_CORR!$N7*CORR!$BL6</f>
        <v>667566130.71402395</v>
      </c>
      <c r="K85" s="291">
        <f>COMB_CORR!$N7*CORR!$BL6</f>
        <v>667566130.71402395</v>
      </c>
      <c r="L85" s="291">
        <f>COMB_CORR!$N7*CORR!$BL6</f>
        <v>667566130.71402395</v>
      </c>
      <c r="M85" s="291">
        <f>COMB_CORR!$N7*CORR!$BL6</f>
        <v>667566130.71402395</v>
      </c>
      <c r="N85" s="291">
        <f>COMB_CORR!$N7*CORR!$BL6</f>
        <v>667566130.71402395</v>
      </c>
      <c r="O85" s="291">
        <f>COMB_CORR!$N7*CORR!$BL6</f>
        <v>667566130.71402395</v>
      </c>
      <c r="P85" s="291">
        <f>COMB_CORR!$N7*CORR!$BL6</f>
        <v>667566130.71402395</v>
      </c>
      <c r="Q85" s="291">
        <f>COMB_CORR!$N7*CORR!$BL6</f>
        <v>667566130.71402395</v>
      </c>
      <c r="R85" s="291">
        <f>COMB_CORR!S7</f>
        <v>1297580</v>
      </c>
    </row>
    <row r="86" spans="1:18">
      <c r="A86" s="127" t="s">
        <v>16</v>
      </c>
      <c r="B86" s="291">
        <f>COMB_CORR!$D8</f>
        <v>768592559</v>
      </c>
      <c r="C86" s="291">
        <f>COMB_CORR!$D8</f>
        <v>768592559</v>
      </c>
      <c r="D86" s="291">
        <f>COMB_CORR!$D8</f>
        <v>768592559</v>
      </c>
      <c r="E86" s="291">
        <f>COMB_CORR!$D8</f>
        <v>768592559</v>
      </c>
      <c r="F86" s="291">
        <f>COMB_CORR!$D8</f>
        <v>768592559</v>
      </c>
      <c r="G86" s="291">
        <f>COMB_CORR!$D8</f>
        <v>768592559</v>
      </c>
      <c r="H86" s="291">
        <f>COMB_CORR!$I8</f>
        <v>37677273.869994178</v>
      </c>
      <c r="I86" s="291">
        <f>COMB_CORR!$I8</f>
        <v>37677273.869994178</v>
      </c>
      <c r="J86" s="291">
        <f>COMB_CORR!$N8*CORR!$BL7</f>
        <v>1531410172.43699</v>
      </c>
      <c r="K86" s="291">
        <f>COMB_CORR!$N8*CORR!$BL7</f>
        <v>1531410172.43699</v>
      </c>
      <c r="L86" s="291">
        <f>COMB_CORR!$N8*CORR!$BL7</f>
        <v>1531410172.43699</v>
      </c>
      <c r="M86" s="291">
        <f>COMB_CORR!$N8*CORR!$BL7</f>
        <v>1531410172.43699</v>
      </c>
      <c r="N86" s="291">
        <f>COMB_CORR!$N8*CORR!$BL7</f>
        <v>1531410172.43699</v>
      </c>
      <c r="O86" s="291">
        <f>COMB_CORR!$N8*CORR!$BL7</f>
        <v>1531410172.43699</v>
      </c>
      <c r="P86" s="291">
        <f>COMB_CORR!$N8*CORR!$BL7</f>
        <v>1531410172.43699</v>
      </c>
      <c r="Q86" s="291">
        <f>COMB_CORR!$N8*CORR!$BL7</f>
        <v>1531410172.43699</v>
      </c>
      <c r="R86" s="291">
        <f>COMB_CORR!S8</f>
        <v>0</v>
      </c>
    </row>
    <row r="87" spans="1:18">
      <c r="A87" s="127" t="s">
        <v>17</v>
      </c>
      <c r="B87" s="291">
        <f>COMB_CORR!$D9</f>
        <v>325210119</v>
      </c>
      <c r="C87" s="291">
        <f>COMB_CORR!$D9</f>
        <v>325210119</v>
      </c>
      <c r="D87" s="291">
        <f>COMB_CORR!$D9</f>
        <v>325210119</v>
      </c>
      <c r="E87" s="291">
        <f>COMB_CORR!$D9</f>
        <v>325210119</v>
      </c>
      <c r="F87" s="291">
        <f>COMB_CORR!$D9</f>
        <v>325210119</v>
      </c>
      <c r="G87" s="291">
        <f>COMB_CORR!$D9</f>
        <v>325210119</v>
      </c>
      <c r="H87" s="291">
        <f>COMB_CORR!$I9</f>
        <v>29755619.060129922</v>
      </c>
      <c r="I87" s="291">
        <f>COMB_CORR!$I9</f>
        <v>29755619.060129922</v>
      </c>
      <c r="J87" s="291">
        <f>COMB_CORR!$N9*CORR!$BL8</f>
        <v>677500611.18746245</v>
      </c>
      <c r="K87" s="291">
        <f>COMB_CORR!$N9*CORR!$BL8</f>
        <v>677500611.18746245</v>
      </c>
      <c r="L87" s="291">
        <f>COMB_CORR!$N9*CORR!$BL8</f>
        <v>677500611.18746245</v>
      </c>
      <c r="M87" s="291">
        <f>COMB_CORR!$N9*CORR!$BL8</f>
        <v>677500611.18746245</v>
      </c>
      <c r="N87" s="291">
        <f>COMB_CORR!$N9*CORR!$BL8</f>
        <v>677500611.18746245</v>
      </c>
      <c r="O87" s="291">
        <f>COMB_CORR!$N9*CORR!$BL8</f>
        <v>677500611.18746245</v>
      </c>
      <c r="P87" s="291">
        <f>COMB_CORR!$N9*CORR!$BL8</f>
        <v>677500611.18746245</v>
      </c>
      <c r="Q87" s="291">
        <f>COMB_CORR!$N9*CORR!$BL8</f>
        <v>677500611.18746245</v>
      </c>
      <c r="R87" s="291">
        <f>COMB_CORR!S9</f>
        <v>0</v>
      </c>
    </row>
    <row r="88" spans="1:18">
      <c r="A88" s="127" t="s">
        <v>18</v>
      </c>
      <c r="B88" s="291">
        <f>COMB_CORR!$D10</f>
        <v>88273250.000000015</v>
      </c>
      <c r="C88" s="291">
        <f>COMB_CORR!$D10</f>
        <v>88273250.000000015</v>
      </c>
      <c r="D88" s="291">
        <f>COMB_CORR!$D10</f>
        <v>88273250.000000015</v>
      </c>
      <c r="E88" s="291">
        <f>COMB_CORR!$D10</f>
        <v>88273250.000000015</v>
      </c>
      <c r="F88" s="291">
        <f>COMB_CORR!$D10</f>
        <v>88273250.000000015</v>
      </c>
      <c r="G88" s="291">
        <f>COMB_CORR!$D10</f>
        <v>88273250.000000015</v>
      </c>
      <c r="H88" s="291">
        <f>COMB_CORR!$I10</f>
        <v>2791367.1304678298</v>
      </c>
      <c r="I88" s="291">
        <f>COMB_CORR!$I10</f>
        <v>2791367.1304678298</v>
      </c>
      <c r="J88" s="291">
        <f>COMB_CORR!$N10*CORR!$BL9</f>
        <v>94813037.107453004</v>
      </c>
      <c r="K88" s="291">
        <f>COMB_CORR!$N10*CORR!$BL9</f>
        <v>94813037.107453004</v>
      </c>
      <c r="L88" s="291">
        <f>COMB_CORR!$N10*CORR!$BL9</f>
        <v>94813037.107453004</v>
      </c>
      <c r="M88" s="291">
        <f>COMB_CORR!$N10*CORR!$BL9</f>
        <v>94813037.107453004</v>
      </c>
      <c r="N88" s="291">
        <f>COMB_CORR!$N10*CORR!$BL9</f>
        <v>94813037.107453004</v>
      </c>
      <c r="O88" s="291">
        <f>COMB_CORR!$N10*CORR!$BL9</f>
        <v>94813037.107453004</v>
      </c>
      <c r="P88" s="291">
        <f>COMB_CORR!$N10*CORR!$BL9</f>
        <v>94813037.107453004</v>
      </c>
      <c r="Q88" s="291">
        <f>COMB_CORR!$N10*CORR!$BL9</f>
        <v>94813037.107453004</v>
      </c>
      <c r="R88" s="291">
        <f>COMB_CORR!S10</f>
        <v>0</v>
      </c>
    </row>
    <row r="89" spans="1:18" ht="15.75" thickBot="1">
      <c r="A89" s="128" t="s">
        <v>19</v>
      </c>
      <c r="B89" s="291">
        <f>COMB_CORR!$D11</f>
        <v>249674169.99999997</v>
      </c>
      <c r="C89" s="291">
        <f>COMB_CORR!$D11</f>
        <v>249674169.99999997</v>
      </c>
      <c r="D89" s="291">
        <f>COMB_CORR!$D11</f>
        <v>249674169.99999997</v>
      </c>
      <c r="E89" s="291">
        <f>COMB_CORR!$D11</f>
        <v>249674169.99999997</v>
      </c>
      <c r="F89" s="291">
        <f>COMB_CORR!$D11</f>
        <v>249674169.99999997</v>
      </c>
      <c r="G89" s="291">
        <f>COMB_CORR!$D11</f>
        <v>249674169.99999997</v>
      </c>
      <c r="H89" s="291">
        <f>COMB_CORR!$I11</f>
        <v>42061979.083215795</v>
      </c>
      <c r="I89" s="291">
        <f>COMB_CORR!$I11</f>
        <v>42061979.083215795</v>
      </c>
      <c r="J89" s="291">
        <f>COMB_CORR!$N11*CORR!$BL10</f>
        <v>554972210.77191067</v>
      </c>
      <c r="K89" s="291">
        <f>COMB_CORR!$N11*CORR!$BL10</f>
        <v>554972210.77191067</v>
      </c>
      <c r="L89" s="291">
        <f>COMB_CORR!$N11*CORR!$BL10</f>
        <v>554972210.77191067</v>
      </c>
      <c r="M89" s="291">
        <f>COMB_CORR!$N11*CORR!$BL10</f>
        <v>554972210.77191067</v>
      </c>
      <c r="N89" s="291">
        <f>COMB_CORR!$N11*CORR!$BL10</f>
        <v>554972210.77191067</v>
      </c>
      <c r="O89" s="291">
        <f>COMB_CORR!$N11*CORR!$BL10</f>
        <v>554972210.77191067</v>
      </c>
      <c r="P89" s="291">
        <f>COMB_CORR!$N11*CORR!$BL10</f>
        <v>554972210.77191067</v>
      </c>
      <c r="Q89" s="291">
        <f>COMB_CORR!$N11*CORR!$BL10</f>
        <v>554972210.77191067</v>
      </c>
      <c r="R89" s="291">
        <f>COMB_CORR!S11</f>
        <v>0</v>
      </c>
    </row>
    <row r="90" spans="1:18">
      <c r="A90" s="269" t="s">
        <v>54</v>
      </c>
      <c r="B90" s="291">
        <f>SUM(B91:B99)</f>
        <v>6239598498</v>
      </c>
      <c r="C90" s="291">
        <f t="shared" ref="C90" si="149">SUM(C91:C99)</f>
        <v>6239598498</v>
      </c>
      <c r="D90" s="291">
        <f t="shared" ref="D90" si="150">SUM(D91:D99)</f>
        <v>6239598498</v>
      </c>
      <c r="E90" s="291">
        <f t="shared" ref="E90" si="151">SUM(E91:E99)</f>
        <v>6239598498</v>
      </c>
      <c r="F90" s="291">
        <f t="shared" ref="F90" si="152">SUM(F91:F99)</f>
        <v>6239598498</v>
      </c>
      <c r="G90" s="291">
        <f t="shared" ref="G90" si="153">SUM(G91:G99)</f>
        <v>6239598498</v>
      </c>
      <c r="H90" s="291">
        <f t="shared" ref="H90" si="154">SUM(H91:H99)</f>
        <v>890657842.75137806</v>
      </c>
      <c r="I90" s="291">
        <f t="shared" ref="I90" si="155">SUM(I91:I99)</f>
        <v>890657842.75137806</v>
      </c>
      <c r="J90" s="291">
        <f t="shared" ref="J90" si="156">SUM(J91:J99)</f>
        <v>6500519452.86339</v>
      </c>
      <c r="K90" s="291">
        <f t="shared" ref="K90" si="157">SUM(K91:K99)</f>
        <v>6500519452.86339</v>
      </c>
      <c r="L90" s="291">
        <f t="shared" ref="L90" si="158">SUM(L91:L99)</f>
        <v>6500519452.86339</v>
      </c>
      <c r="M90" s="291">
        <f t="shared" ref="M90" si="159">SUM(M91:M99)</f>
        <v>6500519452.86339</v>
      </c>
      <c r="N90" s="291">
        <f t="shared" ref="N90" si="160">SUM(N91:N99)</f>
        <v>6500519452.86339</v>
      </c>
      <c r="O90" s="291">
        <f t="shared" ref="O90" si="161">SUM(O91:O99)</f>
        <v>6500519452.86339</v>
      </c>
      <c r="P90" s="291">
        <f t="shared" ref="P90" si="162">SUM(P91:P99)</f>
        <v>6500519452.86339</v>
      </c>
      <c r="Q90" s="291">
        <f t="shared" ref="Q90" si="163">SUM(Q91:Q99)</f>
        <v>6500519452.86339</v>
      </c>
      <c r="R90" s="291">
        <f t="shared" ref="R90" si="164">SUM(R91:R99)</f>
        <v>355770620</v>
      </c>
    </row>
    <row r="91" spans="1:18">
      <c r="A91" s="127" t="s">
        <v>21</v>
      </c>
      <c r="B91" s="291">
        <f>COMB_CORR!$D13</f>
        <v>303096084.00000006</v>
      </c>
      <c r="C91" s="291">
        <f>COMB_CORR!$D13</f>
        <v>303096084.00000006</v>
      </c>
      <c r="D91" s="291">
        <f>COMB_CORR!$D13</f>
        <v>303096084.00000006</v>
      </c>
      <c r="E91" s="291">
        <f>COMB_CORR!$D13</f>
        <v>303096084.00000006</v>
      </c>
      <c r="F91" s="291">
        <f>COMB_CORR!$D13</f>
        <v>303096084.00000006</v>
      </c>
      <c r="G91" s="291">
        <f>COMB_CORR!$D13</f>
        <v>303096084.00000006</v>
      </c>
      <c r="H91" s="291">
        <f>COMB_CORR!$I13</f>
        <v>59758226.725693613</v>
      </c>
      <c r="I91" s="291">
        <f>COMB_CORR!$I13</f>
        <v>59758226.725693613</v>
      </c>
      <c r="J91" s="291">
        <f>COMB_CORR!$N13*CORR!$BL12</f>
        <v>291801975.60706633</v>
      </c>
      <c r="K91" s="291">
        <f>COMB_CORR!$N13*CORR!$BL12</f>
        <v>291801975.60706633</v>
      </c>
      <c r="L91" s="291">
        <f>COMB_CORR!$N13*CORR!$BL12</f>
        <v>291801975.60706633</v>
      </c>
      <c r="M91" s="291">
        <f>COMB_CORR!$N13*CORR!$BL12</f>
        <v>291801975.60706633</v>
      </c>
      <c r="N91" s="291">
        <f>COMB_CORR!$N13*CORR!$BL12</f>
        <v>291801975.60706633</v>
      </c>
      <c r="O91" s="291">
        <f>COMB_CORR!$N13*CORR!$BL12</f>
        <v>291801975.60706633</v>
      </c>
      <c r="P91" s="291">
        <f>COMB_CORR!$N13*CORR!$BL12</f>
        <v>291801975.60706633</v>
      </c>
      <c r="Q91" s="291">
        <f>COMB_CORR!$N13*CORR!$BL12</f>
        <v>291801975.60706633</v>
      </c>
      <c r="R91" s="291">
        <f>COMB_CORR!S13</f>
        <v>36337680</v>
      </c>
    </row>
    <row r="92" spans="1:18">
      <c r="A92" s="127" t="s">
        <v>22</v>
      </c>
      <c r="B92" s="291">
        <f>COMB_CORR!$D14</f>
        <v>1588825697.9999998</v>
      </c>
      <c r="C92" s="291">
        <f>COMB_CORR!$D14</f>
        <v>1588825697.9999998</v>
      </c>
      <c r="D92" s="291">
        <f>COMB_CORR!$D14</f>
        <v>1588825697.9999998</v>
      </c>
      <c r="E92" s="291">
        <f>COMB_CORR!$D14</f>
        <v>1588825697.9999998</v>
      </c>
      <c r="F92" s="291">
        <f>COMB_CORR!$D14</f>
        <v>1588825697.9999998</v>
      </c>
      <c r="G92" s="291">
        <f>COMB_CORR!$D14</f>
        <v>1588825697.9999998</v>
      </c>
      <c r="H92" s="291">
        <f>COMB_CORR!$I14</f>
        <v>285362849.44630736</v>
      </c>
      <c r="I92" s="291">
        <f>COMB_CORR!$I14</f>
        <v>285362849.44630736</v>
      </c>
      <c r="J92" s="291">
        <f>COMB_CORR!$N14*CORR!$BL13</f>
        <v>2455775773.6625643</v>
      </c>
      <c r="K92" s="291">
        <f>COMB_CORR!$N14*CORR!$BL13</f>
        <v>2455775773.6625643</v>
      </c>
      <c r="L92" s="291">
        <f>COMB_CORR!$N14*CORR!$BL13</f>
        <v>2455775773.6625643</v>
      </c>
      <c r="M92" s="291">
        <f>COMB_CORR!$N14*CORR!$BL13</f>
        <v>2455775773.6625643</v>
      </c>
      <c r="N92" s="291">
        <f>COMB_CORR!$N14*CORR!$BL13</f>
        <v>2455775773.6625643</v>
      </c>
      <c r="O92" s="291">
        <f>COMB_CORR!$N14*CORR!$BL13</f>
        <v>2455775773.6625643</v>
      </c>
      <c r="P92" s="291">
        <f>COMB_CORR!$N14*CORR!$BL13</f>
        <v>2455775773.6625643</v>
      </c>
      <c r="Q92" s="291">
        <f>COMB_CORR!$N14*CORR!$BL13</f>
        <v>2455775773.6625643</v>
      </c>
      <c r="R92" s="291">
        <f>COMB_CORR!S14</f>
        <v>70062620</v>
      </c>
    </row>
    <row r="93" spans="1:18">
      <c r="A93" s="127" t="s">
        <v>23</v>
      </c>
      <c r="B93" s="291">
        <f>COMB_CORR!$D15</f>
        <v>943328047</v>
      </c>
      <c r="C93" s="291">
        <f>COMB_CORR!$D15</f>
        <v>943328047</v>
      </c>
      <c r="D93" s="291">
        <f>COMB_CORR!$D15</f>
        <v>943328047</v>
      </c>
      <c r="E93" s="291">
        <f>COMB_CORR!$D15</f>
        <v>943328047</v>
      </c>
      <c r="F93" s="291">
        <f>COMB_CORR!$D15</f>
        <v>943328047</v>
      </c>
      <c r="G93" s="291">
        <f>COMB_CORR!$D15</f>
        <v>943328047</v>
      </c>
      <c r="H93" s="291">
        <f>COMB_CORR!$I15</f>
        <v>127517930.08095922</v>
      </c>
      <c r="I93" s="291">
        <f>COMB_CORR!$I15</f>
        <v>127517930.08095922</v>
      </c>
      <c r="J93" s="291">
        <f>COMB_CORR!$N15*CORR!$BL14</f>
        <v>813163078.29733622</v>
      </c>
      <c r="K93" s="291">
        <f>COMB_CORR!$N15*CORR!$BL14</f>
        <v>813163078.29733622</v>
      </c>
      <c r="L93" s="291">
        <f>COMB_CORR!$N15*CORR!$BL14</f>
        <v>813163078.29733622</v>
      </c>
      <c r="M93" s="291">
        <f>COMB_CORR!$N15*CORR!$BL14</f>
        <v>813163078.29733622</v>
      </c>
      <c r="N93" s="291">
        <f>COMB_CORR!$N15*CORR!$BL14</f>
        <v>813163078.29733622</v>
      </c>
      <c r="O93" s="291">
        <f>COMB_CORR!$N15*CORR!$BL14</f>
        <v>813163078.29733622</v>
      </c>
      <c r="P93" s="291">
        <f>COMB_CORR!$N15*CORR!$BL14</f>
        <v>813163078.29733622</v>
      </c>
      <c r="Q93" s="291">
        <f>COMB_CORR!$N15*CORR!$BL14</f>
        <v>813163078.29733622</v>
      </c>
      <c r="R93" s="291">
        <f>COMB_CORR!S15</f>
        <v>62057520</v>
      </c>
    </row>
    <row r="94" spans="1:18">
      <c r="A94" s="127" t="s">
        <v>24</v>
      </c>
      <c r="B94" s="291">
        <f>COMB_CORR!$D16</f>
        <v>628889231.00000012</v>
      </c>
      <c r="C94" s="291">
        <f>COMB_CORR!$D16</f>
        <v>628889231.00000012</v>
      </c>
      <c r="D94" s="291">
        <f>COMB_CORR!$D16</f>
        <v>628889231.00000012</v>
      </c>
      <c r="E94" s="291">
        <f>COMB_CORR!$D16</f>
        <v>628889231.00000012</v>
      </c>
      <c r="F94" s="291">
        <f>COMB_CORR!$D16</f>
        <v>628889231.00000012</v>
      </c>
      <c r="G94" s="291">
        <f>COMB_CORR!$D16</f>
        <v>628889231.00000012</v>
      </c>
      <c r="H94" s="291">
        <f>COMB_CORR!$I16</f>
        <v>39510249.214310914</v>
      </c>
      <c r="I94" s="291">
        <f>COMB_CORR!$I16</f>
        <v>39510249.214310914</v>
      </c>
      <c r="J94" s="291">
        <f>COMB_CORR!$N16*CORR!$BL15</f>
        <v>436684717.85392457</v>
      </c>
      <c r="K94" s="291">
        <f>COMB_CORR!$N16*CORR!$BL15</f>
        <v>436684717.85392457</v>
      </c>
      <c r="L94" s="291">
        <f>COMB_CORR!$N16*CORR!$BL15</f>
        <v>436684717.85392457</v>
      </c>
      <c r="M94" s="291">
        <f>COMB_CORR!$N16*CORR!$BL15</f>
        <v>436684717.85392457</v>
      </c>
      <c r="N94" s="291">
        <f>COMB_CORR!$N16*CORR!$BL15</f>
        <v>436684717.85392457</v>
      </c>
      <c r="O94" s="291">
        <f>COMB_CORR!$N16*CORR!$BL15</f>
        <v>436684717.85392457</v>
      </c>
      <c r="P94" s="291">
        <f>COMB_CORR!$N16*CORR!$BL15</f>
        <v>436684717.85392457</v>
      </c>
      <c r="Q94" s="291">
        <f>COMB_CORR!$N16*CORR!$BL15</f>
        <v>436684717.85392457</v>
      </c>
      <c r="R94" s="291">
        <f>COMB_CORR!S16</f>
        <v>0</v>
      </c>
    </row>
    <row r="95" spans="1:18">
      <c r="A95" s="127" t="s">
        <v>25</v>
      </c>
      <c r="B95" s="291">
        <f>COMB_CORR!$D17</f>
        <v>511689325.99999988</v>
      </c>
      <c r="C95" s="291">
        <f>COMB_CORR!$D17</f>
        <v>511689325.99999988</v>
      </c>
      <c r="D95" s="291">
        <f>COMB_CORR!$D17</f>
        <v>511689325.99999988</v>
      </c>
      <c r="E95" s="291">
        <f>COMB_CORR!$D17</f>
        <v>511689325.99999988</v>
      </c>
      <c r="F95" s="291">
        <f>COMB_CORR!$D17</f>
        <v>511689325.99999988</v>
      </c>
      <c r="G95" s="291">
        <f>COMB_CORR!$D17</f>
        <v>511689325.99999988</v>
      </c>
      <c r="H95" s="291">
        <f>COMB_CORR!$I17</f>
        <v>65124106.811872974</v>
      </c>
      <c r="I95" s="291">
        <f>COMB_CORR!$I17</f>
        <v>65124106.811872974</v>
      </c>
      <c r="J95" s="291">
        <f>COMB_CORR!$N17*CORR!$BL16</f>
        <v>356339577.13127828</v>
      </c>
      <c r="K95" s="291">
        <f>COMB_CORR!$N17*CORR!$BL16</f>
        <v>356339577.13127828</v>
      </c>
      <c r="L95" s="291">
        <f>COMB_CORR!$N17*CORR!$BL16</f>
        <v>356339577.13127828</v>
      </c>
      <c r="M95" s="291">
        <f>COMB_CORR!$N17*CORR!$BL16</f>
        <v>356339577.13127828</v>
      </c>
      <c r="N95" s="291">
        <f>COMB_CORR!$N17*CORR!$BL16</f>
        <v>356339577.13127828</v>
      </c>
      <c r="O95" s="291">
        <f>COMB_CORR!$N17*CORR!$BL16</f>
        <v>356339577.13127828</v>
      </c>
      <c r="P95" s="291">
        <f>COMB_CORR!$N17*CORR!$BL16</f>
        <v>356339577.13127828</v>
      </c>
      <c r="Q95" s="291">
        <f>COMB_CORR!$N17*CORR!$BL16</f>
        <v>356339577.13127828</v>
      </c>
      <c r="R95" s="291">
        <f>COMB_CORR!S17</f>
        <v>33662520</v>
      </c>
    </row>
    <row r="96" spans="1:18">
      <c r="A96" s="127" t="s">
        <v>26</v>
      </c>
      <c r="B96" s="291">
        <f>COMB_CORR!$D18</f>
        <v>1106865965</v>
      </c>
      <c r="C96" s="291">
        <f>COMB_CORR!$D18</f>
        <v>1106865965</v>
      </c>
      <c r="D96" s="291">
        <f>COMB_CORR!$D18</f>
        <v>1106865965</v>
      </c>
      <c r="E96" s="291">
        <f>COMB_CORR!$D18</f>
        <v>1106865965</v>
      </c>
      <c r="F96" s="291">
        <f>COMB_CORR!$D18</f>
        <v>1106865965</v>
      </c>
      <c r="G96" s="291">
        <f>COMB_CORR!$D18</f>
        <v>1106865965</v>
      </c>
      <c r="H96" s="291">
        <f>COMB_CORR!$I18</f>
        <v>207449285.66568655</v>
      </c>
      <c r="I96" s="291">
        <f>COMB_CORR!$I18</f>
        <v>207449285.66568655</v>
      </c>
      <c r="J96" s="291">
        <f>COMB_CORR!$N18*CORR!$BL17</f>
        <v>1119631564.2166166</v>
      </c>
      <c r="K96" s="291">
        <f>COMB_CORR!$N18*CORR!$BL17</f>
        <v>1119631564.2166166</v>
      </c>
      <c r="L96" s="291">
        <f>COMB_CORR!$N18*CORR!$BL17</f>
        <v>1119631564.2166166</v>
      </c>
      <c r="M96" s="291">
        <f>COMB_CORR!$N18*CORR!$BL17</f>
        <v>1119631564.2166166</v>
      </c>
      <c r="N96" s="291">
        <f>COMB_CORR!$N18*CORR!$BL17</f>
        <v>1119631564.2166166</v>
      </c>
      <c r="O96" s="291">
        <f>COMB_CORR!$N18*CORR!$BL17</f>
        <v>1119631564.2166166</v>
      </c>
      <c r="P96" s="291">
        <f>COMB_CORR!$N18*CORR!$BL17</f>
        <v>1119631564.2166166</v>
      </c>
      <c r="Q96" s="291">
        <f>COMB_CORR!$N18*CORR!$BL17</f>
        <v>1119631564.2166166</v>
      </c>
      <c r="R96" s="291">
        <f>COMB_CORR!S18</f>
        <v>63169420</v>
      </c>
    </row>
    <row r="97" spans="1:18">
      <c r="A97" s="127" t="s">
        <v>27</v>
      </c>
      <c r="B97" s="291">
        <f>COMB_CORR!$D19</f>
        <v>373985900</v>
      </c>
      <c r="C97" s="291">
        <f>COMB_CORR!$D19</f>
        <v>373985900</v>
      </c>
      <c r="D97" s="291">
        <f>COMB_CORR!$D19</f>
        <v>373985900</v>
      </c>
      <c r="E97" s="291">
        <f>COMB_CORR!$D19</f>
        <v>373985900</v>
      </c>
      <c r="F97" s="291">
        <f>COMB_CORR!$D19</f>
        <v>373985900</v>
      </c>
      <c r="G97" s="291">
        <f>COMB_CORR!$D19</f>
        <v>373985900</v>
      </c>
      <c r="H97" s="291">
        <f>COMB_CORR!$I19</f>
        <v>15557510.685933599</v>
      </c>
      <c r="I97" s="291">
        <f>COMB_CORR!$I19</f>
        <v>15557510.685933599</v>
      </c>
      <c r="J97" s="291">
        <f>COMB_CORR!$N19*CORR!$BL18</f>
        <v>364240762.85066289</v>
      </c>
      <c r="K97" s="291">
        <f>COMB_CORR!$N19*CORR!$BL18</f>
        <v>364240762.85066289</v>
      </c>
      <c r="L97" s="291">
        <f>COMB_CORR!$N19*CORR!$BL18</f>
        <v>364240762.85066289</v>
      </c>
      <c r="M97" s="291">
        <f>COMB_CORR!$N19*CORR!$BL18</f>
        <v>364240762.85066289</v>
      </c>
      <c r="N97" s="291">
        <f>COMB_CORR!$N19*CORR!$BL18</f>
        <v>364240762.85066289</v>
      </c>
      <c r="O97" s="291">
        <f>COMB_CORR!$N19*CORR!$BL18</f>
        <v>364240762.85066289</v>
      </c>
      <c r="P97" s="291">
        <f>COMB_CORR!$N19*CORR!$BL18</f>
        <v>364240762.85066289</v>
      </c>
      <c r="Q97" s="291">
        <f>COMB_CORR!$N19*CORR!$BL18</f>
        <v>364240762.85066289</v>
      </c>
      <c r="R97" s="291">
        <f>COMB_CORR!S19</f>
        <v>0</v>
      </c>
    </row>
    <row r="98" spans="1:18" ht="25.5">
      <c r="A98" s="127" t="s">
        <v>28</v>
      </c>
      <c r="B98" s="291">
        <f>COMB_CORR!$D20</f>
        <v>484517099</v>
      </c>
      <c r="C98" s="291">
        <f>COMB_CORR!$D20</f>
        <v>484517099</v>
      </c>
      <c r="D98" s="291">
        <f>COMB_CORR!$D20</f>
        <v>484517099</v>
      </c>
      <c r="E98" s="291">
        <f>COMB_CORR!$D20</f>
        <v>484517099</v>
      </c>
      <c r="F98" s="291">
        <f>COMB_CORR!$D20</f>
        <v>484517099</v>
      </c>
      <c r="G98" s="291">
        <f>COMB_CORR!$D20</f>
        <v>484517099</v>
      </c>
      <c r="H98" s="291">
        <f>COMB_CORR!$I20</f>
        <v>62039951.719306998</v>
      </c>
      <c r="I98" s="291">
        <f>COMB_CORR!$I20</f>
        <v>62039951.719306998</v>
      </c>
      <c r="J98" s="291">
        <f>COMB_CORR!$N20*CORR!$BL19</f>
        <v>374813056.38466376</v>
      </c>
      <c r="K98" s="291">
        <f>COMB_CORR!$N20*CORR!$BL19</f>
        <v>374813056.38466376</v>
      </c>
      <c r="L98" s="291">
        <f>COMB_CORR!$N20*CORR!$BL19</f>
        <v>374813056.38466376</v>
      </c>
      <c r="M98" s="291">
        <f>COMB_CORR!$N20*CORR!$BL19</f>
        <v>374813056.38466376</v>
      </c>
      <c r="N98" s="291">
        <f>COMB_CORR!$N20*CORR!$BL19</f>
        <v>374813056.38466376</v>
      </c>
      <c r="O98" s="291">
        <f>COMB_CORR!$N20*CORR!$BL19</f>
        <v>374813056.38466376</v>
      </c>
      <c r="P98" s="291">
        <f>COMB_CORR!$N20*CORR!$BL19</f>
        <v>374813056.38466376</v>
      </c>
      <c r="Q98" s="291">
        <f>COMB_CORR!$N20*CORR!$BL19</f>
        <v>374813056.38466376</v>
      </c>
      <c r="R98" s="291">
        <f>COMB_CORR!S20</f>
        <v>58627470</v>
      </c>
    </row>
    <row r="99" spans="1:18" ht="15.75" thickBot="1">
      <c r="A99" s="128" t="s">
        <v>29</v>
      </c>
      <c r="B99" s="291">
        <f>COMB_CORR!$D21</f>
        <v>298401148.00000006</v>
      </c>
      <c r="C99" s="291">
        <f>COMB_CORR!$D21</f>
        <v>298401148.00000006</v>
      </c>
      <c r="D99" s="291">
        <f>COMB_CORR!$D21</f>
        <v>298401148.00000006</v>
      </c>
      <c r="E99" s="291">
        <f>COMB_CORR!$D21</f>
        <v>298401148.00000006</v>
      </c>
      <c r="F99" s="291">
        <f>COMB_CORR!$D21</f>
        <v>298401148.00000006</v>
      </c>
      <c r="G99" s="291">
        <f>COMB_CORR!$D21</f>
        <v>298401148.00000006</v>
      </c>
      <c r="H99" s="291">
        <f>COMB_CORR!$I21</f>
        <v>28337732.401306886</v>
      </c>
      <c r="I99" s="291">
        <f>COMB_CORR!$I21</f>
        <v>28337732.401306886</v>
      </c>
      <c r="J99" s="291">
        <f>COMB_CORR!$N21*CORR!$BL20</f>
        <v>288068946.85927653</v>
      </c>
      <c r="K99" s="291">
        <f>COMB_CORR!$N21*CORR!$BL20</f>
        <v>288068946.85927653</v>
      </c>
      <c r="L99" s="291">
        <f>COMB_CORR!$N21*CORR!$BL20</f>
        <v>288068946.85927653</v>
      </c>
      <c r="M99" s="291">
        <f>COMB_CORR!$N21*CORR!$BL20</f>
        <v>288068946.85927653</v>
      </c>
      <c r="N99" s="291">
        <f>COMB_CORR!$N21*CORR!$BL20</f>
        <v>288068946.85927653</v>
      </c>
      <c r="O99" s="291">
        <f>COMB_CORR!$N21*CORR!$BL20</f>
        <v>288068946.85927653</v>
      </c>
      <c r="P99" s="291">
        <f>COMB_CORR!$N21*CORR!$BL20</f>
        <v>288068946.85927653</v>
      </c>
      <c r="Q99" s="291">
        <f>COMB_CORR!$N21*CORR!$BL20</f>
        <v>288068946.85927653</v>
      </c>
      <c r="R99" s="291">
        <f>COMB_CORR!S21</f>
        <v>31853390</v>
      </c>
    </row>
    <row r="100" spans="1:18">
      <c r="A100" s="269" t="s">
        <v>64</v>
      </c>
      <c r="B100" s="291">
        <f>SUM(B101:B104)</f>
        <v>16557624169</v>
      </c>
      <c r="C100" s="291">
        <f t="shared" ref="C100" si="165">SUM(C101:C104)</f>
        <v>16557624169</v>
      </c>
      <c r="D100" s="291">
        <f t="shared" ref="D100" si="166">SUM(D101:D104)</f>
        <v>16557624169</v>
      </c>
      <c r="E100" s="291">
        <f t="shared" ref="E100" si="167">SUM(E101:E104)</f>
        <v>16557624169</v>
      </c>
      <c r="F100" s="291">
        <f t="shared" ref="F100" si="168">SUM(F101:F104)</f>
        <v>16557624169</v>
      </c>
      <c r="G100" s="291">
        <f t="shared" ref="G100" si="169">SUM(G101:G104)</f>
        <v>16557624169</v>
      </c>
      <c r="H100" s="291">
        <f t="shared" ref="H100" si="170">SUM(H101:H104)</f>
        <v>8583005763.7161751</v>
      </c>
      <c r="I100" s="291">
        <f t="shared" ref="I100" si="171">SUM(I101:I104)</f>
        <v>8583005763.7161751</v>
      </c>
      <c r="J100" s="291">
        <f t="shared" ref="J100" si="172">SUM(J101:J104)</f>
        <v>18659740163.715126</v>
      </c>
      <c r="K100" s="291">
        <f t="shared" ref="K100" si="173">SUM(K101:K104)</f>
        <v>18659740163.715126</v>
      </c>
      <c r="L100" s="291">
        <f t="shared" ref="L100" si="174">SUM(L101:L104)</f>
        <v>18659740163.715126</v>
      </c>
      <c r="M100" s="291">
        <f t="shared" ref="M100" si="175">SUM(M101:M104)</f>
        <v>18659740163.715126</v>
      </c>
      <c r="N100" s="291">
        <f t="shared" ref="N100" si="176">SUM(N101:N104)</f>
        <v>18659740163.715126</v>
      </c>
      <c r="O100" s="291">
        <f t="shared" ref="O100" si="177">SUM(O101:O104)</f>
        <v>18659740163.715126</v>
      </c>
      <c r="P100" s="291">
        <f t="shared" ref="P100" si="178">SUM(P101:P104)</f>
        <v>18659740163.715126</v>
      </c>
      <c r="Q100" s="291">
        <f t="shared" ref="Q100" si="179">SUM(Q101:Q104)</f>
        <v>18659740163.715126</v>
      </c>
      <c r="R100" s="291">
        <f t="shared" ref="R100" si="180">SUM(R101:R104)</f>
        <v>1350011210</v>
      </c>
    </row>
    <row r="101" spans="1:18">
      <c r="A101" s="127" t="s">
        <v>31</v>
      </c>
      <c r="B101" s="291">
        <f>COMB_CORR!$D23</f>
        <v>715752591</v>
      </c>
      <c r="C101" s="291">
        <f>COMB_CORR!$D23</f>
        <v>715752591</v>
      </c>
      <c r="D101" s="291">
        <f>COMB_CORR!$D23</f>
        <v>715752591</v>
      </c>
      <c r="E101" s="291">
        <f>COMB_CORR!$D23</f>
        <v>715752591</v>
      </c>
      <c r="F101" s="291">
        <f>COMB_CORR!$D23</f>
        <v>715752591</v>
      </c>
      <c r="G101" s="291">
        <f>COMB_CORR!$D23</f>
        <v>715752591</v>
      </c>
      <c r="H101" s="291">
        <f>COMB_CORR!$I23</f>
        <v>62557984.238590933</v>
      </c>
      <c r="I101" s="291">
        <f>COMB_CORR!$I23</f>
        <v>62557984.238590933</v>
      </c>
      <c r="J101" s="291">
        <f>COMB_CORR!$N23*CORR!$BL22</f>
        <v>824158110.15160739</v>
      </c>
      <c r="K101" s="291">
        <f>COMB_CORR!$N23*CORR!$BL22</f>
        <v>824158110.15160739</v>
      </c>
      <c r="L101" s="291">
        <f>COMB_CORR!$N23*CORR!$BL22</f>
        <v>824158110.15160739</v>
      </c>
      <c r="M101" s="291">
        <f>COMB_CORR!$N23*CORR!$BL22</f>
        <v>824158110.15160739</v>
      </c>
      <c r="N101" s="291">
        <f>COMB_CORR!$N23*CORR!$BL22</f>
        <v>824158110.15160739</v>
      </c>
      <c r="O101" s="291">
        <f>COMB_CORR!$N23*CORR!$BL22</f>
        <v>824158110.15160739</v>
      </c>
      <c r="P101" s="291">
        <f>COMB_CORR!$N23*CORR!$BL22</f>
        <v>824158110.15160739</v>
      </c>
      <c r="Q101" s="291">
        <f>COMB_CORR!$N23*CORR!$BL22</f>
        <v>824158110.15160739</v>
      </c>
      <c r="R101" s="291">
        <f>COMB_CORR!S23</f>
        <v>37965360</v>
      </c>
    </row>
    <row r="102" spans="1:18">
      <c r="A102" s="127" t="s">
        <v>32</v>
      </c>
      <c r="B102" s="291">
        <f>COMB_CORR!$D24</f>
        <v>4099918354.9999995</v>
      </c>
      <c r="C102" s="291">
        <f>COMB_CORR!$D24</f>
        <v>4099918354.9999995</v>
      </c>
      <c r="D102" s="291">
        <f>COMB_CORR!$D24</f>
        <v>4099918354.9999995</v>
      </c>
      <c r="E102" s="291">
        <f>COMB_CORR!$D24</f>
        <v>4099918354.9999995</v>
      </c>
      <c r="F102" s="291">
        <f>COMB_CORR!$D24</f>
        <v>4099918354.9999995</v>
      </c>
      <c r="G102" s="291">
        <f>COMB_CORR!$D24</f>
        <v>4099918354.9999995</v>
      </c>
      <c r="H102" s="291">
        <f>COMB_CORR!$I24</f>
        <v>638418939.70377767</v>
      </c>
      <c r="I102" s="291">
        <f>COMB_CORR!$I24</f>
        <v>638418939.70377767</v>
      </c>
      <c r="J102" s="291">
        <f>COMB_CORR!$N24*CORR!$BL23</f>
        <v>5669449441.830596</v>
      </c>
      <c r="K102" s="291">
        <f>COMB_CORR!$N24*CORR!$BL23</f>
        <v>5669449441.830596</v>
      </c>
      <c r="L102" s="291">
        <f>COMB_CORR!$N24*CORR!$BL23</f>
        <v>5669449441.830596</v>
      </c>
      <c r="M102" s="291">
        <f>COMB_CORR!$N24*CORR!$BL23</f>
        <v>5669449441.830596</v>
      </c>
      <c r="N102" s="291">
        <f>COMB_CORR!$N24*CORR!$BL23</f>
        <v>5669449441.830596</v>
      </c>
      <c r="O102" s="291">
        <f>COMB_CORR!$N24*CORR!$BL23</f>
        <v>5669449441.830596</v>
      </c>
      <c r="P102" s="291">
        <f>COMB_CORR!$N24*CORR!$BL23</f>
        <v>5669449441.830596</v>
      </c>
      <c r="Q102" s="291">
        <f>COMB_CORR!$N24*CORR!$BL23</f>
        <v>5669449441.830596</v>
      </c>
      <c r="R102" s="291">
        <f>COMB_CORR!S24</f>
        <v>40544300</v>
      </c>
    </row>
    <row r="103" spans="1:18">
      <c r="A103" s="127" t="s">
        <v>33</v>
      </c>
      <c r="B103" s="291">
        <f>COMB_CORR!$D25</f>
        <v>2280077810.9999995</v>
      </c>
      <c r="C103" s="291">
        <f>COMB_CORR!$D25</f>
        <v>2280077810.9999995</v>
      </c>
      <c r="D103" s="291">
        <f>COMB_CORR!$D25</f>
        <v>2280077810.9999995</v>
      </c>
      <c r="E103" s="291">
        <f>COMB_CORR!$D25</f>
        <v>2280077810.9999995</v>
      </c>
      <c r="F103" s="291">
        <f>COMB_CORR!$D25</f>
        <v>2280077810.9999995</v>
      </c>
      <c r="G103" s="291">
        <f>COMB_CORR!$D25</f>
        <v>2280077810.9999995</v>
      </c>
      <c r="H103" s="291">
        <f>COMB_CORR!$I25</f>
        <v>596882256.5861541</v>
      </c>
      <c r="I103" s="291">
        <f>COMB_CORR!$I25</f>
        <v>596882256.5861541</v>
      </c>
      <c r="J103" s="291">
        <f>COMB_CORR!$N25*CORR!$BL24</f>
        <v>2559911614.2257757</v>
      </c>
      <c r="K103" s="291">
        <f>COMB_CORR!$N25*CORR!$BL24</f>
        <v>2559911614.2257757</v>
      </c>
      <c r="L103" s="291">
        <f>COMB_CORR!$N25*CORR!$BL24</f>
        <v>2559911614.2257757</v>
      </c>
      <c r="M103" s="291">
        <f>COMB_CORR!$N25*CORR!$BL24</f>
        <v>2559911614.2257757</v>
      </c>
      <c r="N103" s="291">
        <f>COMB_CORR!$N25*CORR!$BL24</f>
        <v>2559911614.2257757</v>
      </c>
      <c r="O103" s="291">
        <f>COMB_CORR!$N25*CORR!$BL24</f>
        <v>2559911614.2257757</v>
      </c>
      <c r="P103" s="291">
        <f>COMB_CORR!$N25*CORR!$BL24</f>
        <v>2559911614.2257757</v>
      </c>
      <c r="Q103" s="291">
        <f>COMB_CORR!$N25*CORR!$BL24</f>
        <v>2559911614.2257757</v>
      </c>
      <c r="R103" s="291">
        <f>COMB_CORR!S25</f>
        <v>955900470</v>
      </c>
    </row>
    <row r="104" spans="1:18" ht="15.75" thickBot="1">
      <c r="A104" s="128" t="s">
        <v>34</v>
      </c>
      <c r="B104" s="291">
        <f>COMB_CORR!$D26</f>
        <v>9461875412</v>
      </c>
      <c r="C104" s="291">
        <f>COMB_CORR!$D26</f>
        <v>9461875412</v>
      </c>
      <c r="D104" s="291">
        <f>COMB_CORR!$D26</f>
        <v>9461875412</v>
      </c>
      <c r="E104" s="291">
        <f>COMB_CORR!$D26</f>
        <v>9461875412</v>
      </c>
      <c r="F104" s="291">
        <f>COMB_CORR!$D26</f>
        <v>9461875412</v>
      </c>
      <c r="G104" s="291">
        <f>COMB_CORR!$D26</f>
        <v>9461875412</v>
      </c>
      <c r="H104" s="291">
        <f>COMB_CORR!$I26</f>
        <v>7285146583.1876526</v>
      </c>
      <c r="I104" s="291">
        <f>COMB_CORR!$I26</f>
        <v>7285146583.1876526</v>
      </c>
      <c r="J104" s="291">
        <f>COMB_CORR!$N26*CORR!$BL25</f>
        <v>9606220997.5071487</v>
      </c>
      <c r="K104" s="291">
        <f>COMB_CORR!$N26*CORR!$BL25</f>
        <v>9606220997.5071487</v>
      </c>
      <c r="L104" s="291">
        <f>COMB_CORR!$N26*CORR!$BL25</f>
        <v>9606220997.5071487</v>
      </c>
      <c r="M104" s="291">
        <f>COMB_CORR!$N26*CORR!$BL25</f>
        <v>9606220997.5071487</v>
      </c>
      <c r="N104" s="291">
        <f>COMB_CORR!$N26*CORR!$BL25</f>
        <v>9606220997.5071487</v>
      </c>
      <c r="O104" s="291">
        <f>COMB_CORR!$N26*CORR!$BL25</f>
        <v>9606220997.5071487</v>
      </c>
      <c r="P104" s="291">
        <f>COMB_CORR!$N26*CORR!$BL25</f>
        <v>9606220997.5071487</v>
      </c>
      <c r="Q104" s="291">
        <f>COMB_CORR!$N26*CORR!$BL25</f>
        <v>9606220997.5071487</v>
      </c>
      <c r="R104" s="291">
        <f>COMB_CORR!S26</f>
        <v>315601080</v>
      </c>
    </row>
    <row r="105" spans="1:18">
      <c r="A105" s="269" t="s">
        <v>69</v>
      </c>
      <c r="B105" s="291">
        <f>SUM(B106:B108)</f>
        <v>7225416080</v>
      </c>
      <c r="C105" s="291">
        <f t="shared" ref="C105" si="181">SUM(C106:C108)</f>
        <v>7225416080</v>
      </c>
      <c r="D105" s="291">
        <f t="shared" ref="D105" si="182">SUM(D106:D108)</f>
        <v>7225416080</v>
      </c>
      <c r="E105" s="291">
        <f t="shared" ref="E105" si="183">SUM(E106:E108)</f>
        <v>7225416080</v>
      </c>
      <c r="F105" s="291">
        <f t="shared" ref="F105" si="184">SUM(F106:F108)</f>
        <v>7225416080</v>
      </c>
      <c r="G105" s="291">
        <f t="shared" ref="G105" si="185">SUM(G106:G108)</f>
        <v>7225416080</v>
      </c>
      <c r="H105" s="291">
        <f t="shared" ref="H105" si="186">SUM(H106:H108)</f>
        <v>1202806914.6799934</v>
      </c>
      <c r="I105" s="291">
        <f t="shared" ref="I105" si="187">SUM(I106:I108)</f>
        <v>1202806914.6799934</v>
      </c>
      <c r="J105" s="291">
        <f t="shared" ref="J105" si="188">SUM(J106:J108)</f>
        <v>7882313755.6239338</v>
      </c>
      <c r="K105" s="291">
        <f t="shared" ref="K105" si="189">SUM(K106:K108)</f>
        <v>7882313755.6239338</v>
      </c>
      <c r="L105" s="291">
        <f t="shared" ref="L105" si="190">SUM(L106:L108)</f>
        <v>7882313755.6239338</v>
      </c>
      <c r="M105" s="291">
        <f t="shared" ref="M105" si="191">SUM(M106:M108)</f>
        <v>7882313755.6239338</v>
      </c>
      <c r="N105" s="291">
        <f t="shared" ref="N105" si="192">SUM(N106:N108)</f>
        <v>7882313755.6239338</v>
      </c>
      <c r="O105" s="291">
        <f t="shared" ref="O105" si="193">SUM(O106:O108)</f>
        <v>7882313755.6239338</v>
      </c>
      <c r="P105" s="291">
        <f t="shared" ref="P105" si="194">SUM(P106:P108)</f>
        <v>7882313755.6239338</v>
      </c>
      <c r="Q105" s="291">
        <f t="shared" ref="Q105" si="195">SUM(Q106:Q108)</f>
        <v>7882313755.6239338</v>
      </c>
      <c r="R105" s="291">
        <f t="shared" ref="R105" si="196">SUM(R106:R108)</f>
        <v>249027090</v>
      </c>
    </row>
    <row r="106" spans="1:18">
      <c r="A106" s="127" t="s">
        <v>36</v>
      </c>
      <c r="B106" s="291">
        <f>COMB_CORR!$D28</f>
        <v>2403005273.9999995</v>
      </c>
      <c r="C106" s="291">
        <f>COMB_CORR!$D28</f>
        <v>2403005273.9999995</v>
      </c>
      <c r="D106" s="291">
        <f>COMB_CORR!$D28</f>
        <v>2403005273.9999995</v>
      </c>
      <c r="E106" s="291">
        <f>COMB_CORR!$D28</f>
        <v>2403005273.9999995</v>
      </c>
      <c r="F106" s="291">
        <f>COMB_CORR!$D28</f>
        <v>2403005273.9999995</v>
      </c>
      <c r="G106" s="291">
        <f>COMB_CORR!$D28</f>
        <v>2403005273.9999995</v>
      </c>
      <c r="H106" s="291">
        <f>COMB_CORR!$I28</f>
        <v>910736845.10666049</v>
      </c>
      <c r="I106" s="291">
        <f>COMB_CORR!$I28</f>
        <v>910736845.10666049</v>
      </c>
      <c r="J106" s="291">
        <f>COMB_CORR!$N28*CORR!$BL27</f>
        <v>3313528588.1235609</v>
      </c>
      <c r="K106" s="291">
        <f>COMB_CORR!$N28*CORR!$BL27</f>
        <v>3313528588.1235609</v>
      </c>
      <c r="L106" s="291">
        <f>COMB_CORR!$N28*CORR!$BL27</f>
        <v>3313528588.1235609</v>
      </c>
      <c r="M106" s="291">
        <f>COMB_CORR!$N28*CORR!$BL27</f>
        <v>3313528588.1235609</v>
      </c>
      <c r="N106" s="291">
        <f>COMB_CORR!$N28*CORR!$BL27</f>
        <v>3313528588.1235609</v>
      </c>
      <c r="O106" s="291">
        <f>COMB_CORR!$N28*CORR!$BL27</f>
        <v>3313528588.1235609</v>
      </c>
      <c r="P106" s="291">
        <f>COMB_CORR!$N28*CORR!$BL27</f>
        <v>3313528588.1235609</v>
      </c>
      <c r="Q106" s="291">
        <f>COMB_CORR!$N28*CORR!$BL27</f>
        <v>3313528588.1235609</v>
      </c>
      <c r="R106" s="291">
        <f>COMB_CORR!S28</f>
        <v>32400120</v>
      </c>
    </row>
    <row r="107" spans="1:18">
      <c r="A107" s="127" t="s">
        <v>37</v>
      </c>
      <c r="B107" s="291">
        <f>COMB_CORR!$D29</f>
        <v>2813757284.0000005</v>
      </c>
      <c r="C107" s="291">
        <f>COMB_CORR!$D29</f>
        <v>2813757284.0000005</v>
      </c>
      <c r="D107" s="291">
        <f>COMB_CORR!$D29</f>
        <v>2813757284.0000005</v>
      </c>
      <c r="E107" s="291">
        <f>COMB_CORR!$D29</f>
        <v>2813757284.0000005</v>
      </c>
      <c r="F107" s="291">
        <f>COMB_CORR!$D29</f>
        <v>2813757284.0000005</v>
      </c>
      <c r="G107" s="291">
        <f>COMB_CORR!$D29</f>
        <v>2813757284.0000005</v>
      </c>
      <c r="H107" s="291">
        <f>COMB_CORR!$I29</f>
        <v>153914629.00487095</v>
      </c>
      <c r="I107" s="291">
        <f>COMB_CORR!$I29</f>
        <v>153914629.00487095</v>
      </c>
      <c r="J107" s="291">
        <f>COMB_CORR!$N29*CORR!$BL28</f>
        <v>2749935718.3126936</v>
      </c>
      <c r="K107" s="291">
        <f>COMB_CORR!$N29*CORR!$BL28</f>
        <v>2749935718.3126936</v>
      </c>
      <c r="L107" s="291">
        <f>COMB_CORR!$N29*CORR!$BL28</f>
        <v>2749935718.3126936</v>
      </c>
      <c r="M107" s="291">
        <f>COMB_CORR!$N29*CORR!$BL28</f>
        <v>2749935718.3126936</v>
      </c>
      <c r="N107" s="291">
        <f>COMB_CORR!$N29*CORR!$BL28</f>
        <v>2749935718.3126936</v>
      </c>
      <c r="O107" s="291">
        <f>COMB_CORR!$N29*CORR!$BL28</f>
        <v>2749935718.3126936</v>
      </c>
      <c r="P107" s="291">
        <f>COMB_CORR!$N29*CORR!$BL28</f>
        <v>2749935718.3126936</v>
      </c>
      <c r="Q107" s="291">
        <f>COMB_CORR!$N29*CORR!$BL28</f>
        <v>2749935718.3126936</v>
      </c>
      <c r="R107" s="291">
        <f>COMB_CORR!S29</f>
        <v>82084080</v>
      </c>
    </row>
    <row r="108" spans="1:18" ht="15.75" thickBot="1">
      <c r="A108" s="128" t="s">
        <v>38</v>
      </c>
      <c r="B108" s="291">
        <f>COMB_CORR!$D30</f>
        <v>2008653522</v>
      </c>
      <c r="C108" s="291">
        <f>COMB_CORR!$D30</f>
        <v>2008653522</v>
      </c>
      <c r="D108" s="291">
        <f>COMB_CORR!$D30</f>
        <v>2008653522</v>
      </c>
      <c r="E108" s="291">
        <f>COMB_CORR!$D30</f>
        <v>2008653522</v>
      </c>
      <c r="F108" s="291">
        <f>COMB_CORR!$D30</f>
        <v>2008653522</v>
      </c>
      <c r="G108" s="291">
        <f>COMB_CORR!$D30</f>
        <v>2008653522</v>
      </c>
      <c r="H108" s="291">
        <f>COMB_CORR!$I30</f>
        <v>138155440.56846187</v>
      </c>
      <c r="I108" s="291">
        <f>COMB_CORR!$I30</f>
        <v>138155440.56846187</v>
      </c>
      <c r="J108" s="291">
        <f>COMB_CORR!$N30*CORR!$BL29</f>
        <v>1818849449.1876791</v>
      </c>
      <c r="K108" s="291">
        <f>COMB_CORR!$N30*CORR!$BL29</f>
        <v>1818849449.1876791</v>
      </c>
      <c r="L108" s="291">
        <f>COMB_CORR!$N30*CORR!$BL29</f>
        <v>1818849449.1876791</v>
      </c>
      <c r="M108" s="291">
        <f>COMB_CORR!$N30*CORR!$BL29</f>
        <v>1818849449.1876791</v>
      </c>
      <c r="N108" s="291">
        <f>COMB_CORR!$N30*CORR!$BL29</f>
        <v>1818849449.1876791</v>
      </c>
      <c r="O108" s="291">
        <f>COMB_CORR!$N30*CORR!$BL29</f>
        <v>1818849449.1876791</v>
      </c>
      <c r="P108" s="291">
        <f>COMB_CORR!$N30*CORR!$BL29</f>
        <v>1818849449.1876791</v>
      </c>
      <c r="Q108" s="291">
        <f>COMB_CORR!$N30*CORR!$BL29</f>
        <v>1818849449.1876791</v>
      </c>
      <c r="R108" s="291">
        <f>COMB_CORR!S30</f>
        <v>134542890</v>
      </c>
    </row>
    <row r="109" spans="1:18" ht="25.5">
      <c r="A109" s="274" t="s">
        <v>73</v>
      </c>
      <c r="B109" s="291">
        <f>SUM(B110:B113)</f>
        <v>3299047369.9999995</v>
      </c>
      <c r="C109" s="291">
        <f t="shared" ref="C109" si="197">SUM(C110:C113)</f>
        <v>3299047369.9999995</v>
      </c>
      <c r="D109" s="291">
        <f t="shared" ref="D109" si="198">SUM(D110:D113)</f>
        <v>3299047369.9999995</v>
      </c>
      <c r="E109" s="291">
        <f t="shared" ref="E109" si="199">SUM(E110:E113)</f>
        <v>3299047369.9999995</v>
      </c>
      <c r="F109" s="291">
        <f t="shared" ref="F109" si="200">SUM(F110:F113)</f>
        <v>3299047369.9999995</v>
      </c>
      <c r="G109" s="291">
        <f t="shared" ref="G109" si="201">SUM(G110:G113)</f>
        <v>3299047369.9999995</v>
      </c>
      <c r="H109" s="291">
        <f t="shared" ref="H109" si="202">SUM(H110:H113)</f>
        <v>1384590230.4431043</v>
      </c>
      <c r="I109" s="291">
        <f t="shared" ref="I109" si="203">SUM(I110:I113)</f>
        <v>1384590230.4431043</v>
      </c>
      <c r="J109" s="291">
        <f t="shared" ref="J109" si="204">SUM(J110:J113)</f>
        <v>4619100840.7666092</v>
      </c>
      <c r="K109" s="291">
        <f t="shared" ref="K109" si="205">SUM(K110:K113)</f>
        <v>4619100840.7666092</v>
      </c>
      <c r="L109" s="291">
        <f t="shared" ref="L109" si="206">SUM(L110:L113)</f>
        <v>4619100840.7666092</v>
      </c>
      <c r="M109" s="291">
        <f t="shared" ref="M109" si="207">SUM(M110:M113)</f>
        <v>4619100840.7666092</v>
      </c>
      <c r="N109" s="291">
        <f t="shared" ref="N109" si="208">SUM(N110:N113)</f>
        <v>4619100840.7666092</v>
      </c>
      <c r="O109" s="291">
        <f t="shared" ref="O109" si="209">SUM(O110:O113)</f>
        <v>4619100840.7666092</v>
      </c>
      <c r="P109" s="291">
        <f t="shared" ref="P109" si="210">SUM(P110:P113)</f>
        <v>4619100840.7666092</v>
      </c>
      <c r="Q109" s="291">
        <f t="shared" ref="Q109" si="211">SUM(Q110:Q113)</f>
        <v>4619100840.7666092</v>
      </c>
      <c r="R109" s="291">
        <f t="shared" ref="R109" si="212">SUM(R110:R113)</f>
        <v>15702410</v>
      </c>
    </row>
    <row r="110" spans="1:18">
      <c r="A110" s="127" t="s">
        <v>40</v>
      </c>
      <c r="B110" s="291">
        <f>COMB_CORR!$D32</f>
        <v>1002018081.9999999</v>
      </c>
      <c r="C110" s="291">
        <f>COMB_CORR!$D32</f>
        <v>1002018081.9999999</v>
      </c>
      <c r="D110" s="291">
        <f>COMB_CORR!$D32</f>
        <v>1002018081.9999999</v>
      </c>
      <c r="E110" s="291">
        <f>COMB_CORR!$D32</f>
        <v>1002018081.9999999</v>
      </c>
      <c r="F110" s="291">
        <f>COMB_CORR!$D32</f>
        <v>1002018081.9999999</v>
      </c>
      <c r="G110" s="291">
        <f>COMB_CORR!$D32</f>
        <v>1002018081.9999999</v>
      </c>
      <c r="H110" s="291">
        <f>COMB_CORR!$I32</f>
        <v>94309308.75586772</v>
      </c>
      <c r="I110" s="291">
        <f>COMB_CORR!$I32</f>
        <v>94309308.75586772</v>
      </c>
      <c r="J110" s="291">
        <f>COMB_CORR!$N32*CORR!$BL31</f>
        <v>521290202.8988716</v>
      </c>
      <c r="K110" s="291">
        <f>COMB_CORR!$N32*CORR!$BL31</f>
        <v>521290202.8988716</v>
      </c>
      <c r="L110" s="291">
        <f>COMB_CORR!$N32*CORR!$BL31</f>
        <v>521290202.8988716</v>
      </c>
      <c r="M110" s="291">
        <f>COMB_CORR!$N32*CORR!$BL31</f>
        <v>521290202.8988716</v>
      </c>
      <c r="N110" s="291">
        <f>COMB_CORR!$N32*CORR!$BL31</f>
        <v>521290202.8988716</v>
      </c>
      <c r="O110" s="291">
        <f>COMB_CORR!$N32*CORR!$BL31</f>
        <v>521290202.8988716</v>
      </c>
      <c r="P110" s="291">
        <f>COMB_CORR!$N32*CORR!$BL31</f>
        <v>521290202.8988716</v>
      </c>
      <c r="Q110" s="291">
        <f>COMB_CORR!$N32*CORR!$BL31</f>
        <v>521290202.8988716</v>
      </c>
      <c r="R110" s="291">
        <f>COMB_CORR!S32</f>
        <v>4327510</v>
      </c>
    </row>
    <row r="111" spans="1:18">
      <c r="A111" s="127" t="s">
        <v>41</v>
      </c>
      <c r="B111" s="291">
        <f>COMB_CORR!$D33</f>
        <v>1256556805.9999998</v>
      </c>
      <c r="C111" s="291">
        <f>COMB_CORR!$D33</f>
        <v>1256556805.9999998</v>
      </c>
      <c r="D111" s="291">
        <f>COMB_CORR!$D33</f>
        <v>1256556805.9999998</v>
      </c>
      <c r="E111" s="291">
        <f>COMB_CORR!$D33</f>
        <v>1256556805.9999998</v>
      </c>
      <c r="F111" s="291">
        <f>COMB_CORR!$D33</f>
        <v>1256556805.9999998</v>
      </c>
      <c r="G111" s="291">
        <f>COMB_CORR!$D33</f>
        <v>1256556805.9999998</v>
      </c>
      <c r="H111" s="291">
        <f>COMB_CORR!$I33</f>
        <v>791416118.24589002</v>
      </c>
      <c r="I111" s="291">
        <f>COMB_CORR!$I33</f>
        <v>791416118.24589002</v>
      </c>
      <c r="J111" s="291">
        <f>COMB_CORR!$N33*CORR!$BL32</f>
        <v>1753403985.3149278</v>
      </c>
      <c r="K111" s="291">
        <f>COMB_CORR!$N33*CORR!$BL32</f>
        <v>1753403985.3149278</v>
      </c>
      <c r="L111" s="291">
        <f>COMB_CORR!$N33*CORR!$BL32</f>
        <v>1753403985.3149278</v>
      </c>
      <c r="M111" s="291">
        <f>COMB_CORR!$N33*CORR!$BL32</f>
        <v>1753403985.3149278</v>
      </c>
      <c r="N111" s="291">
        <f>COMB_CORR!$N33*CORR!$BL32</f>
        <v>1753403985.3149278</v>
      </c>
      <c r="O111" s="291">
        <f>COMB_CORR!$N33*CORR!$BL32</f>
        <v>1753403985.3149278</v>
      </c>
      <c r="P111" s="291">
        <f>COMB_CORR!$N33*CORR!$BL32</f>
        <v>1753403985.3149278</v>
      </c>
      <c r="Q111" s="291">
        <f>COMB_CORR!$N33*CORR!$BL32</f>
        <v>1753403985.3149278</v>
      </c>
      <c r="R111" s="291">
        <f>COMB_CORR!S33</f>
        <v>1196530</v>
      </c>
    </row>
    <row r="112" spans="1:18">
      <c r="A112" s="127" t="s">
        <v>42</v>
      </c>
      <c r="B112" s="291">
        <f>COMB_CORR!$D34</f>
        <v>488407839.99999994</v>
      </c>
      <c r="C112" s="291">
        <f>COMB_CORR!$D34</f>
        <v>488407839.99999994</v>
      </c>
      <c r="D112" s="291">
        <f>COMB_CORR!$D34</f>
        <v>488407839.99999994</v>
      </c>
      <c r="E112" s="291">
        <f>COMB_CORR!$D34</f>
        <v>488407839.99999994</v>
      </c>
      <c r="F112" s="291">
        <f>COMB_CORR!$D34</f>
        <v>488407839.99999994</v>
      </c>
      <c r="G112" s="291">
        <f>COMB_CORR!$D34</f>
        <v>488407839.99999994</v>
      </c>
      <c r="H112" s="291">
        <f>COMB_CORR!$I34</f>
        <v>380116895.05462533</v>
      </c>
      <c r="I112" s="291">
        <f>COMB_CORR!$I34</f>
        <v>380116895.05462533</v>
      </c>
      <c r="J112" s="291">
        <f>COMB_CORR!$N34*CORR!$BL33</f>
        <v>1419453303.9687619</v>
      </c>
      <c r="K112" s="291">
        <f>COMB_CORR!$N34*CORR!$BL33</f>
        <v>1419453303.9687619</v>
      </c>
      <c r="L112" s="291">
        <f>COMB_CORR!$N34*CORR!$BL33</f>
        <v>1419453303.9687619</v>
      </c>
      <c r="M112" s="291">
        <f>COMB_CORR!$N34*CORR!$BL33</f>
        <v>1419453303.9687619</v>
      </c>
      <c r="N112" s="291">
        <f>COMB_CORR!$N34*CORR!$BL33</f>
        <v>1419453303.9687619</v>
      </c>
      <c r="O112" s="291">
        <f>COMB_CORR!$N34*CORR!$BL33</f>
        <v>1419453303.9687619</v>
      </c>
      <c r="P112" s="291">
        <f>COMB_CORR!$N34*CORR!$BL33</f>
        <v>1419453303.9687619</v>
      </c>
      <c r="Q112" s="291">
        <f>COMB_CORR!$N34*CORR!$BL33</f>
        <v>1419453303.9687619</v>
      </c>
      <c r="R112" s="291">
        <f>COMB_CORR!S34</f>
        <v>2066260.0000000002</v>
      </c>
    </row>
    <row r="113" spans="1:18" ht="26.25" thickBot="1">
      <c r="A113" s="128" t="s">
        <v>43</v>
      </c>
      <c r="B113" s="291">
        <f>COMB_CORR!$D35</f>
        <v>552064642</v>
      </c>
      <c r="C113" s="291">
        <f>COMB_CORR!$D35</f>
        <v>552064642</v>
      </c>
      <c r="D113" s="291">
        <f>COMB_CORR!$D35</f>
        <v>552064642</v>
      </c>
      <c r="E113" s="291">
        <f>COMB_CORR!$D35</f>
        <v>552064642</v>
      </c>
      <c r="F113" s="291">
        <f>COMB_CORR!$D35</f>
        <v>552064642</v>
      </c>
      <c r="G113" s="291">
        <f>COMB_CORR!$D35</f>
        <v>552064642</v>
      </c>
      <c r="H113" s="291">
        <f>COMB_CORR!$I35</f>
        <v>118747908.38672119</v>
      </c>
      <c r="I113" s="291">
        <f>COMB_CORR!$I35</f>
        <v>118747908.38672119</v>
      </c>
      <c r="J113" s="291">
        <f>COMB_CORR!$N35*CORR!$BL34</f>
        <v>924953348.58404732</v>
      </c>
      <c r="K113" s="291">
        <f>COMB_CORR!$N35*CORR!$BL34</f>
        <v>924953348.58404732</v>
      </c>
      <c r="L113" s="291">
        <f>COMB_CORR!$N35*CORR!$BL34</f>
        <v>924953348.58404732</v>
      </c>
      <c r="M113" s="291">
        <f>COMB_CORR!$N35*CORR!$BL34</f>
        <v>924953348.58404732</v>
      </c>
      <c r="N113" s="291">
        <f>COMB_CORR!$N35*CORR!$BL34</f>
        <v>924953348.58404732</v>
      </c>
      <c r="O113" s="291">
        <f>COMB_CORR!$N35*CORR!$BL34</f>
        <v>924953348.58404732</v>
      </c>
      <c r="P113" s="291">
        <f>COMB_CORR!$N35*CORR!$BL34</f>
        <v>924953348.58404732</v>
      </c>
      <c r="Q113" s="291">
        <f>COMB_CORR!$N35*CORR!$BL34</f>
        <v>924953348.58404732</v>
      </c>
      <c r="R113" s="291">
        <f>COMB_CORR!S35</f>
        <v>8112110</v>
      </c>
    </row>
    <row r="114" spans="1:18" s="1" customFormat="1" ht="15.75" thickBot="1"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</row>
    <row r="115" spans="1:18" ht="15.75" customHeight="1" thickBot="1">
      <c r="A115" s="1051" t="s">
        <v>482</v>
      </c>
      <c r="B115" s="1054">
        <v>2007</v>
      </c>
      <c r="C115" s="1055"/>
      <c r="D115" s="1055"/>
      <c r="E115" s="1055"/>
      <c r="F115" s="1055"/>
      <c r="G115" s="1055"/>
      <c r="H115" s="1055"/>
      <c r="I115" s="1055"/>
      <c r="J115" s="1055"/>
      <c r="K115" s="1055"/>
      <c r="L115" s="1055"/>
      <c r="M115" s="1055"/>
      <c r="N115" s="1055"/>
      <c r="O115" s="1055"/>
      <c r="P115" s="1055"/>
      <c r="Q115" s="1055"/>
      <c r="R115" s="1078"/>
    </row>
    <row r="116" spans="1:18">
      <c r="A116" s="1052"/>
      <c r="B116" s="1060" t="s">
        <v>97</v>
      </c>
      <c r="C116" s="1061"/>
      <c r="D116" s="1061"/>
      <c r="E116" s="1061"/>
      <c r="F116" s="1061"/>
      <c r="G116" s="1061"/>
      <c r="H116" s="1061" t="s">
        <v>98</v>
      </c>
      <c r="I116" s="1061"/>
      <c r="J116" s="1061" t="s">
        <v>99</v>
      </c>
      <c r="K116" s="1061"/>
      <c r="L116" s="1061"/>
      <c r="M116" s="1061"/>
      <c r="N116" s="1061"/>
      <c r="O116" s="1061"/>
      <c r="P116" s="1061"/>
      <c r="Q116" s="1061"/>
      <c r="R116" s="289" t="s">
        <v>100</v>
      </c>
    </row>
    <row r="117" spans="1:18">
      <c r="A117" s="1052"/>
      <c r="B117" s="1062" t="s">
        <v>101</v>
      </c>
      <c r="C117" s="1064" t="s">
        <v>102</v>
      </c>
      <c r="D117" s="1064" t="s">
        <v>103</v>
      </c>
      <c r="E117" s="1064"/>
      <c r="F117" s="1064"/>
      <c r="G117" s="1064"/>
      <c r="H117" s="1062" t="s">
        <v>101</v>
      </c>
      <c r="I117" s="1064" t="s">
        <v>102</v>
      </c>
      <c r="J117" s="1064" t="s">
        <v>104</v>
      </c>
      <c r="K117" s="1064"/>
      <c r="L117" s="1064"/>
      <c r="M117" s="1064" t="s">
        <v>105</v>
      </c>
      <c r="N117" s="1064"/>
      <c r="O117" s="1064"/>
      <c r="P117" s="1062" t="s">
        <v>101</v>
      </c>
      <c r="Q117" s="1064" t="s">
        <v>102</v>
      </c>
      <c r="R117" s="1062" t="s">
        <v>101</v>
      </c>
    </row>
    <row r="118" spans="1:18" ht="21.75" customHeight="1" thickBot="1">
      <c r="A118" s="1053"/>
      <c r="B118" s="1063"/>
      <c r="C118" s="1065"/>
      <c r="D118" s="290" t="s">
        <v>106</v>
      </c>
      <c r="E118" s="290" t="s">
        <v>107</v>
      </c>
      <c r="F118" s="290" t="s">
        <v>108</v>
      </c>
      <c r="G118" s="290" t="s">
        <v>109</v>
      </c>
      <c r="H118" s="1063"/>
      <c r="I118" s="1065"/>
      <c r="J118" s="290" t="s">
        <v>110</v>
      </c>
      <c r="K118" s="290" t="s">
        <v>111</v>
      </c>
      <c r="L118" s="290" t="s">
        <v>112</v>
      </c>
      <c r="M118" s="290" t="s">
        <v>113</v>
      </c>
      <c r="N118" s="290" t="s">
        <v>114</v>
      </c>
      <c r="O118" s="290" t="s">
        <v>115</v>
      </c>
      <c r="P118" s="1063"/>
      <c r="Q118" s="1065"/>
      <c r="R118" s="1063"/>
    </row>
    <row r="119" spans="1:18" ht="15.75" thickBot="1">
      <c r="A119" s="164" t="s">
        <v>11</v>
      </c>
      <c r="B119" s="291">
        <f>B120+B128+B138+B143+B147</f>
        <v>39697714725</v>
      </c>
      <c r="C119" s="291">
        <f t="shared" ref="C119" si="213">C120+C128+C138+C143+C147</f>
        <v>39697714725</v>
      </c>
      <c r="D119" s="291">
        <f t="shared" ref="D119" si="214">D120+D128+D138+D143+D147</f>
        <v>39697714725</v>
      </c>
      <c r="E119" s="291">
        <f t="shared" ref="E119" si="215">E120+E128+E138+E143+E147</f>
        <v>39697714725</v>
      </c>
      <c r="F119" s="291">
        <f t="shared" ref="F119" si="216">F120+F128+F138+F143+F147</f>
        <v>39697714725</v>
      </c>
      <c r="G119" s="291">
        <f t="shared" ref="G119" si="217">G120+G128+G138+G143+G147</f>
        <v>39697714725</v>
      </c>
      <c r="H119" s="291">
        <f t="shared" ref="H119" si="218">H120+H128+H138+H143+H147</f>
        <v>11318999999.999998</v>
      </c>
      <c r="I119" s="291">
        <f t="shared" ref="I119" si="219">I120+I128+I138+I143+I147</f>
        <v>11318999999.999998</v>
      </c>
      <c r="J119" s="291">
        <f t="shared" ref="J119" si="220">J120+J128+J138+J143+J147</f>
        <v>44010279484.872383</v>
      </c>
      <c r="K119" s="291">
        <f t="shared" ref="K119" si="221">K120+K128+K138+K143+K147</f>
        <v>44010279484.872383</v>
      </c>
      <c r="L119" s="291">
        <f t="shared" ref="L119" si="222">L120+L128+L138+L143+L147</f>
        <v>44010279484.872383</v>
      </c>
      <c r="M119" s="291">
        <f t="shared" ref="M119" si="223">M120+M128+M138+M143+M147</f>
        <v>44010279484.872383</v>
      </c>
      <c r="N119" s="291">
        <f t="shared" ref="N119" si="224">N120+N128+N138+N143+N147</f>
        <v>44010279484.872383</v>
      </c>
      <c r="O119" s="291">
        <f t="shared" ref="O119" si="225">O120+O128+O138+O143+O147</f>
        <v>44010279484.872383</v>
      </c>
      <c r="P119" s="291">
        <f t="shared" ref="P119" si="226">P120+P128+P138+P143+P147</f>
        <v>44010279484.872383</v>
      </c>
      <c r="Q119" s="291">
        <f t="shared" ref="Q119" si="227">Q120+Q128+Q138+Q143+Q147</f>
        <v>44010279484.872383</v>
      </c>
      <c r="R119" s="291">
        <f t="shared" ref="R119" si="228">R120+R128+R138+R143+R147</f>
        <v>1947060300</v>
      </c>
    </row>
    <row r="120" spans="1:18">
      <c r="A120" s="269" t="s">
        <v>46</v>
      </c>
      <c r="B120" s="291">
        <f>SUM(B121:B127)</f>
        <v>2486780899</v>
      </c>
      <c r="C120" s="291">
        <f t="shared" ref="C120" si="229">SUM(C121:C127)</f>
        <v>2486780899</v>
      </c>
      <c r="D120" s="291">
        <f t="shared" ref="D120" si="230">SUM(D121:D127)</f>
        <v>2486780899</v>
      </c>
      <c r="E120" s="291">
        <f t="shared" ref="E120" si="231">SUM(E121:E127)</f>
        <v>2486780899</v>
      </c>
      <c r="F120" s="291">
        <f t="shared" ref="F120" si="232">SUM(F121:F127)</f>
        <v>2486780899</v>
      </c>
      <c r="G120" s="291">
        <f t="shared" ref="G120" si="233">SUM(G121:G127)</f>
        <v>2486780899</v>
      </c>
      <c r="H120" s="291">
        <f t="shared" ref="H120" si="234">SUM(H121:H127)</f>
        <v>148636347.54231113</v>
      </c>
      <c r="I120" s="291">
        <f t="shared" ref="I120" si="235">SUM(I121:I127)</f>
        <v>148636347.54231113</v>
      </c>
      <c r="J120" s="291">
        <f t="shared" ref="J120" si="236">SUM(J121:J127)</f>
        <v>4136040242.3440099</v>
      </c>
      <c r="K120" s="291">
        <f t="shared" ref="K120" si="237">SUM(K121:K127)</f>
        <v>4136040242.3440099</v>
      </c>
      <c r="L120" s="291">
        <f t="shared" ref="L120" si="238">SUM(L121:L127)</f>
        <v>4136040242.3440099</v>
      </c>
      <c r="M120" s="291">
        <f t="shared" ref="M120" si="239">SUM(M121:M127)</f>
        <v>4136040242.3440099</v>
      </c>
      <c r="N120" s="291">
        <f t="shared" ref="N120" si="240">SUM(N121:N127)</f>
        <v>4136040242.3440099</v>
      </c>
      <c r="O120" s="291">
        <f t="shared" ref="O120" si="241">SUM(O121:O127)</f>
        <v>4136040242.3440099</v>
      </c>
      <c r="P120" s="291">
        <f t="shared" ref="P120" si="242">SUM(P121:P127)</f>
        <v>4136040242.3440099</v>
      </c>
      <c r="Q120" s="291">
        <f t="shared" ref="Q120" si="243">SUM(Q121:Q127)</f>
        <v>4136040242.3440099</v>
      </c>
      <c r="R120" s="291">
        <f t="shared" ref="R120" si="244">SUM(R121:R127)</f>
        <v>2652690</v>
      </c>
    </row>
    <row r="121" spans="1:18">
      <c r="A121" s="127" t="s">
        <v>13</v>
      </c>
      <c r="B121" s="291">
        <f>COMB_CORR!$E5</f>
        <v>118891750</v>
      </c>
      <c r="C121" s="291">
        <f>COMB_CORR!$E5</f>
        <v>118891750</v>
      </c>
      <c r="D121" s="291">
        <f>COMB_CORR!$E5</f>
        <v>118891750</v>
      </c>
      <c r="E121" s="291">
        <f>COMB_CORR!$E5</f>
        <v>118891750</v>
      </c>
      <c r="F121" s="291">
        <f>COMB_CORR!$E5</f>
        <v>118891750</v>
      </c>
      <c r="G121" s="291">
        <f>COMB_CORR!$E5</f>
        <v>118891750</v>
      </c>
      <c r="H121" s="291">
        <f>COMB_CORR!$J5</f>
        <v>6602242.4398125773</v>
      </c>
      <c r="I121" s="291">
        <f>COMB_CORR!$J5</f>
        <v>6602242.4398125773</v>
      </c>
      <c r="J121" s="291">
        <f>COMB_CORR!$O5*CORR!$BM4</f>
        <v>188900223.6579839</v>
      </c>
      <c r="K121" s="291">
        <f>COMB_CORR!$O5*CORR!$BM4</f>
        <v>188900223.6579839</v>
      </c>
      <c r="L121" s="291">
        <f>COMB_CORR!$O5*CORR!$BM4</f>
        <v>188900223.6579839</v>
      </c>
      <c r="M121" s="291">
        <f>COMB_CORR!$O5*CORR!$BM4</f>
        <v>188900223.6579839</v>
      </c>
      <c r="N121" s="291">
        <f>COMB_CORR!$O5*CORR!$BM4</f>
        <v>188900223.6579839</v>
      </c>
      <c r="O121" s="291">
        <f>COMB_CORR!$O5*CORR!$BM4</f>
        <v>188900223.6579839</v>
      </c>
      <c r="P121" s="291">
        <f>COMB_CORR!$O5*CORR!$BM4</f>
        <v>188900223.6579839</v>
      </c>
      <c r="Q121" s="291">
        <f>COMB_CORR!$O5*CORR!$BM4</f>
        <v>188900223.6579839</v>
      </c>
      <c r="R121" s="291">
        <f>COMB_CORR!T5</f>
        <v>0</v>
      </c>
    </row>
    <row r="122" spans="1:18">
      <c r="A122" s="127" t="s">
        <v>14</v>
      </c>
      <c r="B122" s="291">
        <f>COMB_CORR!$E6</f>
        <v>127984499.99999999</v>
      </c>
      <c r="C122" s="291">
        <f>COMB_CORR!$E6</f>
        <v>127984499.99999999</v>
      </c>
      <c r="D122" s="291">
        <f>COMB_CORR!$E6</f>
        <v>127984499.99999999</v>
      </c>
      <c r="E122" s="291">
        <f>COMB_CORR!$E6</f>
        <v>127984499.99999999</v>
      </c>
      <c r="F122" s="291">
        <f>COMB_CORR!$E6</f>
        <v>127984499.99999999</v>
      </c>
      <c r="G122" s="291">
        <f>COMB_CORR!$E6</f>
        <v>127984499.99999999</v>
      </c>
      <c r="H122" s="291">
        <f>COMB_CORR!$J6</f>
        <v>3804730.9489030074</v>
      </c>
      <c r="I122" s="291">
        <f>COMB_CORR!$J6</f>
        <v>3804730.9489030074</v>
      </c>
      <c r="J122" s="291">
        <f>COMB_CORR!$O6*CORR!$BM5</f>
        <v>217654239.12775025</v>
      </c>
      <c r="K122" s="291">
        <f>COMB_CORR!$O6*CORR!$BM5</f>
        <v>217654239.12775025</v>
      </c>
      <c r="L122" s="291">
        <f>COMB_CORR!$O6*CORR!$BM5</f>
        <v>217654239.12775025</v>
      </c>
      <c r="M122" s="291">
        <f>COMB_CORR!$O6*CORR!$BM5</f>
        <v>217654239.12775025</v>
      </c>
      <c r="N122" s="291">
        <f>COMB_CORR!$O6*CORR!$BM5</f>
        <v>217654239.12775025</v>
      </c>
      <c r="O122" s="291">
        <f>COMB_CORR!$O6*CORR!$BM5</f>
        <v>217654239.12775025</v>
      </c>
      <c r="P122" s="291">
        <f>COMB_CORR!$O6*CORR!$BM5</f>
        <v>217654239.12775025</v>
      </c>
      <c r="Q122" s="291">
        <f>COMB_CORR!$O6*CORR!$BM5</f>
        <v>217654239.12775025</v>
      </c>
      <c r="R122" s="291">
        <f>COMB_CORR!T6</f>
        <v>0</v>
      </c>
    </row>
    <row r="123" spans="1:18">
      <c r="A123" s="127" t="s">
        <v>15</v>
      </c>
      <c r="B123" s="291">
        <f>COMB_CORR!$E7</f>
        <v>569396746</v>
      </c>
      <c r="C123" s="291">
        <f>COMB_CORR!$E7</f>
        <v>569396746</v>
      </c>
      <c r="D123" s="291">
        <f>COMB_CORR!$E7</f>
        <v>569396746</v>
      </c>
      <c r="E123" s="291">
        <f>COMB_CORR!$E7</f>
        <v>569396746</v>
      </c>
      <c r="F123" s="291">
        <f>COMB_CORR!$E7</f>
        <v>569396746</v>
      </c>
      <c r="G123" s="291">
        <f>COMB_CORR!$E7</f>
        <v>569396746</v>
      </c>
      <c r="H123" s="291">
        <f>COMB_CORR!$J7</f>
        <v>46044231.801135845</v>
      </c>
      <c r="I123" s="291">
        <f>COMB_CORR!$J7</f>
        <v>46044231.801135845</v>
      </c>
      <c r="J123" s="291">
        <f>COMB_CORR!$O7*CORR!$BM6</f>
        <v>658429407.11802304</v>
      </c>
      <c r="K123" s="291">
        <f>COMB_CORR!$O7*CORR!$BM6</f>
        <v>658429407.11802304</v>
      </c>
      <c r="L123" s="291">
        <f>COMB_CORR!$O7*CORR!$BM6</f>
        <v>658429407.11802304</v>
      </c>
      <c r="M123" s="291">
        <f>COMB_CORR!$O7*CORR!$BM6</f>
        <v>658429407.11802304</v>
      </c>
      <c r="N123" s="291">
        <f>COMB_CORR!$O7*CORR!$BM6</f>
        <v>658429407.11802304</v>
      </c>
      <c r="O123" s="291">
        <f>COMB_CORR!$O7*CORR!$BM6</f>
        <v>658429407.11802304</v>
      </c>
      <c r="P123" s="291">
        <f>COMB_CORR!$O7*CORR!$BM6</f>
        <v>658429407.11802304</v>
      </c>
      <c r="Q123" s="291">
        <f>COMB_CORR!$O7*CORR!$BM6</f>
        <v>658429407.11802304</v>
      </c>
      <c r="R123" s="291">
        <f>COMB_CORR!T7</f>
        <v>2652690</v>
      </c>
    </row>
    <row r="124" spans="1:18">
      <c r="A124" s="127" t="s">
        <v>16</v>
      </c>
      <c r="B124" s="291">
        <f>COMB_CORR!$E8</f>
        <v>909505429.00000012</v>
      </c>
      <c r="C124" s="291">
        <f>COMB_CORR!$E8</f>
        <v>909505429.00000012</v>
      </c>
      <c r="D124" s="291">
        <f>COMB_CORR!$E8</f>
        <v>909505429.00000012</v>
      </c>
      <c r="E124" s="291">
        <f>COMB_CORR!$E8</f>
        <v>909505429.00000012</v>
      </c>
      <c r="F124" s="291">
        <f>COMB_CORR!$E8</f>
        <v>909505429.00000012</v>
      </c>
      <c r="G124" s="291">
        <f>COMB_CORR!$E8</f>
        <v>909505429.00000012</v>
      </c>
      <c r="H124" s="291">
        <f>COMB_CORR!$J8</f>
        <v>35295181.555488221</v>
      </c>
      <c r="I124" s="291">
        <f>COMB_CORR!$J8</f>
        <v>35295181.555488221</v>
      </c>
      <c r="J124" s="291">
        <f>COMB_CORR!$O8*CORR!$BM7</f>
        <v>1698233289.4169972</v>
      </c>
      <c r="K124" s="291">
        <f>COMB_CORR!$O8*CORR!$BM7</f>
        <v>1698233289.4169972</v>
      </c>
      <c r="L124" s="291">
        <f>COMB_CORR!$O8*CORR!$BM7</f>
        <v>1698233289.4169972</v>
      </c>
      <c r="M124" s="291">
        <f>COMB_CORR!$O8*CORR!$BM7</f>
        <v>1698233289.4169972</v>
      </c>
      <c r="N124" s="291">
        <f>COMB_CORR!$O8*CORR!$BM7</f>
        <v>1698233289.4169972</v>
      </c>
      <c r="O124" s="291">
        <f>COMB_CORR!$O8*CORR!$BM7</f>
        <v>1698233289.4169972</v>
      </c>
      <c r="P124" s="291">
        <f>COMB_CORR!$O8*CORR!$BM7</f>
        <v>1698233289.4169972</v>
      </c>
      <c r="Q124" s="291">
        <f>COMB_CORR!$O8*CORR!$BM7</f>
        <v>1698233289.4169972</v>
      </c>
      <c r="R124" s="291">
        <f>COMB_CORR!T8</f>
        <v>0</v>
      </c>
    </row>
    <row r="125" spans="1:18">
      <c r="A125" s="127" t="s">
        <v>17</v>
      </c>
      <c r="B125" s="291">
        <f>COMB_CORR!$E9</f>
        <v>365370290.00000006</v>
      </c>
      <c r="C125" s="291">
        <f>COMB_CORR!$E9</f>
        <v>365370290.00000006</v>
      </c>
      <c r="D125" s="291">
        <f>COMB_CORR!$E9</f>
        <v>365370290.00000006</v>
      </c>
      <c r="E125" s="291">
        <f>COMB_CORR!$E9</f>
        <v>365370290.00000006</v>
      </c>
      <c r="F125" s="291">
        <f>COMB_CORR!$E9</f>
        <v>365370290.00000006</v>
      </c>
      <c r="G125" s="291">
        <f>COMB_CORR!$E9</f>
        <v>365370290.00000006</v>
      </c>
      <c r="H125" s="291">
        <f>COMB_CORR!$J9</f>
        <v>22633772.258636855</v>
      </c>
      <c r="I125" s="291">
        <f>COMB_CORR!$J9</f>
        <v>22633772.258636855</v>
      </c>
      <c r="J125" s="291">
        <f>COMB_CORR!$O9*CORR!$BM8</f>
        <v>664204036.73517036</v>
      </c>
      <c r="K125" s="291">
        <f>COMB_CORR!$O9*CORR!$BM8</f>
        <v>664204036.73517036</v>
      </c>
      <c r="L125" s="291">
        <f>COMB_CORR!$O9*CORR!$BM8</f>
        <v>664204036.73517036</v>
      </c>
      <c r="M125" s="291">
        <f>COMB_CORR!$O9*CORR!$BM8</f>
        <v>664204036.73517036</v>
      </c>
      <c r="N125" s="291">
        <f>COMB_CORR!$O9*CORR!$BM8</f>
        <v>664204036.73517036</v>
      </c>
      <c r="O125" s="291">
        <f>COMB_CORR!$O9*CORR!$BM8</f>
        <v>664204036.73517036</v>
      </c>
      <c r="P125" s="291">
        <f>COMB_CORR!$O9*CORR!$BM8</f>
        <v>664204036.73517036</v>
      </c>
      <c r="Q125" s="291">
        <f>COMB_CORR!$O9*CORR!$BM8</f>
        <v>664204036.73517036</v>
      </c>
      <c r="R125" s="291">
        <f>COMB_CORR!T9</f>
        <v>0</v>
      </c>
    </row>
    <row r="126" spans="1:18">
      <c r="A126" s="127" t="s">
        <v>18</v>
      </c>
      <c r="B126" s="291">
        <f>COMB_CORR!$E10</f>
        <v>99430000</v>
      </c>
      <c r="C126" s="291">
        <f>COMB_CORR!$E10</f>
        <v>99430000</v>
      </c>
      <c r="D126" s="291">
        <f>COMB_CORR!$E10</f>
        <v>99430000</v>
      </c>
      <c r="E126" s="291">
        <f>COMB_CORR!$E10</f>
        <v>99430000</v>
      </c>
      <c r="F126" s="291">
        <f>COMB_CORR!$E10</f>
        <v>99430000</v>
      </c>
      <c r="G126" s="291">
        <f>COMB_CORR!$E10</f>
        <v>99430000</v>
      </c>
      <c r="H126" s="291">
        <f>COMB_CORR!$J10</f>
        <v>2216418.9146954557</v>
      </c>
      <c r="I126" s="291">
        <f>COMB_CORR!$J10</f>
        <v>2216418.9146954557</v>
      </c>
      <c r="J126" s="291">
        <f>COMB_CORR!$O10*CORR!$BM9</f>
        <v>92745871.542329609</v>
      </c>
      <c r="K126" s="291">
        <f>COMB_CORR!$O10*CORR!$BM9</f>
        <v>92745871.542329609</v>
      </c>
      <c r="L126" s="291">
        <f>COMB_CORR!$O10*CORR!$BM9</f>
        <v>92745871.542329609</v>
      </c>
      <c r="M126" s="291">
        <f>COMB_CORR!$O10*CORR!$BM9</f>
        <v>92745871.542329609</v>
      </c>
      <c r="N126" s="291">
        <f>COMB_CORR!$O10*CORR!$BM9</f>
        <v>92745871.542329609</v>
      </c>
      <c r="O126" s="291">
        <f>COMB_CORR!$O10*CORR!$BM9</f>
        <v>92745871.542329609</v>
      </c>
      <c r="P126" s="291">
        <f>COMB_CORR!$O10*CORR!$BM9</f>
        <v>92745871.542329609</v>
      </c>
      <c r="Q126" s="291">
        <f>COMB_CORR!$O10*CORR!$BM9</f>
        <v>92745871.542329609</v>
      </c>
      <c r="R126" s="291">
        <f>COMB_CORR!T10</f>
        <v>0</v>
      </c>
    </row>
    <row r="127" spans="1:18" ht="15.75" thickBot="1">
      <c r="A127" s="128" t="s">
        <v>19</v>
      </c>
      <c r="B127" s="291">
        <f>COMB_CORR!$E11</f>
        <v>296202184</v>
      </c>
      <c r="C127" s="291">
        <f>COMB_CORR!$E11</f>
        <v>296202184</v>
      </c>
      <c r="D127" s="291">
        <f>COMB_CORR!$E11</f>
        <v>296202184</v>
      </c>
      <c r="E127" s="291">
        <f>COMB_CORR!$E11</f>
        <v>296202184</v>
      </c>
      <c r="F127" s="291">
        <f>COMB_CORR!$E11</f>
        <v>296202184</v>
      </c>
      <c r="G127" s="291">
        <f>COMB_CORR!$E11</f>
        <v>296202184</v>
      </c>
      <c r="H127" s="291">
        <f>COMB_CORR!$J11</f>
        <v>32039769.623639163</v>
      </c>
      <c r="I127" s="291">
        <f>COMB_CORR!$J11</f>
        <v>32039769.623639163</v>
      </c>
      <c r="J127" s="291">
        <f>COMB_CORR!$O11*CORR!$BM10</f>
        <v>615873174.7457552</v>
      </c>
      <c r="K127" s="291">
        <f>COMB_CORR!$O11*CORR!$BM10</f>
        <v>615873174.7457552</v>
      </c>
      <c r="L127" s="291">
        <f>COMB_CORR!$O11*CORR!$BM10</f>
        <v>615873174.7457552</v>
      </c>
      <c r="M127" s="291">
        <f>COMB_CORR!$O11*CORR!$BM10</f>
        <v>615873174.7457552</v>
      </c>
      <c r="N127" s="291">
        <f>COMB_CORR!$O11*CORR!$BM10</f>
        <v>615873174.7457552</v>
      </c>
      <c r="O127" s="291">
        <f>COMB_CORR!$O11*CORR!$BM10</f>
        <v>615873174.7457552</v>
      </c>
      <c r="P127" s="291">
        <f>COMB_CORR!$O11*CORR!$BM10</f>
        <v>615873174.7457552</v>
      </c>
      <c r="Q127" s="291">
        <f>COMB_CORR!$O11*CORR!$BM10</f>
        <v>615873174.7457552</v>
      </c>
      <c r="R127" s="291">
        <f>COMB_CORR!T11</f>
        <v>0</v>
      </c>
    </row>
    <row r="128" spans="1:18">
      <c r="A128" s="269" t="s">
        <v>54</v>
      </c>
      <c r="B128" s="291">
        <f>SUM(B129:B137)</f>
        <v>7313574522</v>
      </c>
      <c r="C128" s="291">
        <f t="shared" ref="C128" si="245">SUM(C129:C137)</f>
        <v>7313574522</v>
      </c>
      <c r="D128" s="291">
        <f t="shared" ref="D128" si="246">SUM(D129:D137)</f>
        <v>7313574522</v>
      </c>
      <c r="E128" s="291">
        <f t="shared" ref="E128" si="247">SUM(E129:E137)</f>
        <v>7313574522</v>
      </c>
      <c r="F128" s="291">
        <f t="shared" ref="F128" si="248">SUM(F129:F137)</f>
        <v>7313574522</v>
      </c>
      <c r="G128" s="291">
        <f t="shared" ref="G128" si="249">SUM(G129:G137)</f>
        <v>7313574522</v>
      </c>
      <c r="H128" s="291">
        <f t="shared" ref="H128" si="250">SUM(H129:H137)</f>
        <v>741909562.66167021</v>
      </c>
      <c r="I128" s="291">
        <f t="shared" ref="I128" si="251">SUM(I129:I137)</f>
        <v>741909562.66167021</v>
      </c>
      <c r="J128" s="291">
        <f t="shared" ref="J128" si="252">SUM(J129:J137)</f>
        <v>7160828440.4576035</v>
      </c>
      <c r="K128" s="291">
        <f t="shared" ref="K128" si="253">SUM(K129:K137)</f>
        <v>7160828440.4576035</v>
      </c>
      <c r="L128" s="291">
        <f t="shared" ref="L128" si="254">SUM(L129:L137)</f>
        <v>7160828440.4576035</v>
      </c>
      <c r="M128" s="291">
        <f t="shared" ref="M128" si="255">SUM(M129:M137)</f>
        <v>7160828440.4576035</v>
      </c>
      <c r="N128" s="291">
        <f t="shared" ref="N128" si="256">SUM(N129:N137)</f>
        <v>7160828440.4576035</v>
      </c>
      <c r="O128" s="291">
        <f t="shared" ref="O128" si="257">SUM(O129:O137)</f>
        <v>7160828440.4576035</v>
      </c>
      <c r="P128" s="291">
        <f t="shared" ref="P128" si="258">SUM(P129:P137)</f>
        <v>7160828440.4576035</v>
      </c>
      <c r="Q128" s="291">
        <f t="shared" ref="Q128" si="259">SUM(Q129:Q137)</f>
        <v>7160828440.4576035</v>
      </c>
      <c r="R128" s="291">
        <f t="shared" ref="R128" si="260">SUM(R129:R137)</f>
        <v>342221680</v>
      </c>
    </row>
    <row r="129" spans="1:18">
      <c r="A129" s="127" t="s">
        <v>21</v>
      </c>
      <c r="B129" s="291">
        <f>COMB_CORR!$E13</f>
        <v>363832649</v>
      </c>
      <c r="C129" s="291">
        <f>COMB_CORR!$E13</f>
        <v>363832649</v>
      </c>
      <c r="D129" s="291">
        <f>COMB_CORR!$E13</f>
        <v>363832649</v>
      </c>
      <c r="E129" s="291">
        <f>COMB_CORR!$E13</f>
        <v>363832649</v>
      </c>
      <c r="F129" s="291">
        <f>COMB_CORR!$E13</f>
        <v>363832649</v>
      </c>
      <c r="G129" s="291">
        <f>COMB_CORR!$E13</f>
        <v>363832649</v>
      </c>
      <c r="H129" s="291">
        <f>COMB_CORR!$J13</f>
        <v>45451645.892149344</v>
      </c>
      <c r="I129" s="291">
        <f>COMB_CORR!$J13</f>
        <v>45451645.892149344</v>
      </c>
      <c r="J129" s="291">
        <f>COMB_CORR!$O13*CORR!$BM12</f>
        <v>290184350.25871325</v>
      </c>
      <c r="K129" s="291">
        <f>COMB_CORR!$O13*CORR!$BM12</f>
        <v>290184350.25871325</v>
      </c>
      <c r="L129" s="291">
        <f>COMB_CORR!$O13*CORR!$BM12</f>
        <v>290184350.25871325</v>
      </c>
      <c r="M129" s="291">
        <f>COMB_CORR!$O13*CORR!$BM12</f>
        <v>290184350.25871325</v>
      </c>
      <c r="N129" s="291">
        <f>COMB_CORR!$O13*CORR!$BM12</f>
        <v>290184350.25871325</v>
      </c>
      <c r="O129" s="291">
        <f>COMB_CORR!$O13*CORR!$BM12</f>
        <v>290184350.25871325</v>
      </c>
      <c r="P129" s="291">
        <f>COMB_CORR!$O13*CORR!$BM12</f>
        <v>290184350.25871325</v>
      </c>
      <c r="Q129" s="291">
        <f>COMB_CORR!$O13*CORR!$BM12</f>
        <v>290184350.25871325</v>
      </c>
      <c r="R129" s="291">
        <f>COMB_CORR!T13</f>
        <v>36129090.000000007</v>
      </c>
    </row>
    <row r="130" spans="1:18">
      <c r="A130" s="127" t="s">
        <v>22</v>
      </c>
      <c r="B130" s="291">
        <f>COMB_CORR!$E14</f>
        <v>1842729921</v>
      </c>
      <c r="C130" s="291">
        <f>COMB_CORR!$E14</f>
        <v>1842729921</v>
      </c>
      <c r="D130" s="291">
        <f>COMB_CORR!$E14</f>
        <v>1842729921</v>
      </c>
      <c r="E130" s="291">
        <f>COMB_CORR!$E14</f>
        <v>1842729921</v>
      </c>
      <c r="F130" s="291">
        <f>COMB_CORR!$E14</f>
        <v>1842729921</v>
      </c>
      <c r="G130" s="291">
        <f>COMB_CORR!$E14</f>
        <v>1842729921</v>
      </c>
      <c r="H130" s="291">
        <f>COMB_CORR!$J14</f>
        <v>227079467.84247327</v>
      </c>
      <c r="I130" s="291">
        <f>COMB_CORR!$J14</f>
        <v>227079467.84247327</v>
      </c>
      <c r="J130" s="291">
        <f>COMB_CORR!$O14*CORR!$BM13</f>
        <v>2656784014.4182811</v>
      </c>
      <c r="K130" s="291">
        <f>COMB_CORR!$O14*CORR!$BM13</f>
        <v>2656784014.4182811</v>
      </c>
      <c r="L130" s="291">
        <f>COMB_CORR!$O14*CORR!$BM13</f>
        <v>2656784014.4182811</v>
      </c>
      <c r="M130" s="291">
        <f>COMB_CORR!$O14*CORR!$BM13</f>
        <v>2656784014.4182811</v>
      </c>
      <c r="N130" s="291">
        <f>COMB_CORR!$O14*CORR!$BM13</f>
        <v>2656784014.4182811</v>
      </c>
      <c r="O130" s="291">
        <f>COMB_CORR!$O14*CORR!$BM13</f>
        <v>2656784014.4182811</v>
      </c>
      <c r="P130" s="291">
        <f>COMB_CORR!$O14*CORR!$BM13</f>
        <v>2656784014.4182811</v>
      </c>
      <c r="Q130" s="291">
        <f>COMB_CORR!$O14*CORR!$BM13</f>
        <v>2656784014.4182811</v>
      </c>
      <c r="R130" s="291">
        <f>COMB_CORR!T14</f>
        <v>71336349.999999985</v>
      </c>
    </row>
    <row r="131" spans="1:18">
      <c r="A131" s="127" t="s">
        <v>23</v>
      </c>
      <c r="B131" s="291">
        <f>COMB_CORR!$E15</f>
        <v>1120767704.0000002</v>
      </c>
      <c r="C131" s="291">
        <f>COMB_CORR!$E15</f>
        <v>1120767704.0000002</v>
      </c>
      <c r="D131" s="291">
        <f>COMB_CORR!$E15</f>
        <v>1120767704.0000002</v>
      </c>
      <c r="E131" s="291">
        <f>COMB_CORR!$E15</f>
        <v>1120767704.0000002</v>
      </c>
      <c r="F131" s="291">
        <f>COMB_CORR!$E15</f>
        <v>1120767704.0000002</v>
      </c>
      <c r="G131" s="291">
        <f>COMB_CORR!$E15</f>
        <v>1120767704.0000002</v>
      </c>
      <c r="H131" s="291">
        <f>COMB_CORR!$J15</f>
        <v>107348020.90511753</v>
      </c>
      <c r="I131" s="291">
        <f>COMB_CORR!$J15</f>
        <v>107348020.90511753</v>
      </c>
      <c r="J131" s="291">
        <f>COMB_CORR!$O15*CORR!$BM14</f>
        <v>914777005.71911216</v>
      </c>
      <c r="K131" s="291">
        <f>COMB_CORR!$O15*CORR!$BM14</f>
        <v>914777005.71911216</v>
      </c>
      <c r="L131" s="291">
        <f>COMB_CORR!$O15*CORR!$BM14</f>
        <v>914777005.71911216</v>
      </c>
      <c r="M131" s="291">
        <f>COMB_CORR!$O15*CORR!$BM14</f>
        <v>914777005.71911216</v>
      </c>
      <c r="N131" s="291">
        <f>COMB_CORR!$O15*CORR!$BM14</f>
        <v>914777005.71911216</v>
      </c>
      <c r="O131" s="291">
        <f>COMB_CORR!$O15*CORR!$BM14</f>
        <v>914777005.71911216</v>
      </c>
      <c r="P131" s="291">
        <f>COMB_CORR!$O15*CORR!$BM14</f>
        <v>914777005.71911216</v>
      </c>
      <c r="Q131" s="291">
        <f>COMB_CORR!$O15*CORR!$BM14</f>
        <v>914777005.71911216</v>
      </c>
      <c r="R131" s="291">
        <f>COMB_CORR!T15</f>
        <v>57434770</v>
      </c>
    </row>
    <row r="132" spans="1:18">
      <c r="A132" s="127" t="s">
        <v>24</v>
      </c>
      <c r="B132" s="291">
        <f>COMB_CORR!$E16</f>
        <v>750762899.99999988</v>
      </c>
      <c r="C132" s="291">
        <f>COMB_CORR!$E16</f>
        <v>750762899.99999988</v>
      </c>
      <c r="D132" s="291">
        <f>COMB_CORR!$E16</f>
        <v>750762899.99999988</v>
      </c>
      <c r="E132" s="291">
        <f>COMB_CORR!$E16</f>
        <v>750762899.99999988</v>
      </c>
      <c r="F132" s="291">
        <f>COMB_CORR!$E16</f>
        <v>750762899.99999988</v>
      </c>
      <c r="G132" s="291">
        <f>COMB_CORR!$E16</f>
        <v>750762899.99999988</v>
      </c>
      <c r="H132" s="291">
        <f>COMB_CORR!$J16</f>
        <v>27392683.382523179</v>
      </c>
      <c r="I132" s="291">
        <f>COMB_CORR!$J16</f>
        <v>27392683.382523179</v>
      </c>
      <c r="J132" s="291">
        <f>COMB_CORR!$O16*CORR!$BM15</f>
        <v>486933606.52612561</v>
      </c>
      <c r="K132" s="291">
        <f>COMB_CORR!$O16*CORR!$BM15</f>
        <v>486933606.52612561</v>
      </c>
      <c r="L132" s="291">
        <f>COMB_CORR!$O16*CORR!$BM15</f>
        <v>486933606.52612561</v>
      </c>
      <c r="M132" s="291">
        <f>COMB_CORR!$O16*CORR!$BM15</f>
        <v>486933606.52612561</v>
      </c>
      <c r="N132" s="291">
        <f>COMB_CORR!$O16*CORR!$BM15</f>
        <v>486933606.52612561</v>
      </c>
      <c r="O132" s="291">
        <f>COMB_CORR!$O16*CORR!$BM15</f>
        <v>486933606.52612561</v>
      </c>
      <c r="P132" s="291">
        <f>COMB_CORR!$O16*CORR!$BM15</f>
        <v>486933606.52612561</v>
      </c>
      <c r="Q132" s="291">
        <f>COMB_CORR!$O16*CORR!$BM15</f>
        <v>486933606.52612561</v>
      </c>
      <c r="R132" s="291">
        <f>COMB_CORR!T16</f>
        <v>0</v>
      </c>
    </row>
    <row r="133" spans="1:18">
      <c r="A133" s="127" t="s">
        <v>25</v>
      </c>
      <c r="B133" s="291">
        <f>COMB_CORR!$E17</f>
        <v>588349213.99999988</v>
      </c>
      <c r="C133" s="291">
        <f>COMB_CORR!$E17</f>
        <v>588349213.99999988</v>
      </c>
      <c r="D133" s="291">
        <f>COMB_CORR!$E17</f>
        <v>588349213.99999988</v>
      </c>
      <c r="E133" s="291">
        <f>COMB_CORR!$E17</f>
        <v>588349213.99999988</v>
      </c>
      <c r="F133" s="291">
        <f>COMB_CORR!$E17</f>
        <v>588349213.99999988</v>
      </c>
      <c r="G133" s="291">
        <f>COMB_CORR!$E17</f>
        <v>588349213.99999988</v>
      </c>
      <c r="H133" s="291">
        <f>COMB_CORR!$J17</f>
        <v>51385258.816841505</v>
      </c>
      <c r="I133" s="291">
        <f>COMB_CORR!$J17</f>
        <v>51385258.816841505</v>
      </c>
      <c r="J133" s="291">
        <f>COMB_CORR!$O17*CORR!$BM16</f>
        <v>384174958.56820464</v>
      </c>
      <c r="K133" s="291">
        <f>COMB_CORR!$O17*CORR!$BM16</f>
        <v>384174958.56820464</v>
      </c>
      <c r="L133" s="291">
        <f>COMB_CORR!$O17*CORR!$BM16</f>
        <v>384174958.56820464</v>
      </c>
      <c r="M133" s="291">
        <f>COMB_CORR!$O17*CORR!$BM16</f>
        <v>384174958.56820464</v>
      </c>
      <c r="N133" s="291">
        <f>COMB_CORR!$O17*CORR!$BM16</f>
        <v>384174958.56820464</v>
      </c>
      <c r="O133" s="291">
        <f>COMB_CORR!$O17*CORR!$BM16</f>
        <v>384174958.56820464</v>
      </c>
      <c r="P133" s="291">
        <f>COMB_CORR!$O17*CORR!$BM16</f>
        <v>384174958.56820464</v>
      </c>
      <c r="Q133" s="291">
        <f>COMB_CORR!$O17*CORR!$BM16</f>
        <v>384174958.56820464</v>
      </c>
      <c r="R133" s="291">
        <f>COMB_CORR!T17</f>
        <v>31886719.999999996</v>
      </c>
    </row>
    <row r="134" spans="1:18">
      <c r="A134" s="127" t="s">
        <v>26</v>
      </c>
      <c r="B134" s="291">
        <f>COMB_CORR!$E18</f>
        <v>1290226164</v>
      </c>
      <c r="C134" s="291">
        <f>COMB_CORR!$E18</f>
        <v>1290226164</v>
      </c>
      <c r="D134" s="291">
        <f>COMB_CORR!$E18</f>
        <v>1290226164</v>
      </c>
      <c r="E134" s="291">
        <f>COMB_CORR!$E18</f>
        <v>1290226164</v>
      </c>
      <c r="F134" s="291">
        <f>COMB_CORR!$E18</f>
        <v>1290226164</v>
      </c>
      <c r="G134" s="291">
        <f>COMB_CORR!$E18</f>
        <v>1290226164</v>
      </c>
      <c r="H134" s="291">
        <f>COMB_CORR!$J18</f>
        <v>187698736.0385313</v>
      </c>
      <c r="I134" s="291">
        <f>COMB_CORR!$J18</f>
        <v>187698736.0385313</v>
      </c>
      <c r="J134" s="291">
        <f>COMB_CORR!$O18*CORR!$BM17</f>
        <v>1258724104.647471</v>
      </c>
      <c r="K134" s="291">
        <f>COMB_CORR!$O18*CORR!$BM17</f>
        <v>1258724104.647471</v>
      </c>
      <c r="L134" s="291">
        <f>COMB_CORR!$O18*CORR!$BM17</f>
        <v>1258724104.647471</v>
      </c>
      <c r="M134" s="291">
        <f>COMB_CORR!$O18*CORR!$BM17</f>
        <v>1258724104.647471</v>
      </c>
      <c r="N134" s="291">
        <f>COMB_CORR!$O18*CORR!$BM17</f>
        <v>1258724104.647471</v>
      </c>
      <c r="O134" s="291">
        <f>COMB_CORR!$O18*CORR!$BM17</f>
        <v>1258724104.647471</v>
      </c>
      <c r="P134" s="291">
        <f>COMB_CORR!$O18*CORR!$BM17</f>
        <v>1258724104.647471</v>
      </c>
      <c r="Q134" s="291">
        <f>COMB_CORR!$O18*CORR!$BM17</f>
        <v>1258724104.647471</v>
      </c>
      <c r="R134" s="291">
        <f>COMB_CORR!T18</f>
        <v>60438590.000000007</v>
      </c>
    </row>
    <row r="135" spans="1:18">
      <c r="A135" s="127" t="s">
        <v>27</v>
      </c>
      <c r="B135" s="291">
        <f>COMB_CORR!$E19</f>
        <v>454910226</v>
      </c>
      <c r="C135" s="291">
        <f>COMB_CORR!$E19</f>
        <v>454910226</v>
      </c>
      <c r="D135" s="291">
        <f>COMB_CORR!$E19</f>
        <v>454910226</v>
      </c>
      <c r="E135" s="291">
        <f>COMB_CORR!$E19</f>
        <v>454910226</v>
      </c>
      <c r="F135" s="291">
        <f>COMB_CORR!$E19</f>
        <v>454910226</v>
      </c>
      <c r="G135" s="291">
        <f>COMB_CORR!$E19</f>
        <v>454910226</v>
      </c>
      <c r="H135" s="291">
        <f>COMB_CORR!$J19</f>
        <v>18363688.829700615</v>
      </c>
      <c r="I135" s="291">
        <f>COMB_CORR!$J19</f>
        <v>18363688.829700615</v>
      </c>
      <c r="J135" s="291">
        <f>COMB_CORR!$O19*CORR!$BM18</f>
        <v>426304901.53498852</v>
      </c>
      <c r="K135" s="291">
        <f>COMB_CORR!$O19*CORR!$BM18</f>
        <v>426304901.53498852</v>
      </c>
      <c r="L135" s="291">
        <f>COMB_CORR!$O19*CORR!$BM18</f>
        <v>426304901.53498852</v>
      </c>
      <c r="M135" s="291">
        <f>COMB_CORR!$O19*CORR!$BM18</f>
        <v>426304901.53498852</v>
      </c>
      <c r="N135" s="291">
        <f>COMB_CORR!$O19*CORR!$BM18</f>
        <v>426304901.53498852</v>
      </c>
      <c r="O135" s="291">
        <f>COMB_CORR!$O19*CORR!$BM18</f>
        <v>426304901.53498852</v>
      </c>
      <c r="P135" s="291">
        <f>COMB_CORR!$O19*CORR!$BM18</f>
        <v>426304901.53498852</v>
      </c>
      <c r="Q135" s="291">
        <f>COMB_CORR!$O19*CORR!$BM18</f>
        <v>426304901.53498852</v>
      </c>
      <c r="R135" s="291">
        <f>COMB_CORR!T19</f>
        <v>0</v>
      </c>
    </row>
    <row r="136" spans="1:18" ht="25.5">
      <c r="A136" s="127" t="s">
        <v>28</v>
      </c>
      <c r="B136" s="291">
        <f>COMB_CORR!$E20</f>
        <v>561903619.00000012</v>
      </c>
      <c r="C136" s="291">
        <f>COMB_CORR!$E20</f>
        <v>561903619.00000012</v>
      </c>
      <c r="D136" s="291">
        <f>COMB_CORR!$E20</f>
        <v>561903619.00000012</v>
      </c>
      <c r="E136" s="291">
        <f>COMB_CORR!$E20</f>
        <v>561903619.00000012</v>
      </c>
      <c r="F136" s="291">
        <f>COMB_CORR!$E20</f>
        <v>561903619.00000012</v>
      </c>
      <c r="G136" s="291">
        <f>COMB_CORR!$E20</f>
        <v>561903619.00000012</v>
      </c>
      <c r="H136" s="291">
        <f>COMB_CORR!$J20</f>
        <v>52917948.868065722</v>
      </c>
      <c r="I136" s="291">
        <f>COMB_CORR!$J20</f>
        <v>52917948.868065722</v>
      </c>
      <c r="J136" s="291">
        <f>COMB_CORR!$O20*CORR!$BM19</f>
        <v>442997466.83742917</v>
      </c>
      <c r="K136" s="291">
        <f>COMB_CORR!$O20*CORR!$BM19</f>
        <v>442997466.83742917</v>
      </c>
      <c r="L136" s="291">
        <f>COMB_CORR!$O20*CORR!$BM19</f>
        <v>442997466.83742917</v>
      </c>
      <c r="M136" s="291">
        <f>COMB_CORR!$O20*CORR!$BM19</f>
        <v>442997466.83742917</v>
      </c>
      <c r="N136" s="291">
        <f>COMB_CORR!$O20*CORR!$BM19</f>
        <v>442997466.83742917</v>
      </c>
      <c r="O136" s="291">
        <f>COMB_CORR!$O20*CORR!$BM19</f>
        <v>442997466.83742917</v>
      </c>
      <c r="P136" s="291">
        <f>COMB_CORR!$O20*CORR!$BM19</f>
        <v>442997466.83742917</v>
      </c>
      <c r="Q136" s="291">
        <f>COMB_CORR!$O20*CORR!$BM19</f>
        <v>442997466.83742917</v>
      </c>
      <c r="R136" s="291">
        <f>COMB_CORR!T20</f>
        <v>53731649.999999993</v>
      </c>
    </row>
    <row r="137" spans="1:18" ht="15.75" thickBot="1">
      <c r="A137" s="128" t="s">
        <v>29</v>
      </c>
      <c r="B137" s="291">
        <f>COMB_CORR!$E21</f>
        <v>340092125</v>
      </c>
      <c r="C137" s="291">
        <f>COMB_CORR!$E21</f>
        <v>340092125</v>
      </c>
      <c r="D137" s="291">
        <f>COMB_CORR!$E21</f>
        <v>340092125</v>
      </c>
      <c r="E137" s="291">
        <f>COMB_CORR!$E21</f>
        <v>340092125</v>
      </c>
      <c r="F137" s="291">
        <f>COMB_CORR!$E21</f>
        <v>340092125</v>
      </c>
      <c r="G137" s="291">
        <f>COMB_CORR!$E21</f>
        <v>340092125</v>
      </c>
      <c r="H137" s="291">
        <f>COMB_CORR!$J21</f>
        <v>24272112.086267851</v>
      </c>
      <c r="I137" s="291">
        <f>COMB_CORR!$J21</f>
        <v>24272112.086267851</v>
      </c>
      <c r="J137" s="291">
        <f>COMB_CORR!$O21*CORR!$BM20</f>
        <v>299948031.94727707</v>
      </c>
      <c r="K137" s="291">
        <f>COMB_CORR!$O21*CORR!$BM20</f>
        <v>299948031.94727707</v>
      </c>
      <c r="L137" s="291">
        <f>COMB_CORR!$O21*CORR!$BM20</f>
        <v>299948031.94727707</v>
      </c>
      <c r="M137" s="291">
        <f>COMB_CORR!$O21*CORR!$BM20</f>
        <v>299948031.94727707</v>
      </c>
      <c r="N137" s="291">
        <f>COMB_CORR!$O21*CORR!$BM20</f>
        <v>299948031.94727707</v>
      </c>
      <c r="O137" s="291">
        <f>COMB_CORR!$O21*CORR!$BM20</f>
        <v>299948031.94727707</v>
      </c>
      <c r="P137" s="291">
        <f>COMB_CORR!$O21*CORR!$BM20</f>
        <v>299948031.94727707</v>
      </c>
      <c r="Q137" s="291">
        <f>COMB_CORR!$O21*CORR!$BM20</f>
        <v>299948031.94727707</v>
      </c>
      <c r="R137" s="291">
        <f>COMB_CORR!T21</f>
        <v>31264510.000000004</v>
      </c>
    </row>
    <row r="138" spans="1:18">
      <c r="A138" s="269" t="s">
        <v>64</v>
      </c>
      <c r="B138" s="291">
        <f>SUM(B139:B142)</f>
        <v>18057587033</v>
      </c>
      <c r="C138" s="291">
        <f t="shared" ref="C138" si="261">SUM(C139:C142)</f>
        <v>18057587033</v>
      </c>
      <c r="D138" s="291">
        <f t="shared" ref="D138" si="262">SUM(D139:D142)</f>
        <v>18057587033</v>
      </c>
      <c r="E138" s="291">
        <f t="shared" ref="E138" si="263">SUM(E139:E142)</f>
        <v>18057587033</v>
      </c>
      <c r="F138" s="291">
        <f t="shared" ref="F138" si="264">SUM(F139:F142)</f>
        <v>18057587033</v>
      </c>
      <c r="G138" s="291">
        <f t="shared" ref="G138" si="265">SUM(G139:G142)</f>
        <v>18057587033</v>
      </c>
      <c r="H138" s="291">
        <f t="shared" ref="H138" si="266">SUM(H139:H142)</f>
        <v>7861332317.5433311</v>
      </c>
      <c r="I138" s="291">
        <f t="shared" ref="I138" si="267">SUM(I139:I142)</f>
        <v>7861332317.5433311</v>
      </c>
      <c r="J138" s="291">
        <f t="shared" ref="J138" si="268">SUM(J139:J142)</f>
        <v>19305250495.274574</v>
      </c>
      <c r="K138" s="291">
        <f t="shared" ref="K138" si="269">SUM(K139:K142)</f>
        <v>19305250495.274574</v>
      </c>
      <c r="L138" s="291">
        <f t="shared" ref="L138" si="270">SUM(L139:L142)</f>
        <v>19305250495.274574</v>
      </c>
      <c r="M138" s="291">
        <f t="shared" ref="M138" si="271">SUM(M139:M142)</f>
        <v>19305250495.274574</v>
      </c>
      <c r="N138" s="291">
        <f t="shared" ref="N138" si="272">SUM(N139:N142)</f>
        <v>19305250495.274574</v>
      </c>
      <c r="O138" s="291">
        <f t="shared" ref="O138" si="273">SUM(O139:O142)</f>
        <v>19305250495.274574</v>
      </c>
      <c r="P138" s="291">
        <f t="shared" ref="P138" si="274">SUM(P139:P142)</f>
        <v>19305250495.274574</v>
      </c>
      <c r="Q138" s="291">
        <f t="shared" ref="Q138" si="275">SUM(Q139:Q142)</f>
        <v>19305250495.274574</v>
      </c>
      <c r="R138" s="291">
        <f t="shared" ref="R138" si="276">SUM(R139:R142)</f>
        <v>1347947710</v>
      </c>
    </row>
    <row r="139" spans="1:18">
      <c r="A139" s="127" t="s">
        <v>31</v>
      </c>
      <c r="B139" s="291">
        <f>COMB_CORR!$E23</f>
        <v>821777451.99999988</v>
      </c>
      <c r="C139" s="291">
        <f>COMB_CORR!$E23</f>
        <v>821777451.99999988</v>
      </c>
      <c r="D139" s="291">
        <f>COMB_CORR!$E23</f>
        <v>821777451.99999988</v>
      </c>
      <c r="E139" s="291">
        <f>COMB_CORR!$E23</f>
        <v>821777451.99999988</v>
      </c>
      <c r="F139" s="291">
        <f>COMB_CORR!$E23</f>
        <v>821777451.99999988</v>
      </c>
      <c r="G139" s="291">
        <f>COMB_CORR!$E23</f>
        <v>821777451.99999988</v>
      </c>
      <c r="H139" s="291">
        <f>COMB_CORR!$J23</f>
        <v>54434775.851349816</v>
      </c>
      <c r="I139" s="291">
        <f>COMB_CORR!$J23</f>
        <v>54434775.851349816</v>
      </c>
      <c r="J139" s="291">
        <f>COMB_CORR!$O23*CORR!$BM22</f>
        <v>866786100.31956124</v>
      </c>
      <c r="K139" s="291">
        <f>COMB_CORR!$O23*CORR!$BM22</f>
        <v>866786100.31956124</v>
      </c>
      <c r="L139" s="291">
        <f>COMB_CORR!$O23*CORR!$BM22</f>
        <v>866786100.31956124</v>
      </c>
      <c r="M139" s="291">
        <f>COMB_CORR!$O23*CORR!$BM22</f>
        <v>866786100.31956124</v>
      </c>
      <c r="N139" s="291">
        <f>COMB_CORR!$O23*CORR!$BM22</f>
        <v>866786100.31956124</v>
      </c>
      <c r="O139" s="291">
        <f>COMB_CORR!$O23*CORR!$BM22</f>
        <v>866786100.31956124</v>
      </c>
      <c r="P139" s="291">
        <f>COMB_CORR!$O23*CORR!$BM22</f>
        <v>866786100.31956124</v>
      </c>
      <c r="Q139" s="291">
        <f>COMB_CORR!$O23*CORR!$BM22</f>
        <v>866786100.31956124</v>
      </c>
      <c r="R139" s="291">
        <f>COMB_CORR!T23</f>
        <v>36890640</v>
      </c>
    </row>
    <row r="140" spans="1:18">
      <c r="A140" s="127" t="s">
        <v>32</v>
      </c>
      <c r="B140" s="291">
        <f>COMB_CORR!$E24</f>
        <v>4459305494</v>
      </c>
      <c r="C140" s="291">
        <f>COMB_CORR!$E24</f>
        <v>4459305494</v>
      </c>
      <c r="D140" s="291">
        <f>COMB_CORR!$E24</f>
        <v>4459305494</v>
      </c>
      <c r="E140" s="291">
        <f>COMB_CORR!$E24</f>
        <v>4459305494</v>
      </c>
      <c r="F140" s="291">
        <f>COMB_CORR!$E24</f>
        <v>4459305494</v>
      </c>
      <c r="G140" s="291">
        <f>COMB_CORR!$E24</f>
        <v>4459305494</v>
      </c>
      <c r="H140" s="291">
        <f>COMB_CORR!$J24</f>
        <v>602242759.46896672</v>
      </c>
      <c r="I140" s="291">
        <f>COMB_CORR!$J24</f>
        <v>602242759.46896672</v>
      </c>
      <c r="J140" s="291">
        <f>COMB_CORR!$O24*CORR!$BM23</f>
        <v>5796228793.0434151</v>
      </c>
      <c r="K140" s="291">
        <f>COMB_CORR!$O24*CORR!$BM23</f>
        <v>5796228793.0434151</v>
      </c>
      <c r="L140" s="291">
        <f>COMB_CORR!$O24*CORR!$BM23</f>
        <v>5796228793.0434151</v>
      </c>
      <c r="M140" s="291">
        <f>COMB_CORR!$O24*CORR!$BM23</f>
        <v>5796228793.0434151</v>
      </c>
      <c r="N140" s="291">
        <f>COMB_CORR!$O24*CORR!$BM23</f>
        <v>5796228793.0434151</v>
      </c>
      <c r="O140" s="291">
        <f>COMB_CORR!$O24*CORR!$BM23</f>
        <v>5796228793.0434151</v>
      </c>
      <c r="P140" s="291">
        <f>COMB_CORR!$O24*CORR!$BM23</f>
        <v>5796228793.0434151</v>
      </c>
      <c r="Q140" s="291">
        <f>COMB_CORR!$O24*CORR!$BM23</f>
        <v>5796228793.0434151</v>
      </c>
      <c r="R140" s="291">
        <f>COMB_CORR!T24</f>
        <v>41546600.000000007</v>
      </c>
    </row>
    <row r="141" spans="1:18">
      <c r="A141" s="127" t="s">
        <v>33</v>
      </c>
      <c r="B141" s="291">
        <f>COMB_CORR!$E25</f>
        <v>2470659318</v>
      </c>
      <c r="C141" s="291">
        <f>COMB_CORR!$E25</f>
        <v>2470659318</v>
      </c>
      <c r="D141" s="291">
        <f>COMB_CORR!$E25</f>
        <v>2470659318</v>
      </c>
      <c r="E141" s="291">
        <f>COMB_CORR!$E25</f>
        <v>2470659318</v>
      </c>
      <c r="F141" s="291">
        <f>COMB_CORR!$E25</f>
        <v>2470659318</v>
      </c>
      <c r="G141" s="291">
        <f>COMB_CORR!$E25</f>
        <v>2470659318</v>
      </c>
      <c r="H141" s="291">
        <f>COMB_CORR!$J25</f>
        <v>500183860.39327079</v>
      </c>
      <c r="I141" s="291">
        <f>COMB_CORR!$J25</f>
        <v>500183860.39327079</v>
      </c>
      <c r="J141" s="291">
        <f>COMB_CORR!$O25*CORR!$BM24</f>
        <v>2620654550.4717479</v>
      </c>
      <c r="K141" s="291">
        <f>COMB_CORR!$O25*CORR!$BM24</f>
        <v>2620654550.4717479</v>
      </c>
      <c r="L141" s="291">
        <f>COMB_CORR!$O25*CORR!$BM24</f>
        <v>2620654550.4717479</v>
      </c>
      <c r="M141" s="291">
        <f>COMB_CORR!$O25*CORR!$BM24</f>
        <v>2620654550.4717479</v>
      </c>
      <c r="N141" s="291">
        <f>COMB_CORR!$O25*CORR!$BM24</f>
        <v>2620654550.4717479</v>
      </c>
      <c r="O141" s="291">
        <f>COMB_CORR!$O25*CORR!$BM24</f>
        <v>2620654550.4717479</v>
      </c>
      <c r="P141" s="291">
        <f>COMB_CORR!$O25*CORR!$BM24</f>
        <v>2620654550.4717479</v>
      </c>
      <c r="Q141" s="291">
        <f>COMB_CORR!$O25*CORR!$BM24</f>
        <v>2620654550.4717479</v>
      </c>
      <c r="R141" s="291">
        <f>COMB_CORR!T25</f>
        <v>969347120.00000012</v>
      </c>
    </row>
    <row r="142" spans="1:18" ht="15.75" thickBot="1">
      <c r="A142" s="128" t="s">
        <v>34</v>
      </c>
      <c r="B142" s="291">
        <f>COMB_CORR!$E26</f>
        <v>10305844768.999998</v>
      </c>
      <c r="C142" s="291">
        <f>COMB_CORR!$E26</f>
        <v>10305844768.999998</v>
      </c>
      <c r="D142" s="291">
        <f>COMB_CORR!$E26</f>
        <v>10305844768.999998</v>
      </c>
      <c r="E142" s="291">
        <f>COMB_CORR!$E26</f>
        <v>10305844768.999998</v>
      </c>
      <c r="F142" s="291">
        <f>COMB_CORR!$E26</f>
        <v>10305844768.999998</v>
      </c>
      <c r="G142" s="291">
        <f>COMB_CORR!$E26</f>
        <v>10305844768.999998</v>
      </c>
      <c r="H142" s="291">
        <f>COMB_CORR!$J26</f>
        <v>6704470921.8297443</v>
      </c>
      <c r="I142" s="291">
        <f>COMB_CORR!$J26</f>
        <v>6704470921.8297443</v>
      </c>
      <c r="J142" s="291">
        <f>COMB_CORR!$O26*CORR!$BM25</f>
        <v>10021581051.43985</v>
      </c>
      <c r="K142" s="291">
        <f>COMB_CORR!$O26*CORR!$BM25</f>
        <v>10021581051.43985</v>
      </c>
      <c r="L142" s="291">
        <f>COMB_CORR!$O26*CORR!$BM25</f>
        <v>10021581051.43985</v>
      </c>
      <c r="M142" s="291">
        <f>COMB_CORR!$O26*CORR!$BM25</f>
        <v>10021581051.43985</v>
      </c>
      <c r="N142" s="291">
        <f>COMB_CORR!$O26*CORR!$BM25</f>
        <v>10021581051.43985</v>
      </c>
      <c r="O142" s="291">
        <f>COMB_CORR!$O26*CORR!$BM25</f>
        <v>10021581051.43985</v>
      </c>
      <c r="P142" s="291">
        <f>COMB_CORR!$O26*CORR!$BM25</f>
        <v>10021581051.43985</v>
      </c>
      <c r="Q142" s="291">
        <f>COMB_CORR!$O26*CORR!$BM25</f>
        <v>10021581051.43985</v>
      </c>
      <c r="R142" s="291">
        <f>COMB_CORR!T26</f>
        <v>300163350</v>
      </c>
    </row>
    <row r="143" spans="1:18">
      <c r="A143" s="269" t="s">
        <v>69</v>
      </c>
      <c r="B143" s="291">
        <f>SUM(B144:B146)</f>
        <v>8078218288</v>
      </c>
      <c r="C143" s="291">
        <f t="shared" ref="C143" si="277">SUM(C144:C146)</f>
        <v>8078218288</v>
      </c>
      <c r="D143" s="291">
        <f t="shared" ref="D143" si="278">SUM(D144:D146)</f>
        <v>8078218288</v>
      </c>
      <c r="E143" s="291">
        <f t="shared" ref="E143" si="279">SUM(E144:E146)</f>
        <v>8078218288</v>
      </c>
      <c r="F143" s="291">
        <f t="shared" ref="F143" si="280">SUM(F144:F146)</f>
        <v>8078218288</v>
      </c>
      <c r="G143" s="291">
        <f t="shared" ref="G143" si="281">SUM(G144:G146)</f>
        <v>8078218288</v>
      </c>
      <c r="H143" s="291">
        <f t="shared" ref="H143" si="282">SUM(H144:H146)</f>
        <v>1177272530.4973824</v>
      </c>
      <c r="I143" s="291">
        <f t="shared" ref="I143" si="283">SUM(I144:I146)</f>
        <v>1177272530.4973824</v>
      </c>
      <c r="J143" s="291">
        <f t="shared" ref="J143" si="284">SUM(J144:J146)</f>
        <v>8143534375.5295057</v>
      </c>
      <c r="K143" s="291">
        <f t="shared" ref="K143" si="285">SUM(K144:K146)</f>
        <v>8143534375.5295057</v>
      </c>
      <c r="L143" s="291">
        <f t="shared" ref="L143" si="286">SUM(L144:L146)</f>
        <v>8143534375.5295057</v>
      </c>
      <c r="M143" s="291">
        <f t="shared" ref="M143" si="287">SUM(M144:M146)</f>
        <v>8143534375.5295057</v>
      </c>
      <c r="N143" s="291">
        <f t="shared" ref="N143" si="288">SUM(N144:N146)</f>
        <v>8143534375.5295057</v>
      </c>
      <c r="O143" s="291">
        <f t="shared" ref="O143" si="289">SUM(O144:O146)</f>
        <v>8143534375.5295057</v>
      </c>
      <c r="P143" s="291">
        <f t="shared" ref="P143" si="290">SUM(P144:P146)</f>
        <v>8143534375.5295057</v>
      </c>
      <c r="Q143" s="291">
        <f t="shared" ref="Q143" si="291">SUM(Q144:Q146)</f>
        <v>8143534375.5295057</v>
      </c>
      <c r="R143" s="291">
        <f t="shared" ref="R143" si="292">SUM(R144:R146)</f>
        <v>240386020</v>
      </c>
    </row>
    <row r="144" spans="1:18">
      <c r="A144" s="127" t="s">
        <v>36</v>
      </c>
      <c r="B144" s="291">
        <f>COMB_CORR!$E28</f>
        <v>2771272221</v>
      </c>
      <c r="C144" s="291">
        <f>COMB_CORR!$E28</f>
        <v>2771272221</v>
      </c>
      <c r="D144" s="291">
        <f>COMB_CORR!$E28</f>
        <v>2771272221</v>
      </c>
      <c r="E144" s="291">
        <f>COMB_CORR!$E28</f>
        <v>2771272221</v>
      </c>
      <c r="F144" s="291">
        <f>COMB_CORR!$E28</f>
        <v>2771272221</v>
      </c>
      <c r="G144" s="291">
        <f>COMB_CORR!$E28</f>
        <v>2771272221</v>
      </c>
      <c r="H144" s="291">
        <f>COMB_CORR!$J28</f>
        <v>936097233.07468641</v>
      </c>
      <c r="I144" s="291">
        <f>COMB_CORR!$J28</f>
        <v>936097233.07468641</v>
      </c>
      <c r="J144" s="291">
        <f>COMB_CORR!$O28*CORR!$BM27</f>
        <v>3495780301.9563637</v>
      </c>
      <c r="K144" s="291">
        <f>COMB_CORR!$O28*CORR!$BM27</f>
        <v>3495780301.9563637</v>
      </c>
      <c r="L144" s="291">
        <f>COMB_CORR!$O28*CORR!$BM27</f>
        <v>3495780301.9563637</v>
      </c>
      <c r="M144" s="291">
        <f>COMB_CORR!$O28*CORR!$BM27</f>
        <v>3495780301.9563637</v>
      </c>
      <c r="N144" s="291">
        <f>COMB_CORR!$O28*CORR!$BM27</f>
        <v>3495780301.9563637</v>
      </c>
      <c r="O144" s="291">
        <f>COMB_CORR!$O28*CORR!$BM27</f>
        <v>3495780301.9563637</v>
      </c>
      <c r="P144" s="291">
        <f>COMB_CORR!$O28*CORR!$BM27</f>
        <v>3495780301.9563637</v>
      </c>
      <c r="Q144" s="291">
        <f>COMB_CORR!$O28*CORR!$BM27</f>
        <v>3495780301.9563637</v>
      </c>
      <c r="R144" s="291">
        <f>COMB_CORR!T28</f>
        <v>33066570.000000007</v>
      </c>
    </row>
    <row r="145" spans="1:18">
      <c r="A145" s="127" t="s">
        <v>37</v>
      </c>
      <c r="B145" s="291">
        <f>COMB_CORR!$E29</f>
        <v>3081486602.0000005</v>
      </c>
      <c r="C145" s="291">
        <f>COMB_CORR!$E29</f>
        <v>3081486602.0000005</v>
      </c>
      <c r="D145" s="291">
        <f>COMB_CORR!$E29</f>
        <v>3081486602.0000005</v>
      </c>
      <c r="E145" s="291">
        <f>COMB_CORR!$E29</f>
        <v>3081486602.0000005</v>
      </c>
      <c r="F145" s="291">
        <f>COMB_CORR!$E29</f>
        <v>3081486602.0000005</v>
      </c>
      <c r="G145" s="291">
        <f>COMB_CORR!$E29</f>
        <v>3081486602.0000005</v>
      </c>
      <c r="H145" s="291">
        <f>COMB_CORR!$J29</f>
        <v>132396402.94453399</v>
      </c>
      <c r="I145" s="291">
        <f>COMB_CORR!$J29</f>
        <v>132396402.94453399</v>
      </c>
      <c r="J145" s="291">
        <f>COMB_CORR!$O29*CORR!$BM28</f>
        <v>2793744547.9565501</v>
      </c>
      <c r="K145" s="291">
        <f>COMB_CORR!$O29*CORR!$BM28</f>
        <v>2793744547.9565501</v>
      </c>
      <c r="L145" s="291">
        <f>COMB_CORR!$O29*CORR!$BM28</f>
        <v>2793744547.9565501</v>
      </c>
      <c r="M145" s="291">
        <f>COMB_CORR!$O29*CORR!$BM28</f>
        <v>2793744547.9565501</v>
      </c>
      <c r="N145" s="291">
        <f>COMB_CORR!$O29*CORR!$BM28</f>
        <v>2793744547.9565501</v>
      </c>
      <c r="O145" s="291">
        <f>COMB_CORR!$O29*CORR!$BM28</f>
        <v>2793744547.9565501</v>
      </c>
      <c r="P145" s="291">
        <f>COMB_CORR!$O29*CORR!$BM28</f>
        <v>2793744547.9565501</v>
      </c>
      <c r="Q145" s="291">
        <f>COMB_CORR!$O29*CORR!$BM28</f>
        <v>2793744547.9565501</v>
      </c>
      <c r="R145" s="291">
        <f>COMB_CORR!T29</f>
        <v>80706700.000000015</v>
      </c>
    </row>
    <row r="146" spans="1:18" ht="15.75" thickBot="1">
      <c r="A146" s="128" t="s">
        <v>38</v>
      </c>
      <c r="B146" s="291">
        <f>COMB_CORR!$E30</f>
        <v>2225459465</v>
      </c>
      <c r="C146" s="291">
        <f>COMB_CORR!$E30</f>
        <v>2225459465</v>
      </c>
      <c r="D146" s="291">
        <f>COMB_CORR!$E30</f>
        <v>2225459465</v>
      </c>
      <c r="E146" s="291">
        <f>COMB_CORR!$E30</f>
        <v>2225459465</v>
      </c>
      <c r="F146" s="291">
        <f>COMB_CORR!$E30</f>
        <v>2225459465</v>
      </c>
      <c r="G146" s="291">
        <f>COMB_CORR!$E30</f>
        <v>2225459465</v>
      </c>
      <c r="H146" s="291">
        <f>COMB_CORR!$J30</f>
        <v>108778894.47816196</v>
      </c>
      <c r="I146" s="291">
        <f>COMB_CORR!$J30</f>
        <v>108778894.47816196</v>
      </c>
      <c r="J146" s="291">
        <f>COMB_CORR!$O30*CORR!$BM29</f>
        <v>1854009525.6165917</v>
      </c>
      <c r="K146" s="291">
        <f>COMB_CORR!$O30*CORR!$BM29</f>
        <v>1854009525.6165917</v>
      </c>
      <c r="L146" s="291">
        <f>COMB_CORR!$O30*CORR!$BM29</f>
        <v>1854009525.6165917</v>
      </c>
      <c r="M146" s="291">
        <f>COMB_CORR!$O30*CORR!$BM29</f>
        <v>1854009525.6165917</v>
      </c>
      <c r="N146" s="291">
        <f>COMB_CORR!$O30*CORR!$BM29</f>
        <v>1854009525.6165917</v>
      </c>
      <c r="O146" s="291">
        <f>COMB_CORR!$O30*CORR!$BM29</f>
        <v>1854009525.6165917</v>
      </c>
      <c r="P146" s="291">
        <f>COMB_CORR!$O30*CORR!$BM29</f>
        <v>1854009525.6165917</v>
      </c>
      <c r="Q146" s="291">
        <f>COMB_CORR!$O30*CORR!$BM29</f>
        <v>1854009525.6165917</v>
      </c>
      <c r="R146" s="291">
        <f>COMB_CORR!T30</f>
        <v>126612749.99999999</v>
      </c>
    </row>
    <row r="147" spans="1:18" ht="25.5">
      <c r="A147" s="274" t="s">
        <v>73</v>
      </c>
      <c r="B147" s="291">
        <f>SUM(B148:B151)</f>
        <v>3761553983</v>
      </c>
      <c r="C147" s="291">
        <f t="shared" ref="C147" si="293">SUM(C148:C151)</f>
        <v>3761553983</v>
      </c>
      <c r="D147" s="291">
        <f t="shared" ref="D147" si="294">SUM(D148:D151)</f>
        <v>3761553983</v>
      </c>
      <c r="E147" s="291">
        <f t="shared" ref="E147" si="295">SUM(E148:E151)</f>
        <v>3761553983</v>
      </c>
      <c r="F147" s="291">
        <f t="shared" ref="F147" si="296">SUM(F148:F151)</f>
        <v>3761553983</v>
      </c>
      <c r="G147" s="291">
        <f t="shared" ref="G147" si="297">SUM(G148:G151)</f>
        <v>3761553983</v>
      </c>
      <c r="H147" s="291">
        <f t="shared" ref="H147" si="298">SUM(H148:H151)</f>
        <v>1389849241.7553022</v>
      </c>
      <c r="I147" s="291">
        <f t="shared" ref="I147" si="299">SUM(I148:I151)</f>
        <v>1389849241.7553022</v>
      </c>
      <c r="J147" s="291">
        <f t="shared" ref="J147" si="300">SUM(J148:J151)</f>
        <v>5264625931.2666931</v>
      </c>
      <c r="K147" s="291">
        <f t="shared" ref="K147" si="301">SUM(K148:K151)</f>
        <v>5264625931.2666931</v>
      </c>
      <c r="L147" s="291">
        <f t="shared" ref="L147" si="302">SUM(L148:L151)</f>
        <v>5264625931.2666931</v>
      </c>
      <c r="M147" s="291">
        <f t="shared" ref="M147" si="303">SUM(M148:M151)</f>
        <v>5264625931.2666931</v>
      </c>
      <c r="N147" s="291">
        <f t="shared" ref="N147" si="304">SUM(N148:N151)</f>
        <v>5264625931.2666931</v>
      </c>
      <c r="O147" s="291">
        <f t="shared" ref="O147" si="305">SUM(O148:O151)</f>
        <v>5264625931.2666931</v>
      </c>
      <c r="P147" s="291">
        <f t="shared" ref="P147" si="306">SUM(P148:P151)</f>
        <v>5264625931.2666931</v>
      </c>
      <c r="Q147" s="291">
        <f t="shared" ref="Q147" si="307">SUM(Q148:Q151)</f>
        <v>5264625931.2666931</v>
      </c>
      <c r="R147" s="291">
        <f t="shared" ref="R147" si="308">SUM(R148:R151)</f>
        <v>13852200</v>
      </c>
    </row>
    <row r="148" spans="1:18">
      <c r="A148" s="127" t="s">
        <v>40</v>
      </c>
      <c r="B148" s="291">
        <f>COMB_CORR!$E32</f>
        <v>1079078001.0000002</v>
      </c>
      <c r="C148" s="291">
        <f>COMB_CORR!$E32</f>
        <v>1079078001.0000002</v>
      </c>
      <c r="D148" s="291">
        <f>COMB_CORR!$E32</f>
        <v>1079078001.0000002</v>
      </c>
      <c r="E148" s="291">
        <f>COMB_CORR!$E32</f>
        <v>1079078001.0000002</v>
      </c>
      <c r="F148" s="291">
        <f>COMB_CORR!$E32</f>
        <v>1079078001.0000002</v>
      </c>
      <c r="G148" s="291">
        <f>COMB_CORR!$E32</f>
        <v>1079078001.0000002</v>
      </c>
      <c r="H148" s="291">
        <f>COMB_CORR!$J32</f>
        <v>66802284.037004985</v>
      </c>
      <c r="I148" s="291">
        <f>COMB_CORR!$J32</f>
        <v>66802284.037004985</v>
      </c>
      <c r="J148" s="291">
        <f>COMB_CORR!$O32*CORR!$BM31</f>
        <v>536178910.97677505</v>
      </c>
      <c r="K148" s="291">
        <f>COMB_CORR!$O32*CORR!$BM31</f>
        <v>536178910.97677505</v>
      </c>
      <c r="L148" s="291">
        <f>COMB_CORR!$O32*CORR!$BM31</f>
        <v>536178910.97677505</v>
      </c>
      <c r="M148" s="291">
        <f>COMB_CORR!$O32*CORR!$BM31</f>
        <v>536178910.97677505</v>
      </c>
      <c r="N148" s="291">
        <f>COMB_CORR!$O32*CORR!$BM31</f>
        <v>536178910.97677505</v>
      </c>
      <c r="O148" s="291">
        <f>COMB_CORR!$O32*CORR!$BM31</f>
        <v>536178910.97677505</v>
      </c>
      <c r="P148" s="291">
        <f>COMB_CORR!$O32*CORR!$BM31</f>
        <v>536178910.97677505</v>
      </c>
      <c r="Q148" s="291">
        <f>COMB_CORR!$O32*CORR!$BM31</f>
        <v>536178910.97677505</v>
      </c>
      <c r="R148" s="291">
        <f>COMB_CORR!T32</f>
        <v>3275619.9999999995</v>
      </c>
    </row>
    <row r="149" spans="1:18">
      <c r="A149" s="127" t="s">
        <v>41</v>
      </c>
      <c r="B149" s="291">
        <f>COMB_CORR!$E33</f>
        <v>1446209174</v>
      </c>
      <c r="C149" s="291">
        <f>COMB_CORR!$E33</f>
        <v>1446209174</v>
      </c>
      <c r="D149" s="291">
        <f>COMB_CORR!$E33</f>
        <v>1446209174</v>
      </c>
      <c r="E149" s="291">
        <f>COMB_CORR!$E33</f>
        <v>1446209174</v>
      </c>
      <c r="F149" s="291">
        <f>COMB_CORR!$E33</f>
        <v>1446209174</v>
      </c>
      <c r="G149" s="291">
        <f>COMB_CORR!$E33</f>
        <v>1446209174</v>
      </c>
      <c r="H149" s="291">
        <f>COMB_CORR!$J33</f>
        <v>791445263.4785018</v>
      </c>
      <c r="I149" s="291">
        <f>COMB_CORR!$J33</f>
        <v>791445263.4785018</v>
      </c>
      <c r="J149" s="291">
        <f>COMB_CORR!$O33*CORR!$BM32</f>
        <v>2028244298.8479838</v>
      </c>
      <c r="K149" s="291">
        <f>COMB_CORR!$O33*CORR!$BM32</f>
        <v>2028244298.8479838</v>
      </c>
      <c r="L149" s="291">
        <f>COMB_CORR!$O33*CORR!$BM32</f>
        <v>2028244298.8479838</v>
      </c>
      <c r="M149" s="291">
        <f>COMB_CORR!$O33*CORR!$BM32</f>
        <v>2028244298.8479838</v>
      </c>
      <c r="N149" s="291">
        <f>COMB_CORR!$O33*CORR!$BM32</f>
        <v>2028244298.8479838</v>
      </c>
      <c r="O149" s="291">
        <f>COMB_CORR!$O33*CORR!$BM32</f>
        <v>2028244298.8479838</v>
      </c>
      <c r="P149" s="291">
        <f>COMB_CORR!$O33*CORR!$BM32</f>
        <v>2028244298.8479838</v>
      </c>
      <c r="Q149" s="291">
        <f>COMB_CORR!$O33*CORR!$BM32</f>
        <v>2028244298.8479838</v>
      </c>
      <c r="R149" s="291">
        <f>COMB_CORR!T33</f>
        <v>1297350</v>
      </c>
    </row>
    <row r="150" spans="1:18">
      <c r="A150" s="127" t="s">
        <v>42</v>
      </c>
      <c r="B150" s="291">
        <f>COMB_CORR!$E34</f>
        <v>593011550</v>
      </c>
      <c r="C150" s="291">
        <f>COMB_CORR!$E34</f>
        <v>593011550</v>
      </c>
      <c r="D150" s="291">
        <f>COMB_CORR!$E34</f>
        <v>593011550</v>
      </c>
      <c r="E150" s="291">
        <f>COMB_CORR!$E34</f>
        <v>593011550</v>
      </c>
      <c r="F150" s="291">
        <f>COMB_CORR!$E34</f>
        <v>593011550</v>
      </c>
      <c r="G150" s="291">
        <f>COMB_CORR!$E34</f>
        <v>593011550</v>
      </c>
      <c r="H150" s="291">
        <f>COMB_CORR!$J34</f>
        <v>427309254.13853896</v>
      </c>
      <c r="I150" s="291">
        <f>COMB_CORR!$J34</f>
        <v>427309254.13853896</v>
      </c>
      <c r="J150" s="291">
        <f>COMB_CORR!$O34*CORR!$BM33</f>
        <v>1700610060.9424996</v>
      </c>
      <c r="K150" s="291">
        <f>COMB_CORR!$O34*CORR!$BM33</f>
        <v>1700610060.9424996</v>
      </c>
      <c r="L150" s="291">
        <f>COMB_CORR!$O34*CORR!$BM33</f>
        <v>1700610060.9424996</v>
      </c>
      <c r="M150" s="291">
        <f>COMB_CORR!$O34*CORR!$BM33</f>
        <v>1700610060.9424996</v>
      </c>
      <c r="N150" s="291">
        <f>COMB_CORR!$O34*CORR!$BM33</f>
        <v>1700610060.9424996</v>
      </c>
      <c r="O150" s="291">
        <f>COMB_CORR!$O34*CORR!$BM33</f>
        <v>1700610060.9424996</v>
      </c>
      <c r="P150" s="291">
        <f>COMB_CORR!$O34*CORR!$BM33</f>
        <v>1700610060.9424996</v>
      </c>
      <c r="Q150" s="291">
        <f>COMB_CORR!$O34*CORR!$BM33</f>
        <v>1700610060.9424996</v>
      </c>
      <c r="R150" s="291">
        <f>COMB_CORR!T34</f>
        <v>2326170</v>
      </c>
    </row>
    <row r="151" spans="1:18" ht="26.25" thickBot="1">
      <c r="A151" s="128" t="s">
        <v>43</v>
      </c>
      <c r="B151" s="291">
        <f>COMB_CORR!$E35</f>
        <v>643255257.99999988</v>
      </c>
      <c r="C151" s="291">
        <f>COMB_CORR!$E35</f>
        <v>643255257.99999988</v>
      </c>
      <c r="D151" s="291">
        <f>COMB_CORR!$E35</f>
        <v>643255257.99999988</v>
      </c>
      <c r="E151" s="291">
        <f>COMB_CORR!$E35</f>
        <v>643255257.99999988</v>
      </c>
      <c r="F151" s="291">
        <f>COMB_CORR!$E35</f>
        <v>643255257.99999988</v>
      </c>
      <c r="G151" s="291">
        <f>COMB_CORR!$E35</f>
        <v>643255257.99999988</v>
      </c>
      <c r="H151" s="291">
        <f>COMB_CORR!$J35</f>
        <v>104292440.10125664</v>
      </c>
      <c r="I151" s="291">
        <f>COMB_CORR!$J35</f>
        <v>104292440.10125664</v>
      </c>
      <c r="J151" s="291">
        <f>COMB_CORR!$O35*CORR!$BM34</f>
        <v>999592660.49943483</v>
      </c>
      <c r="K151" s="291">
        <f>COMB_CORR!$O35*CORR!$BM34</f>
        <v>999592660.49943483</v>
      </c>
      <c r="L151" s="291">
        <f>COMB_CORR!$O35*CORR!$BM34</f>
        <v>999592660.49943483</v>
      </c>
      <c r="M151" s="291">
        <f>COMB_CORR!$O35*CORR!$BM34</f>
        <v>999592660.49943483</v>
      </c>
      <c r="N151" s="291">
        <f>COMB_CORR!$O35*CORR!$BM34</f>
        <v>999592660.49943483</v>
      </c>
      <c r="O151" s="291">
        <f>COMB_CORR!$O35*CORR!$BM34</f>
        <v>999592660.49943483</v>
      </c>
      <c r="P151" s="291">
        <f>COMB_CORR!$O35*CORR!$BM34</f>
        <v>999592660.49943483</v>
      </c>
      <c r="Q151" s="291">
        <f>COMB_CORR!$O35*CORR!$BM34</f>
        <v>999592660.49943483</v>
      </c>
      <c r="R151" s="291">
        <f>COMB_CORR!T35</f>
        <v>6953059.9999999991</v>
      </c>
    </row>
    <row r="152" spans="1:18" ht="15.75" thickBot="1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</row>
    <row r="153" spans="1:18" ht="15.75" thickBot="1">
      <c r="A153" s="1051" t="s">
        <v>483</v>
      </c>
      <c r="B153" s="1054">
        <v>2008</v>
      </c>
      <c r="C153" s="1055"/>
      <c r="D153" s="1055"/>
      <c r="E153" s="1055"/>
      <c r="F153" s="1055"/>
      <c r="G153" s="1055"/>
      <c r="H153" s="1055"/>
      <c r="I153" s="1055"/>
      <c r="J153" s="1055"/>
      <c r="K153" s="1055"/>
      <c r="L153" s="1055"/>
      <c r="M153" s="1055"/>
      <c r="N153" s="1055"/>
      <c r="O153" s="1055"/>
      <c r="P153" s="1055"/>
      <c r="Q153" s="1055"/>
      <c r="R153" s="1078"/>
    </row>
    <row r="154" spans="1:18">
      <c r="A154" s="1052"/>
      <c r="B154" s="1060" t="s">
        <v>97</v>
      </c>
      <c r="C154" s="1061"/>
      <c r="D154" s="1061"/>
      <c r="E154" s="1061"/>
      <c r="F154" s="1061"/>
      <c r="G154" s="1061"/>
      <c r="H154" s="1061" t="s">
        <v>98</v>
      </c>
      <c r="I154" s="1061"/>
      <c r="J154" s="1061" t="s">
        <v>99</v>
      </c>
      <c r="K154" s="1061"/>
      <c r="L154" s="1061"/>
      <c r="M154" s="1061"/>
      <c r="N154" s="1061"/>
      <c r="O154" s="1061"/>
      <c r="P154" s="1061"/>
      <c r="Q154" s="1061"/>
      <c r="R154" s="289" t="s">
        <v>100</v>
      </c>
    </row>
    <row r="155" spans="1:18">
      <c r="A155" s="1052"/>
      <c r="B155" s="1062" t="s">
        <v>101</v>
      </c>
      <c r="C155" s="1064" t="s">
        <v>102</v>
      </c>
      <c r="D155" s="1064" t="s">
        <v>103</v>
      </c>
      <c r="E155" s="1064"/>
      <c r="F155" s="1064"/>
      <c r="G155" s="1064"/>
      <c r="H155" s="1062" t="s">
        <v>101</v>
      </c>
      <c r="I155" s="1064" t="s">
        <v>102</v>
      </c>
      <c r="J155" s="1064" t="s">
        <v>104</v>
      </c>
      <c r="K155" s="1064"/>
      <c r="L155" s="1064"/>
      <c r="M155" s="1064" t="s">
        <v>105</v>
      </c>
      <c r="N155" s="1064"/>
      <c r="O155" s="1064"/>
      <c r="P155" s="1062" t="s">
        <v>101</v>
      </c>
      <c r="Q155" s="1064" t="s">
        <v>102</v>
      </c>
      <c r="R155" s="1062" t="s">
        <v>101</v>
      </c>
    </row>
    <row r="156" spans="1:18" ht="15.75" thickBot="1">
      <c r="A156" s="1053"/>
      <c r="B156" s="1063"/>
      <c r="C156" s="1065"/>
      <c r="D156" s="290" t="s">
        <v>106</v>
      </c>
      <c r="E156" s="290" t="s">
        <v>107</v>
      </c>
      <c r="F156" s="290" t="s">
        <v>108</v>
      </c>
      <c r="G156" s="290" t="s">
        <v>109</v>
      </c>
      <c r="H156" s="1063"/>
      <c r="I156" s="1065"/>
      <c r="J156" s="290" t="s">
        <v>110</v>
      </c>
      <c r="K156" s="290" t="s">
        <v>111</v>
      </c>
      <c r="L156" s="290" t="s">
        <v>112</v>
      </c>
      <c r="M156" s="290" t="s">
        <v>113</v>
      </c>
      <c r="N156" s="290" t="s">
        <v>114</v>
      </c>
      <c r="O156" s="290" t="s">
        <v>115</v>
      </c>
      <c r="P156" s="1063"/>
      <c r="Q156" s="1065"/>
      <c r="R156" s="1063"/>
    </row>
    <row r="157" spans="1:18" ht="15.75" thickBot="1">
      <c r="A157" s="164" t="s">
        <v>11</v>
      </c>
      <c r="B157" s="291">
        <f>B158+B166+B176+B181+B185</f>
        <v>41426236592</v>
      </c>
      <c r="C157" s="291">
        <f t="shared" ref="C157" si="309">C158+C166+C176+C181+C185</f>
        <v>41426236592</v>
      </c>
      <c r="D157" s="291">
        <f t="shared" ref="D157" si="310">D158+D166+D176+D181+D185</f>
        <v>41426236592</v>
      </c>
      <c r="E157" s="291">
        <f t="shared" ref="E157" si="311">E158+E166+E176+E181+E185</f>
        <v>41426236592</v>
      </c>
      <c r="F157" s="291">
        <f t="shared" ref="F157" si="312">F158+F166+F176+F181+F185</f>
        <v>41426236592</v>
      </c>
      <c r="G157" s="291">
        <f t="shared" ref="G157" si="313">G158+G166+G176+G181+G185</f>
        <v>41426236592</v>
      </c>
      <c r="H157" s="291">
        <f t="shared" ref="H157" si="314">H158+H166+H176+H181+H185</f>
        <v>13190999999.999998</v>
      </c>
      <c r="I157" s="291">
        <f t="shared" ref="I157" si="315">I158+I166+I176+I181+I185</f>
        <v>13190999999.999998</v>
      </c>
      <c r="J157" s="291" t="e">
        <f t="shared" ref="J157" si="316">J158+J166+J176+J181+J185</f>
        <v>#DIV/0!</v>
      </c>
      <c r="K157" s="291" t="e">
        <f t="shared" ref="K157" si="317">K158+K166+K176+K181+K185</f>
        <v>#DIV/0!</v>
      </c>
      <c r="L157" s="291" t="e">
        <f t="shared" ref="L157" si="318">L158+L166+L176+L181+L185</f>
        <v>#DIV/0!</v>
      </c>
      <c r="M157" s="291" t="e">
        <f t="shared" ref="M157" si="319">M158+M166+M176+M181+M185</f>
        <v>#DIV/0!</v>
      </c>
      <c r="N157" s="291" t="e">
        <f t="shared" ref="N157" si="320">N158+N166+N176+N181+N185</f>
        <v>#DIV/0!</v>
      </c>
      <c r="O157" s="291" t="e">
        <f t="shared" ref="O157" si="321">O158+O166+O176+O181+O185</f>
        <v>#DIV/0!</v>
      </c>
      <c r="P157" s="291" t="e">
        <f t="shared" ref="P157" si="322">P158+P166+P176+P181+P185</f>
        <v>#DIV/0!</v>
      </c>
      <c r="Q157" s="291" t="e">
        <f t="shared" ref="Q157" si="323">Q158+Q166+Q176+Q181+Q185</f>
        <v>#DIV/0!</v>
      </c>
      <c r="R157" s="291">
        <f t="shared" ref="R157" si="324">R158+R166+R176+R181+R185</f>
        <v>0</v>
      </c>
    </row>
    <row r="158" spans="1:18">
      <c r="A158" s="269" t="s">
        <v>46</v>
      </c>
      <c r="B158" s="291">
        <f>SUM(B159:B165)</f>
        <v>2649750811</v>
      </c>
      <c r="C158" s="291">
        <f t="shared" ref="C158" si="325">SUM(C159:C165)</f>
        <v>2649750811</v>
      </c>
      <c r="D158" s="291">
        <f t="shared" ref="D158" si="326">SUM(D159:D165)</f>
        <v>2649750811</v>
      </c>
      <c r="E158" s="291">
        <f t="shared" ref="E158" si="327">SUM(E159:E165)</f>
        <v>2649750811</v>
      </c>
      <c r="F158" s="291">
        <f t="shared" ref="F158" si="328">SUM(F159:F165)</f>
        <v>2649750811</v>
      </c>
      <c r="G158" s="291">
        <f t="shared" ref="G158" si="329">SUM(G159:G165)</f>
        <v>2649750811</v>
      </c>
      <c r="H158" s="291">
        <f t="shared" ref="H158" si="330">SUM(H159:H165)</f>
        <v>163604305.07386231</v>
      </c>
      <c r="I158" s="291">
        <f t="shared" ref="I158" si="331">SUM(I159:I165)</f>
        <v>163604305.07386231</v>
      </c>
      <c r="J158" s="291" t="e">
        <f t="shared" ref="J158" si="332">SUM(J159:J165)</f>
        <v>#DIV/0!</v>
      </c>
      <c r="K158" s="291" t="e">
        <f t="shared" ref="K158" si="333">SUM(K159:K165)</f>
        <v>#DIV/0!</v>
      </c>
      <c r="L158" s="291" t="e">
        <f t="shared" ref="L158" si="334">SUM(L159:L165)</f>
        <v>#DIV/0!</v>
      </c>
      <c r="M158" s="291" t="e">
        <f t="shared" ref="M158" si="335">SUM(M159:M165)</f>
        <v>#DIV/0!</v>
      </c>
      <c r="N158" s="291" t="e">
        <f t="shared" ref="N158" si="336">SUM(N159:N165)</f>
        <v>#DIV/0!</v>
      </c>
      <c r="O158" s="291" t="e">
        <f t="shared" ref="O158" si="337">SUM(O159:O165)</f>
        <v>#DIV/0!</v>
      </c>
      <c r="P158" s="291" t="e">
        <f t="shared" ref="P158" si="338">SUM(P159:P165)</f>
        <v>#DIV/0!</v>
      </c>
      <c r="Q158" s="291" t="e">
        <f t="shared" ref="Q158" si="339">SUM(Q159:Q165)</f>
        <v>#DIV/0!</v>
      </c>
      <c r="R158" s="291">
        <f t="shared" ref="R158" si="340">SUM(R159:R165)</f>
        <v>0</v>
      </c>
    </row>
    <row r="159" spans="1:18">
      <c r="A159" s="127" t="s">
        <v>13</v>
      </c>
      <c r="B159" s="291">
        <f>COMB_CORR!$F5</f>
        <v>125329986</v>
      </c>
      <c r="C159" s="291">
        <f>COMB_CORR!$F5</f>
        <v>125329986</v>
      </c>
      <c r="D159" s="291">
        <f>COMB_CORR!$F5</f>
        <v>125329986</v>
      </c>
      <c r="E159" s="291">
        <f>COMB_CORR!$F5</f>
        <v>125329986</v>
      </c>
      <c r="F159" s="291">
        <f>COMB_CORR!$F5</f>
        <v>125329986</v>
      </c>
      <c r="G159" s="291">
        <f>COMB_CORR!$F5</f>
        <v>125329986</v>
      </c>
      <c r="H159" s="291">
        <f>COMB_CORR!$K5</f>
        <v>6760849.2503900081</v>
      </c>
      <c r="I159" s="291">
        <f>COMB_CORR!$K5</f>
        <v>6760849.2503900081</v>
      </c>
      <c r="J159" s="291" t="e">
        <f>COMB_CORR!$P5*CORR!$BN4</f>
        <v>#DIV/0!</v>
      </c>
      <c r="K159" s="291" t="e">
        <f>COMB_CORR!$P5*CORR!$BN4</f>
        <v>#DIV/0!</v>
      </c>
      <c r="L159" s="291" t="e">
        <f>COMB_CORR!$P5*CORR!$BN4</f>
        <v>#DIV/0!</v>
      </c>
      <c r="M159" s="291" t="e">
        <f>COMB_CORR!$P5*CORR!$BN4</f>
        <v>#DIV/0!</v>
      </c>
      <c r="N159" s="291" t="e">
        <f>COMB_CORR!$P5*CORR!$BN4</f>
        <v>#DIV/0!</v>
      </c>
      <c r="O159" s="291" t="e">
        <f>COMB_CORR!$P5*CORR!$BN4</f>
        <v>#DIV/0!</v>
      </c>
      <c r="P159" s="291" t="e">
        <f>COMB_CORR!$P5*CORR!$BN4</f>
        <v>#DIV/0!</v>
      </c>
      <c r="Q159" s="291" t="e">
        <f>COMB_CORR!$P5*CORR!$BN4</f>
        <v>#DIV/0!</v>
      </c>
      <c r="R159" s="291">
        <f>COMB_CORR!U5</f>
        <v>0</v>
      </c>
    </row>
    <row r="160" spans="1:18">
      <c r="A160" s="127" t="s">
        <v>14</v>
      </c>
      <c r="B160" s="291">
        <f>COMB_CORR!$F6</f>
        <v>137899800</v>
      </c>
      <c r="C160" s="291">
        <f>COMB_CORR!$F6</f>
        <v>137899800</v>
      </c>
      <c r="D160" s="291">
        <f>COMB_CORR!$F6</f>
        <v>137899800</v>
      </c>
      <c r="E160" s="291">
        <f>COMB_CORR!$F6</f>
        <v>137899800</v>
      </c>
      <c r="F160" s="291">
        <f>COMB_CORR!$F6</f>
        <v>137899800</v>
      </c>
      <c r="G160" s="291">
        <f>COMB_CORR!$F6</f>
        <v>137899800</v>
      </c>
      <c r="H160" s="291">
        <f>COMB_CORR!$K6</f>
        <v>1637013.3076732361</v>
      </c>
      <c r="I160" s="291">
        <f>COMB_CORR!$K6</f>
        <v>1637013.3076732361</v>
      </c>
      <c r="J160" s="291" t="e">
        <f>COMB_CORR!$P6*CORR!$BN5</f>
        <v>#DIV/0!</v>
      </c>
      <c r="K160" s="291" t="e">
        <f>COMB_CORR!$P6*CORR!$BN5</f>
        <v>#DIV/0!</v>
      </c>
      <c r="L160" s="291" t="e">
        <f>COMB_CORR!$P6*CORR!$BN5</f>
        <v>#DIV/0!</v>
      </c>
      <c r="M160" s="291" t="e">
        <f>COMB_CORR!$P6*CORR!$BN5</f>
        <v>#DIV/0!</v>
      </c>
      <c r="N160" s="291" t="e">
        <f>COMB_CORR!$P6*CORR!$BN5</f>
        <v>#DIV/0!</v>
      </c>
      <c r="O160" s="291" t="e">
        <f>COMB_CORR!$P6*CORR!$BN5</f>
        <v>#DIV/0!</v>
      </c>
      <c r="P160" s="291" t="e">
        <f>COMB_CORR!$P6*CORR!$BN5</f>
        <v>#DIV/0!</v>
      </c>
      <c r="Q160" s="291" t="e">
        <f>COMB_CORR!$P6*CORR!$BN5</f>
        <v>#DIV/0!</v>
      </c>
      <c r="R160" s="291">
        <f>COMB_CORR!U6</f>
        <v>0</v>
      </c>
    </row>
    <row r="161" spans="1:18">
      <c r="A161" s="127" t="s">
        <v>15</v>
      </c>
      <c r="B161" s="291">
        <f>COMB_CORR!$F7</f>
        <v>590749207</v>
      </c>
      <c r="C161" s="291">
        <f>COMB_CORR!$F7</f>
        <v>590749207</v>
      </c>
      <c r="D161" s="291">
        <f>COMB_CORR!$F7</f>
        <v>590749207</v>
      </c>
      <c r="E161" s="291">
        <f>COMB_CORR!$F7</f>
        <v>590749207</v>
      </c>
      <c r="F161" s="291">
        <f>COMB_CORR!$F7</f>
        <v>590749207</v>
      </c>
      <c r="G161" s="291">
        <f>COMB_CORR!$F7</f>
        <v>590749207</v>
      </c>
      <c r="H161" s="291">
        <f>COMB_CORR!$K7</f>
        <v>52754347.313102156</v>
      </c>
      <c r="I161" s="291">
        <f>COMB_CORR!$K7</f>
        <v>52754347.313102156</v>
      </c>
      <c r="J161" s="291" t="e">
        <f>COMB_CORR!$P7*CORR!$BN6</f>
        <v>#DIV/0!</v>
      </c>
      <c r="K161" s="291" t="e">
        <f>COMB_CORR!$P7*CORR!$BN6</f>
        <v>#DIV/0!</v>
      </c>
      <c r="L161" s="291" t="e">
        <f>COMB_CORR!$P7*CORR!$BN6</f>
        <v>#DIV/0!</v>
      </c>
      <c r="M161" s="291" t="e">
        <f>COMB_CORR!$P7*CORR!$BN6</f>
        <v>#DIV/0!</v>
      </c>
      <c r="N161" s="291" t="e">
        <f>COMB_CORR!$P7*CORR!$BN6</f>
        <v>#DIV/0!</v>
      </c>
      <c r="O161" s="291" t="e">
        <f>COMB_CORR!$P7*CORR!$BN6</f>
        <v>#DIV/0!</v>
      </c>
      <c r="P161" s="291" t="e">
        <f>COMB_CORR!$P7*CORR!$BN6</f>
        <v>#DIV/0!</v>
      </c>
      <c r="Q161" s="291" t="e">
        <f>COMB_CORR!$P7*CORR!$BN6</f>
        <v>#DIV/0!</v>
      </c>
      <c r="R161" s="291">
        <f>COMB_CORR!U7</f>
        <v>0</v>
      </c>
    </row>
    <row r="162" spans="1:18">
      <c r="A162" s="127" t="s">
        <v>16</v>
      </c>
      <c r="B162" s="291">
        <f>COMB_CORR!$F8</f>
        <v>996631282</v>
      </c>
      <c r="C162" s="291">
        <f>COMB_CORR!$F8</f>
        <v>996631282</v>
      </c>
      <c r="D162" s="291">
        <f>COMB_CORR!$F8</f>
        <v>996631282</v>
      </c>
      <c r="E162" s="291">
        <f>COMB_CORR!$F8</f>
        <v>996631282</v>
      </c>
      <c r="F162" s="291">
        <f>COMB_CORR!$F8</f>
        <v>996631282</v>
      </c>
      <c r="G162" s="291">
        <f>COMB_CORR!$F8</f>
        <v>996631282</v>
      </c>
      <c r="H162" s="291">
        <f>COMB_CORR!$K8</f>
        <v>36982101.140881501</v>
      </c>
      <c r="I162" s="291">
        <f>COMB_CORR!$K8</f>
        <v>36982101.140881501</v>
      </c>
      <c r="J162" s="291" t="e">
        <f>COMB_CORR!$P8*CORR!$BN7</f>
        <v>#DIV/0!</v>
      </c>
      <c r="K162" s="291" t="e">
        <f>COMB_CORR!$P8*CORR!$BN7</f>
        <v>#DIV/0!</v>
      </c>
      <c r="L162" s="291" t="e">
        <f>COMB_CORR!$P8*CORR!$BN7</f>
        <v>#DIV/0!</v>
      </c>
      <c r="M162" s="291" t="e">
        <f>COMB_CORR!$P8*CORR!$BN7</f>
        <v>#DIV/0!</v>
      </c>
      <c r="N162" s="291" t="e">
        <f>COMB_CORR!$P8*CORR!$BN7</f>
        <v>#DIV/0!</v>
      </c>
      <c r="O162" s="291" t="e">
        <f>COMB_CORR!$P8*CORR!$BN7</f>
        <v>#DIV/0!</v>
      </c>
      <c r="P162" s="291" t="e">
        <f>COMB_CORR!$P8*CORR!$BN7</f>
        <v>#DIV/0!</v>
      </c>
      <c r="Q162" s="291" t="e">
        <f>COMB_CORR!$P8*CORR!$BN7</f>
        <v>#DIV/0!</v>
      </c>
      <c r="R162" s="291">
        <f>COMB_CORR!U8</f>
        <v>0</v>
      </c>
    </row>
    <row r="163" spans="1:18">
      <c r="A163" s="127" t="s">
        <v>17</v>
      </c>
      <c r="B163" s="291">
        <f>COMB_CORR!$F9</f>
        <v>378462950</v>
      </c>
      <c r="C163" s="291">
        <f>COMB_CORR!$F9</f>
        <v>378462950</v>
      </c>
      <c r="D163" s="291">
        <f>COMB_CORR!$F9</f>
        <v>378462950</v>
      </c>
      <c r="E163" s="291">
        <f>COMB_CORR!$F9</f>
        <v>378462950</v>
      </c>
      <c r="F163" s="291">
        <f>COMB_CORR!$F9</f>
        <v>378462950</v>
      </c>
      <c r="G163" s="291">
        <f>COMB_CORR!$F9</f>
        <v>378462950</v>
      </c>
      <c r="H163" s="291">
        <f>COMB_CORR!$K9</f>
        <v>23282114.295359362</v>
      </c>
      <c r="I163" s="291">
        <f>COMB_CORR!$K9</f>
        <v>23282114.295359362</v>
      </c>
      <c r="J163" s="291" t="e">
        <f>COMB_CORR!$P9*CORR!$BN8</f>
        <v>#DIV/0!</v>
      </c>
      <c r="K163" s="291" t="e">
        <f>COMB_CORR!$P9*CORR!$BN8</f>
        <v>#DIV/0!</v>
      </c>
      <c r="L163" s="291" t="e">
        <f>COMB_CORR!$P9*CORR!$BN8</f>
        <v>#DIV/0!</v>
      </c>
      <c r="M163" s="291" t="e">
        <f>COMB_CORR!$P9*CORR!$BN8</f>
        <v>#DIV/0!</v>
      </c>
      <c r="N163" s="291" t="e">
        <f>COMB_CORR!$P9*CORR!$BN8</f>
        <v>#DIV/0!</v>
      </c>
      <c r="O163" s="291" t="e">
        <f>COMB_CORR!$P9*CORR!$BN8</f>
        <v>#DIV/0!</v>
      </c>
      <c r="P163" s="291" t="e">
        <f>COMB_CORR!$P9*CORR!$BN8</f>
        <v>#DIV/0!</v>
      </c>
      <c r="Q163" s="291" t="e">
        <f>COMB_CORR!$P9*CORR!$BN8</f>
        <v>#DIV/0!</v>
      </c>
      <c r="R163" s="291">
        <f>COMB_CORR!U9</f>
        <v>0</v>
      </c>
    </row>
    <row r="164" spans="1:18">
      <c r="A164" s="127" t="s">
        <v>18</v>
      </c>
      <c r="B164" s="291">
        <f>COMB_CORR!$F10</f>
        <v>108861300</v>
      </c>
      <c r="C164" s="291">
        <f>COMB_CORR!$F10</f>
        <v>108861300</v>
      </c>
      <c r="D164" s="291">
        <f>COMB_CORR!$F10</f>
        <v>108861300</v>
      </c>
      <c r="E164" s="291">
        <f>COMB_CORR!$F10</f>
        <v>108861300</v>
      </c>
      <c r="F164" s="291">
        <f>COMB_CORR!$F10</f>
        <v>108861300</v>
      </c>
      <c r="G164" s="291">
        <f>COMB_CORR!$F10</f>
        <v>108861300</v>
      </c>
      <c r="H164" s="291">
        <f>COMB_CORR!$K10</f>
        <v>2045481.1195686695</v>
      </c>
      <c r="I164" s="291">
        <f>COMB_CORR!$K10</f>
        <v>2045481.1195686695</v>
      </c>
      <c r="J164" s="291" t="e">
        <f>COMB_CORR!$P10*CORR!$BN9</f>
        <v>#DIV/0!</v>
      </c>
      <c r="K164" s="291" t="e">
        <f>COMB_CORR!$P10*CORR!$BN9</f>
        <v>#DIV/0!</v>
      </c>
      <c r="L164" s="291" t="e">
        <f>COMB_CORR!$P10*CORR!$BN9</f>
        <v>#DIV/0!</v>
      </c>
      <c r="M164" s="291" t="e">
        <f>COMB_CORR!$P10*CORR!$BN9</f>
        <v>#DIV/0!</v>
      </c>
      <c r="N164" s="291" t="e">
        <f>COMB_CORR!$P10*CORR!$BN9</f>
        <v>#DIV/0!</v>
      </c>
      <c r="O164" s="291" t="e">
        <f>COMB_CORR!$P10*CORR!$BN9</f>
        <v>#DIV/0!</v>
      </c>
      <c r="P164" s="291" t="e">
        <f>COMB_CORR!$P10*CORR!$BN9</f>
        <v>#DIV/0!</v>
      </c>
      <c r="Q164" s="291" t="e">
        <f>COMB_CORR!$P10*CORR!$BN9</f>
        <v>#DIV/0!</v>
      </c>
      <c r="R164" s="291">
        <f>COMB_CORR!U10</f>
        <v>0</v>
      </c>
    </row>
    <row r="165" spans="1:18" ht="15.75" thickBot="1">
      <c r="A165" s="128" t="s">
        <v>19</v>
      </c>
      <c r="B165" s="291">
        <f>COMB_CORR!$F11</f>
        <v>311816286</v>
      </c>
      <c r="C165" s="291">
        <f>COMB_CORR!$F11</f>
        <v>311816286</v>
      </c>
      <c r="D165" s="291">
        <f>COMB_CORR!$F11</f>
        <v>311816286</v>
      </c>
      <c r="E165" s="291">
        <f>COMB_CORR!$F11</f>
        <v>311816286</v>
      </c>
      <c r="F165" s="291">
        <f>COMB_CORR!$F11</f>
        <v>311816286</v>
      </c>
      <c r="G165" s="291">
        <f>COMB_CORR!$F11</f>
        <v>311816286</v>
      </c>
      <c r="H165" s="291">
        <f>COMB_CORR!$K11</f>
        <v>40142398.646887377</v>
      </c>
      <c r="I165" s="291">
        <f>COMB_CORR!$K11</f>
        <v>40142398.646887377</v>
      </c>
      <c r="J165" s="291" t="e">
        <f>COMB_CORR!$P11*CORR!$BN10</f>
        <v>#DIV/0!</v>
      </c>
      <c r="K165" s="291" t="e">
        <f>COMB_CORR!$P11*CORR!$BN10</f>
        <v>#DIV/0!</v>
      </c>
      <c r="L165" s="291" t="e">
        <f>COMB_CORR!$P11*CORR!$BN10</f>
        <v>#DIV/0!</v>
      </c>
      <c r="M165" s="291" t="e">
        <f>COMB_CORR!$P11*CORR!$BN10</f>
        <v>#DIV/0!</v>
      </c>
      <c r="N165" s="291" t="e">
        <f>COMB_CORR!$P11*CORR!$BN10</f>
        <v>#DIV/0!</v>
      </c>
      <c r="O165" s="291" t="e">
        <f>COMB_CORR!$P11*CORR!$BN10</f>
        <v>#DIV/0!</v>
      </c>
      <c r="P165" s="291" t="e">
        <f>COMB_CORR!$P11*CORR!$BN10</f>
        <v>#DIV/0!</v>
      </c>
      <c r="Q165" s="291" t="e">
        <f>COMB_CORR!$P11*CORR!$BN10</f>
        <v>#DIV/0!</v>
      </c>
      <c r="R165" s="291">
        <f>COMB_CORR!U11</f>
        <v>0</v>
      </c>
    </row>
    <row r="166" spans="1:18">
      <c r="A166" s="269" t="s">
        <v>54</v>
      </c>
      <c r="B166" s="291">
        <f>SUM(B167:B175)</f>
        <v>7840969281</v>
      </c>
      <c r="C166" s="291">
        <f t="shared" ref="C166" si="341">SUM(C167:C175)</f>
        <v>7840969281</v>
      </c>
      <c r="D166" s="291">
        <f t="shared" ref="D166" si="342">SUM(D167:D175)</f>
        <v>7840969281</v>
      </c>
      <c r="E166" s="291">
        <f t="shared" ref="E166" si="343">SUM(E167:E175)</f>
        <v>7840969281</v>
      </c>
      <c r="F166" s="291">
        <f t="shared" ref="F166" si="344">SUM(F167:F175)</f>
        <v>7840969281</v>
      </c>
      <c r="G166" s="291">
        <f t="shared" ref="G166" si="345">SUM(G167:G175)</f>
        <v>7840969281</v>
      </c>
      <c r="H166" s="291">
        <f t="shared" ref="H166" si="346">SUM(H167:H175)</f>
        <v>785168988.92012012</v>
      </c>
      <c r="I166" s="291">
        <f t="shared" ref="I166" si="347">SUM(I167:I175)</f>
        <v>785168988.92012012</v>
      </c>
      <c r="J166" s="291" t="e">
        <f t="shared" ref="J166" si="348">SUM(J167:J175)</f>
        <v>#DIV/0!</v>
      </c>
      <c r="K166" s="291" t="e">
        <f t="shared" ref="K166" si="349">SUM(K167:K175)</f>
        <v>#DIV/0!</v>
      </c>
      <c r="L166" s="291" t="e">
        <f t="shared" ref="L166" si="350">SUM(L167:L175)</f>
        <v>#DIV/0!</v>
      </c>
      <c r="M166" s="291" t="e">
        <f t="shared" ref="M166" si="351">SUM(M167:M175)</f>
        <v>#DIV/0!</v>
      </c>
      <c r="N166" s="291" t="e">
        <f t="shared" ref="N166" si="352">SUM(N167:N175)</f>
        <v>#DIV/0!</v>
      </c>
      <c r="O166" s="291" t="e">
        <f t="shared" ref="O166" si="353">SUM(O167:O175)</f>
        <v>#DIV/0!</v>
      </c>
      <c r="P166" s="291" t="e">
        <f t="shared" ref="P166" si="354">SUM(P167:P175)</f>
        <v>#DIV/0!</v>
      </c>
      <c r="Q166" s="291" t="e">
        <f t="shared" ref="Q166" si="355">SUM(Q167:Q175)</f>
        <v>#DIV/0!</v>
      </c>
      <c r="R166" s="291">
        <f t="shared" ref="R166" si="356">SUM(R167:R175)</f>
        <v>0</v>
      </c>
    </row>
    <row r="167" spans="1:18">
      <c r="A167" s="127" t="s">
        <v>21</v>
      </c>
      <c r="B167" s="291">
        <f>COMB_CORR!$F13</f>
        <v>400517967</v>
      </c>
      <c r="C167" s="291">
        <f>COMB_CORR!$F13</f>
        <v>400517967</v>
      </c>
      <c r="D167" s="291">
        <f>COMB_CORR!$F13</f>
        <v>400517967</v>
      </c>
      <c r="E167" s="291">
        <f>COMB_CORR!$F13</f>
        <v>400517967</v>
      </c>
      <c r="F167" s="291">
        <f>COMB_CORR!$F13</f>
        <v>400517967</v>
      </c>
      <c r="G167" s="291">
        <f>COMB_CORR!$F13</f>
        <v>400517967</v>
      </c>
      <c r="H167" s="291">
        <f>COMB_CORR!$K13</f>
        <v>39238810.616594441</v>
      </c>
      <c r="I167" s="291">
        <f>COMB_CORR!$K13</f>
        <v>39238810.616594441</v>
      </c>
      <c r="J167" s="291" t="e">
        <f>COMB_CORR!$P13*CORR!$BN12</f>
        <v>#DIV/0!</v>
      </c>
      <c r="K167" s="291" t="e">
        <f>COMB_CORR!$P13*CORR!$BN12</f>
        <v>#DIV/0!</v>
      </c>
      <c r="L167" s="291" t="e">
        <f>COMB_CORR!$P13*CORR!$BN12</f>
        <v>#DIV/0!</v>
      </c>
      <c r="M167" s="291" t="e">
        <f>COMB_CORR!$P13*CORR!$BN12</f>
        <v>#DIV/0!</v>
      </c>
      <c r="N167" s="291" t="e">
        <f>COMB_CORR!$P13*CORR!$BN12</f>
        <v>#DIV/0!</v>
      </c>
      <c r="O167" s="291" t="e">
        <f>COMB_CORR!$P13*CORR!$BN12</f>
        <v>#DIV/0!</v>
      </c>
      <c r="P167" s="291" t="e">
        <f>COMB_CORR!$P13*CORR!$BN12</f>
        <v>#DIV/0!</v>
      </c>
      <c r="Q167" s="291" t="e">
        <f>COMB_CORR!$P13*CORR!$BN12</f>
        <v>#DIV/0!</v>
      </c>
      <c r="R167" s="291">
        <f>COMB_CORR!U13</f>
        <v>0</v>
      </c>
    </row>
    <row r="168" spans="1:18">
      <c r="A168" s="127" t="s">
        <v>22</v>
      </c>
      <c r="B168" s="291">
        <f>COMB_CORR!$F14</f>
        <v>1943731376</v>
      </c>
      <c r="C168" s="291">
        <f>COMB_CORR!$F14</f>
        <v>1943731376</v>
      </c>
      <c r="D168" s="291">
        <f>COMB_CORR!$F14</f>
        <v>1943731376</v>
      </c>
      <c r="E168" s="291">
        <f>COMB_CORR!$F14</f>
        <v>1943731376</v>
      </c>
      <c r="F168" s="291">
        <f>COMB_CORR!$F14</f>
        <v>1943731376</v>
      </c>
      <c r="G168" s="291">
        <f>COMB_CORR!$F14</f>
        <v>1943731376</v>
      </c>
      <c r="H168" s="291">
        <f>COMB_CORR!$K14</f>
        <v>275535699.32124466</v>
      </c>
      <c r="I168" s="291">
        <f>COMB_CORR!$K14</f>
        <v>275535699.32124466</v>
      </c>
      <c r="J168" s="291" t="e">
        <f>COMB_CORR!$P14*CORR!$BN13</f>
        <v>#DIV/0!</v>
      </c>
      <c r="K168" s="291" t="e">
        <f>COMB_CORR!$P14*CORR!$BN13</f>
        <v>#DIV/0!</v>
      </c>
      <c r="L168" s="291" t="e">
        <f>COMB_CORR!$P14*CORR!$BN13</f>
        <v>#DIV/0!</v>
      </c>
      <c r="M168" s="291" t="e">
        <f>COMB_CORR!$P14*CORR!$BN13</f>
        <v>#DIV/0!</v>
      </c>
      <c r="N168" s="291" t="e">
        <f>COMB_CORR!$P14*CORR!$BN13</f>
        <v>#DIV/0!</v>
      </c>
      <c r="O168" s="291" t="e">
        <f>COMB_CORR!$P14*CORR!$BN13</f>
        <v>#DIV/0!</v>
      </c>
      <c r="P168" s="291" t="e">
        <f>COMB_CORR!$P14*CORR!$BN13</f>
        <v>#DIV/0!</v>
      </c>
      <c r="Q168" s="291" t="e">
        <f>COMB_CORR!$P14*CORR!$BN13</f>
        <v>#DIV/0!</v>
      </c>
      <c r="R168" s="291">
        <f>COMB_CORR!U14</f>
        <v>0</v>
      </c>
    </row>
    <row r="169" spans="1:18">
      <c r="A169" s="127" t="s">
        <v>23</v>
      </c>
      <c r="B169" s="291">
        <f>COMB_CORR!$F15</f>
        <v>1216335292</v>
      </c>
      <c r="C169" s="291">
        <f>COMB_CORR!$F15</f>
        <v>1216335292</v>
      </c>
      <c r="D169" s="291">
        <f>COMB_CORR!$F15</f>
        <v>1216335292</v>
      </c>
      <c r="E169" s="291">
        <f>COMB_CORR!$F15</f>
        <v>1216335292</v>
      </c>
      <c r="F169" s="291">
        <f>COMB_CORR!$F15</f>
        <v>1216335292</v>
      </c>
      <c r="G169" s="291">
        <f>COMB_CORR!$F15</f>
        <v>1216335292</v>
      </c>
      <c r="H169" s="291">
        <f>COMB_CORR!$K15</f>
        <v>109820550.42276023</v>
      </c>
      <c r="I169" s="291">
        <f>COMB_CORR!$K15</f>
        <v>109820550.42276023</v>
      </c>
      <c r="J169" s="291" t="e">
        <f>COMB_CORR!$P15*CORR!$BN14</f>
        <v>#DIV/0!</v>
      </c>
      <c r="K169" s="291" t="e">
        <f>COMB_CORR!$P15*CORR!$BN14</f>
        <v>#DIV/0!</v>
      </c>
      <c r="L169" s="291" t="e">
        <f>COMB_CORR!$P15*CORR!$BN14</f>
        <v>#DIV/0!</v>
      </c>
      <c r="M169" s="291" t="e">
        <f>COMB_CORR!$P15*CORR!$BN14</f>
        <v>#DIV/0!</v>
      </c>
      <c r="N169" s="291" t="e">
        <f>COMB_CORR!$P15*CORR!$BN14</f>
        <v>#DIV/0!</v>
      </c>
      <c r="O169" s="291" t="e">
        <f>COMB_CORR!$P15*CORR!$BN14</f>
        <v>#DIV/0!</v>
      </c>
      <c r="P169" s="291" t="e">
        <f>COMB_CORR!$P15*CORR!$BN14</f>
        <v>#DIV/0!</v>
      </c>
      <c r="Q169" s="291" t="e">
        <f>COMB_CORR!$P15*CORR!$BN14</f>
        <v>#DIV/0!</v>
      </c>
      <c r="R169" s="291">
        <f>COMB_CORR!U15</f>
        <v>0</v>
      </c>
    </row>
    <row r="170" spans="1:18">
      <c r="A170" s="127" t="s">
        <v>24</v>
      </c>
      <c r="B170" s="291">
        <f>COMB_CORR!$F16</f>
        <v>803208635</v>
      </c>
      <c r="C170" s="291">
        <f>COMB_CORR!$F16</f>
        <v>803208635</v>
      </c>
      <c r="D170" s="291">
        <f>COMB_CORR!$F16</f>
        <v>803208635</v>
      </c>
      <c r="E170" s="291">
        <f>COMB_CORR!$F16</f>
        <v>803208635</v>
      </c>
      <c r="F170" s="291">
        <f>COMB_CORR!$F16</f>
        <v>803208635</v>
      </c>
      <c r="G170" s="291">
        <f>COMB_CORR!$F16</f>
        <v>803208635</v>
      </c>
      <c r="H170" s="291">
        <f>COMB_CORR!$K16</f>
        <v>29675315.583099835</v>
      </c>
      <c r="I170" s="291">
        <f>COMB_CORR!$K16</f>
        <v>29675315.583099835</v>
      </c>
      <c r="J170" s="291" t="e">
        <f>COMB_CORR!$P16*CORR!$BN15</f>
        <v>#DIV/0!</v>
      </c>
      <c r="K170" s="291" t="e">
        <f>COMB_CORR!$P16*CORR!$BN15</f>
        <v>#DIV/0!</v>
      </c>
      <c r="L170" s="291" t="e">
        <f>COMB_CORR!$P16*CORR!$BN15</f>
        <v>#DIV/0!</v>
      </c>
      <c r="M170" s="291" t="e">
        <f>COMB_CORR!$P16*CORR!$BN15</f>
        <v>#DIV/0!</v>
      </c>
      <c r="N170" s="291" t="e">
        <f>COMB_CORR!$P16*CORR!$BN15</f>
        <v>#DIV/0!</v>
      </c>
      <c r="O170" s="291" t="e">
        <f>COMB_CORR!$P16*CORR!$BN15</f>
        <v>#DIV/0!</v>
      </c>
      <c r="P170" s="291" t="e">
        <f>COMB_CORR!$P16*CORR!$BN15</f>
        <v>#DIV/0!</v>
      </c>
      <c r="Q170" s="291" t="e">
        <f>COMB_CORR!$P16*CORR!$BN15</f>
        <v>#DIV/0!</v>
      </c>
      <c r="R170" s="291">
        <f>COMB_CORR!U16</f>
        <v>0</v>
      </c>
    </row>
    <row r="171" spans="1:18">
      <c r="A171" s="127" t="s">
        <v>25</v>
      </c>
      <c r="B171" s="291">
        <f>COMB_CORR!$F17</f>
        <v>625181695</v>
      </c>
      <c r="C171" s="291">
        <f>COMB_CORR!$F17</f>
        <v>625181695</v>
      </c>
      <c r="D171" s="291">
        <f>COMB_CORR!$F17</f>
        <v>625181695</v>
      </c>
      <c r="E171" s="291">
        <f>COMB_CORR!$F17</f>
        <v>625181695</v>
      </c>
      <c r="F171" s="291">
        <f>COMB_CORR!$F17</f>
        <v>625181695</v>
      </c>
      <c r="G171" s="291">
        <f>COMB_CORR!$F17</f>
        <v>625181695</v>
      </c>
      <c r="H171" s="291">
        <f>COMB_CORR!$K17</f>
        <v>60881675.130794004</v>
      </c>
      <c r="I171" s="291">
        <f>COMB_CORR!$K17</f>
        <v>60881675.130794004</v>
      </c>
      <c r="J171" s="291" t="e">
        <f>COMB_CORR!$P17*CORR!$BN16</f>
        <v>#DIV/0!</v>
      </c>
      <c r="K171" s="291" t="e">
        <f>COMB_CORR!$P17*CORR!$BN16</f>
        <v>#DIV/0!</v>
      </c>
      <c r="L171" s="291" t="e">
        <f>COMB_CORR!$P17*CORR!$BN16</f>
        <v>#DIV/0!</v>
      </c>
      <c r="M171" s="291" t="e">
        <f>COMB_CORR!$P17*CORR!$BN16</f>
        <v>#DIV/0!</v>
      </c>
      <c r="N171" s="291" t="e">
        <f>COMB_CORR!$P17*CORR!$BN16</f>
        <v>#DIV/0!</v>
      </c>
      <c r="O171" s="291" t="e">
        <f>COMB_CORR!$P17*CORR!$BN16</f>
        <v>#DIV/0!</v>
      </c>
      <c r="P171" s="291" t="e">
        <f>COMB_CORR!$P17*CORR!$BN16</f>
        <v>#DIV/0!</v>
      </c>
      <c r="Q171" s="291" t="e">
        <f>COMB_CORR!$P17*CORR!$BN16</f>
        <v>#DIV/0!</v>
      </c>
      <c r="R171" s="291">
        <f>COMB_CORR!U17</f>
        <v>0</v>
      </c>
    </row>
    <row r="172" spans="1:18">
      <c r="A172" s="127" t="s">
        <v>26</v>
      </c>
      <c r="B172" s="291">
        <f>COMB_CORR!$F18</f>
        <v>1379495065</v>
      </c>
      <c r="C172" s="291">
        <f>COMB_CORR!$F18</f>
        <v>1379495065</v>
      </c>
      <c r="D172" s="291">
        <f>COMB_CORR!$F18</f>
        <v>1379495065</v>
      </c>
      <c r="E172" s="291">
        <f>COMB_CORR!$F18</f>
        <v>1379495065</v>
      </c>
      <c r="F172" s="291">
        <f>COMB_CORR!$F18</f>
        <v>1379495065</v>
      </c>
      <c r="G172" s="291">
        <f>COMB_CORR!$F18</f>
        <v>1379495065</v>
      </c>
      <c r="H172" s="291">
        <f>COMB_CORR!$K18</f>
        <v>172704465.19327793</v>
      </c>
      <c r="I172" s="291">
        <f>COMB_CORR!$K18</f>
        <v>172704465.19327793</v>
      </c>
      <c r="J172" s="291" t="e">
        <f>COMB_CORR!$P18*CORR!$BN17</f>
        <v>#DIV/0!</v>
      </c>
      <c r="K172" s="291" t="e">
        <f>COMB_CORR!$P18*CORR!$BN17</f>
        <v>#DIV/0!</v>
      </c>
      <c r="L172" s="291" t="e">
        <f>COMB_CORR!$P18*CORR!$BN17</f>
        <v>#DIV/0!</v>
      </c>
      <c r="M172" s="291" t="e">
        <f>COMB_CORR!$P18*CORR!$BN17</f>
        <v>#DIV/0!</v>
      </c>
      <c r="N172" s="291" t="e">
        <f>COMB_CORR!$P18*CORR!$BN17</f>
        <v>#DIV/0!</v>
      </c>
      <c r="O172" s="291" t="e">
        <f>COMB_CORR!$P18*CORR!$BN17</f>
        <v>#DIV/0!</v>
      </c>
      <c r="P172" s="291" t="e">
        <f>COMB_CORR!$P18*CORR!$BN17</f>
        <v>#DIV/0!</v>
      </c>
      <c r="Q172" s="291" t="e">
        <f>COMB_CORR!$P18*CORR!$BN17</f>
        <v>#DIV/0!</v>
      </c>
      <c r="R172" s="291">
        <f>COMB_CORR!U18</f>
        <v>0</v>
      </c>
    </row>
    <row r="173" spans="1:18">
      <c r="A173" s="127" t="s">
        <v>27</v>
      </c>
      <c r="B173" s="291">
        <f>COMB_CORR!$F19</f>
        <v>500001489</v>
      </c>
      <c r="C173" s="291">
        <f>COMB_CORR!$F19</f>
        <v>500001489</v>
      </c>
      <c r="D173" s="291">
        <f>COMB_CORR!$F19</f>
        <v>500001489</v>
      </c>
      <c r="E173" s="291">
        <f>COMB_CORR!$F19</f>
        <v>500001489</v>
      </c>
      <c r="F173" s="291">
        <f>COMB_CORR!$F19</f>
        <v>500001489</v>
      </c>
      <c r="G173" s="291">
        <f>COMB_CORR!$F19</f>
        <v>500001489</v>
      </c>
      <c r="H173" s="291">
        <f>COMB_CORR!$K19</f>
        <v>20129776.300863858</v>
      </c>
      <c r="I173" s="291">
        <f>COMB_CORR!$K19</f>
        <v>20129776.300863858</v>
      </c>
      <c r="J173" s="291" t="e">
        <f>COMB_CORR!$P19*CORR!$BN18</f>
        <v>#DIV/0!</v>
      </c>
      <c r="K173" s="291" t="e">
        <f>COMB_CORR!$P19*CORR!$BN18</f>
        <v>#DIV/0!</v>
      </c>
      <c r="L173" s="291" t="e">
        <f>COMB_CORR!$P19*CORR!$BN18</f>
        <v>#DIV/0!</v>
      </c>
      <c r="M173" s="291" t="e">
        <f>COMB_CORR!$P19*CORR!$BN18</f>
        <v>#DIV/0!</v>
      </c>
      <c r="N173" s="291" t="e">
        <f>COMB_CORR!$P19*CORR!$BN18</f>
        <v>#DIV/0!</v>
      </c>
      <c r="O173" s="291" t="e">
        <f>COMB_CORR!$P19*CORR!$BN18</f>
        <v>#DIV/0!</v>
      </c>
      <c r="P173" s="291" t="e">
        <f>COMB_CORR!$P19*CORR!$BN18</f>
        <v>#DIV/0!</v>
      </c>
      <c r="Q173" s="291" t="e">
        <f>COMB_CORR!$P19*CORR!$BN18</f>
        <v>#DIV/0!</v>
      </c>
      <c r="R173" s="291">
        <f>COMB_CORR!U19</f>
        <v>0</v>
      </c>
    </row>
    <row r="174" spans="1:18" ht="25.5">
      <c r="A174" s="127" t="s">
        <v>28</v>
      </c>
      <c r="B174" s="291">
        <f>COMB_CORR!$F20</f>
        <v>605600692</v>
      </c>
      <c r="C174" s="291">
        <f>COMB_CORR!$F20</f>
        <v>605600692</v>
      </c>
      <c r="D174" s="291">
        <f>COMB_CORR!$F20</f>
        <v>605600692</v>
      </c>
      <c r="E174" s="291">
        <f>COMB_CORR!$F20</f>
        <v>605600692</v>
      </c>
      <c r="F174" s="291">
        <f>COMB_CORR!$F20</f>
        <v>605600692</v>
      </c>
      <c r="G174" s="291">
        <f>COMB_CORR!$F20</f>
        <v>605600692</v>
      </c>
      <c r="H174" s="291">
        <f>COMB_CORR!$K20</f>
        <v>53882943.87736924</v>
      </c>
      <c r="I174" s="291">
        <f>COMB_CORR!$K20</f>
        <v>53882943.87736924</v>
      </c>
      <c r="J174" s="291" t="e">
        <f>COMB_CORR!$P20*CORR!$BN19</f>
        <v>#DIV/0!</v>
      </c>
      <c r="K174" s="291" t="e">
        <f>COMB_CORR!$P20*CORR!$BN19</f>
        <v>#DIV/0!</v>
      </c>
      <c r="L174" s="291" t="e">
        <f>COMB_CORR!$P20*CORR!$BN19</f>
        <v>#DIV/0!</v>
      </c>
      <c r="M174" s="291" t="e">
        <f>COMB_CORR!$P20*CORR!$BN19</f>
        <v>#DIV/0!</v>
      </c>
      <c r="N174" s="291" t="e">
        <f>COMB_CORR!$P20*CORR!$BN19</f>
        <v>#DIV/0!</v>
      </c>
      <c r="O174" s="291" t="e">
        <f>COMB_CORR!$P20*CORR!$BN19</f>
        <v>#DIV/0!</v>
      </c>
      <c r="P174" s="291" t="e">
        <f>COMB_CORR!$P20*CORR!$BN19</f>
        <v>#DIV/0!</v>
      </c>
      <c r="Q174" s="291" t="e">
        <f>COMB_CORR!$P20*CORR!$BN19</f>
        <v>#DIV/0!</v>
      </c>
      <c r="R174" s="291">
        <f>COMB_CORR!U20</f>
        <v>0</v>
      </c>
    </row>
    <row r="175" spans="1:18" ht="15.75" thickBot="1">
      <c r="A175" s="128" t="s">
        <v>29</v>
      </c>
      <c r="B175" s="291">
        <f>COMB_CORR!$F21</f>
        <v>366897070</v>
      </c>
      <c r="C175" s="291">
        <f>COMB_CORR!$F21</f>
        <v>366897070</v>
      </c>
      <c r="D175" s="291">
        <f>COMB_CORR!$F21</f>
        <v>366897070</v>
      </c>
      <c r="E175" s="291">
        <f>COMB_CORR!$F21</f>
        <v>366897070</v>
      </c>
      <c r="F175" s="291">
        <f>COMB_CORR!$F21</f>
        <v>366897070</v>
      </c>
      <c r="G175" s="291">
        <f>COMB_CORR!$F21</f>
        <v>366897070</v>
      </c>
      <c r="H175" s="291">
        <f>COMB_CORR!$K21</f>
        <v>23299752.474115878</v>
      </c>
      <c r="I175" s="291">
        <f>COMB_CORR!$K21</f>
        <v>23299752.474115878</v>
      </c>
      <c r="J175" s="291" t="e">
        <f>COMB_CORR!$P21*CORR!$BN20</f>
        <v>#DIV/0!</v>
      </c>
      <c r="K175" s="291" t="e">
        <f>COMB_CORR!$P21*CORR!$BN20</f>
        <v>#DIV/0!</v>
      </c>
      <c r="L175" s="291" t="e">
        <f>COMB_CORR!$P21*CORR!$BN20</f>
        <v>#DIV/0!</v>
      </c>
      <c r="M175" s="291" t="e">
        <f>COMB_CORR!$P21*CORR!$BN20</f>
        <v>#DIV/0!</v>
      </c>
      <c r="N175" s="291" t="e">
        <f>COMB_CORR!$P21*CORR!$BN20</f>
        <v>#DIV/0!</v>
      </c>
      <c r="O175" s="291" t="e">
        <f>COMB_CORR!$P21*CORR!$BN20</f>
        <v>#DIV/0!</v>
      </c>
      <c r="P175" s="291" t="e">
        <f>COMB_CORR!$P21*CORR!$BN20</f>
        <v>#DIV/0!</v>
      </c>
      <c r="Q175" s="291" t="e">
        <f>COMB_CORR!$P21*CORR!$BN20</f>
        <v>#DIV/0!</v>
      </c>
      <c r="R175" s="291">
        <f>COMB_CORR!U21</f>
        <v>0</v>
      </c>
    </row>
    <row r="176" spans="1:18">
      <c r="A176" s="269" t="s">
        <v>64</v>
      </c>
      <c r="B176" s="291">
        <f>SUM(B177:B180)</f>
        <v>18610788276</v>
      </c>
      <c r="C176" s="291">
        <f t="shared" ref="C176" si="357">SUM(C177:C180)</f>
        <v>18610788276</v>
      </c>
      <c r="D176" s="291">
        <f t="shared" ref="D176" si="358">SUM(D177:D180)</f>
        <v>18610788276</v>
      </c>
      <c r="E176" s="291">
        <f t="shared" ref="E176" si="359">SUM(E177:E180)</f>
        <v>18610788276</v>
      </c>
      <c r="F176" s="291">
        <f t="shared" ref="F176" si="360">SUM(F177:F180)</f>
        <v>18610788276</v>
      </c>
      <c r="G176" s="291">
        <f t="shared" ref="G176" si="361">SUM(G177:G180)</f>
        <v>18610788276</v>
      </c>
      <c r="H176" s="291">
        <f t="shared" ref="H176" si="362">SUM(H177:H180)</f>
        <v>8987046564.334549</v>
      </c>
      <c r="I176" s="291">
        <f t="shared" ref="I176" si="363">SUM(I177:I180)</f>
        <v>8987046564.334549</v>
      </c>
      <c r="J176" s="291" t="e">
        <f t="shared" ref="J176" si="364">SUM(J177:J180)</f>
        <v>#DIV/0!</v>
      </c>
      <c r="K176" s="291" t="e">
        <f t="shared" ref="K176" si="365">SUM(K177:K180)</f>
        <v>#DIV/0!</v>
      </c>
      <c r="L176" s="291" t="e">
        <f t="shared" ref="L176" si="366">SUM(L177:L180)</f>
        <v>#DIV/0!</v>
      </c>
      <c r="M176" s="291" t="e">
        <f t="shared" ref="M176" si="367">SUM(M177:M180)</f>
        <v>#DIV/0!</v>
      </c>
      <c r="N176" s="291" t="e">
        <f t="shared" ref="N176" si="368">SUM(N177:N180)</f>
        <v>#DIV/0!</v>
      </c>
      <c r="O176" s="291" t="e">
        <f t="shared" ref="O176" si="369">SUM(O177:O180)</f>
        <v>#DIV/0!</v>
      </c>
      <c r="P176" s="291" t="e">
        <f t="shared" ref="P176" si="370">SUM(P177:P180)</f>
        <v>#DIV/0!</v>
      </c>
      <c r="Q176" s="291" t="e">
        <f t="shared" ref="Q176" si="371">SUM(Q177:Q180)</f>
        <v>#DIV/0!</v>
      </c>
      <c r="R176" s="291">
        <f t="shared" ref="R176" si="372">SUM(R177:R180)</f>
        <v>0</v>
      </c>
    </row>
    <row r="177" spans="1:18">
      <c r="A177" s="127" t="s">
        <v>31</v>
      </c>
      <c r="B177" s="291">
        <f>COMB_CORR!$F23</f>
        <v>861718453</v>
      </c>
      <c r="C177" s="291">
        <f>COMB_CORR!$F23</f>
        <v>861718453</v>
      </c>
      <c r="D177" s="291">
        <f>COMB_CORR!$F23</f>
        <v>861718453</v>
      </c>
      <c r="E177" s="291">
        <f>COMB_CORR!$F23</f>
        <v>861718453</v>
      </c>
      <c r="F177" s="291">
        <f>COMB_CORR!$F23</f>
        <v>861718453</v>
      </c>
      <c r="G177" s="291">
        <f>COMB_CORR!$F23</f>
        <v>861718453</v>
      </c>
      <c r="H177" s="291">
        <f>COMB_CORR!$K23</f>
        <v>47073338.831673644</v>
      </c>
      <c r="I177" s="291">
        <f>COMB_CORR!$K23</f>
        <v>47073338.831673644</v>
      </c>
      <c r="J177" s="291" t="e">
        <f>COMB_CORR!$P23*CORR!$BN22</f>
        <v>#DIV/0!</v>
      </c>
      <c r="K177" s="291" t="e">
        <f>COMB_CORR!$P23*CORR!$BN22</f>
        <v>#DIV/0!</v>
      </c>
      <c r="L177" s="291" t="e">
        <f>COMB_CORR!$P23*CORR!$BN22</f>
        <v>#DIV/0!</v>
      </c>
      <c r="M177" s="291" t="e">
        <f>COMB_CORR!$P23*CORR!$BN22</f>
        <v>#DIV/0!</v>
      </c>
      <c r="N177" s="291" t="e">
        <f>COMB_CORR!$P23*CORR!$BN22</f>
        <v>#DIV/0!</v>
      </c>
      <c r="O177" s="291" t="e">
        <f>COMB_CORR!$P23*CORR!$BN22</f>
        <v>#DIV/0!</v>
      </c>
      <c r="P177" s="291" t="e">
        <f>COMB_CORR!$P23*CORR!$BN22</f>
        <v>#DIV/0!</v>
      </c>
      <c r="Q177" s="291" t="e">
        <f>COMB_CORR!$P23*CORR!$BN22</f>
        <v>#DIV/0!</v>
      </c>
      <c r="R177" s="291">
        <f>COMB_CORR!U23</f>
        <v>0</v>
      </c>
    </row>
    <row r="178" spans="1:18">
      <c r="A178" s="127" t="s">
        <v>32</v>
      </c>
      <c r="B178" s="291">
        <f>COMB_CORR!$F24</f>
        <v>4655426520</v>
      </c>
      <c r="C178" s="291">
        <f>COMB_CORR!$F24</f>
        <v>4655426520</v>
      </c>
      <c r="D178" s="291">
        <f>COMB_CORR!$F24</f>
        <v>4655426520</v>
      </c>
      <c r="E178" s="291">
        <f>COMB_CORR!$F24</f>
        <v>4655426520</v>
      </c>
      <c r="F178" s="291">
        <f>COMB_CORR!$F24</f>
        <v>4655426520</v>
      </c>
      <c r="G178" s="291">
        <f>COMB_CORR!$F24</f>
        <v>4655426520</v>
      </c>
      <c r="H178" s="291">
        <f>COMB_CORR!$K24</f>
        <v>815696883.43225586</v>
      </c>
      <c r="I178" s="291">
        <f>COMB_CORR!$K24</f>
        <v>815696883.43225586</v>
      </c>
      <c r="J178" s="291" t="e">
        <f>COMB_CORR!$P24*CORR!$BN23</f>
        <v>#DIV/0!</v>
      </c>
      <c r="K178" s="291" t="e">
        <f>COMB_CORR!$P24*CORR!$BN23</f>
        <v>#DIV/0!</v>
      </c>
      <c r="L178" s="291" t="e">
        <f>COMB_CORR!$P24*CORR!$BN23</f>
        <v>#DIV/0!</v>
      </c>
      <c r="M178" s="291" t="e">
        <f>COMB_CORR!$P24*CORR!$BN23</f>
        <v>#DIV/0!</v>
      </c>
      <c r="N178" s="291" t="e">
        <f>COMB_CORR!$P24*CORR!$BN23</f>
        <v>#DIV/0!</v>
      </c>
      <c r="O178" s="291" t="e">
        <f>COMB_CORR!$P24*CORR!$BN23</f>
        <v>#DIV/0!</v>
      </c>
      <c r="P178" s="291" t="e">
        <f>COMB_CORR!$P24*CORR!$BN23</f>
        <v>#DIV/0!</v>
      </c>
      <c r="Q178" s="291" t="e">
        <f>COMB_CORR!$P24*CORR!$BN23</f>
        <v>#DIV/0!</v>
      </c>
      <c r="R178" s="291">
        <f>COMB_CORR!U24</f>
        <v>0</v>
      </c>
    </row>
    <row r="179" spans="1:18">
      <c r="A179" s="127" t="s">
        <v>33</v>
      </c>
      <c r="B179" s="291">
        <f>COMB_CORR!$F25</f>
        <v>2616821210</v>
      </c>
      <c r="C179" s="291">
        <f>COMB_CORR!$F25</f>
        <v>2616821210</v>
      </c>
      <c r="D179" s="291">
        <f>COMB_CORR!$F25</f>
        <v>2616821210</v>
      </c>
      <c r="E179" s="291">
        <f>COMB_CORR!$F25</f>
        <v>2616821210</v>
      </c>
      <c r="F179" s="291">
        <f>COMB_CORR!$F25</f>
        <v>2616821210</v>
      </c>
      <c r="G179" s="291">
        <f>COMB_CORR!$F25</f>
        <v>2616821210</v>
      </c>
      <c r="H179" s="291">
        <f>COMB_CORR!$K25</f>
        <v>654305798.35594726</v>
      </c>
      <c r="I179" s="291">
        <f>COMB_CORR!$K25</f>
        <v>654305798.35594726</v>
      </c>
      <c r="J179" s="291" t="e">
        <f>COMB_CORR!$P25*CORR!$BN24</f>
        <v>#DIV/0!</v>
      </c>
      <c r="K179" s="291" t="e">
        <f>COMB_CORR!$P25*CORR!$BN24</f>
        <v>#DIV/0!</v>
      </c>
      <c r="L179" s="291" t="e">
        <f>COMB_CORR!$P25*CORR!$BN24</f>
        <v>#DIV/0!</v>
      </c>
      <c r="M179" s="291" t="e">
        <f>COMB_CORR!$P25*CORR!$BN24</f>
        <v>#DIV/0!</v>
      </c>
      <c r="N179" s="291" t="e">
        <f>COMB_CORR!$P25*CORR!$BN24</f>
        <v>#DIV/0!</v>
      </c>
      <c r="O179" s="291" t="e">
        <f>COMB_CORR!$P25*CORR!$BN24</f>
        <v>#DIV/0!</v>
      </c>
      <c r="P179" s="291" t="e">
        <f>COMB_CORR!$P25*CORR!$BN24</f>
        <v>#DIV/0!</v>
      </c>
      <c r="Q179" s="291" t="e">
        <f>COMB_CORR!$P25*CORR!$BN24</f>
        <v>#DIV/0!</v>
      </c>
      <c r="R179" s="291">
        <f>COMB_CORR!U25</f>
        <v>0</v>
      </c>
    </row>
    <row r="180" spans="1:18" ht="15.75" thickBot="1">
      <c r="A180" s="128" t="s">
        <v>34</v>
      </c>
      <c r="B180" s="291">
        <f>COMB_CORR!$F26</f>
        <v>10476822093</v>
      </c>
      <c r="C180" s="291">
        <f>COMB_CORR!$F26</f>
        <v>10476822093</v>
      </c>
      <c r="D180" s="291">
        <f>COMB_CORR!$F26</f>
        <v>10476822093</v>
      </c>
      <c r="E180" s="291">
        <f>COMB_CORR!$F26</f>
        <v>10476822093</v>
      </c>
      <c r="F180" s="291">
        <f>COMB_CORR!$F26</f>
        <v>10476822093</v>
      </c>
      <c r="G180" s="291">
        <f>COMB_CORR!$F26</f>
        <v>10476822093</v>
      </c>
      <c r="H180" s="291">
        <f>COMB_CORR!$K26</f>
        <v>7469970543.714673</v>
      </c>
      <c r="I180" s="291">
        <f>COMB_CORR!$K26</f>
        <v>7469970543.714673</v>
      </c>
      <c r="J180" s="291" t="e">
        <f>COMB_CORR!$P26*CORR!$BN25</f>
        <v>#DIV/0!</v>
      </c>
      <c r="K180" s="291" t="e">
        <f>COMB_CORR!$P26*CORR!$BN25</f>
        <v>#DIV/0!</v>
      </c>
      <c r="L180" s="291" t="e">
        <f>COMB_CORR!$P26*CORR!$BN25</f>
        <v>#DIV/0!</v>
      </c>
      <c r="M180" s="291" t="e">
        <f>COMB_CORR!$P26*CORR!$BN25</f>
        <v>#DIV/0!</v>
      </c>
      <c r="N180" s="291" t="e">
        <f>COMB_CORR!$P26*CORR!$BN25</f>
        <v>#DIV/0!</v>
      </c>
      <c r="O180" s="291" t="e">
        <f>COMB_CORR!$P26*CORR!$BN25</f>
        <v>#DIV/0!</v>
      </c>
      <c r="P180" s="291" t="e">
        <f>COMB_CORR!$P26*CORR!$BN25</f>
        <v>#DIV/0!</v>
      </c>
      <c r="Q180" s="291" t="e">
        <f>COMB_CORR!$P26*CORR!$BN25</f>
        <v>#DIV/0!</v>
      </c>
      <c r="R180" s="291">
        <f>COMB_CORR!U26</f>
        <v>0</v>
      </c>
    </row>
    <row r="181" spans="1:18">
      <c r="A181" s="269" t="s">
        <v>69</v>
      </c>
      <c r="B181" s="291">
        <f>SUM(B182:B184)</f>
        <v>8413976882</v>
      </c>
      <c r="C181" s="291">
        <f t="shared" ref="C181:R181" si="373">SUM(C182:C184)</f>
        <v>8413976882</v>
      </c>
      <c r="D181" s="291">
        <f t="shared" si="373"/>
        <v>8413976882</v>
      </c>
      <c r="E181" s="291">
        <f t="shared" si="373"/>
        <v>8413976882</v>
      </c>
      <c r="F181" s="291">
        <f t="shared" si="373"/>
        <v>8413976882</v>
      </c>
      <c r="G181" s="291">
        <f t="shared" si="373"/>
        <v>8413976882</v>
      </c>
      <c r="H181" s="291">
        <f t="shared" si="373"/>
        <v>1515873259.0936427</v>
      </c>
      <c r="I181" s="291">
        <f t="shared" si="373"/>
        <v>1515873259.0936427</v>
      </c>
      <c r="J181" s="291" t="e">
        <f t="shared" si="373"/>
        <v>#DIV/0!</v>
      </c>
      <c r="K181" s="291" t="e">
        <f t="shared" si="373"/>
        <v>#DIV/0!</v>
      </c>
      <c r="L181" s="291" t="e">
        <f t="shared" si="373"/>
        <v>#DIV/0!</v>
      </c>
      <c r="M181" s="291" t="e">
        <f t="shared" si="373"/>
        <v>#DIV/0!</v>
      </c>
      <c r="N181" s="291" t="e">
        <f t="shared" si="373"/>
        <v>#DIV/0!</v>
      </c>
      <c r="O181" s="291" t="e">
        <f t="shared" si="373"/>
        <v>#DIV/0!</v>
      </c>
      <c r="P181" s="291" t="e">
        <f t="shared" si="373"/>
        <v>#DIV/0!</v>
      </c>
      <c r="Q181" s="291" t="e">
        <f t="shared" si="373"/>
        <v>#DIV/0!</v>
      </c>
      <c r="R181" s="291">
        <f t="shared" si="373"/>
        <v>0</v>
      </c>
    </row>
    <row r="182" spans="1:18">
      <c r="A182" s="127" t="s">
        <v>36</v>
      </c>
      <c r="B182" s="291">
        <f>COMB_CORR!$F28</f>
        <v>2752702114</v>
      </c>
      <c r="C182" s="291">
        <f>COMB_CORR!$F28</f>
        <v>2752702114</v>
      </c>
      <c r="D182" s="291">
        <f>COMB_CORR!$F28</f>
        <v>2752702114</v>
      </c>
      <c r="E182" s="291">
        <f>COMB_CORR!$F28</f>
        <v>2752702114</v>
      </c>
      <c r="F182" s="291">
        <f>COMB_CORR!$F28</f>
        <v>2752702114</v>
      </c>
      <c r="G182" s="291">
        <f>COMB_CORR!$F28</f>
        <v>2752702114</v>
      </c>
      <c r="H182" s="291">
        <f>COMB_CORR!$K28</f>
        <v>1266814082.0025494</v>
      </c>
      <c r="I182" s="291">
        <f>COMB_CORR!$K28</f>
        <v>1266814082.0025494</v>
      </c>
      <c r="J182" s="291" t="e">
        <f>COMB_CORR!$P28*CORR!$BN27</f>
        <v>#DIV/0!</v>
      </c>
      <c r="K182" s="291" t="e">
        <f>COMB_CORR!$P28*CORR!$BN27</f>
        <v>#DIV/0!</v>
      </c>
      <c r="L182" s="291" t="e">
        <f>COMB_CORR!$P28*CORR!$BN27</f>
        <v>#DIV/0!</v>
      </c>
      <c r="M182" s="291" t="e">
        <f>COMB_CORR!$P28*CORR!$BN27</f>
        <v>#DIV/0!</v>
      </c>
      <c r="N182" s="291" t="e">
        <f>COMB_CORR!$P28*CORR!$BN27</f>
        <v>#DIV/0!</v>
      </c>
      <c r="O182" s="291" t="e">
        <f>COMB_CORR!$P28*CORR!$BN27</f>
        <v>#DIV/0!</v>
      </c>
      <c r="P182" s="291" t="e">
        <f>COMB_CORR!$P28*CORR!$BN27</f>
        <v>#DIV/0!</v>
      </c>
      <c r="Q182" s="291" t="e">
        <f>COMB_CORR!$P28*CORR!$BN27</f>
        <v>#DIV/0!</v>
      </c>
      <c r="R182" s="291">
        <f>COMB_CORR!U28</f>
        <v>0</v>
      </c>
    </row>
    <row r="183" spans="1:18">
      <c r="A183" s="127" t="s">
        <v>37</v>
      </c>
      <c r="B183" s="291">
        <f>COMB_CORR!$F29</f>
        <v>3297196148</v>
      </c>
      <c r="C183" s="291">
        <f>COMB_CORR!$F29</f>
        <v>3297196148</v>
      </c>
      <c r="D183" s="291">
        <f>COMB_CORR!$F29</f>
        <v>3297196148</v>
      </c>
      <c r="E183" s="291">
        <f>COMB_CORR!$F29</f>
        <v>3297196148</v>
      </c>
      <c r="F183" s="291">
        <f>COMB_CORR!$F29</f>
        <v>3297196148</v>
      </c>
      <c r="G183" s="291">
        <f>COMB_CORR!$F29</f>
        <v>3297196148</v>
      </c>
      <c r="H183" s="291">
        <f>COMB_CORR!$K29</f>
        <v>125064821.64966945</v>
      </c>
      <c r="I183" s="291">
        <f>COMB_CORR!$K29</f>
        <v>125064821.64966945</v>
      </c>
      <c r="J183" s="291" t="e">
        <f>COMB_CORR!$P29*CORR!$BN28</f>
        <v>#DIV/0!</v>
      </c>
      <c r="K183" s="291" t="e">
        <f>COMB_CORR!$P29*CORR!$BN28</f>
        <v>#DIV/0!</v>
      </c>
      <c r="L183" s="291" t="e">
        <f>COMB_CORR!$P29*CORR!$BN28</f>
        <v>#DIV/0!</v>
      </c>
      <c r="M183" s="291" t="e">
        <f>COMB_CORR!$P29*CORR!$BN28</f>
        <v>#DIV/0!</v>
      </c>
      <c r="N183" s="291" t="e">
        <f>COMB_CORR!$P29*CORR!$BN28</f>
        <v>#DIV/0!</v>
      </c>
      <c r="O183" s="291" t="e">
        <f>COMB_CORR!$P29*CORR!$BN28</f>
        <v>#DIV/0!</v>
      </c>
      <c r="P183" s="291" t="e">
        <f>COMB_CORR!$P29*CORR!$BN28</f>
        <v>#DIV/0!</v>
      </c>
      <c r="Q183" s="291" t="e">
        <f>COMB_CORR!$P29*CORR!$BN28</f>
        <v>#DIV/0!</v>
      </c>
      <c r="R183" s="291">
        <f>COMB_CORR!U29</f>
        <v>0</v>
      </c>
    </row>
    <row r="184" spans="1:18" ht="15.75" thickBot="1">
      <c r="A184" s="128" t="s">
        <v>38</v>
      </c>
      <c r="B184" s="291">
        <f>COMB_CORR!$F30</f>
        <v>2364078620</v>
      </c>
      <c r="C184" s="291">
        <f>COMB_CORR!$F30</f>
        <v>2364078620</v>
      </c>
      <c r="D184" s="291">
        <f>COMB_CORR!$F30</f>
        <v>2364078620</v>
      </c>
      <c r="E184" s="291">
        <f>COMB_CORR!$F30</f>
        <v>2364078620</v>
      </c>
      <c r="F184" s="291">
        <f>COMB_CORR!$F30</f>
        <v>2364078620</v>
      </c>
      <c r="G184" s="291">
        <f>COMB_CORR!$F30</f>
        <v>2364078620</v>
      </c>
      <c r="H184" s="291">
        <f>COMB_CORR!$K30</f>
        <v>123994355.44142379</v>
      </c>
      <c r="I184" s="291">
        <f>COMB_CORR!$K30</f>
        <v>123994355.44142379</v>
      </c>
      <c r="J184" s="291" t="e">
        <f>COMB_CORR!$P30*CORR!$BN29</f>
        <v>#DIV/0!</v>
      </c>
      <c r="K184" s="291" t="e">
        <f>COMB_CORR!$P30*CORR!$BN29</f>
        <v>#DIV/0!</v>
      </c>
      <c r="L184" s="291" t="e">
        <f>COMB_CORR!$P30*CORR!$BN29</f>
        <v>#DIV/0!</v>
      </c>
      <c r="M184" s="291" t="e">
        <f>COMB_CORR!$P30*CORR!$BN29</f>
        <v>#DIV/0!</v>
      </c>
      <c r="N184" s="291" t="e">
        <f>COMB_CORR!$P30*CORR!$BN29</f>
        <v>#DIV/0!</v>
      </c>
      <c r="O184" s="291" t="e">
        <f>COMB_CORR!$P30*CORR!$BN29</f>
        <v>#DIV/0!</v>
      </c>
      <c r="P184" s="291" t="e">
        <f>COMB_CORR!$P30*CORR!$BN29</f>
        <v>#DIV/0!</v>
      </c>
      <c r="Q184" s="291" t="e">
        <f>COMB_CORR!$P30*CORR!$BN29</f>
        <v>#DIV/0!</v>
      </c>
      <c r="R184" s="291">
        <f>COMB_CORR!U30</f>
        <v>0</v>
      </c>
    </row>
    <row r="185" spans="1:18" ht="25.5">
      <c r="A185" s="274" t="s">
        <v>73</v>
      </c>
      <c r="B185" s="291">
        <f>SUM(B186:B189)</f>
        <v>3910751342</v>
      </c>
      <c r="C185" s="291">
        <f t="shared" ref="C185" si="374">SUM(C186:C189)</f>
        <v>3910751342</v>
      </c>
      <c r="D185" s="291">
        <f t="shared" ref="D185" si="375">SUM(D186:D189)</f>
        <v>3910751342</v>
      </c>
      <c r="E185" s="291">
        <f t="shared" ref="E185" si="376">SUM(E186:E189)</f>
        <v>3910751342</v>
      </c>
      <c r="F185" s="291">
        <f t="shared" ref="F185" si="377">SUM(F186:F189)</f>
        <v>3910751342</v>
      </c>
      <c r="G185" s="291">
        <f t="shared" ref="G185" si="378">SUM(G186:G189)</f>
        <v>3910751342</v>
      </c>
      <c r="H185" s="291">
        <f t="shared" ref="H185" si="379">SUM(H186:H189)</f>
        <v>1739306882.5778239</v>
      </c>
      <c r="I185" s="291">
        <f t="shared" ref="I185" si="380">SUM(I186:I189)</f>
        <v>1739306882.5778239</v>
      </c>
      <c r="J185" s="291" t="e">
        <f t="shared" ref="J185" si="381">SUM(J186:J189)</f>
        <v>#DIV/0!</v>
      </c>
      <c r="K185" s="291" t="e">
        <f t="shared" ref="K185" si="382">SUM(K186:K189)</f>
        <v>#DIV/0!</v>
      </c>
      <c r="L185" s="291" t="e">
        <f t="shared" ref="L185" si="383">SUM(L186:L189)</f>
        <v>#DIV/0!</v>
      </c>
      <c r="M185" s="291" t="e">
        <f t="shared" ref="M185" si="384">SUM(M186:M189)</f>
        <v>#DIV/0!</v>
      </c>
      <c r="N185" s="291" t="e">
        <f t="shared" ref="N185" si="385">SUM(N186:N189)</f>
        <v>#DIV/0!</v>
      </c>
      <c r="O185" s="291" t="e">
        <f t="shared" ref="O185" si="386">SUM(O186:O189)</f>
        <v>#DIV/0!</v>
      </c>
      <c r="P185" s="291" t="e">
        <f t="shared" ref="P185" si="387">SUM(P186:P189)</f>
        <v>#DIV/0!</v>
      </c>
      <c r="Q185" s="291" t="e">
        <f t="shared" ref="Q185" si="388">SUM(Q186:Q189)</f>
        <v>#DIV/0!</v>
      </c>
      <c r="R185" s="291">
        <f t="shared" ref="R185" si="389">SUM(R186:R189)</f>
        <v>0</v>
      </c>
    </row>
    <row r="186" spans="1:18">
      <c r="A186" s="127" t="s">
        <v>40</v>
      </c>
      <c r="B186" s="291">
        <f>COMB_CORR!$F32</f>
        <v>1123062260</v>
      </c>
      <c r="C186" s="291">
        <f>COMB_CORR!$F32</f>
        <v>1123062260</v>
      </c>
      <c r="D186" s="291">
        <f>COMB_CORR!$F32</f>
        <v>1123062260</v>
      </c>
      <c r="E186" s="291">
        <f>COMB_CORR!$F32</f>
        <v>1123062260</v>
      </c>
      <c r="F186" s="291">
        <f>COMB_CORR!$F32</f>
        <v>1123062260</v>
      </c>
      <c r="G186" s="291">
        <f>COMB_CORR!$F32</f>
        <v>1123062260</v>
      </c>
      <c r="H186" s="291">
        <f>COMB_CORR!$K32</f>
        <v>87548199.979007304</v>
      </c>
      <c r="I186" s="291">
        <f>COMB_CORR!$K32</f>
        <v>87548199.979007304</v>
      </c>
      <c r="J186" s="291" t="e">
        <f>COMB_CORR!$P32*CORR!$BN31</f>
        <v>#DIV/0!</v>
      </c>
      <c r="K186" s="291" t="e">
        <f>COMB_CORR!$P32*CORR!$BN31</f>
        <v>#DIV/0!</v>
      </c>
      <c r="L186" s="291" t="e">
        <f>COMB_CORR!$P32*CORR!$BN31</f>
        <v>#DIV/0!</v>
      </c>
      <c r="M186" s="291" t="e">
        <f>COMB_CORR!$P32*CORR!$BN31</f>
        <v>#DIV/0!</v>
      </c>
      <c r="N186" s="291" t="e">
        <f>COMB_CORR!$P32*CORR!$BN31</f>
        <v>#DIV/0!</v>
      </c>
      <c r="O186" s="291" t="e">
        <f>COMB_CORR!$P32*CORR!$BN31</f>
        <v>#DIV/0!</v>
      </c>
      <c r="P186" s="291" t="e">
        <f>COMB_CORR!$P32*CORR!$BN31</f>
        <v>#DIV/0!</v>
      </c>
      <c r="Q186" s="291" t="e">
        <f>COMB_CORR!$P32*CORR!$BN31</f>
        <v>#DIV/0!</v>
      </c>
      <c r="R186" s="291">
        <f>COMB_CORR!U32</f>
        <v>0</v>
      </c>
    </row>
    <row r="187" spans="1:18">
      <c r="A187" s="127" t="s">
        <v>41</v>
      </c>
      <c r="B187" s="291">
        <f>COMB_CORR!$F33</f>
        <v>1529630010</v>
      </c>
      <c r="C187" s="291">
        <f>COMB_CORR!$F33</f>
        <v>1529630010</v>
      </c>
      <c r="D187" s="291">
        <f>COMB_CORR!$F33</f>
        <v>1529630010</v>
      </c>
      <c r="E187" s="291">
        <f>COMB_CORR!$F33</f>
        <v>1529630010</v>
      </c>
      <c r="F187" s="291">
        <f>COMB_CORR!$F33</f>
        <v>1529630010</v>
      </c>
      <c r="G187" s="291">
        <f>COMB_CORR!$F33</f>
        <v>1529630010</v>
      </c>
      <c r="H187" s="291">
        <f>COMB_CORR!$K33</f>
        <v>956697295.73666012</v>
      </c>
      <c r="I187" s="291">
        <f>COMB_CORR!$K33</f>
        <v>956697295.73666012</v>
      </c>
      <c r="J187" s="291" t="e">
        <f>COMB_CORR!$P33*CORR!$BN32</f>
        <v>#DIV/0!</v>
      </c>
      <c r="K187" s="291" t="e">
        <f>COMB_CORR!$P33*CORR!$BN32</f>
        <v>#DIV/0!</v>
      </c>
      <c r="L187" s="291" t="e">
        <f>COMB_CORR!$P33*CORR!$BN32</f>
        <v>#DIV/0!</v>
      </c>
      <c r="M187" s="291" t="e">
        <f>COMB_CORR!$P33*CORR!$BN32</f>
        <v>#DIV/0!</v>
      </c>
      <c r="N187" s="291" t="e">
        <f>COMB_CORR!$P33*CORR!$BN32</f>
        <v>#DIV/0!</v>
      </c>
      <c r="O187" s="291" t="e">
        <f>COMB_CORR!$P33*CORR!$BN32</f>
        <v>#DIV/0!</v>
      </c>
      <c r="P187" s="291" t="e">
        <f>COMB_CORR!$P33*CORR!$BN32</f>
        <v>#DIV/0!</v>
      </c>
      <c r="Q187" s="291" t="e">
        <f>COMB_CORR!$P33*CORR!$BN32</f>
        <v>#DIV/0!</v>
      </c>
      <c r="R187" s="291">
        <f>COMB_CORR!U33</f>
        <v>0</v>
      </c>
    </row>
    <row r="188" spans="1:18">
      <c r="A188" s="127" t="s">
        <v>42</v>
      </c>
      <c r="B188" s="291">
        <f>COMB_CORR!$F34</f>
        <v>586942405</v>
      </c>
      <c r="C188" s="291">
        <f>COMB_CORR!$F34</f>
        <v>586942405</v>
      </c>
      <c r="D188" s="291">
        <f>COMB_CORR!$F34</f>
        <v>586942405</v>
      </c>
      <c r="E188" s="291">
        <f>COMB_CORR!$F34</f>
        <v>586942405</v>
      </c>
      <c r="F188" s="291">
        <f>COMB_CORR!$F34</f>
        <v>586942405</v>
      </c>
      <c r="G188" s="291">
        <f>COMB_CORR!$F34</f>
        <v>586942405</v>
      </c>
      <c r="H188" s="291">
        <f>COMB_CORR!$K34</f>
        <v>548205733.23342812</v>
      </c>
      <c r="I188" s="291">
        <f>COMB_CORR!$K34</f>
        <v>548205733.23342812</v>
      </c>
      <c r="J188" s="291" t="e">
        <f>COMB_CORR!$P34*CORR!$BN33</f>
        <v>#DIV/0!</v>
      </c>
      <c r="K188" s="291" t="e">
        <f>COMB_CORR!$P34*CORR!$BN33</f>
        <v>#DIV/0!</v>
      </c>
      <c r="L188" s="291" t="e">
        <f>COMB_CORR!$P34*CORR!$BN33</f>
        <v>#DIV/0!</v>
      </c>
      <c r="M188" s="291" t="e">
        <f>COMB_CORR!$P34*CORR!$BN33</f>
        <v>#DIV/0!</v>
      </c>
      <c r="N188" s="291" t="e">
        <f>COMB_CORR!$P34*CORR!$BN33</f>
        <v>#DIV/0!</v>
      </c>
      <c r="O188" s="291" t="e">
        <f>COMB_CORR!$P34*CORR!$BN33</f>
        <v>#DIV/0!</v>
      </c>
      <c r="P188" s="291" t="e">
        <f>COMB_CORR!$P34*CORR!$BN33</f>
        <v>#DIV/0!</v>
      </c>
      <c r="Q188" s="291" t="e">
        <f>COMB_CORR!$P34*CORR!$BN33</f>
        <v>#DIV/0!</v>
      </c>
      <c r="R188" s="291">
        <f>COMB_CORR!U34</f>
        <v>0</v>
      </c>
    </row>
    <row r="189" spans="1:18" ht="26.25" thickBot="1">
      <c r="A189" s="128" t="s">
        <v>43</v>
      </c>
      <c r="B189" s="291">
        <f>COMB_CORR!$F35</f>
        <v>671116667</v>
      </c>
      <c r="C189" s="291">
        <f>COMB_CORR!$F35</f>
        <v>671116667</v>
      </c>
      <c r="D189" s="291">
        <f>COMB_CORR!$F35</f>
        <v>671116667</v>
      </c>
      <c r="E189" s="291">
        <f>COMB_CORR!$F35</f>
        <v>671116667</v>
      </c>
      <c r="F189" s="291">
        <f>COMB_CORR!$F35</f>
        <v>671116667</v>
      </c>
      <c r="G189" s="291">
        <f>COMB_CORR!$F35</f>
        <v>671116667</v>
      </c>
      <c r="H189" s="291">
        <f>COMB_CORR!$K35</f>
        <v>146855653.62872812</v>
      </c>
      <c r="I189" s="291">
        <f>COMB_CORR!$K35</f>
        <v>146855653.62872812</v>
      </c>
      <c r="J189" s="291" t="e">
        <f>COMB_CORR!$P35*CORR!$BN34</f>
        <v>#DIV/0!</v>
      </c>
      <c r="K189" s="291" t="e">
        <f>COMB_CORR!$P35*CORR!$BN34</f>
        <v>#DIV/0!</v>
      </c>
      <c r="L189" s="291" t="e">
        <f>COMB_CORR!$P35*CORR!$BN34</f>
        <v>#DIV/0!</v>
      </c>
      <c r="M189" s="291" t="e">
        <f>COMB_CORR!$P35*CORR!$BN34</f>
        <v>#DIV/0!</v>
      </c>
      <c r="N189" s="291" t="e">
        <f>COMB_CORR!$P35*CORR!$BN34</f>
        <v>#DIV/0!</v>
      </c>
      <c r="O189" s="291" t="e">
        <f>COMB_CORR!$P35*CORR!$BN34</f>
        <v>#DIV/0!</v>
      </c>
      <c r="P189" s="291" t="e">
        <f>COMB_CORR!$P35*CORR!$BN34</f>
        <v>#DIV/0!</v>
      </c>
      <c r="Q189" s="291" t="e">
        <f>COMB_CORR!$P35*CORR!$BN34</f>
        <v>#DIV/0!</v>
      </c>
      <c r="R189" s="291">
        <f>COMB_CORR!U35</f>
        <v>0</v>
      </c>
    </row>
    <row r="190" spans="1:18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</row>
    <row r="191" spans="1:18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</row>
    <row r="192" spans="1:18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</row>
    <row r="193" spans="1:18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</row>
    <row r="194" spans="1:18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</row>
    <row r="195" spans="1:18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</row>
    <row r="196" spans="1:18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</row>
    <row r="197" spans="1:18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</row>
    <row r="198" spans="1:18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</row>
    <row r="199" spans="1:18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</row>
    <row r="200" spans="1:18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</row>
    <row r="201" spans="1:18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</row>
    <row r="202" spans="1:18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</row>
    <row r="203" spans="1:18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</row>
    <row r="204" spans="1:18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</row>
    <row r="205" spans="1:18">
      <c r="A205" s="1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</row>
    <row r="206" spans="1:18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</row>
    <row r="207" spans="1:18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</row>
    <row r="208" spans="1:18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</row>
    <row r="209" spans="1:18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</row>
    <row r="210" spans="1:18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</row>
  </sheetData>
  <mergeCells count="75">
    <mergeCell ref="A153:A156"/>
    <mergeCell ref="B153:R153"/>
    <mergeCell ref="B154:G154"/>
    <mergeCell ref="H154:I154"/>
    <mergeCell ref="J154:Q154"/>
    <mergeCell ref="B155:B156"/>
    <mergeCell ref="C155:C156"/>
    <mergeCell ref="D155:G155"/>
    <mergeCell ref="H155:H156"/>
    <mergeCell ref="I155:I156"/>
    <mergeCell ref="J155:L155"/>
    <mergeCell ref="M155:O155"/>
    <mergeCell ref="P155:P156"/>
    <mergeCell ref="Q155:Q156"/>
    <mergeCell ref="R155:R156"/>
    <mergeCell ref="A115:A118"/>
    <mergeCell ref="A77:A80"/>
    <mergeCell ref="A39:A42"/>
    <mergeCell ref="A1:A4"/>
    <mergeCell ref="B115:R115"/>
    <mergeCell ref="B116:G116"/>
    <mergeCell ref="H116:I116"/>
    <mergeCell ref="J116:Q116"/>
    <mergeCell ref="B117:B118"/>
    <mergeCell ref="C117:C118"/>
    <mergeCell ref="Q117:Q118"/>
    <mergeCell ref="R117:R118"/>
    <mergeCell ref="D117:G117"/>
    <mergeCell ref="H117:H118"/>
    <mergeCell ref="I117:I118"/>
    <mergeCell ref="J117:L117"/>
    <mergeCell ref="M117:O117"/>
    <mergeCell ref="P117:P118"/>
    <mergeCell ref="B77:R77"/>
    <mergeCell ref="B78:G78"/>
    <mergeCell ref="H78:I78"/>
    <mergeCell ref="J78:Q78"/>
    <mergeCell ref="B79:B80"/>
    <mergeCell ref="P79:P80"/>
    <mergeCell ref="Q79:Q80"/>
    <mergeCell ref="R79:R80"/>
    <mergeCell ref="C79:C80"/>
    <mergeCell ref="D79:G79"/>
    <mergeCell ref="H79:H80"/>
    <mergeCell ref="I79:I80"/>
    <mergeCell ref="J79:L79"/>
    <mergeCell ref="M79:O79"/>
    <mergeCell ref="B39:R39"/>
    <mergeCell ref="B40:G40"/>
    <mergeCell ref="H40:I40"/>
    <mergeCell ref="J40:Q40"/>
    <mergeCell ref="M41:O41"/>
    <mergeCell ref="P41:P42"/>
    <mergeCell ref="Q41:Q42"/>
    <mergeCell ref="R41:R42"/>
    <mergeCell ref="B41:B42"/>
    <mergeCell ref="C41:C42"/>
    <mergeCell ref="D41:G41"/>
    <mergeCell ref="H41:H42"/>
    <mergeCell ref="I41:I42"/>
    <mergeCell ref="J41:L41"/>
    <mergeCell ref="B1:R1"/>
    <mergeCell ref="B2:G2"/>
    <mergeCell ref="H2:I2"/>
    <mergeCell ref="J2:Q2"/>
    <mergeCell ref="B3:B4"/>
    <mergeCell ref="C3:C4"/>
    <mergeCell ref="D3:G3"/>
    <mergeCell ref="H3:H4"/>
    <mergeCell ref="I3:I4"/>
    <mergeCell ref="J3:L3"/>
    <mergeCell ref="M3:O3"/>
    <mergeCell ref="P3:P4"/>
    <mergeCell ref="Q3:Q4"/>
    <mergeCell ref="R3:R4"/>
  </mergeCells>
  <pageMargins left="0.511811024" right="0.511811024" top="0.78740157499999996" bottom="0.78740157499999996" header="0.31496062000000002" footer="0.31496062000000002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theme="3" tint="0.39997558519241921"/>
  </sheetPr>
  <dimension ref="A1:AI210"/>
  <sheetViews>
    <sheetView workbookViewId="0">
      <selection activeCell="B2" sqref="B2:G2"/>
    </sheetView>
  </sheetViews>
  <sheetFormatPr defaultColWidth="8.85546875" defaultRowHeight="15"/>
  <cols>
    <col min="1" max="1" width="17.42578125" customWidth="1"/>
    <col min="2" max="2" width="15.28515625" style="272" bestFit="1" customWidth="1"/>
    <col min="3" max="3" width="10.140625" style="272" customWidth="1"/>
    <col min="4" max="4" width="8.85546875" style="272"/>
    <col min="5" max="6" width="11.85546875" style="272" customWidth="1"/>
    <col min="7" max="7" width="8.85546875" style="272"/>
    <col min="8" max="8" width="12.42578125" style="272" customWidth="1"/>
    <col min="9" max="9" width="10.42578125" style="272" customWidth="1"/>
    <col min="10" max="10" width="11.28515625" style="272" customWidth="1"/>
    <col min="11" max="11" width="12" style="272" customWidth="1"/>
    <col min="12" max="13" width="8.85546875" style="272"/>
    <col min="14" max="14" width="10.7109375" style="272" customWidth="1"/>
    <col min="15" max="15" width="8.85546875" style="272"/>
    <col min="16" max="16" width="11.7109375" style="272" customWidth="1"/>
    <col min="17" max="17" width="10.85546875" style="272" customWidth="1"/>
    <col min="18" max="18" width="10.42578125" style="272" bestFit="1" customWidth="1"/>
    <col min="19" max="35" width="8.85546875" style="1"/>
  </cols>
  <sheetData>
    <row r="1" spans="1:18" ht="15.75" customHeight="1" thickBot="1">
      <c r="A1" s="1051" t="s">
        <v>484</v>
      </c>
      <c r="B1" s="1054">
        <v>2009</v>
      </c>
      <c r="C1" s="1055"/>
      <c r="D1" s="1055"/>
      <c r="E1" s="1055"/>
      <c r="F1" s="1055"/>
      <c r="G1" s="1055"/>
      <c r="H1" s="1055"/>
      <c r="I1" s="1055"/>
      <c r="J1" s="1055"/>
      <c r="K1" s="1055"/>
      <c r="L1" s="1055"/>
      <c r="M1" s="1055"/>
      <c r="N1" s="1055"/>
      <c r="O1" s="1055"/>
      <c r="P1" s="1055"/>
      <c r="Q1" s="1055"/>
      <c r="R1" s="1078"/>
    </row>
    <row r="2" spans="1:18">
      <c r="A2" s="1052"/>
      <c r="B2" s="1060" t="s">
        <v>97</v>
      </c>
      <c r="C2" s="1061"/>
      <c r="D2" s="1061"/>
      <c r="E2" s="1061"/>
      <c r="F2" s="1061"/>
      <c r="G2" s="1061"/>
      <c r="H2" s="1061" t="s">
        <v>98</v>
      </c>
      <c r="I2" s="1061"/>
      <c r="J2" s="1061" t="s">
        <v>99</v>
      </c>
      <c r="K2" s="1061"/>
      <c r="L2" s="1061"/>
      <c r="M2" s="1061"/>
      <c r="N2" s="1061"/>
      <c r="O2" s="1061"/>
      <c r="P2" s="1061"/>
      <c r="Q2" s="1061"/>
      <c r="R2" s="289" t="s">
        <v>100</v>
      </c>
    </row>
    <row r="3" spans="1:18">
      <c r="A3" s="1052"/>
      <c r="B3" s="1062" t="s">
        <v>101</v>
      </c>
      <c r="C3" s="1064" t="s">
        <v>102</v>
      </c>
      <c r="D3" s="1064" t="s">
        <v>103</v>
      </c>
      <c r="E3" s="1064"/>
      <c r="F3" s="1064"/>
      <c r="G3" s="1064"/>
      <c r="H3" s="1062" t="s">
        <v>101</v>
      </c>
      <c r="I3" s="1064" t="s">
        <v>102</v>
      </c>
      <c r="J3" s="1064" t="s">
        <v>104</v>
      </c>
      <c r="K3" s="1064"/>
      <c r="L3" s="1064"/>
      <c r="M3" s="1064" t="s">
        <v>105</v>
      </c>
      <c r="N3" s="1064"/>
      <c r="O3" s="1064"/>
      <c r="P3" s="1062" t="s">
        <v>101</v>
      </c>
      <c r="Q3" s="1064" t="s">
        <v>102</v>
      </c>
      <c r="R3" s="1062" t="s">
        <v>101</v>
      </c>
    </row>
    <row r="4" spans="1:18" ht="15.75" thickBot="1">
      <c r="A4" s="1053"/>
      <c r="B4" s="1063"/>
      <c r="C4" s="1065"/>
      <c r="D4" s="290" t="s">
        <v>106</v>
      </c>
      <c r="E4" s="290" t="s">
        <v>107</v>
      </c>
      <c r="F4" s="290" t="s">
        <v>108</v>
      </c>
      <c r="G4" s="290" t="s">
        <v>109</v>
      </c>
      <c r="H4" s="1063"/>
      <c r="I4" s="1065"/>
      <c r="J4" s="290" t="s">
        <v>110</v>
      </c>
      <c r="K4" s="290" t="s">
        <v>111</v>
      </c>
      <c r="L4" s="290" t="s">
        <v>112</v>
      </c>
      <c r="M4" s="290" t="s">
        <v>113</v>
      </c>
      <c r="N4" s="290" t="s">
        <v>114</v>
      </c>
      <c r="O4" s="290" t="s">
        <v>115</v>
      </c>
      <c r="P4" s="1063"/>
      <c r="Q4" s="1065"/>
      <c r="R4" s="1063"/>
    </row>
    <row r="5" spans="1:18" ht="15.75" thickBot="1">
      <c r="A5" s="164" t="s">
        <v>11</v>
      </c>
      <c r="B5" s="561">
        <f>TAX!$B$5</f>
        <v>10.873910083282011</v>
      </c>
      <c r="C5" s="561">
        <f>TAX!$B$6</f>
        <v>9.6704814112158743</v>
      </c>
      <c r="D5" s="561">
        <f>TAX!$B$7</f>
        <v>40</v>
      </c>
      <c r="E5" s="561">
        <f>TAX!$B$8</f>
        <v>30</v>
      </c>
      <c r="F5" s="561">
        <f>TAX!$B$9</f>
        <v>20</v>
      </c>
      <c r="G5" s="561">
        <f>TAX!$B$10</f>
        <v>10</v>
      </c>
      <c r="H5" s="561">
        <f>TAX!$B$12</f>
        <v>6.9529177686967403</v>
      </c>
      <c r="I5" s="561">
        <f>TAX!$B$13</f>
        <v>6.7155969699253779</v>
      </c>
      <c r="J5" s="561">
        <f>TAX!$B$17</f>
        <v>6.8564856955967928</v>
      </c>
      <c r="K5" s="561">
        <f>TAX!$B$18</f>
        <v>5.6090714932482975</v>
      </c>
      <c r="L5" s="561">
        <f>TAX!$B$19</f>
        <v>3.1488447684000027</v>
      </c>
      <c r="M5" s="561">
        <f>TAX!$B$20</f>
        <v>4.7</v>
      </c>
      <c r="N5" s="561">
        <f>TAX!$B$21</f>
        <v>3</v>
      </c>
      <c r="O5" s="561">
        <f>TAX!$B$22</f>
        <v>2.3569174140963063</v>
      </c>
      <c r="P5" s="561">
        <f>TAX!$B$15</f>
        <v>10</v>
      </c>
      <c r="Q5" s="561">
        <f>TAX!$B$16</f>
        <v>9.1000000000000014</v>
      </c>
      <c r="R5" s="561">
        <f>TAX!$B$24</f>
        <v>13.8</v>
      </c>
    </row>
    <row r="6" spans="1:18">
      <c r="A6" s="269" t="s">
        <v>46</v>
      </c>
      <c r="B6" s="561">
        <f>TAX!$B$5</f>
        <v>10.873910083282011</v>
      </c>
      <c r="C6" s="561">
        <f>TAX!$B$6</f>
        <v>9.6704814112158743</v>
      </c>
      <c r="D6" s="561">
        <f>TAX!$B$7</f>
        <v>40</v>
      </c>
      <c r="E6" s="561">
        <f>TAX!$B$8</f>
        <v>30</v>
      </c>
      <c r="F6" s="561">
        <f>TAX!$B$9</f>
        <v>20</v>
      </c>
      <c r="G6" s="561">
        <f>TAX!$B$10</f>
        <v>10</v>
      </c>
      <c r="H6" s="561">
        <f>TAX!$B$12</f>
        <v>6.9529177686967403</v>
      </c>
      <c r="I6" s="561">
        <f>TAX!$B$13</f>
        <v>6.7155969699253779</v>
      </c>
      <c r="J6" s="561">
        <f>TAX!$B$17</f>
        <v>6.8564856955967928</v>
      </c>
      <c r="K6" s="561">
        <f>TAX!$B$18</f>
        <v>5.6090714932482975</v>
      </c>
      <c r="L6" s="561">
        <f>TAX!$B$19</f>
        <v>3.1488447684000027</v>
      </c>
      <c r="M6" s="561">
        <f>TAX!$B$20</f>
        <v>4.7</v>
      </c>
      <c r="N6" s="561">
        <f>TAX!$B$21</f>
        <v>3</v>
      </c>
      <c r="O6" s="561">
        <f>TAX!$B$22</f>
        <v>2.3569174140963063</v>
      </c>
      <c r="P6" s="561">
        <f>TAX!$B$15</f>
        <v>10</v>
      </c>
      <c r="Q6" s="561">
        <f>TAX!$B$16</f>
        <v>9.1000000000000014</v>
      </c>
      <c r="R6" s="561">
        <f>TAX!$B$24</f>
        <v>13.8</v>
      </c>
    </row>
    <row r="7" spans="1:18">
      <c r="A7" s="127" t="s">
        <v>13</v>
      </c>
      <c r="B7" s="561">
        <f>TAX!$B$5</f>
        <v>10.873910083282011</v>
      </c>
      <c r="C7" s="561">
        <f>TAX!$B$6</f>
        <v>9.6704814112158743</v>
      </c>
      <c r="D7" s="561">
        <f>TAX!$B$7</f>
        <v>40</v>
      </c>
      <c r="E7" s="561">
        <f>TAX!$B$8</f>
        <v>30</v>
      </c>
      <c r="F7" s="561">
        <f>TAX!$B$9</f>
        <v>20</v>
      </c>
      <c r="G7" s="561">
        <f>TAX!$B$10</f>
        <v>10</v>
      </c>
      <c r="H7" s="561">
        <f>TAX!$B$12</f>
        <v>6.9529177686967403</v>
      </c>
      <c r="I7" s="561">
        <f>TAX!$B$13</f>
        <v>6.7155969699253779</v>
      </c>
      <c r="J7" s="561">
        <f>TAX!$B$17</f>
        <v>6.8564856955967928</v>
      </c>
      <c r="K7" s="561">
        <f>TAX!$B$18</f>
        <v>5.6090714932482975</v>
      </c>
      <c r="L7" s="561">
        <f>TAX!$B$19</f>
        <v>3.1488447684000027</v>
      </c>
      <c r="M7" s="561">
        <f>TAX!$B$20</f>
        <v>4.7</v>
      </c>
      <c r="N7" s="561">
        <f>TAX!$B$21</f>
        <v>3</v>
      </c>
      <c r="O7" s="561">
        <f>TAX!$B$22</f>
        <v>2.3569174140963063</v>
      </c>
      <c r="P7" s="561">
        <f>TAX!$B$15</f>
        <v>10</v>
      </c>
      <c r="Q7" s="561">
        <f>TAX!$B$16</f>
        <v>9.1000000000000014</v>
      </c>
      <c r="R7" s="561">
        <f>TAX!$B$24</f>
        <v>13.8</v>
      </c>
    </row>
    <row r="8" spans="1:18">
      <c r="A8" s="127" t="s">
        <v>14</v>
      </c>
      <c r="B8" s="561">
        <f>TAX!$B$5</f>
        <v>10.873910083282011</v>
      </c>
      <c r="C8" s="561">
        <f>TAX!$B$6</f>
        <v>9.6704814112158743</v>
      </c>
      <c r="D8" s="561">
        <f>TAX!$B$7</f>
        <v>40</v>
      </c>
      <c r="E8" s="561">
        <f>TAX!$B$8</f>
        <v>30</v>
      </c>
      <c r="F8" s="561">
        <f>TAX!$B$9</f>
        <v>20</v>
      </c>
      <c r="G8" s="561">
        <f>TAX!$B$10</f>
        <v>10</v>
      </c>
      <c r="H8" s="561">
        <f>TAX!$B$12</f>
        <v>6.9529177686967403</v>
      </c>
      <c r="I8" s="561">
        <f>TAX!$B$13</f>
        <v>6.7155969699253779</v>
      </c>
      <c r="J8" s="561">
        <f>TAX!$B$17</f>
        <v>6.8564856955967928</v>
      </c>
      <c r="K8" s="561">
        <f>TAX!$B$18</f>
        <v>5.6090714932482975</v>
      </c>
      <c r="L8" s="561">
        <f>TAX!$B$19</f>
        <v>3.1488447684000027</v>
      </c>
      <c r="M8" s="561">
        <f>TAX!$B$20</f>
        <v>4.7</v>
      </c>
      <c r="N8" s="561">
        <f>TAX!$B$21</f>
        <v>3</v>
      </c>
      <c r="O8" s="561">
        <f>TAX!$B$22</f>
        <v>2.3569174140963063</v>
      </c>
      <c r="P8" s="561">
        <f>TAX!$B$15</f>
        <v>10</v>
      </c>
      <c r="Q8" s="561">
        <f>TAX!$B$16</f>
        <v>9.1000000000000014</v>
      </c>
      <c r="R8" s="561">
        <f>TAX!$B$24</f>
        <v>13.8</v>
      </c>
    </row>
    <row r="9" spans="1:18">
      <c r="A9" s="127" t="s">
        <v>15</v>
      </c>
      <c r="B9" s="561">
        <f>TAX!$B$5</f>
        <v>10.873910083282011</v>
      </c>
      <c r="C9" s="561">
        <f>TAX!$B$6</f>
        <v>9.6704814112158743</v>
      </c>
      <c r="D9" s="561">
        <f>TAX!$B$7</f>
        <v>40</v>
      </c>
      <c r="E9" s="561">
        <f>TAX!$B$8</f>
        <v>30</v>
      </c>
      <c r="F9" s="561">
        <f>TAX!$B$9</f>
        <v>20</v>
      </c>
      <c r="G9" s="561">
        <f>TAX!$B$10</f>
        <v>10</v>
      </c>
      <c r="H9" s="561">
        <f>TAX!$B$12</f>
        <v>6.9529177686967403</v>
      </c>
      <c r="I9" s="561">
        <f>TAX!$B$13</f>
        <v>6.7155969699253779</v>
      </c>
      <c r="J9" s="561">
        <f>TAX!$B$17</f>
        <v>6.8564856955967928</v>
      </c>
      <c r="K9" s="561">
        <f>TAX!$B$18</f>
        <v>5.6090714932482975</v>
      </c>
      <c r="L9" s="561">
        <f>TAX!$B$19</f>
        <v>3.1488447684000027</v>
      </c>
      <c r="M9" s="561">
        <f>TAX!$B$20</f>
        <v>4.7</v>
      </c>
      <c r="N9" s="561">
        <f>TAX!$B$21</f>
        <v>3</v>
      </c>
      <c r="O9" s="561">
        <f>TAX!$B$22</f>
        <v>2.3569174140963063</v>
      </c>
      <c r="P9" s="561">
        <f>TAX!$B$15</f>
        <v>10</v>
      </c>
      <c r="Q9" s="561">
        <f>TAX!$B$16</f>
        <v>9.1000000000000014</v>
      </c>
      <c r="R9" s="561">
        <f>TAX!$B$24</f>
        <v>13.8</v>
      </c>
    </row>
    <row r="10" spans="1:18">
      <c r="A10" s="127" t="s">
        <v>16</v>
      </c>
      <c r="B10" s="561">
        <f>TAX!$B$5</f>
        <v>10.873910083282011</v>
      </c>
      <c r="C10" s="561">
        <f>TAX!$B$6</f>
        <v>9.6704814112158743</v>
      </c>
      <c r="D10" s="561">
        <f>TAX!$B$7</f>
        <v>40</v>
      </c>
      <c r="E10" s="561">
        <f>TAX!$B$8</f>
        <v>30</v>
      </c>
      <c r="F10" s="561">
        <f>TAX!$B$9</f>
        <v>20</v>
      </c>
      <c r="G10" s="561">
        <f>TAX!$B$10</f>
        <v>10</v>
      </c>
      <c r="H10" s="561">
        <f>TAX!$B$12</f>
        <v>6.9529177686967403</v>
      </c>
      <c r="I10" s="561">
        <f>TAX!$B$13</f>
        <v>6.7155969699253779</v>
      </c>
      <c r="J10" s="561">
        <f>TAX!$B$17</f>
        <v>6.8564856955967928</v>
      </c>
      <c r="K10" s="561">
        <f>TAX!$B$18</f>
        <v>5.6090714932482975</v>
      </c>
      <c r="L10" s="561">
        <f>TAX!$B$19</f>
        <v>3.1488447684000027</v>
      </c>
      <c r="M10" s="561">
        <f>TAX!$B$20</f>
        <v>4.7</v>
      </c>
      <c r="N10" s="561">
        <f>TAX!$B$21</f>
        <v>3</v>
      </c>
      <c r="O10" s="561">
        <f>TAX!$B$22</f>
        <v>2.3569174140963063</v>
      </c>
      <c r="P10" s="561">
        <f>TAX!$B$15</f>
        <v>10</v>
      </c>
      <c r="Q10" s="561">
        <f>TAX!$B$16</f>
        <v>9.1000000000000014</v>
      </c>
      <c r="R10" s="561">
        <f>TAX!$B$24</f>
        <v>13.8</v>
      </c>
    </row>
    <row r="11" spans="1:18">
      <c r="A11" s="127" t="s">
        <v>17</v>
      </c>
      <c r="B11" s="561">
        <f>TAX!$B$5</f>
        <v>10.873910083282011</v>
      </c>
      <c r="C11" s="561">
        <f>TAX!$B$6</f>
        <v>9.6704814112158743</v>
      </c>
      <c r="D11" s="561">
        <f>TAX!$B$7</f>
        <v>40</v>
      </c>
      <c r="E11" s="561">
        <f>TAX!$B$8</f>
        <v>30</v>
      </c>
      <c r="F11" s="561">
        <f>TAX!$B$9</f>
        <v>20</v>
      </c>
      <c r="G11" s="561">
        <f>TAX!$B$10</f>
        <v>10</v>
      </c>
      <c r="H11" s="561">
        <f>TAX!$B$12</f>
        <v>6.9529177686967403</v>
      </c>
      <c r="I11" s="561">
        <f>TAX!$B$13</f>
        <v>6.7155969699253779</v>
      </c>
      <c r="J11" s="561">
        <f>TAX!$B$17</f>
        <v>6.8564856955967928</v>
      </c>
      <c r="K11" s="561">
        <f>TAX!$B$18</f>
        <v>5.6090714932482975</v>
      </c>
      <c r="L11" s="561">
        <f>TAX!$B$19</f>
        <v>3.1488447684000027</v>
      </c>
      <c r="M11" s="561">
        <f>TAX!$B$20</f>
        <v>4.7</v>
      </c>
      <c r="N11" s="561">
        <f>TAX!$B$21</f>
        <v>3</v>
      </c>
      <c r="O11" s="561">
        <f>TAX!$B$22</f>
        <v>2.3569174140963063</v>
      </c>
      <c r="P11" s="561">
        <f>TAX!$B$15</f>
        <v>10</v>
      </c>
      <c r="Q11" s="561">
        <f>TAX!$B$16</f>
        <v>9.1000000000000014</v>
      </c>
      <c r="R11" s="561">
        <f>TAX!$B$24</f>
        <v>13.8</v>
      </c>
    </row>
    <row r="12" spans="1:18">
      <c r="A12" s="127" t="s">
        <v>18</v>
      </c>
      <c r="B12" s="561">
        <f>TAX!$B$5</f>
        <v>10.873910083282011</v>
      </c>
      <c r="C12" s="561">
        <f>TAX!$B$6</f>
        <v>9.6704814112158743</v>
      </c>
      <c r="D12" s="561">
        <f>TAX!$B$7</f>
        <v>40</v>
      </c>
      <c r="E12" s="561">
        <f>TAX!$B$8</f>
        <v>30</v>
      </c>
      <c r="F12" s="561">
        <f>TAX!$B$9</f>
        <v>20</v>
      </c>
      <c r="G12" s="561">
        <f>TAX!$B$10</f>
        <v>10</v>
      </c>
      <c r="H12" s="561">
        <f>TAX!$B$12</f>
        <v>6.9529177686967403</v>
      </c>
      <c r="I12" s="561">
        <f>TAX!$B$13</f>
        <v>6.7155969699253779</v>
      </c>
      <c r="J12" s="561">
        <f>TAX!$B$17</f>
        <v>6.8564856955967928</v>
      </c>
      <c r="K12" s="561">
        <f>TAX!$B$18</f>
        <v>5.6090714932482975</v>
      </c>
      <c r="L12" s="561">
        <f>TAX!$B$19</f>
        <v>3.1488447684000027</v>
      </c>
      <c r="M12" s="561">
        <f>TAX!$B$20</f>
        <v>4.7</v>
      </c>
      <c r="N12" s="561">
        <f>TAX!$B$21</f>
        <v>3</v>
      </c>
      <c r="O12" s="561">
        <f>TAX!$B$22</f>
        <v>2.3569174140963063</v>
      </c>
      <c r="P12" s="561">
        <f>TAX!$B$15</f>
        <v>10</v>
      </c>
      <c r="Q12" s="561">
        <f>TAX!$B$16</f>
        <v>9.1000000000000014</v>
      </c>
      <c r="R12" s="561">
        <f>TAX!$B$24</f>
        <v>13.8</v>
      </c>
    </row>
    <row r="13" spans="1:18" ht="15.75" thickBot="1">
      <c r="A13" s="128" t="s">
        <v>19</v>
      </c>
      <c r="B13" s="561">
        <f>TAX!$B$5</f>
        <v>10.873910083282011</v>
      </c>
      <c r="C13" s="561">
        <f>TAX!$B$6</f>
        <v>9.6704814112158743</v>
      </c>
      <c r="D13" s="561">
        <f>TAX!$B$7</f>
        <v>40</v>
      </c>
      <c r="E13" s="561">
        <f>TAX!$B$8</f>
        <v>30</v>
      </c>
      <c r="F13" s="561">
        <f>TAX!$B$9</f>
        <v>20</v>
      </c>
      <c r="G13" s="561">
        <f>TAX!$B$10</f>
        <v>10</v>
      </c>
      <c r="H13" s="561">
        <f>TAX!$B$12</f>
        <v>6.9529177686967403</v>
      </c>
      <c r="I13" s="561">
        <f>TAX!$B$13</f>
        <v>6.7155969699253779</v>
      </c>
      <c r="J13" s="561">
        <f>TAX!$B$17</f>
        <v>6.8564856955967928</v>
      </c>
      <c r="K13" s="561">
        <f>TAX!$B$18</f>
        <v>5.6090714932482975</v>
      </c>
      <c r="L13" s="561">
        <f>TAX!$B$19</f>
        <v>3.1488447684000027</v>
      </c>
      <c r="M13" s="561">
        <f>TAX!$B$20</f>
        <v>4.7</v>
      </c>
      <c r="N13" s="561">
        <f>TAX!$B$21</f>
        <v>3</v>
      </c>
      <c r="O13" s="561">
        <f>TAX!$B$22</f>
        <v>2.3569174140963063</v>
      </c>
      <c r="P13" s="561">
        <f>TAX!$B$15</f>
        <v>10</v>
      </c>
      <c r="Q13" s="561">
        <f>TAX!$B$16</f>
        <v>9.1000000000000014</v>
      </c>
      <c r="R13" s="561">
        <f>TAX!$B$24</f>
        <v>13.8</v>
      </c>
    </row>
    <row r="14" spans="1:18">
      <c r="A14" s="269" t="s">
        <v>54</v>
      </c>
      <c r="B14" s="561">
        <f>TAX!$B$5</f>
        <v>10.873910083282011</v>
      </c>
      <c r="C14" s="561">
        <f>TAX!$B$6</f>
        <v>9.6704814112158743</v>
      </c>
      <c r="D14" s="561">
        <f>TAX!$B$7</f>
        <v>40</v>
      </c>
      <c r="E14" s="561">
        <f>TAX!$B$8</f>
        <v>30</v>
      </c>
      <c r="F14" s="561">
        <f>TAX!$B$9</f>
        <v>20</v>
      </c>
      <c r="G14" s="561">
        <f>TAX!$B$10</f>
        <v>10</v>
      </c>
      <c r="H14" s="561">
        <f>TAX!$B$12</f>
        <v>6.9529177686967403</v>
      </c>
      <c r="I14" s="561">
        <f>TAX!$B$13</f>
        <v>6.7155969699253779</v>
      </c>
      <c r="J14" s="561">
        <f>TAX!$B$17</f>
        <v>6.8564856955967928</v>
      </c>
      <c r="K14" s="561">
        <f>TAX!$B$18</f>
        <v>5.6090714932482975</v>
      </c>
      <c r="L14" s="561">
        <f>TAX!$B$19</f>
        <v>3.1488447684000027</v>
      </c>
      <c r="M14" s="561">
        <f>TAX!$B$20</f>
        <v>4.7</v>
      </c>
      <c r="N14" s="561">
        <f>TAX!$B$21</f>
        <v>3</v>
      </c>
      <c r="O14" s="561">
        <f>TAX!$B$22</f>
        <v>2.3569174140963063</v>
      </c>
      <c r="P14" s="561">
        <f>TAX!$B$15</f>
        <v>10</v>
      </c>
      <c r="Q14" s="561">
        <f>TAX!$B$16</f>
        <v>9.1000000000000014</v>
      </c>
      <c r="R14" s="561">
        <f>TAX!$B$24</f>
        <v>13.8</v>
      </c>
    </row>
    <row r="15" spans="1:18">
      <c r="A15" s="127" t="s">
        <v>21</v>
      </c>
      <c r="B15" s="561">
        <f>TAX!$B$5</f>
        <v>10.873910083282011</v>
      </c>
      <c r="C15" s="561">
        <f>TAX!$B$6</f>
        <v>9.6704814112158743</v>
      </c>
      <c r="D15" s="561">
        <f>TAX!$B$7</f>
        <v>40</v>
      </c>
      <c r="E15" s="561">
        <f>TAX!$B$8</f>
        <v>30</v>
      </c>
      <c r="F15" s="561">
        <f>TAX!$B$9</f>
        <v>20</v>
      </c>
      <c r="G15" s="561">
        <f>TAX!$B$10</f>
        <v>10</v>
      </c>
      <c r="H15" s="561">
        <f>TAX!$B$12</f>
        <v>6.9529177686967403</v>
      </c>
      <c r="I15" s="561">
        <f>TAX!$B$13</f>
        <v>6.7155969699253779</v>
      </c>
      <c r="J15" s="561">
        <f>TAX!$B$17</f>
        <v>6.8564856955967928</v>
      </c>
      <c r="K15" s="561">
        <f>TAX!$B$18</f>
        <v>5.6090714932482975</v>
      </c>
      <c r="L15" s="561">
        <f>TAX!$B$19</f>
        <v>3.1488447684000027</v>
      </c>
      <c r="M15" s="561">
        <f>TAX!$B$20</f>
        <v>4.7</v>
      </c>
      <c r="N15" s="561">
        <f>TAX!$B$21</f>
        <v>3</v>
      </c>
      <c r="O15" s="561">
        <f>TAX!$B$22</f>
        <v>2.3569174140963063</v>
      </c>
      <c r="P15" s="561">
        <f>TAX!$B$15</f>
        <v>10</v>
      </c>
      <c r="Q15" s="561">
        <f>TAX!$B$16</f>
        <v>9.1000000000000014</v>
      </c>
      <c r="R15" s="561">
        <f>TAX!$B$24</f>
        <v>13.8</v>
      </c>
    </row>
    <row r="16" spans="1:18">
      <c r="A16" s="127" t="s">
        <v>22</v>
      </c>
      <c r="B16" s="561">
        <f>TAX!$B$5</f>
        <v>10.873910083282011</v>
      </c>
      <c r="C16" s="561">
        <f>TAX!$B$6</f>
        <v>9.6704814112158743</v>
      </c>
      <c r="D16" s="561">
        <f>TAX!$B$7</f>
        <v>40</v>
      </c>
      <c r="E16" s="561">
        <f>TAX!$B$8</f>
        <v>30</v>
      </c>
      <c r="F16" s="561">
        <f>TAX!$B$9</f>
        <v>20</v>
      </c>
      <c r="G16" s="561">
        <f>TAX!$B$10</f>
        <v>10</v>
      </c>
      <c r="H16" s="561">
        <f>TAX!$B$12</f>
        <v>6.9529177686967403</v>
      </c>
      <c r="I16" s="561">
        <f>TAX!$B$13</f>
        <v>6.7155969699253779</v>
      </c>
      <c r="J16" s="561">
        <f>TAX!$B$17</f>
        <v>6.8564856955967928</v>
      </c>
      <c r="K16" s="561">
        <f>TAX!$B$18</f>
        <v>5.6090714932482975</v>
      </c>
      <c r="L16" s="561">
        <f>TAX!$B$19</f>
        <v>3.1488447684000027</v>
      </c>
      <c r="M16" s="561">
        <f>TAX!$B$20</f>
        <v>4.7</v>
      </c>
      <c r="N16" s="561">
        <f>TAX!$B$21</f>
        <v>3</v>
      </c>
      <c r="O16" s="561">
        <f>TAX!$B$22</f>
        <v>2.3569174140963063</v>
      </c>
      <c r="P16" s="561">
        <f>TAX!$B$15</f>
        <v>10</v>
      </c>
      <c r="Q16" s="561">
        <f>TAX!$B$16</f>
        <v>9.1000000000000014</v>
      </c>
      <c r="R16" s="561">
        <f>TAX!$B$24</f>
        <v>13.8</v>
      </c>
    </row>
    <row r="17" spans="1:18">
      <c r="A17" s="127" t="s">
        <v>23</v>
      </c>
      <c r="B17" s="561">
        <f>TAX!$B$5</f>
        <v>10.873910083282011</v>
      </c>
      <c r="C17" s="561">
        <f>TAX!$B$6</f>
        <v>9.6704814112158743</v>
      </c>
      <c r="D17" s="561">
        <f>TAX!$B$7</f>
        <v>40</v>
      </c>
      <c r="E17" s="561">
        <f>TAX!$B$8</f>
        <v>30</v>
      </c>
      <c r="F17" s="561">
        <f>TAX!$B$9</f>
        <v>20</v>
      </c>
      <c r="G17" s="561">
        <f>TAX!$B$10</f>
        <v>10</v>
      </c>
      <c r="H17" s="561">
        <f>TAX!$B$12</f>
        <v>6.9529177686967403</v>
      </c>
      <c r="I17" s="561">
        <f>TAX!$B$13</f>
        <v>6.7155969699253779</v>
      </c>
      <c r="J17" s="561">
        <f>TAX!$B$17</f>
        <v>6.8564856955967928</v>
      </c>
      <c r="K17" s="561">
        <f>TAX!$B$18</f>
        <v>5.6090714932482975</v>
      </c>
      <c r="L17" s="561">
        <f>TAX!$B$19</f>
        <v>3.1488447684000027</v>
      </c>
      <c r="M17" s="561">
        <f>TAX!$B$20</f>
        <v>4.7</v>
      </c>
      <c r="N17" s="561">
        <f>TAX!$B$21</f>
        <v>3</v>
      </c>
      <c r="O17" s="561">
        <f>TAX!$B$22</f>
        <v>2.3569174140963063</v>
      </c>
      <c r="P17" s="561">
        <f>TAX!$B$15</f>
        <v>10</v>
      </c>
      <c r="Q17" s="561">
        <f>TAX!$B$16</f>
        <v>9.1000000000000014</v>
      </c>
      <c r="R17" s="561">
        <f>TAX!$B$24</f>
        <v>13.8</v>
      </c>
    </row>
    <row r="18" spans="1:18">
      <c r="A18" s="127" t="s">
        <v>24</v>
      </c>
      <c r="B18" s="561">
        <f>TAX!$B$5</f>
        <v>10.873910083282011</v>
      </c>
      <c r="C18" s="561">
        <f>TAX!$B$6</f>
        <v>9.6704814112158743</v>
      </c>
      <c r="D18" s="561">
        <f>TAX!$B$7</f>
        <v>40</v>
      </c>
      <c r="E18" s="561">
        <f>TAX!$B$8</f>
        <v>30</v>
      </c>
      <c r="F18" s="561">
        <f>TAX!$B$9</f>
        <v>20</v>
      </c>
      <c r="G18" s="561">
        <f>TAX!$B$10</f>
        <v>10</v>
      </c>
      <c r="H18" s="561">
        <f>TAX!$B$12</f>
        <v>6.9529177686967403</v>
      </c>
      <c r="I18" s="561">
        <f>TAX!$B$13</f>
        <v>6.7155969699253779</v>
      </c>
      <c r="J18" s="561">
        <f>TAX!$B$17</f>
        <v>6.8564856955967928</v>
      </c>
      <c r="K18" s="561">
        <f>TAX!$B$18</f>
        <v>5.6090714932482975</v>
      </c>
      <c r="L18" s="561">
        <f>TAX!$B$19</f>
        <v>3.1488447684000027</v>
      </c>
      <c r="M18" s="561">
        <f>TAX!$B$20</f>
        <v>4.7</v>
      </c>
      <c r="N18" s="561">
        <f>TAX!$B$21</f>
        <v>3</v>
      </c>
      <c r="O18" s="561">
        <f>TAX!$B$22</f>
        <v>2.3569174140963063</v>
      </c>
      <c r="P18" s="561">
        <f>TAX!$B$15</f>
        <v>10</v>
      </c>
      <c r="Q18" s="561">
        <f>TAX!$B$16</f>
        <v>9.1000000000000014</v>
      </c>
      <c r="R18" s="561">
        <f>TAX!$B$24</f>
        <v>13.8</v>
      </c>
    </row>
    <row r="19" spans="1:18">
      <c r="A19" s="127" t="s">
        <v>25</v>
      </c>
      <c r="B19" s="561">
        <f>TAX!$B$5</f>
        <v>10.873910083282011</v>
      </c>
      <c r="C19" s="561">
        <f>TAX!$B$6</f>
        <v>9.6704814112158743</v>
      </c>
      <c r="D19" s="561">
        <f>TAX!$B$7</f>
        <v>40</v>
      </c>
      <c r="E19" s="561">
        <f>TAX!$B$8</f>
        <v>30</v>
      </c>
      <c r="F19" s="561">
        <f>TAX!$B$9</f>
        <v>20</v>
      </c>
      <c r="G19" s="561">
        <f>TAX!$B$10</f>
        <v>10</v>
      </c>
      <c r="H19" s="561">
        <f>TAX!$B$12</f>
        <v>6.9529177686967403</v>
      </c>
      <c r="I19" s="561">
        <f>TAX!$B$13</f>
        <v>6.7155969699253779</v>
      </c>
      <c r="J19" s="561">
        <f>TAX!$B$17</f>
        <v>6.8564856955967928</v>
      </c>
      <c r="K19" s="561">
        <f>TAX!$B$18</f>
        <v>5.6090714932482975</v>
      </c>
      <c r="L19" s="561">
        <f>TAX!$B$19</f>
        <v>3.1488447684000027</v>
      </c>
      <c r="M19" s="561">
        <f>TAX!$B$20</f>
        <v>4.7</v>
      </c>
      <c r="N19" s="561">
        <f>TAX!$B$21</f>
        <v>3</v>
      </c>
      <c r="O19" s="561">
        <f>TAX!$B$22</f>
        <v>2.3569174140963063</v>
      </c>
      <c r="P19" s="561">
        <f>TAX!$B$15</f>
        <v>10</v>
      </c>
      <c r="Q19" s="561">
        <f>TAX!$B$16</f>
        <v>9.1000000000000014</v>
      </c>
      <c r="R19" s="561">
        <f>TAX!$B$24</f>
        <v>13.8</v>
      </c>
    </row>
    <row r="20" spans="1:18">
      <c r="A20" s="127" t="s">
        <v>26</v>
      </c>
      <c r="B20" s="561">
        <f>TAX!$B$5</f>
        <v>10.873910083282011</v>
      </c>
      <c r="C20" s="561">
        <f>TAX!$B$6</f>
        <v>9.6704814112158743</v>
      </c>
      <c r="D20" s="561">
        <f>TAX!$B$7</f>
        <v>40</v>
      </c>
      <c r="E20" s="561">
        <f>TAX!$B$8</f>
        <v>30</v>
      </c>
      <c r="F20" s="561">
        <f>TAX!$B$9</f>
        <v>20</v>
      </c>
      <c r="G20" s="561">
        <f>TAX!$B$10</f>
        <v>10</v>
      </c>
      <c r="H20" s="561">
        <f>TAX!$B$12</f>
        <v>6.9529177686967403</v>
      </c>
      <c r="I20" s="561">
        <f>TAX!$B$13</f>
        <v>6.7155969699253779</v>
      </c>
      <c r="J20" s="561">
        <f>TAX!$B$17</f>
        <v>6.8564856955967928</v>
      </c>
      <c r="K20" s="561">
        <f>TAX!$B$18</f>
        <v>5.6090714932482975</v>
      </c>
      <c r="L20" s="561">
        <f>TAX!$B$19</f>
        <v>3.1488447684000027</v>
      </c>
      <c r="M20" s="561">
        <f>TAX!$B$20</f>
        <v>4.7</v>
      </c>
      <c r="N20" s="561">
        <f>TAX!$B$21</f>
        <v>3</v>
      </c>
      <c r="O20" s="561">
        <f>TAX!$B$22</f>
        <v>2.3569174140963063</v>
      </c>
      <c r="P20" s="561">
        <f>TAX!$B$15</f>
        <v>10</v>
      </c>
      <c r="Q20" s="561">
        <f>TAX!$B$16</f>
        <v>9.1000000000000014</v>
      </c>
      <c r="R20" s="561">
        <f>TAX!$B$24</f>
        <v>13.8</v>
      </c>
    </row>
    <row r="21" spans="1:18">
      <c r="A21" s="127" t="s">
        <v>27</v>
      </c>
      <c r="B21" s="561">
        <f>TAX!$B$5</f>
        <v>10.873910083282011</v>
      </c>
      <c r="C21" s="561">
        <f>TAX!$B$6</f>
        <v>9.6704814112158743</v>
      </c>
      <c r="D21" s="561">
        <f>TAX!$B$7</f>
        <v>40</v>
      </c>
      <c r="E21" s="561">
        <f>TAX!$B$8</f>
        <v>30</v>
      </c>
      <c r="F21" s="561">
        <f>TAX!$B$9</f>
        <v>20</v>
      </c>
      <c r="G21" s="561">
        <f>TAX!$B$10</f>
        <v>10</v>
      </c>
      <c r="H21" s="561">
        <f>TAX!$B$12</f>
        <v>6.9529177686967403</v>
      </c>
      <c r="I21" s="561">
        <f>TAX!$B$13</f>
        <v>6.7155969699253779</v>
      </c>
      <c r="J21" s="561">
        <f>TAX!$B$17</f>
        <v>6.8564856955967928</v>
      </c>
      <c r="K21" s="561">
        <f>TAX!$B$18</f>
        <v>5.6090714932482975</v>
      </c>
      <c r="L21" s="561">
        <f>TAX!$B$19</f>
        <v>3.1488447684000027</v>
      </c>
      <c r="M21" s="561">
        <f>TAX!$B$20</f>
        <v>4.7</v>
      </c>
      <c r="N21" s="561">
        <f>TAX!$B$21</f>
        <v>3</v>
      </c>
      <c r="O21" s="561">
        <f>TAX!$B$22</f>
        <v>2.3569174140963063</v>
      </c>
      <c r="P21" s="561">
        <f>TAX!$B$15</f>
        <v>10</v>
      </c>
      <c r="Q21" s="561">
        <f>TAX!$B$16</f>
        <v>9.1000000000000014</v>
      </c>
      <c r="R21" s="561">
        <f>TAX!$B$24</f>
        <v>13.8</v>
      </c>
    </row>
    <row r="22" spans="1:18" ht="25.5">
      <c r="A22" s="127" t="s">
        <v>28</v>
      </c>
      <c r="B22" s="561">
        <f>TAX!$B$5</f>
        <v>10.873910083282011</v>
      </c>
      <c r="C22" s="561">
        <f>TAX!$B$6</f>
        <v>9.6704814112158743</v>
      </c>
      <c r="D22" s="561">
        <f>TAX!$B$7</f>
        <v>40</v>
      </c>
      <c r="E22" s="561">
        <f>TAX!$B$8</f>
        <v>30</v>
      </c>
      <c r="F22" s="561">
        <f>TAX!$B$9</f>
        <v>20</v>
      </c>
      <c r="G22" s="561">
        <f>TAX!$B$10</f>
        <v>10</v>
      </c>
      <c r="H22" s="561">
        <f>TAX!$B$12</f>
        <v>6.9529177686967403</v>
      </c>
      <c r="I22" s="561">
        <f>TAX!$B$13</f>
        <v>6.7155969699253779</v>
      </c>
      <c r="J22" s="561">
        <f>TAX!$B$17</f>
        <v>6.8564856955967928</v>
      </c>
      <c r="K22" s="561">
        <f>TAX!$B$18</f>
        <v>5.6090714932482975</v>
      </c>
      <c r="L22" s="561">
        <f>TAX!$B$19</f>
        <v>3.1488447684000027</v>
      </c>
      <c r="M22" s="561">
        <f>TAX!$B$20</f>
        <v>4.7</v>
      </c>
      <c r="N22" s="561">
        <f>TAX!$B$21</f>
        <v>3</v>
      </c>
      <c r="O22" s="561">
        <f>TAX!$B$22</f>
        <v>2.3569174140963063</v>
      </c>
      <c r="P22" s="561">
        <f>TAX!$B$15</f>
        <v>10</v>
      </c>
      <c r="Q22" s="561">
        <f>TAX!$B$16</f>
        <v>9.1000000000000014</v>
      </c>
      <c r="R22" s="561">
        <f>TAX!$B$24</f>
        <v>13.8</v>
      </c>
    </row>
    <row r="23" spans="1:18" ht="15.75" thickBot="1">
      <c r="A23" s="128" t="s">
        <v>29</v>
      </c>
      <c r="B23" s="561">
        <f>TAX!$B$5</f>
        <v>10.873910083282011</v>
      </c>
      <c r="C23" s="561">
        <f>TAX!$B$6</f>
        <v>9.6704814112158743</v>
      </c>
      <c r="D23" s="561">
        <f>TAX!$B$7</f>
        <v>40</v>
      </c>
      <c r="E23" s="561">
        <f>TAX!$B$8</f>
        <v>30</v>
      </c>
      <c r="F23" s="561">
        <f>TAX!$B$9</f>
        <v>20</v>
      </c>
      <c r="G23" s="561">
        <f>TAX!$B$10</f>
        <v>10</v>
      </c>
      <c r="H23" s="561">
        <f>TAX!$B$12</f>
        <v>6.9529177686967403</v>
      </c>
      <c r="I23" s="561">
        <f>TAX!$B$13</f>
        <v>6.7155969699253779</v>
      </c>
      <c r="J23" s="561">
        <f>TAX!$B$17</f>
        <v>6.8564856955967928</v>
      </c>
      <c r="K23" s="561">
        <f>TAX!$B$18</f>
        <v>5.6090714932482975</v>
      </c>
      <c r="L23" s="561">
        <f>TAX!$B$19</f>
        <v>3.1488447684000027</v>
      </c>
      <c r="M23" s="561">
        <f>TAX!$B$20</f>
        <v>4.7</v>
      </c>
      <c r="N23" s="561">
        <f>TAX!$B$21</f>
        <v>3</v>
      </c>
      <c r="O23" s="561">
        <f>TAX!$B$22</f>
        <v>2.3569174140963063</v>
      </c>
      <c r="P23" s="561">
        <f>TAX!$B$15</f>
        <v>10</v>
      </c>
      <c r="Q23" s="561">
        <f>TAX!$B$16</f>
        <v>9.1000000000000014</v>
      </c>
      <c r="R23" s="561">
        <f>TAX!$B$24</f>
        <v>13.8</v>
      </c>
    </row>
    <row r="24" spans="1:18">
      <c r="A24" s="269" t="s">
        <v>64</v>
      </c>
      <c r="B24" s="561">
        <f>TAX!$B$5</f>
        <v>10.873910083282011</v>
      </c>
      <c r="C24" s="561">
        <f>TAX!$B$6</f>
        <v>9.6704814112158743</v>
      </c>
      <c r="D24" s="561">
        <f>TAX!$B$7</f>
        <v>40</v>
      </c>
      <c r="E24" s="561">
        <f>TAX!$B$8</f>
        <v>30</v>
      </c>
      <c r="F24" s="561">
        <f>TAX!$B$9</f>
        <v>20</v>
      </c>
      <c r="G24" s="561">
        <f>TAX!$B$10</f>
        <v>10</v>
      </c>
      <c r="H24" s="561">
        <f>TAX!$B$12</f>
        <v>6.9529177686967403</v>
      </c>
      <c r="I24" s="561">
        <f>TAX!$B$13</f>
        <v>6.7155969699253779</v>
      </c>
      <c r="J24" s="561">
        <f>TAX!$B$17</f>
        <v>6.8564856955967928</v>
      </c>
      <c r="K24" s="561">
        <f>TAX!$B$18</f>
        <v>5.6090714932482975</v>
      </c>
      <c r="L24" s="561">
        <f>TAX!$B$19</f>
        <v>3.1488447684000027</v>
      </c>
      <c r="M24" s="561">
        <f>TAX!$B$20</f>
        <v>4.7</v>
      </c>
      <c r="N24" s="561">
        <f>TAX!$B$21</f>
        <v>3</v>
      </c>
      <c r="O24" s="561">
        <f>TAX!$B$22</f>
        <v>2.3569174140963063</v>
      </c>
      <c r="P24" s="561">
        <f>TAX!$B$15</f>
        <v>10</v>
      </c>
      <c r="Q24" s="561">
        <f>TAX!$B$16</f>
        <v>9.1000000000000014</v>
      </c>
      <c r="R24" s="561">
        <f>TAX!$B$24</f>
        <v>13.8</v>
      </c>
    </row>
    <row r="25" spans="1:18">
      <c r="A25" s="127" t="s">
        <v>31</v>
      </c>
      <c r="B25" s="561">
        <f>TAX!$B$5</f>
        <v>10.873910083282011</v>
      </c>
      <c r="C25" s="561">
        <f>TAX!$B$6</f>
        <v>9.6704814112158743</v>
      </c>
      <c r="D25" s="561">
        <f>TAX!$B$7</f>
        <v>40</v>
      </c>
      <c r="E25" s="561">
        <f>TAX!$B$8</f>
        <v>30</v>
      </c>
      <c r="F25" s="561">
        <f>TAX!$B$9</f>
        <v>20</v>
      </c>
      <c r="G25" s="561">
        <f>TAX!$B$10</f>
        <v>10</v>
      </c>
      <c r="H25" s="561">
        <f>TAX!$B$12</f>
        <v>6.9529177686967403</v>
      </c>
      <c r="I25" s="561">
        <f>TAX!$B$13</f>
        <v>6.7155969699253779</v>
      </c>
      <c r="J25" s="561">
        <f>TAX!$B$17</f>
        <v>6.8564856955967928</v>
      </c>
      <c r="K25" s="561">
        <f>TAX!$B$18</f>
        <v>5.6090714932482975</v>
      </c>
      <c r="L25" s="561">
        <f>TAX!$B$19</f>
        <v>3.1488447684000027</v>
      </c>
      <c r="M25" s="561">
        <f>TAX!$B$20</f>
        <v>4.7</v>
      </c>
      <c r="N25" s="561">
        <f>TAX!$B$21</f>
        <v>3</v>
      </c>
      <c r="O25" s="561">
        <f>TAX!$B$22</f>
        <v>2.3569174140963063</v>
      </c>
      <c r="P25" s="561">
        <f>TAX!$B$15</f>
        <v>10</v>
      </c>
      <c r="Q25" s="561">
        <f>TAX!$B$16</f>
        <v>9.1000000000000014</v>
      </c>
      <c r="R25" s="561">
        <f>TAX!$B$24</f>
        <v>13.8</v>
      </c>
    </row>
    <row r="26" spans="1:18">
      <c r="A26" s="127" t="s">
        <v>32</v>
      </c>
      <c r="B26" s="561">
        <f>TAX!$B$5</f>
        <v>10.873910083282011</v>
      </c>
      <c r="C26" s="561">
        <f>TAX!$B$6</f>
        <v>9.6704814112158743</v>
      </c>
      <c r="D26" s="561">
        <f>TAX!$B$7</f>
        <v>40</v>
      </c>
      <c r="E26" s="561">
        <f>TAX!$B$8</f>
        <v>30</v>
      </c>
      <c r="F26" s="561">
        <f>TAX!$B$9</f>
        <v>20</v>
      </c>
      <c r="G26" s="561">
        <f>TAX!$B$10</f>
        <v>10</v>
      </c>
      <c r="H26" s="561">
        <f>TAX!$B$12</f>
        <v>6.9529177686967403</v>
      </c>
      <c r="I26" s="561">
        <f>TAX!$B$13</f>
        <v>6.7155969699253779</v>
      </c>
      <c r="J26" s="561">
        <f>TAX!$B$17</f>
        <v>6.8564856955967928</v>
      </c>
      <c r="K26" s="561">
        <f>TAX!$B$18</f>
        <v>5.6090714932482975</v>
      </c>
      <c r="L26" s="561">
        <f>TAX!$B$19</f>
        <v>3.1488447684000027</v>
      </c>
      <c r="M26" s="561">
        <f>TAX!$B$20</f>
        <v>4.7</v>
      </c>
      <c r="N26" s="561">
        <f>TAX!$B$21</f>
        <v>3</v>
      </c>
      <c r="O26" s="561">
        <f>TAX!$B$22</f>
        <v>2.3569174140963063</v>
      </c>
      <c r="P26" s="561">
        <f>TAX!$B$15</f>
        <v>10</v>
      </c>
      <c r="Q26" s="561">
        <f>TAX!$B$16</f>
        <v>9.1000000000000014</v>
      </c>
      <c r="R26" s="561">
        <f>TAX!$B$24</f>
        <v>13.8</v>
      </c>
    </row>
    <row r="27" spans="1:18">
      <c r="A27" s="127" t="s">
        <v>33</v>
      </c>
      <c r="B27" s="561">
        <f>TAX!$B$5</f>
        <v>10.873910083282011</v>
      </c>
      <c r="C27" s="561">
        <f>TAX!$B$6</f>
        <v>9.6704814112158743</v>
      </c>
      <c r="D27" s="561">
        <f>TAX!$B$7</f>
        <v>40</v>
      </c>
      <c r="E27" s="561">
        <f>TAX!$B$8</f>
        <v>30</v>
      </c>
      <c r="F27" s="561">
        <f>TAX!$B$9</f>
        <v>20</v>
      </c>
      <c r="G27" s="561">
        <f>TAX!$B$10</f>
        <v>10</v>
      </c>
      <c r="H27" s="561">
        <f>TAX!$B$12</f>
        <v>6.9529177686967403</v>
      </c>
      <c r="I27" s="561">
        <f>TAX!$B$13</f>
        <v>6.7155969699253779</v>
      </c>
      <c r="J27" s="561">
        <f>TAX!$B$17</f>
        <v>6.8564856955967928</v>
      </c>
      <c r="K27" s="561">
        <f>TAX!$B$18</f>
        <v>5.6090714932482975</v>
      </c>
      <c r="L27" s="561">
        <f>TAX!$B$19</f>
        <v>3.1488447684000027</v>
      </c>
      <c r="M27" s="561">
        <f>TAX!$B$20</f>
        <v>4.7</v>
      </c>
      <c r="N27" s="561">
        <f>TAX!$B$21</f>
        <v>3</v>
      </c>
      <c r="O27" s="561">
        <f>TAX!$B$22</f>
        <v>2.3569174140963063</v>
      </c>
      <c r="P27" s="561">
        <f>TAX!$B$15</f>
        <v>10</v>
      </c>
      <c r="Q27" s="561">
        <f>TAX!$B$16</f>
        <v>9.1000000000000014</v>
      </c>
      <c r="R27" s="561">
        <f>TAX!$B$24</f>
        <v>13.8</v>
      </c>
    </row>
    <row r="28" spans="1:18" ht="15.75" thickBot="1">
      <c r="A28" s="128" t="s">
        <v>34</v>
      </c>
      <c r="B28" s="561">
        <f>TAX!$B$5</f>
        <v>10.873910083282011</v>
      </c>
      <c r="C28" s="561">
        <f>TAX!$B$6</f>
        <v>9.6704814112158743</v>
      </c>
      <c r="D28" s="561">
        <f>TAX!$B$7</f>
        <v>40</v>
      </c>
      <c r="E28" s="561">
        <f>TAX!$B$8</f>
        <v>30</v>
      </c>
      <c r="F28" s="561">
        <f>TAX!$B$9</f>
        <v>20</v>
      </c>
      <c r="G28" s="561">
        <f>TAX!$B$10</f>
        <v>10</v>
      </c>
      <c r="H28" s="561">
        <f>TAX!$B$12</f>
        <v>6.9529177686967403</v>
      </c>
      <c r="I28" s="561">
        <f>TAX!$B$13</f>
        <v>6.7155969699253779</v>
      </c>
      <c r="J28" s="561">
        <f>TAX!$B$17</f>
        <v>6.8564856955967928</v>
      </c>
      <c r="K28" s="561">
        <f>TAX!$B$18</f>
        <v>5.6090714932482975</v>
      </c>
      <c r="L28" s="561">
        <f>TAX!$B$19</f>
        <v>3.1488447684000027</v>
      </c>
      <c r="M28" s="561">
        <f>TAX!$B$20</f>
        <v>4.7</v>
      </c>
      <c r="N28" s="561">
        <f>TAX!$B$21</f>
        <v>3</v>
      </c>
      <c r="O28" s="561">
        <f>TAX!$B$22</f>
        <v>2.3569174140963063</v>
      </c>
      <c r="P28" s="561">
        <f>TAX!$B$15</f>
        <v>10</v>
      </c>
      <c r="Q28" s="561">
        <f>TAX!$B$16</f>
        <v>9.1000000000000014</v>
      </c>
      <c r="R28" s="561">
        <f>TAX!$B$24</f>
        <v>13.8</v>
      </c>
    </row>
    <row r="29" spans="1:18">
      <c r="A29" s="269" t="s">
        <v>69</v>
      </c>
      <c r="B29" s="561">
        <f>TAX!$B$5</f>
        <v>10.873910083282011</v>
      </c>
      <c r="C29" s="561">
        <f>TAX!$B$6</f>
        <v>9.6704814112158743</v>
      </c>
      <c r="D29" s="561">
        <f>TAX!$B$7</f>
        <v>40</v>
      </c>
      <c r="E29" s="561">
        <f>TAX!$B$8</f>
        <v>30</v>
      </c>
      <c r="F29" s="561">
        <f>TAX!$B$9</f>
        <v>20</v>
      </c>
      <c r="G29" s="561">
        <f>TAX!$B$10</f>
        <v>10</v>
      </c>
      <c r="H29" s="561">
        <f>TAX!$B$12</f>
        <v>6.9529177686967403</v>
      </c>
      <c r="I29" s="561">
        <f>TAX!$B$13</f>
        <v>6.7155969699253779</v>
      </c>
      <c r="J29" s="561">
        <f>TAX!$B$17</f>
        <v>6.8564856955967928</v>
      </c>
      <c r="K29" s="561">
        <f>TAX!$B$18</f>
        <v>5.6090714932482975</v>
      </c>
      <c r="L29" s="561">
        <f>TAX!$B$19</f>
        <v>3.1488447684000027</v>
      </c>
      <c r="M29" s="561">
        <f>TAX!$B$20</f>
        <v>4.7</v>
      </c>
      <c r="N29" s="561">
        <f>TAX!$B$21</f>
        <v>3</v>
      </c>
      <c r="O29" s="561">
        <f>TAX!$B$22</f>
        <v>2.3569174140963063</v>
      </c>
      <c r="P29" s="561">
        <f>TAX!$B$15</f>
        <v>10</v>
      </c>
      <c r="Q29" s="561">
        <f>TAX!$B$16</f>
        <v>9.1000000000000014</v>
      </c>
      <c r="R29" s="561">
        <f>TAX!$B$24</f>
        <v>13.8</v>
      </c>
    </row>
    <row r="30" spans="1:18">
      <c r="A30" s="127" t="s">
        <v>36</v>
      </c>
      <c r="B30" s="561">
        <f>TAX!$B$5</f>
        <v>10.873910083282011</v>
      </c>
      <c r="C30" s="561">
        <f>TAX!$B$6</f>
        <v>9.6704814112158743</v>
      </c>
      <c r="D30" s="561">
        <f>TAX!$B$7</f>
        <v>40</v>
      </c>
      <c r="E30" s="561">
        <f>TAX!$B$8</f>
        <v>30</v>
      </c>
      <c r="F30" s="561">
        <f>TAX!$B$9</f>
        <v>20</v>
      </c>
      <c r="G30" s="561">
        <f>TAX!$B$10</f>
        <v>10</v>
      </c>
      <c r="H30" s="561">
        <f>TAX!$B$12</f>
        <v>6.9529177686967403</v>
      </c>
      <c r="I30" s="561">
        <f>TAX!$B$13</f>
        <v>6.7155969699253779</v>
      </c>
      <c r="J30" s="561">
        <f>TAX!$B$17</f>
        <v>6.8564856955967928</v>
      </c>
      <c r="K30" s="561">
        <f>TAX!$B$18</f>
        <v>5.6090714932482975</v>
      </c>
      <c r="L30" s="561">
        <f>TAX!$B$19</f>
        <v>3.1488447684000027</v>
      </c>
      <c r="M30" s="561">
        <f>TAX!$B$20</f>
        <v>4.7</v>
      </c>
      <c r="N30" s="561">
        <f>TAX!$B$21</f>
        <v>3</v>
      </c>
      <c r="O30" s="561">
        <f>TAX!$B$22</f>
        <v>2.3569174140963063</v>
      </c>
      <c r="P30" s="561">
        <f>TAX!$B$15</f>
        <v>10</v>
      </c>
      <c r="Q30" s="561">
        <f>TAX!$B$16</f>
        <v>9.1000000000000014</v>
      </c>
      <c r="R30" s="561">
        <f>TAX!$B$24</f>
        <v>13.8</v>
      </c>
    </row>
    <row r="31" spans="1:18">
      <c r="A31" s="127" t="s">
        <v>37</v>
      </c>
      <c r="B31" s="561">
        <f>TAX!$B$5</f>
        <v>10.873910083282011</v>
      </c>
      <c r="C31" s="561">
        <f>TAX!$B$6</f>
        <v>9.6704814112158743</v>
      </c>
      <c r="D31" s="561">
        <f>TAX!$B$7</f>
        <v>40</v>
      </c>
      <c r="E31" s="561">
        <f>TAX!$B$8</f>
        <v>30</v>
      </c>
      <c r="F31" s="561">
        <f>TAX!$B$9</f>
        <v>20</v>
      </c>
      <c r="G31" s="561">
        <f>TAX!$B$10</f>
        <v>10</v>
      </c>
      <c r="H31" s="561">
        <f>TAX!$B$12</f>
        <v>6.9529177686967403</v>
      </c>
      <c r="I31" s="561">
        <f>TAX!$B$13</f>
        <v>6.7155969699253779</v>
      </c>
      <c r="J31" s="561">
        <f>TAX!$B$17</f>
        <v>6.8564856955967928</v>
      </c>
      <c r="K31" s="561">
        <f>TAX!$B$18</f>
        <v>5.6090714932482975</v>
      </c>
      <c r="L31" s="561">
        <f>TAX!$B$19</f>
        <v>3.1488447684000027</v>
      </c>
      <c r="M31" s="561">
        <f>TAX!$B$20</f>
        <v>4.7</v>
      </c>
      <c r="N31" s="561">
        <f>TAX!$B$21</f>
        <v>3</v>
      </c>
      <c r="O31" s="561">
        <f>TAX!$B$22</f>
        <v>2.3569174140963063</v>
      </c>
      <c r="P31" s="561">
        <f>TAX!$B$15</f>
        <v>10</v>
      </c>
      <c r="Q31" s="561">
        <f>TAX!$B$16</f>
        <v>9.1000000000000014</v>
      </c>
      <c r="R31" s="561">
        <f>TAX!$B$24</f>
        <v>13.8</v>
      </c>
    </row>
    <row r="32" spans="1:18" ht="15.75" thickBot="1">
      <c r="A32" s="128" t="s">
        <v>38</v>
      </c>
      <c r="B32" s="561">
        <f>TAX!$B$5</f>
        <v>10.873910083282011</v>
      </c>
      <c r="C32" s="561">
        <f>TAX!$B$6</f>
        <v>9.6704814112158743</v>
      </c>
      <c r="D32" s="561">
        <f>TAX!$B$7</f>
        <v>40</v>
      </c>
      <c r="E32" s="561">
        <f>TAX!$B$8</f>
        <v>30</v>
      </c>
      <c r="F32" s="561">
        <f>TAX!$B$9</f>
        <v>20</v>
      </c>
      <c r="G32" s="561">
        <f>TAX!$B$10</f>
        <v>10</v>
      </c>
      <c r="H32" s="561">
        <f>TAX!$B$12</f>
        <v>6.9529177686967403</v>
      </c>
      <c r="I32" s="561">
        <f>TAX!$B$13</f>
        <v>6.7155969699253779</v>
      </c>
      <c r="J32" s="561">
        <f>TAX!$B$17</f>
        <v>6.8564856955967928</v>
      </c>
      <c r="K32" s="561">
        <f>TAX!$B$18</f>
        <v>5.6090714932482975</v>
      </c>
      <c r="L32" s="561">
        <f>TAX!$B$19</f>
        <v>3.1488447684000027</v>
      </c>
      <c r="M32" s="561">
        <f>TAX!$B$20</f>
        <v>4.7</v>
      </c>
      <c r="N32" s="561">
        <f>TAX!$B$21</f>
        <v>3</v>
      </c>
      <c r="O32" s="561">
        <f>TAX!$B$22</f>
        <v>2.3569174140963063</v>
      </c>
      <c r="P32" s="561">
        <f>TAX!$B$15</f>
        <v>10</v>
      </c>
      <c r="Q32" s="561">
        <f>TAX!$B$16</f>
        <v>9.1000000000000014</v>
      </c>
      <c r="R32" s="561">
        <f>TAX!$B$24</f>
        <v>13.8</v>
      </c>
    </row>
    <row r="33" spans="1:18" ht="25.5">
      <c r="A33" s="274" t="s">
        <v>73</v>
      </c>
      <c r="B33" s="561">
        <f>TAX!$B$5</f>
        <v>10.873910083282011</v>
      </c>
      <c r="C33" s="561">
        <f>TAX!$B$6</f>
        <v>9.6704814112158743</v>
      </c>
      <c r="D33" s="561">
        <f>TAX!$B$7</f>
        <v>40</v>
      </c>
      <c r="E33" s="561">
        <f>TAX!$B$8</f>
        <v>30</v>
      </c>
      <c r="F33" s="561">
        <f>TAX!$B$9</f>
        <v>20</v>
      </c>
      <c r="G33" s="561">
        <f>TAX!$B$10</f>
        <v>10</v>
      </c>
      <c r="H33" s="561">
        <f>TAX!$B$12</f>
        <v>6.9529177686967403</v>
      </c>
      <c r="I33" s="561">
        <f>TAX!$B$13</f>
        <v>6.7155969699253779</v>
      </c>
      <c r="J33" s="561">
        <f>TAX!$B$17</f>
        <v>6.8564856955967928</v>
      </c>
      <c r="K33" s="561">
        <f>TAX!$B$18</f>
        <v>5.6090714932482975</v>
      </c>
      <c r="L33" s="561">
        <f>TAX!$B$19</f>
        <v>3.1488447684000027</v>
      </c>
      <c r="M33" s="561">
        <f>TAX!$B$20</f>
        <v>4.7</v>
      </c>
      <c r="N33" s="561">
        <f>TAX!$B$21</f>
        <v>3</v>
      </c>
      <c r="O33" s="561">
        <f>TAX!$B$22</f>
        <v>2.3569174140963063</v>
      </c>
      <c r="P33" s="561">
        <f>TAX!$B$15</f>
        <v>10</v>
      </c>
      <c r="Q33" s="561">
        <f>TAX!$B$16</f>
        <v>9.1000000000000014</v>
      </c>
      <c r="R33" s="561">
        <f>TAX!$B$24</f>
        <v>13.8</v>
      </c>
    </row>
    <row r="34" spans="1:18">
      <c r="A34" s="127" t="s">
        <v>40</v>
      </c>
      <c r="B34" s="561">
        <f>TAX!$B$5</f>
        <v>10.873910083282011</v>
      </c>
      <c r="C34" s="561">
        <f>TAX!$B$6</f>
        <v>9.6704814112158743</v>
      </c>
      <c r="D34" s="561">
        <f>TAX!$B$7</f>
        <v>40</v>
      </c>
      <c r="E34" s="561">
        <f>TAX!$B$8</f>
        <v>30</v>
      </c>
      <c r="F34" s="561">
        <f>TAX!$B$9</f>
        <v>20</v>
      </c>
      <c r="G34" s="561">
        <f>TAX!$B$10</f>
        <v>10</v>
      </c>
      <c r="H34" s="561">
        <f>TAX!$B$12</f>
        <v>6.9529177686967403</v>
      </c>
      <c r="I34" s="561">
        <f>TAX!$B$13</f>
        <v>6.7155969699253779</v>
      </c>
      <c r="J34" s="561">
        <f>TAX!$B$17</f>
        <v>6.8564856955967928</v>
      </c>
      <c r="K34" s="561">
        <f>TAX!$B$18</f>
        <v>5.6090714932482975</v>
      </c>
      <c r="L34" s="561">
        <f>TAX!$B$19</f>
        <v>3.1488447684000027</v>
      </c>
      <c r="M34" s="561">
        <f>TAX!$B$20</f>
        <v>4.7</v>
      </c>
      <c r="N34" s="561">
        <f>TAX!$B$21</f>
        <v>3</v>
      </c>
      <c r="O34" s="561">
        <f>TAX!$B$22</f>
        <v>2.3569174140963063</v>
      </c>
      <c r="P34" s="561">
        <f>TAX!$B$15</f>
        <v>10</v>
      </c>
      <c r="Q34" s="561">
        <f>TAX!$B$16</f>
        <v>9.1000000000000014</v>
      </c>
      <c r="R34" s="561">
        <f>TAX!$B$24</f>
        <v>13.8</v>
      </c>
    </row>
    <row r="35" spans="1:18">
      <c r="A35" s="127" t="s">
        <v>41</v>
      </c>
      <c r="B35" s="561">
        <f>TAX!$B$5</f>
        <v>10.873910083282011</v>
      </c>
      <c r="C35" s="561">
        <f>TAX!$B$6</f>
        <v>9.6704814112158743</v>
      </c>
      <c r="D35" s="561">
        <f>TAX!$B$7</f>
        <v>40</v>
      </c>
      <c r="E35" s="561">
        <f>TAX!$B$8</f>
        <v>30</v>
      </c>
      <c r="F35" s="561">
        <f>TAX!$B$9</f>
        <v>20</v>
      </c>
      <c r="G35" s="561">
        <f>TAX!$B$10</f>
        <v>10</v>
      </c>
      <c r="H35" s="561">
        <f>TAX!$B$12</f>
        <v>6.9529177686967403</v>
      </c>
      <c r="I35" s="561">
        <f>TAX!$B$13</f>
        <v>6.7155969699253779</v>
      </c>
      <c r="J35" s="561">
        <f>TAX!$B$17</f>
        <v>6.8564856955967928</v>
      </c>
      <c r="K35" s="561">
        <f>TAX!$B$18</f>
        <v>5.6090714932482975</v>
      </c>
      <c r="L35" s="561">
        <f>TAX!$B$19</f>
        <v>3.1488447684000027</v>
      </c>
      <c r="M35" s="561">
        <f>TAX!$B$20</f>
        <v>4.7</v>
      </c>
      <c r="N35" s="561">
        <f>TAX!$B$21</f>
        <v>3</v>
      </c>
      <c r="O35" s="561">
        <f>TAX!$B$22</f>
        <v>2.3569174140963063</v>
      </c>
      <c r="P35" s="561">
        <f>TAX!$B$15</f>
        <v>10</v>
      </c>
      <c r="Q35" s="561">
        <f>TAX!$B$16</f>
        <v>9.1000000000000014</v>
      </c>
      <c r="R35" s="561">
        <f>TAX!$B$24</f>
        <v>13.8</v>
      </c>
    </row>
    <row r="36" spans="1:18">
      <c r="A36" s="127" t="s">
        <v>42</v>
      </c>
      <c r="B36" s="561">
        <f>TAX!$B$5</f>
        <v>10.873910083282011</v>
      </c>
      <c r="C36" s="561">
        <f>TAX!$B$6</f>
        <v>9.6704814112158743</v>
      </c>
      <c r="D36" s="561">
        <f>TAX!$B$7</f>
        <v>40</v>
      </c>
      <c r="E36" s="561">
        <f>TAX!$B$8</f>
        <v>30</v>
      </c>
      <c r="F36" s="561">
        <f>TAX!$B$9</f>
        <v>20</v>
      </c>
      <c r="G36" s="561">
        <f>TAX!$B$10</f>
        <v>10</v>
      </c>
      <c r="H36" s="561">
        <f>TAX!$B$12</f>
        <v>6.9529177686967403</v>
      </c>
      <c r="I36" s="561">
        <f>TAX!$B$13</f>
        <v>6.7155969699253779</v>
      </c>
      <c r="J36" s="561">
        <f>TAX!$B$17</f>
        <v>6.8564856955967928</v>
      </c>
      <c r="K36" s="561">
        <f>TAX!$B$18</f>
        <v>5.6090714932482975</v>
      </c>
      <c r="L36" s="561">
        <f>TAX!$B$19</f>
        <v>3.1488447684000027</v>
      </c>
      <c r="M36" s="561">
        <f>TAX!$B$20</f>
        <v>4.7</v>
      </c>
      <c r="N36" s="561">
        <f>TAX!$B$21</f>
        <v>3</v>
      </c>
      <c r="O36" s="561">
        <f>TAX!$B$22</f>
        <v>2.3569174140963063</v>
      </c>
      <c r="P36" s="561">
        <f>TAX!$B$15</f>
        <v>10</v>
      </c>
      <c r="Q36" s="561">
        <f>TAX!$B$16</f>
        <v>9.1000000000000014</v>
      </c>
      <c r="R36" s="561">
        <f>TAX!$B$24</f>
        <v>13.8</v>
      </c>
    </row>
    <row r="37" spans="1:18" ht="26.25" thickBot="1">
      <c r="A37" s="128" t="s">
        <v>43</v>
      </c>
      <c r="B37" s="561">
        <f>TAX!$B$5</f>
        <v>10.873910083282011</v>
      </c>
      <c r="C37" s="561">
        <f>TAX!$B$6</f>
        <v>9.6704814112158743</v>
      </c>
      <c r="D37" s="561">
        <f>TAX!$B$7</f>
        <v>40</v>
      </c>
      <c r="E37" s="561">
        <f>TAX!$B$8</f>
        <v>30</v>
      </c>
      <c r="F37" s="561">
        <f>TAX!$B$9</f>
        <v>20</v>
      </c>
      <c r="G37" s="561">
        <f>TAX!$B$10</f>
        <v>10</v>
      </c>
      <c r="H37" s="561">
        <f>TAX!$B$12</f>
        <v>6.9529177686967403</v>
      </c>
      <c r="I37" s="561">
        <f>TAX!$B$13</f>
        <v>6.7155969699253779</v>
      </c>
      <c r="J37" s="561">
        <f>TAX!$B$17</f>
        <v>6.8564856955967928</v>
      </c>
      <c r="K37" s="561">
        <f>TAX!$B$18</f>
        <v>5.6090714932482975</v>
      </c>
      <c r="L37" s="561">
        <f>TAX!$B$19</f>
        <v>3.1488447684000027</v>
      </c>
      <c r="M37" s="561">
        <f>TAX!$B$20</f>
        <v>4.7</v>
      </c>
      <c r="N37" s="561">
        <f>TAX!$B$21</f>
        <v>3</v>
      </c>
      <c r="O37" s="561">
        <f>TAX!$B$22</f>
        <v>2.3569174140963063</v>
      </c>
      <c r="P37" s="561">
        <f>TAX!$B$15</f>
        <v>10</v>
      </c>
      <c r="Q37" s="561">
        <f>TAX!$B$16</f>
        <v>9.1000000000000014</v>
      </c>
      <c r="R37" s="561">
        <f>TAX!$B$24</f>
        <v>13.8</v>
      </c>
    </row>
    <row r="38" spans="1:18" ht="15.75" thickBot="1"/>
    <row r="39" spans="1:18" ht="15.75" customHeight="1" thickBot="1">
      <c r="A39" s="1051" t="s">
        <v>485</v>
      </c>
      <c r="B39" s="1054">
        <v>2010</v>
      </c>
      <c r="C39" s="1055"/>
      <c r="D39" s="1055"/>
      <c r="E39" s="1055"/>
      <c r="F39" s="1055"/>
      <c r="G39" s="1055"/>
      <c r="H39" s="1055"/>
      <c r="I39" s="1055"/>
      <c r="J39" s="1055"/>
      <c r="K39" s="1055"/>
      <c r="L39" s="1055"/>
      <c r="M39" s="1055"/>
      <c r="N39" s="1055"/>
      <c r="O39" s="1055"/>
      <c r="P39" s="1055"/>
      <c r="Q39" s="1055"/>
      <c r="R39" s="1078"/>
    </row>
    <row r="40" spans="1:18">
      <c r="A40" s="1052"/>
      <c r="B40" s="1060" t="s">
        <v>97</v>
      </c>
      <c r="C40" s="1061"/>
      <c r="D40" s="1061"/>
      <c r="E40" s="1061"/>
      <c r="F40" s="1061"/>
      <c r="G40" s="1061"/>
      <c r="H40" s="1061" t="s">
        <v>98</v>
      </c>
      <c r="I40" s="1061"/>
      <c r="J40" s="1061" t="s">
        <v>99</v>
      </c>
      <c r="K40" s="1061"/>
      <c r="L40" s="1061"/>
      <c r="M40" s="1061"/>
      <c r="N40" s="1061"/>
      <c r="O40" s="1061"/>
      <c r="P40" s="1061"/>
      <c r="Q40" s="1061"/>
      <c r="R40" s="289" t="s">
        <v>100</v>
      </c>
    </row>
    <row r="41" spans="1:18">
      <c r="A41" s="1052"/>
      <c r="B41" s="1062" t="s">
        <v>101</v>
      </c>
      <c r="C41" s="1064" t="s">
        <v>102</v>
      </c>
      <c r="D41" s="1064" t="s">
        <v>103</v>
      </c>
      <c r="E41" s="1064"/>
      <c r="F41" s="1064"/>
      <c r="G41" s="1064"/>
      <c r="H41" s="1062" t="s">
        <v>101</v>
      </c>
      <c r="I41" s="1064" t="s">
        <v>102</v>
      </c>
      <c r="J41" s="1064" t="s">
        <v>104</v>
      </c>
      <c r="K41" s="1064"/>
      <c r="L41" s="1064"/>
      <c r="M41" s="1064" t="s">
        <v>105</v>
      </c>
      <c r="N41" s="1064"/>
      <c r="O41" s="1064"/>
      <c r="P41" s="1062" t="s">
        <v>101</v>
      </c>
      <c r="Q41" s="1064" t="s">
        <v>102</v>
      </c>
      <c r="R41" s="1062" t="s">
        <v>101</v>
      </c>
    </row>
    <row r="42" spans="1:18" ht="15.75" thickBot="1">
      <c r="A42" s="1053"/>
      <c r="B42" s="1063"/>
      <c r="C42" s="1065"/>
      <c r="D42" s="290" t="s">
        <v>106</v>
      </c>
      <c r="E42" s="290" t="s">
        <v>107</v>
      </c>
      <c r="F42" s="290" t="s">
        <v>108</v>
      </c>
      <c r="G42" s="290" t="s">
        <v>109</v>
      </c>
      <c r="H42" s="1063"/>
      <c r="I42" s="1065"/>
      <c r="J42" s="290" t="s">
        <v>110</v>
      </c>
      <c r="K42" s="290" t="s">
        <v>111</v>
      </c>
      <c r="L42" s="290" t="s">
        <v>112</v>
      </c>
      <c r="M42" s="290" t="s">
        <v>113</v>
      </c>
      <c r="N42" s="290" t="s">
        <v>114</v>
      </c>
      <c r="O42" s="290" t="s">
        <v>115</v>
      </c>
      <c r="P42" s="1063"/>
      <c r="Q42" s="1065"/>
      <c r="R42" s="1063"/>
    </row>
    <row r="43" spans="1:18" ht="15.75" thickBot="1">
      <c r="A43" s="164" t="s">
        <v>11</v>
      </c>
      <c r="B43" s="561">
        <f>TAX!$C$5</f>
        <v>10.882804714239988</v>
      </c>
      <c r="C43" s="561">
        <f>TAX!$C$6</f>
        <v>9.5739924198611241</v>
      </c>
      <c r="D43" s="561">
        <f>TAX!$C$7</f>
        <v>40</v>
      </c>
      <c r="E43" s="561">
        <f>TAX!$C$8</f>
        <v>30</v>
      </c>
      <c r="F43" s="561">
        <f>TAX!$C$9</f>
        <v>20</v>
      </c>
      <c r="G43" s="561">
        <f>TAX!$C$10</f>
        <v>10</v>
      </c>
      <c r="H43" s="561">
        <f>TAX!$C$12</f>
        <v>6.9832080720026219</v>
      </c>
      <c r="I43" s="561">
        <f>TAX!$C$13</f>
        <v>6.5893194706994329</v>
      </c>
      <c r="J43" s="561">
        <f>TAX!$C$17</f>
        <v>6.8564856955967928</v>
      </c>
      <c r="K43" s="561">
        <f>TAX!$C$18</f>
        <v>5.6090714932482975</v>
      </c>
      <c r="L43" s="561">
        <f>TAX!$C$19</f>
        <v>3.1488447684000027</v>
      </c>
      <c r="M43" s="561">
        <f>TAX!$C$20</f>
        <v>4.7</v>
      </c>
      <c r="N43" s="561">
        <f>TAX!$C$21</f>
        <v>3</v>
      </c>
      <c r="O43" s="561">
        <f>TAX!$C$22</f>
        <v>2.3569174140963063</v>
      </c>
      <c r="P43" s="561">
        <f>TAX!$C$15</f>
        <v>10</v>
      </c>
      <c r="Q43" s="561">
        <f>TAX!$C$16</f>
        <v>9.1000000000000014</v>
      </c>
      <c r="R43" s="561">
        <f>TAX!$C$24</f>
        <v>13.8</v>
      </c>
    </row>
    <row r="44" spans="1:18">
      <c r="A44" s="269" t="s">
        <v>46</v>
      </c>
      <c r="B44" s="561">
        <f>TAX!$C$5</f>
        <v>10.882804714239988</v>
      </c>
      <c r="C44" s="561">
        <f>TAX!$C$6</f>
        <v>9.5739924198611241</v>
      </c>
      <c r="D44" s="561">
        <f>TAX!$C$7</f>
        <v>40</v>
      </c>
      <c r="E44" s="561">
        <f>TAX!$C$8</f>
        <v>30</v>
      </c>
      <c r="F44" s="561">
        <f>TAX!$C$9</f>
        <v>20</v>
      </c>
      <c r="G44" s="561">
        <f>TAX!$C$10</f>
        <v>10</v>
      </c>
      <c r="H44" s="561">
        <f>TAX!$C$12</f>
        <v>6.9832080720026219</v>
      </c>
      <c r="I44" s="561">
        <f>TAX!$C$13</f>
        <v>6.5893194706994329</v>
      </c>
      <c r="J44" s="561">
        <f>TAX!$C$17</f>
        <v>6.8564856955967928</v>
      </c>
      <c r="K44" s="561">
        <f>TAX!$C$18</f>
        <v>5.6090714932482975</v>
      </c>
      <c r="L44" s="561">
        <f>TAX!$C$19</f>
        <v>3.1488447684000027</v>
      </c>
      <c r="M44" s="561">
        <f>TAX!$C$20</f>
        <v>4.7</v>
      </c>
      <c r="N44" s="561">
        <f>TAX!$C$21</f>
        <v>3</v>
      </c>
      <c r="O44" s="561">
        <f>TAX!$C$22</f>
        <v>2.3569174140963063</v>
      </c>
      <c r="P44" s="561">
        <f>TAX!$C$15</f>
        <v>10</v>
      </c>
      <c r="Q44" s="561">
        <f>TAX!$C$16</f>
        <v>9.1000000000000014</v>
      </c>
      <c r="R44" s="561">
        <f>TAX!$C$24</f>
        <v>13.8</v>
      </c>
    </row>
    <row r="45" spans="1:18">
      <c r="A45" s="127" t="s">
        <v>13</v>
      </c>
      <c r="B45" s="561">
        <f>TAX!$C$5</f>
        <v>10.882804714239988</v>
      </c>
      <c r="C45" s="561">
        <f>TAX!$C$6</f>
        <v>9.5739924198611241</v>
      </c>
      <c r="D45" s="561">
        <f>TAX!$C$7</f>
        <v>40</v>
      </c>
      <c r="E45" s="561">
        <f>TAX!$C$8</f>
        <v>30</v>
      </c>
      <c r="F45" s="561">
        <f>TAX!$C$9</f>
        <v>20</v>
      </c>
      <c r="G45" s="561">
        <f>TAX!$C$10</f>
        <v>10</v>
      </c>
      <c r="H45" s="561">
        <f>TAX!$C$12</f>
        <v>6.9832080720026219</v>
      </c>
      <c r="I45" s="561">
        <f>TAX!$C$13</f>
        <v>6.5893194706994329</v>
      </c>
      <c r="J45" s="561">
        <f>TAX!$C$17</f>
        <v>6.8564856955967928</v>
      </c>
      <c r="K45" s="561">
        <f>TAX!$C$18</f>
        <v>5.6090714932482975</v>
      </c>
      <c r="L45" s="561">
        <f>TAX!$C$19</f>
        <v>3.1488447684000027</v>
      </c>
      <c r="M45" s="561">
        <f>TAX!$C$20</f>
        <v>4.7</v>
      </c>
      <c r="N45" s="561">
        <f>TAX!$C$21</f>
        <v>3</v>
      </c>
      <c r="O45" s="561">
        <f>TAX!$C$22</f>
        <v>2.3569174140963063</v>
      </c>
      <c r="P45" s="561">
        <f>TAX!$C$15</f>
        <v>10</v>
      </c>
      <c r="Q45" s="561">
        <f>TAX!$C$16</f>
        <v>9.1000000000000014</v>
      </c>
      <c r="R45" s="561">
        <f>TAX!$C$24</f>
        <v>13.8</v>
      </c>
    </row>
    <row r="46" spans="1:18">
      <c r="A46" s="127" t="s">
        <v>14</v>
      </c>
      <c r="B46" s="561">
        <f>TAX!$C$5</f>
        <v>10.882804714239988</v>
      </c>
      <c r="C46" s="561">
        <f>TAX!$C$6</f>
        <v>9.5739924198611241</v>
      </c>
      <c r="D46" s="561">
        <f>TAX!$C$7</f>
        <v>40</v>
      </c>
      <c r="E46" s="561">
        <f>TAX!$C$8</f>
        <v>30</v>
      </c>
      <c r="F46" s="561">
        <f>TAX!$C$9</f>
        <v>20</v>
      </c>
      <c r="G46" s="561">
        <f>TAX!$C$10</f>
        <v>10</v>
      </c>
      <c r="H46" s="561">
        <f>TAX!$C$12</f>
        <v>6.9832080720026219</v>
      </c>
      <c r="I46" s="561">
        <f>TAX!$C$13</f>
        <v>6.5893194706994329</v>
      </c>
      <c r="J46" s="561">
        <f>TAX!$C$17</f>
        <v>6.8564856955967928</v>
      </c>
      <c r="K46" s="561">
        <f>TAX!$C$18</f>
        <v>5.6090714932482975</v>
      </c>
      <c r="L46" s="561">
        <f>TAX!$C$19</f>
        <v>3.1488447684000027</v>
      </c>
      <c r="M46" s="561">
        <f>TAX!$C$20</f>
        <v>4.7</v>
      </c>
      <c r="N46" s="561">
        <f>TAX!$C$21</f>
        <v>3</v>
      </c>
      <c r="O46" s="561">
        <f>TAX!$C$22</f>
        <v>2.3569174140963063</v>
      </c>
      <c r="P46" s="561">
        <f>TAX!$C$15</f>
        <v>10</v>
      </c>
      <c r="Q46" s="561">
        <f>TAX!$C$16</f>
        <v>9.1000000000000014</v>
      </c>
      <c r="R46" s="561">
        <f>TAX!$C$24</f>
        <v>13.8</v>
      </c>
    </row>
    <row r="47" spans="1:18">
      <c r="A47" s="127" t="s">
        <v>15</v>
      </c>
      <c r="B47" s="561">
        <f>TAX!$C$5</f>
        <v>10.882804714239988</v>
      </c>
      <c r="C47" s="561">
        <f>TAX!$C$6</f>
        <v>9.5739924198611241</v>
      </c>
      <c r="D47" s="561">
        <f>TAX!$C$7</f>
        <v>40</v>
      </c>
      <c r="E47" s="561">
        <f>TAX!$C$8</f>
        <v>30</v>
      </c>
      <c r="F47" s="561">
        <f>TAX!$C$9</f>
        <v>20</v>
      </c>
      <c r="G47" s="561">
        <f>TAX!$C$10</f>
        <v>10</v>
      </c>
      <c r="H47" s="561">
        <f>TAX!$C$12</f>
        <v>6.9832080720026219</v>
      </c>
      <c r="I47" s="561">
        <f>TAX!$C$13</f>
        <v>6.5893194706994329</v>
      </c>
      <c r="J47" s="561">
        <f>TAX!$C$17</f>
        <v>6.8564856955967928</v>
      </c>
      <c r="K47" s="561">
        <f>TAX!$C$18</f>
        <v>5.6090714932482975</v>
      </c>
      <c r="L47" s="561">
        <f>TAX!$C$19</f>
        <v>3.1488447684000027</v>
      </c>
      <c r="M47" s="561">
        <f>TAX!$C$20</f>
        <v>4.7</v>
      </c>
      <c r="N47" s="561">
        <f>TAX!$C$21</f>
        <v>3</v>
      </c>
      <c r="O47" s="561">
        <f>TAX!$C$22</f>
        <v>2.3569174140963063</v>
      </c>
      <c r="P47" s="561">
        <f>TAX!$C$15</f>
        <v>10</v>
      </c>
      <c r="Q47" s="561">
        <f>TAX!$C$16</f>
        <v>9.1000000000000014</v>
      </c>
      <c r="R47" s="561">
        <f>TAX!$C$24</f>
        <v>13.8</v>
      </c>
    </row>
    <row r="48" spans="1:18">
      <c r="A48" s="127" t="s">
        <v>16</v>
      </c>
      <c r="B48" s="561">
        <f>TAX!$C$5</f>
        <v>10.882804714239988</v>
      </c>
      <c r="C48" s="561">
        <f>TAX!$C$6</f>
        <v>9.5739924198611241</v>
      </c>
      <c r="D48" s="561">
        <f>TAX!$C$7</f>
        <v>40</v>
      </c>
      <c r="E48" s="561">
        <f>TAX!$C$8</f>
        <v>30</v>
      </c>
      <c r="F48" s="561">
        <f>TAX!$C$9</f>
        <v>20</v>
      </c>
      <c r="G48" s="561">
        <f>TAX!$C$10</f>
        <v>10</v>
      </c>
      <c r="H48" s="561">
        <f>TAX!$C$12</f>
        <v>6.9832080720026219</v>
      </c>
      <c r="I48" s="561">
        <f>TAX!$C$13</f>
        <v>6.5893194706994329</v>
      </c>
      <c r="J48" s="561">
        <f>TAX!$C$17</f>
        <v>6.8564856955967928</v>
      </c>
      <c r="K48" s="561">
        <f>TAX!$C$18</f>
        <v>5.6090714932482975</v>
      </c>
      <c r="L48" s="561">
        <f>TAX!$C$19</f>
        <v>3.1488447684000027</v>
      </c>
      <c r="M48" s="561">
        <f>TAX!$C$20</f>
        <v>4.7</v>
      </c>
      <c r="N48" s="561">
        <f>TAX!$C$21</f>
        <v>3</v>
      </c>
      <c r="O48" s="561">
        <f>TAX!$C$22</f>
        <v>2.3569174140963063</v>
      </c>
      <c r="P48" s="561">
        <f>TAX!$C$15</f>
        <v>10</v>
      </c>
      <c r="Q48" s="561">
        <f>TAX!$C$16</f>
        <v>9.1000000000000014</v>
      </c>
      <c r="R48" s="561">
        <f>TAX!$C$24</f>
        <v>13.8</v>
      </c>
    </row>
    <row r="49" spans="1:18">
      <c r="A49" s="127" t="s">
        <v>17</v>
      </c>
      <c r="B49" s="561">
        <f>TAX!$C$5</f>
        <v>10.882804714239988</v>
      </c>
      <c r="C49" s="561">
        <f>TAX!$C$6</f>
        <v>9.5739924198611241</v>
      </c>
      <c r="D49" s="561">
        <f>TAX!$C$7</f>
        <v>40</v>
      </c>
      <c r="E49" s="561">
        <f>TAX!$C$8</f>
        <v>30</v>
      </c>
      <c r="F49" s="561">
        <f>TAX!$C$9</f>
        <v>20</v>
      </c>
      <c r="G49" s="561">
        <f>TAX!$C$10</f>
        <v>10</v>
      </c>
      <c r="H49" s="561">
        <f>TAX!$C$12</f>
        <v>6.9832080720026219</v>
      </c>
      <c r="I49" s="561">
        <f>TAX!$C$13</f>
        <v>6.5893194706994329</v>
      </c>
      <c r="J49" s="561">
        <f>TAX!$C$17</f>
        <v>6.8564856955967928</v>
      </c>
      <c r="K49" s="561">
        <f>TAX!$C$18</f>
        <v>5.6090714932482975</v>
      </c>
      <c r="L49" s="561">
        <f>TAX!$C$19</f>
        <v>3.1488447684000027</v>
      </c>
      <c r="M49" s="561">
        <f>TAX!$C$20</f>
        <v>4.7</v>
      </c>
      <c r="N49" s="561">
        <f>TAX!$C$21</f>
        <v>3</v>
      </c>
      <c r="O49" s="561">
        <f>TAX!$C$22</f>
        <v>2.3569174140963063</v>
      </c>
      <c r="P49" s="561">
        <f>TAX!$C$15</f>
        <v>10</v>
      </c>
      <c r="Q49" s="561">
        <f>TAX!$C$16</f>
        <v>9.1000000000000014</v>
      </c>
      <c r="R49" s="561">
        <f>TAX!$C$24</f>
        <v>13.8</v>
      </c>
    </row>
    <row r="50" spans="1:18">
      <c r="A50" s="127" t="s">
        <v>18</v>
      </c>
      <c r="B50" s="561">
        <f>TAX!$C$5</f>
        <v>10.882804714239988</v>
      </c>
      <c r="C50" s="561">
        <f>TAX!$C$6</f>
        <v>9.5739924198611241</v>
      </c>
      <c r="D50" s="561">
        <f>TAX!$C$7</f>
        <v>40</v>
      </c>
      <c r="E50" s="561">
        <f>TAX!$C$8</f>
        <v>30</v>
      </c>
      <c r="F50" s="561">
        <f>TAX!$C$9</f>
        <v>20</v>
      </c>
      <c r="G50" s="561">
        <f>TAX!$C$10</f>
        <v>10</v>
      </c>
      <c r="H50" s="561">
        <f>TAX!$C$12</f>
        <v>6.9832080720026219</v>
      </c>
      <c r="I50" s="561">
        <f>TAX!$C$13</f>
        <v>6.5893194706994329</v>
      </c>
      <c r="J50" s="561">
        <f>TAX!$C$17</f>
        <v>6.8564856955967928</v>
      </c>
      <c r="K50" s="561">
        <f>TAX!$C$18</f>
        <v>5.6090714932482975</v>
      </c>
      <c r="L50" s="561">
        <f>TAX!$C$19</f>
        <v>3.1488447684000027</v>
      </c>
      <c r="M50" s="561">
        <f>TAX!$C$20</f>
        <v>4.7</v>
      </c>
      <c r="N50" s="561">
        <f>TAX!$C$21</f>
        <v>3</v>
      </c>
      <c r="O50" s="561">
        <f>TAX!$C$22</f>
        <v>2.3569174140963063</v>
      </c>
      <c r="P50" s="561">
        <f>TAX!$C$15</f>
        <v>10</v>
      </c>
      <c r="Q50" s="561">
        <f>TAX!$C$16</f>
        <v>9.1000000000000014</v>
      </c>
      <c r="R50" s="561">
        <f>TAX!$C$24</f>
        <v>13.8</v>
      </c>
    </row>
    <row r="51" spans="1:18" ht="15.75" thickBot="1">
      <c r="A51" s="128" t="s">
        <v>19</v>
      </c>
      <c r="B51" s="561">
        <f>TAX!$C$5</f>
        <v>10.882804714239988</v>
      </c>
      <c r="C51" s="561">
        <f>TAX!$C$6</f>
        <v>9.5739924198611241</v>
      </c>
      <c r="D51" s="561">
        <f>TAX!$C$7</f>
        <v>40</v>
      </c>
      <c r="E51" s="561">
        <f>TAX!$C$8</f>
        <v>30</v>
      </c>
      <c r="F51" s="561">
        <f>TAX!$C$9</f>
        <v>20</v>
      </c>
      <c r="G51" s="561">
        <f>TAX!$C$10</f>
        <v>10</v>
      </c>
      <c r="H51" s="561">
        <f>TAX!$C$12</f>
        <v>6.9832080720026219</v>
      </c>
      <c r="I51" s="561">
        <f>TAX!$C$13</f>
        <v>6.5893194706994329</v>
      </c>
      <c r="J51" s="561">
        <f>TAX!$C$17</f>
        <v>6.8564856955967928</v>
      </c>
      <c r="K51" s="561">
        <f>TAX!$C$18</f>
        <v>5.6090714932482975</v>
      </c>
      <c r="L51" s="561">
        <f>TAX!$C$19</f>
        <v>3.1488447684000027</v>
      </c>
      <c r="M51" s="561">
        <f>TAX!$C$20</f>
        <v>4.7</v>
      </c>
      <c r="N51" s="561">
        <f>TAX!$C$21</f>
        <v>3</v>
      </c>
      <c r="O51" s="561">
        <f>TAX!$C$22</f>
        <v>2.3569174140963063</v>
      </c>
      <c r="P51" s="561">
        <f>TAX!$C$15</f>
        <v>10</v>
      </c>
      <c r="Q51" s="561">
        <f>TAX!$C$16</f>
        <v>9.1000000000000014</v>
      </c>
      <c r="R51" s="561">
        <f>TAX!$C$24</f>
        <v>13.8</v>
      </c>
    </row>
    <row r="52" spans="1:18">
      <c r="A52" s="269" t="s">
        <v>54</v>
      </c>
      <c r="B52" s="561">
        <f>TAX!$C$5</f>
        <v>10.882804714239988</v>
      </c>
      <c r="C52" s="561">
        <f>TAX!$C$6</f>
        <v>9.5739924198611241</v>
      </c>
      <c r="D52" s="561">
        <f>TAX!$C$7</f>
        <v>40</v>
      </c>
      <c r="E52" s="561">
        <f>TAX!$C$8</f>
        <v>30</v>
      </c>
      <c r="F52" s="561">
        <f>TAX!$C$9</f>
        <v>20</v>
      </c>
      <c r="G52" s="561">
        <f>TAX!$C$10</f>
        <v>10</v>
      </c>
      <c r="H52" s="561">
        <f>TAX!$C$12</f>
        <v>6.9832080720026219</v>
      </c>
      <c r="I52" s="561">
        <f>TAX!$C$13</f>
        <v>6.5893194706994329</v>
      </c>
      <c r="J52" s="561">
        <f>TAX!$C$17</f>
        <v>6.8564856955967928</v>
      </c>
      <c r="K52" s="561">
        <f>TAX!$C$18</f>
        <v>5.6090714932482975</v>
      </c>
      <c r="L52" s="561">
        <f>TAX!$C$19</f>
        <v>3.1488447684000027</v>
      </c>
      <c r="M52" s="561">
        <f>TAX!$C$20</f>
        <v>4.7</v>
      </c>
      <c r="N52" s="561">
        <f>TAX!$C$21</f>
        <v>3</v>
      </c>
      <c r="O52" s="561">
        <f>TAX!$C$22</f>
        <v>2.3569174140963063</v>
      </c>
      <c r="P52" s="561">
        <f>TAX!$C$15</f>
        <v>10</v>
      </c>
      <c r="Q52" s="561">
        <f>TAX!$C$16</f>
        <v>9.1000000000000014</v>
      </c>
      <c r="R52" s="561">
        <f>TAX!$C$24</f>
        <v>13.8</v>
      </c>
    </row>
    <row r="53" spans="1:18">
      <c r="A53" s="127" t="s">
        <v>21</v>
      </c>
      <c r="B53" s="561">
        <f>TAX!$C$5</f>
        <v>10.882804714239988</v>
      </c>
      <c r="C53" s="561">
        <f>TAX!$C$6</f>
        <v>9.5739924198611241</v>
      </c>
      <c r="D53" s="561">
        <f>TAX!$C$7</f>
        <v>40</v>
      </c>
      <c r="E53" s="561">
        <f>TAX!$C$8</f>
        <v>30</v>
      </c>
      <c r="F53" s="561">
        <f>TAX!$C$9</f>
        <v>20</v>
      </c>
      <c r="G53" s="561">
        <f>TAX!$C$10</f>
        <v>10</v>
      </c>
      <c r="H53" s="561">
        <f>TAX!$C$12</f>
        <v>6.9832080720026219</v>
      </c>
      <c r="I53" s="561">
        <f>TAX!$C$13</f>
        <v>6.5893194706994329</v>
      </c>
      <c r="J53" s="561">
        <f>TAX!$C$17</f>
        <v>6.8564856955967928</v>
      </c>
      <c r="K53" s="561">
        <f>TAX!$C$18</f>
        <v>5.6090714932482975</v>
      </c>
      <c r="L53" s="561">
        <f>TAX!$C$19</f>
        <v>3.1488447684000027</v>
      </c>
      <c r="M53" s="561">
        <f>TAX!$C$20</f>
        <v>4.7</v>
      </c>
      <c r="N53" s="561">
        <f>TAX!$C$21</f>
        <v>3</v>
      </c>
      <c r="O53" s="561">
        <f>TAX!$C$22</f>
        <v>2.3569174140963063</v>
      </c>
      <c r="P53" s="561">
        <f>TAX!$C$15</f>
        <v>10</v>
      </c>
      <c r="Q53" s="561">
        <f>TAX!$C$16</f>
        <v>9.1000000000000014</v>
      </c>
      <c r="R53" s="561">
        <f>TAX!$C$24</f>
        <v>13.8</v>
      </c>
    </row>
    <row r="54" spans="1:18">
      <c r="A54" s="127" t="s">
        <v>22</v>
      </c>
      <c r="B54" s="561">
        <f>TAX!$C$5</f>
        <v>10.882804714239988</v>
      </c>
      <c r="C54" s="561">
        <f>TAX!$C$6</f>
        <v>9.5739924198611241</v>
      </c>
      <c r="D54" s="561">
        <f>TAX!$C$7</f>
        <v>40</v>
      </c>
      <c r="E54" s="561">
        <f>TAX!$C$8</f>
        <v>30</v>
      </c>
      <c r="F54" s="561">
        <f>TAX!$C$9</f>
        <v>20</v>
      </c>
      <c r="G54" s="561">
        <f>TAX!$C$10</f>
        <v>10</v>
      </c>
      <c r="H54" s="561">
        <f>TAX!$C$12</f>
        <v>6.9832080720026219</v>
      </c>
      <c r="I54" s="561">
        <f>TAX!$C$13</f>
        <v>6.5893194706994329</v>
      </c>
      <c r="J54" s="561">
        <f>TAX!$C$17</f>
        <v>6.8564856955967928</v>
      </c>
      <c r="K54" s="561">
        <f>TAX!$C$18</f>
        <v>5.6090714932482975</v>
      </c>
      <c r="L54" s="561">
        <f>TAX!$C$19</f>
        <v>3.1488447684000027</v>
      </c>
      <c r="M54" s="561">
        <f>TAX!$C$20</f>
        <v>4.7</v>
      </c>
      <c r="N54" s="561">
        <f>TAX!$C$21</f>
        <v>3</v>
      </c>
      <c r="O54" s="561">
        <f>TAX!$C$22</f>
        <v>2.3569174140963063</v>
      </c>
      <c r="P54" s="561">
        <f>TAX!$C$15</f>
        <v>10</v>
      </c>
      <c r="Q54" s="561">
        <f>TAX!$C$16</f>
        <v>9.1000000000000014</v>
      </c>
      <c r="R54" s="561">
        <f>TAX!$C$24</f>
        <v>13.8</v>
      </c>
    </row>
    <row r="55" spans="1:18">
      <c r="A55" s="127" t="s">
        <v>23</v>
      </c>
      <c r="B55" s="561">
        <f>TAX!$C$5</f>
        <v>10.882804714239988</v>
      </c>
      <c r="C55" s="561">
        <f>TAX!$C$6</f>
        <v>9.5739924198611241</v>
      </c>
      <c r="D55" s="561">
        <f>TAX!$C$7</f>
        <v>40</v>
      </c>
      <c r="E55" s="561">
        <f>TAX!$C$8</f>
        <v>30</v>
      </c>
      <c r="F55" s="561">
        <f>TAX!$C$9</f>
        <v>20</v>
      </c>
      <c r="G55" s="561">
        <f>TAX!$C$10</f>
        <v>10</v>
      </c>
      <c r="H55" s="561">
        <f>TAX!$C$12</f>
        <v>6.9832080720026219</v>
      </c>
      <c r="I55" s="561">
        <f>TAX!$C$13</f>
        <v>6.5893194706994329</v>
      </c>
      <c r="J55" s="561">
        <f>TAX!$C$17</f>
        <v>6.8564856955967928</v>
      </c>
      <c r="K55" s="561">
        <f>TAX!$C$18</f>
        <v>5.6090714932482975</v>
      </c>
      <c r="L55" s="561">
        <f>TAX!$C$19</f>
        <v>3.1488447684000027</v>
      </c>
      <c r="M55" s="561">
        <f>TAX!$C$20</f>
        <v>4.7</v>
      </c>
      <c r="N55" s="561">
        <f>TAX!$C$21</f>
        <v>3</v>
      </c>
      <c r="O55" s="561">
        <f>TAX!$C$22</f>
        <v>2.3569174140963063</v>
      </c>
      <c r="P55" s="561">
        <f>TAX!$C$15</f>
        <v>10</v>
      </c>
      <c r="Q55" s="561">
        <f>TAX!$C$16</f>
        <v>9.1000000000000014</v>
      </c>
      <c r="R55" s="561">
        <f>TAX!$C$24</f>
        <v>13.8</v>
      </c>
    </row>
    <row r="56" spans="1:18">
      <c r="A56" s="127" t="s">
        <v>24</v>
      </c>
      <c r="B56" s="561">
        <f>TAX!$C$5</f>
        <v>10.882804714239988</v>
      </c>
      <c r="C56" s="561">
        <f>TAX!$C$6</f>
        <v>9.5739924198611241</v>
      </c>
      <c r="D56" s="561">
        <f>TAX!$C$7</f>
        <v>40</v>
      </c>
      <c r="E56" s="561">
        <f>TAX!$C$8</f>
        <v>30</v>
      </c>
      <c r="F56" s="561">
        <f>TAX!$C$9</f>
        <v>20</v>
      </c>
      <c r="G56" s="561">
        <f>TAX!$C$10</f>
        <v>10</v>
      </c>
      <c r="H56" s="561">
        <f>TAX!$C$12</f>
        <v>6.9832080720026219</v>
      </c>
      <c r="I56" s="561">
        <f>TAX!$C$13</f>
        <v>6.5893194706994329</v>
      </c>
      <c r="J56" s="561">
        <f>TAX!$C$17</f>
        <v>6.8564856955967928</v>
      </c>
      <c r="K56" s="561">
        <f>TAX!$C$18</f>
        <v>5.6090714932482975</v>
      </c>
      <c r="L56" s="561">
        <f>TAX!$C$19</f>
        <v>3.1488447684000027</v>
      </c>
      <c r="M56" s="561">
        <f>TAX!$C$20</f>
        <v>4.7</v>
      </c>
      <c r="N56" s="561">
        <f>TAX!$C$21</f>
        <v>3</v>
      </c>
      <c r="O56" s="561">
        <f>TAX!$C$22</f>
        <v>2.3569174140963063</v>
      </c>
      <c r="P56" s="561">
        <f>TAX!$C$15</f>
        <v>10</v>
      </c>
      <c r="Q56" s="561">
        <f>TAX!$C$16</f>
        <v>9.1000000000000014</v>
      </c>
      <c r="R56" s="561">
        <f>TAX!$C$24</f>
        <v>13.8</v>
      </c>
    </row>
    <row r="57" spans="1:18">
      <c r="A57" s="127" t="s">
        <v>25</v>
      </c>
      <c r="B57" s="561">
        <f>TAX!$C$5</f>
        <v>10.882804714239988</v>
      </c>
      <c r="C57" s="561">
        <f>TAX!$C$6</f>
        <v>9.5739924198611241</v>
      </c>
      <c r="D57" s="561">
        <f>TAX!$C$7</f>
        <v>40</v>
      </c>
      <c r="E57" s="561">
        <f>TAX!$C$8</f>
        <v>30</v>
      </c>
      <c r="F57" s="561">
        <f>TAX!$C$9</f>
        <v>20</v>
      </c>
      <c r="G57" s="561">
        <f>TAX!$C$10</f>
        <v>10</v>
      </c>
      <c r="H57" s="561">
        <f>TAX!$C$12</f>
        <v>6.9832080720026219</v>
      </c>
      <c r="I57" s="561">
        <f>TAX!$C$13</f>
        <v>6.5893194706994329</v>
      </c>
      <c r="J57" s="561">
        <f>TAX!$C$17</f>
        <v>6.8564856955967928</v>
      </c>
      <c r="K57" s="561">
        <f>TAX!$C$18</f>
        <v>5.6090714932482975</v>
      </c>
      <c r="L57" s="561">
        <f>TAX!$C$19</f>
        <v>3.1488447684000027</v>
      </c>
      <c r="M57" s="561">
        <f>TAX!$C$20</f>
        <v>4.7</v>
      </c>
      <c r="N57" s="561">
        <f>TAX!$C$21</f>
        <v>3</v>
      </c>
      <c r="O57" s="561">
        <f>TAX!$C$22</f>
        <v>2.3569174140963063</v>
      </c>
      <c r="P57" s="561">
        <f>TAX!$C$15</f>
        <v>10</v>
      </c>
      <c r="Q57" s="561">
        <f>TAX!$C$16</f>
        <v>9.1000000000000014</v>
      </c>
      <c r="R57" s="561">
        <f>TAX!$C$24</f>
        <v>13.8</v>
      </c>
    </row>
    <row r="58" spans="1:18">
      <c r="A58" s="127" t="s">
        <v>26</v>
      </c>
      <c r="B58" s="561">
        <f>TAX!$C$5</f>
        <v>10.882804714239988</v>
      </c>
      <c r="C58" s="561">
        <f>TAX!$C$6</f>
        <v>9.5739924198611241</v>
      </c>
      <c r="D58" s="561">
        <f>TAX!$C$7</f>
        <v>40</v>
      </c>
      <c r="E58" s="561">
        <f>TAX!$C$8</f>
        <v>30</v>
      </c>
      <c r="F58" s="561">
        <f>TAX!$C$9</f>
        <v>20</v>
      </c>
      <c r="G58" s="561">
        <f>TAX!$C$10</f>
        <v>10</v>
      </c>
      <c r="H58" s="561">
        <f>TAX!$C$12</f>
        <v>6.9832080720026219</v>
      </c>
      <c r="I58" s="561">
        <f>TAX!$C$13</f>
        <v>6.5893194706994329</v>
      </c>
      <c r="J58" s="561">
        <f>TAX!$C$17</f>
        <v>6.8564856955967928</v>
      </c>
      <c r="K58" s="561">
        <f>TAX!$C$18</f>
        <v>5.6090714932482975</v>
      </c>
      <c r="L58" s="561">
        <f>TAX!$C$19</f>
        <v>3.1488447684000027</v>
      </c>
      <c r="M58" s="561">
        <f>TAX!$C$20</f>
        <v>4.7</v>
      </c>
      <c r="N58" s="561">
        <f>TAX!$C$21</f>
        <v>3</v>
      </c>
      <c r="O58" s="561">
        <f>TAX!$C$22</f>
        <v>2.3569174140963063</v>
      </c>
      <c r="P58" s="561">
        <f>TAX!$C$15</f>
        <v>10</v>
      </c>
      <c r="Q58" s="561">
        <f>TAX!$C$16</f>
        <v>9.1000000000000014</v>
      </c>
      <c r="R58" s="561">
        <f>TAX!$C$24</f>
        <v>13.8</v>
      </c>
    </row>
    <row r="59" spans="1:18">
      <c r="A59" s="127" t="s">
        <v>27</v>
      </c>
      <c r="B59" s="561">
        <f>TAX!$C$5</f>
        <v>10.882804714239988</v>
      </c>
      <c r="C59" s="561">
        <f>TAX!$C$6</f>
        <v>9.5739924198611241</v>
      </c>
      <c r="D59" s="561">
        <f>TAX!$C$7</f>
        <v>40</v>
      </c>
      <c r="E59" s="561">
        <f>TAX!$C$8</f>
        <v>30</v>
      </c>
      <c r="F59" s="561">
        <f>TAX!$C$9</f>
        <v>20</v>
      </c>
      <c r="G59" s="561">
        <f>TAX!$C$10</f>
        <v>10</v>
      </c>
      <c r="H59" s="561">
        <f>TAX!$C$12</f>
        <v>6.9832080720026219</v>
      </c>
      <c r="I59" s="561">
        <f>TAX!$C$13</f>
        <v>6.5893194706994329</v>
      </c>
      <c r="J59" s="561">
        <f>TAX!$C$17</f>
        <v>6.8564856955967928</v>
      </c>
      <c r="K59" s="561">
        <f>TAX!$C$18</f>
        <v>5.6090714932482975</v>
      </c>
      <c r="L59" s="561">
        <f>TAX!$C$19</f>
        <v>3.1488447684000027</v>
      </c>
      <c r="M59" s="561">
        <f>TAX!$C$20</f>
        <v>4.7</v>
      </c>
      <c r="N59" s="561">
        <f>TAX!$C$21</f>
        <v>3</v>
      </c>
      <c r="O59" s="561">
        <f>TAX!$C$22</f>
        <v>2.3569174140963063</v>
      </c>
      <c r="P59" s="561">
        <f>TAX!$C$15</f>
        <v>10</v>
      </c>
      <c r="Q59" s="561">
        <f>TAX!$C$16</f>
        <v>9.1000000000000014</v>
      </c>
      <c r="R59" s="561">
        <f>TAX!$C$24</f>
        <v>13.8</v>
      </c>
    </row>
    <row r="60" spans="1:18" ht="25.5">
      <c r="A60" s="127" t="s">
        <v>28</v>
      </c>
      <c r="B60" s="561">
        <f>TAX!$C$5</f>
        <v>10.882804714239988</v>
      </c>
      <c r="C60" s="561">
        <f>TAX!$C$6</f>
        <v>9.5739924198611241</v>
      </c>
      <c r="D60" s="561">
        <f>TAX!$C$7</f>
        <v>40</v>
      </c>
      <c r="E60" s="561">
        <f>TAX!$C$8</f>
        <v>30</v>
      </c>
      <c r="F60" s="561">
        <f>TAX!$C$9</f>
        <v>20</v>
      </c>
      <c r="G60" s="561">
        <f>TAX!$C$10</f>
        <v>10</v>
      </c>
      <c r="H60" s="561">
        <f>TAX!$C$12</f>
        <v>6.9832080720026219</v>
      </c>
      <c r="I60" s="561">
        <f>TAX!$C$13</f>
        <v>6.5893194706994329</v>
      </c>
      <c r="J60" s="561">
        <f>TAX!$C$17</f>
        <v>6.8564856955967928</v>
      </c>
      <c r="K60" s="561">
        <f>TAX!$C$18</f>
        <v>5.6090714932482975</v>
      </c>
      <c r="L60" s="561">
        <f>TAX!$C$19</f>
        <v>3.1488447684000027</v>
      </c>
      <c r="M60" s="561">
        <f>TAX!$C$20</f>
        <v>4.7</v>
      </c>
      <c r="N60" s="561">
        <f>TAX!$C$21</f>
        <v>3</v>
      </c>
      <c r="O60" s="561">
        <f>TAX!$C$22</f>
        <v>2.3569174140963063</v>
      </c>
      <c r="P60" s="561">
        <f>TAX!$C$15</f>
        <v>10</v>
      </c>
      <c r="Q60" s="561">
        <f>TAX!$C$16</f>
        <v>9.1000000000000014</v>
      </c>
      <c r="R60" s="561">
        <f>TAX!$C$24</f>
        <v>13.8</v>
      </c>
    </row>
    <row r="61" spans="1:18" ht="15.75" thickBot="1">
      <c r="A61" s="128" t="s">
        <v>29</v>
      </c>
      <c r="B61" s="561">
        <f>TAX!$C$5</f>
        <v>10.882804714239988</v>
      </c>
      <c r="C61" s="561">
        <f>TAX!$C$6</f>
        <v>9.5739924198611241</v>
      </c>
      <c r="D61" s="561">
        <f>TAX!$C$7</f>
        <v>40</v>
      </c>
      <c r="E61" s="561">
        <f>TAX!$C$8</f>
        <v>30</v>
      </c>
      <c r="F61" s="561">
        <f>TAX!$C$9</f>
        <v>20</v>
      </c>
      <c r="G61" s="561">
        <f>TAX!$C$10</f>
        <v>10</v>
      </c>
      <c r="H61" s="561">
        <f>TAX!$C$12</f>
        <v>6.9832080720026219</v>
      </c>
      <c r="I61" s="561">
        <f>TAX!$C$13</f>
        <v>6.5893194706994329</v>
      </c>
      <c r="J61" s="561">
        <f>TAX!$C$17</f>
        <v>6.8564856955967928</v>
      </c>
      <c r="K61" s="561">
        <f>TAX!$C$18</f>
        <v>5.6090714932482975</v>
      </c>
      <c r="L61" s="561">
        <f>TAX!$C$19</f>
        <v>3.1488447684000027</v>
      </c>
      <c r="M61" s="561">
        <f>TAX!$C$20</f>
        <v>4.7</v>
      </c>
      <c r="N61" s="561">
        <f>TAX!$C$21</f>
        <v>3</v>
      </c>
      <c r="O61" s="561">
        <f>TAX!$C$22</f>
        <v>2.3569174140963063</v>
      </c>
      <c r="P61" s="561">
        <f>TAX!$C$15</f>
        <v>10</v>
      </c>
      <c r="Q61" s="561">
        <f>TAX!$C$16</f>
        <v>9.1000000000000014</v>
      </c>
      <c r="R61" s="561">
        <f>TAX!$C$24</f>
        <v>13.8</v>
      </c>
    </row>
    <row r="62" spans="1:18">
      <c r="A62" s="269" t="s">
        <v>64</v>
      </c>
      <c r="B62" s="561">
        <f>TAX!$C$5</f>
        <v>10.882804714239988</v>
      </c>
      <c r="C62" s="561">
        <f>TAX!$C$6</f>
        <v>9.5739924198611241</v>
      </c>
      <c r="D62" s="561">
        <f>TAX!$C$7</f>
        <v>40</v>
      </c>
      <c r="E62" s="561">
        <f>TAX!$C$8</f>
        <v>30</v>
      </c>
      <c r="F62" s="561">
        <f>TAX!$C$9</f>
        <v>20</v>
      </c>
      <c r="G62" s="561">
        <f>TAX!$C$10</f>
        <v>10</v>
      </c>
      <c r="H62" s="561">
        <f>TAX!$C$12</f>
        <v>6.9832080720026219</v>
      </c>
      <c r="I62" s="561">
        <f>TAX!$C$13</f>
        <v>6.5893194706994329</v>
      </c>
      <c r="J62" s="561">
        <f>TAX!$C$17</f>
        <v>6.8564856955967928</v>
      </c>
      <c r="K62" s="561">
        <f>TAX!$C$18</f>
        <v>5.6090714932482975</v>
      </c>
      <c r="L62" s="561">
        <f>TAX!$C$19</f>
        <v>3.1488447684000027</v>
      </c>
      <c r="M62" s="561">
        <f>TAX!$C$20</f>
        <v>4.7</v>
      </c>
      <c r="N62" s="561">
        <f>TAX!$C$21</f>
        <v>3</v>
      </c>
      <c r="O62" s="561">
        <f>TAX!$C$22</f>
        <v>2.3569174140963063</v>
      </c>
      <c r="P62" s="561">
        <f>TAX!$C$15</f>
        <v>10</v>
      </c>
      <c r="Q62" s="561">
        <f>TAX!$C$16</f>
        <v>9.1000000000000014</v>
      </c>
      <c r="R62" s="561">
        <f>TAX!$C$24</f>
        <v>13.8</v>
      </c>
    </row>
    <row r="63" spans="1:18">
      <c r="A63" s="127" t="s">
        <v>31</v>
      </c>
      <c r="B63" s="561">
        <f>TAX!$C$5</f>
        <v>10.882804714239988</v>
      </c>
      <c r="C63" s="561">
        <f>TAX!$C$6</f>
        <v>9.5739924198611241</v>
      </c>
      <c r="D63" s="561">
        <f>TAX!$C$7</f>
        <v>40</v>
      </c>
      <c r="E63" s="561">
        <f>TAX!$C$8</f>
        <v>30</v>
      </c>
      <c r="F63" s="561">
        <f>TAX!$C$9</f>
        <v>20</v>
      </c>
      <c r="G63" s="561">
        <f>TAX!$C$10</f>
        <v>10</v>
      </c>
      <c r="H63" s="561">
        <f>TAX!$C$12</f>
        <v>6.9832080720026219</v>
      </c>
      <c r="I63" s="561">
        <f>TAX!$C$13</f>
        <v>6.5893194706994329</v>
      </c>
      <c r="J63" s="561">
        <f>TAX!$C$17</f>
        <v>6.8564856955967928</v>
      </c>
      <c r="K63" s="561">
        <f>TAX!$C$18</f>
        <v>5.6090714932482975</v>
      </c>
      <c r="L63" s="561">
        <f>TAX!$C$19</f>
        <v>3.1488447684000027</v>
      </c>
      <c r="M63" s="561">
        <f>TAX!$C$20</f>
        <v>4.7</v>
      </c>
      <c r="N63" s="561">
        <f>TAX!$C$21</f>
        <v>3</v>
      </c>
      <c r="O63" s="561">
        <f>TAX!$C$22</f>
        <v>2.3569174140963063</v>
      </c>
      <c r="P63" s="561">
        <f>TAX!$C$15</f>
        <v>10</v>
      </c>
      <c r="Q63" s="561">
        <f>TAX!$C$16</f>
        <v>9.1000000000000014</v>
      </c>
      <c r="R63" s="561">
        <f>TAX!$C$24</f>
        <v>13.8</v>
      </c>
    </row>
    <row r="64" spans="1:18">
      <c r="A64" s="127" t="s">
        <v>32</v>
      </c>
      <c r="B64" s="561">
        <f>TAX!$C$5</f>
        <v>10.882804714239988</v>
      </c>
      <c r="C64" s="561">
        <f>TAX!$C$6</f>
        <v>9.5739924198611241</v>
      </c>
      <c r="D64" s="561">
        <f>TAX!$C$7</f>
        <v>40</v>
      </c>
      <c r="E64" s="561">
        <f>TAX!$C$8</f>
        <v>30</v>
      </c>
      <c r="F64" s="561">
        <f>TAX!$C$9</f>
        <v>20</v>
      </c>
      <c r="G64" s="561">
        <f>TAX!$C$10</f>
        <v>10</v>
      </c>
      <c r="H64" s="561">
        <f>TAX!$C$12</f>
        <v>6.9832080720026219</v>
      </c>
      <c r="I64" s="561">
        <f>TAX!$C$13</f>
        <v>6.5893194706994329</v>
      </c>
      <c r="J64" s="561">
        <f>TAX!$C$17</f>
        <v>6.8564856955967928</v>
      </c>
      <c r="K64" s="561">
        <f>TAX!$C$18</f>
        <v>5.6090714932482975</v>
      </c>
      <c r="L64" s="561">
        <f>TAX!$C$19</f>
        <v>3.1488447684000027</v>
      </c>
      <c r="M64" s="561">
        <f>TAX!$C$20</f>
        <v>4.7</v>
      </c>
      <c r="N64" s="561">
        <f>TAX!$C$21</f>
        <v>3</v>
      </c>
      <c r="O64" s="561">
        <f>TAX!$C$22</f>
        <v>2.3569174140963063</v>
      </c>
      <c r="P64" s="561">
        <f>TAX!$C$15</f>
        <v>10</v>
      </c>
      <c r="Q64" s="561">
        <f>TAX!$C$16</f>
        <v>9.1000000000000014</v>
      </c>
      <c r="R64" s="561">
        <f>TAX!$C$24</f>
        <v>13.8</v>
      </c>
    </row>
    <row r="65" spans="1:18">
      <c r="A65" s="127" t="s">
        <v>33</v>
      </c>
      <c r="B65" s="561">
        <f>TAX!$C$5</f>
        <v>10.882804714239988</v>
      </c>
      <c r="C65" s="561">
        <f>TAX!$C$6</f>
        <v>9.5739924198611241</v>
      </c>
      <c r="D65" s="561">
        <f>TAX!$C$7</f>
        <v>40</v>
      </c>
      <c r="E65" s="561">
        <f>TAX!$C$8</f>
        <v>30</v>
      </c>
      <c r="F65" s="561">
        <f>TAX!$C$9</f>
        <v>20</v>
      </c>
      <c r="G65" s="561">
        <f>TAX!$C$10</f>
        <v>10</v>
      </c>
      <c r="H65" s="561">
        <f>TAX!$C$12</f>
        <v>6.9832080720026219</v>
      </c>
      <c r="I65" s="561">
        <f>TAX!$C$13</f>
        <v>6.5893194706994329</v>
      </c>
      <c r="J65" s="561">
        <f>TAX!$C$17</f>
        <v>6.8564856955967928</v>
      </c>
      <c r="K65" s="561">
        <f>TAX!$C$18</f>
        <v>5.6090714932482975</v>
      </c>
      <c r="L65" s="561">
        <f>TAX!$C$19</f>
        <v>3.1488447684000027</v>
      </c>
      <c r="M65" s="561">
        <f>TAX!$C$20</f>
        <v>4.7</v>
      </c>
      <c r="N65" s="561">
        <f>TAX!$C$21</f>
        <v>3</v>
      </c>
      <c r="O65" s="561">
        <f>TAX!$C$22</f>
        <v>2.3569174140963063</v>
      </c>
      <c r="P65" s="561">
        <f>TAX!$C$15</f>
        <v>10</v>
      </c>
      <c r="Q65" s="561">
        <f>TAX!$C$16</f>
        <v>9.1000000000000014</v>
      </c>
      <c r="R65" s="561">
        <f>TAX!$C$24</f>
        <v>13.8</v>
      </c>
    </row>
    <row r="66" spans="1:18" ht="15.75" thickBot="1">
      <c r="A66" s="128" t="s">
        <v>34</v>
      </c>
      <c r="B66" s="561">
        <f>TAX!$C$5</f>
        <v>10.882804714239988</v>
      </c>
      <c r="C66" s="561">
        <f>TAX!$C$6</f>
        <v>9.5739924198611241</v>
      </c>
      <c r="D66" s="561">
        <f>TAX!$C$7</f>
        <v>40</v>
      </c>
      <c r="E66" s="561">
        <f>TAX!$C$8</f>
        <v>30</v>
      </c>
      <c r="F66" s="561">
        <f>TAX!$C$9</f>
        <v>20</v>
      </c>
      <c r="G66" s="561">
        <f>TAX!$C$10</f>
        <v>10</v>
      </c>
      <c r="H66" s="561">
        <f>TAX!$C$12</f>
        <v>6.9832080720026219</v>
      </c>
      <c r="I66" s="561">
        <f>TAX!$C$13</f>
        <v>6.5893194706994329</v>
      </c>
      <c r="J66" s="561">
        <f>TAX!$C$17</f>
        <v>6.8564856955967928</v>
      </c>
      <c r="K66" s="561">
        <f>TAX!$C$18</f>
        <v>5.6090714932482975</v>
      </c>
      <c r="L66" s="561">
        <f>TAX!$C$19</f>
        <v>3.1488447684000027</v>
      </c>
      <c r="M66" s="561">
        <f>TAX!$C$20</f>
        <v>4.7</v>
      </c>
      <c r="N66" s="561">
        <f>TAX!$C$21</f>
        <v>3</v>
      </c>
      <c r="O66" s="561">
        <f>TAX!$C$22</f>
        <v>2.3569174140963063</v>
      </c>
      <c r="P66" s="561">
        <f>TAX!$C$15</f>
        <v>10</v>
      </c>
      <c r="Q66" s="561">
        <f>TAX!$C$16</f>
        <v>9.1000000000000014</v>
      </c>
      <c r="R66" s="561">
        <f>TAX!$C$24</f>
        <v>13.8</v>
      </c>
    </row>
    <row r="67" spans="1:18">
      <c r="A67" s="269" t="s">
        <v>69</v>
      </c>
      <c r="B67" s="561">
        <f>TAX!$C$5</f>
        <v>10.882804714239988</v>
      </c>
      <c r="C67" s="561">
        <f>TAX!$C$6</f>
        <v>9.5739924198611241</v>
      </c>
      <c r="D67" s="561">
        <f>TAX!$C$7</f>
        <v>40</v>
      </c>
      <c r="E67" s="561">
        <f>TAX!$C$8</f>
        <v>30</v>
      </c>
      <c r="F67" s="561">
        <f>TAX!$C$9</f>
        <v>20</v>
      </c>
      <c r="G67" s="561">
        <f>TAX!$C$10</f>
        <v>10</v>
      </c>
      <c r="H67" s="561">
        <f>TAX!$C$12</f>
        <v>6.9832080720026219</v>
      </c>
      <c r="I67" s="561">
        <f>TAX!$C$13</f>
        <v>6.5893194706994329</v>
      </c>
      <c r="J67" s="561">
        <f>TAX!$C$17</f>
        <v>6.8564856955967928</v>
      </c>
      <c r="K67" s="561">
        <f>TAX!$C$18</f>
        <v>5.6090714932482975</v>
      </c>
      <c r="L67" s="561">
        <f>TAX!$C$19</f>
        <v>3.1488447684000027</v>
      </c>
      <c r="M67" s="561">
        <f>TAX!$C$20</f>
        <v>4.7</v>
      </c>
      <c r="N67" s="561">
        <f>TAX!$C$21</f>
        <v>3</v>
      </c>
      <c r="O67" s="561">
        <f>TAX!$C$22</f>
        <v>2.3569174140963063</v>
      </c>
      <c r="P67" s="561">
        <f>TAX!$C$15</f>
        <v>10</v>
      </c>
      <c r="Q67" s="561">
        <f>TAX!$C$16</f>
        <v>9.1000000000000014</v>
      </c>
      <c r="R67" s="561">
        <f>TAX!$C$24</f>
        <v>13.8</v>
      </c>
    </row>
    <row r="68" spans="1:18">
      <c r="A68" s="127" t="s">
        <v>36</v>
      </c>
      <c r="B68" s="561">
        <f>TAX!$C$5</f>
        <v>10.882804714239988</v>
      </c>
      <c r="C68" s="561">
        <f>TAX!$C$6</f>
        <v>9.5739924198611241</v>
      </c>
      <c r="D68" s="561">
        <f>TAX!$C$7</f>
        <v>40</v>
      </c>
      <c r="E68" s="561">
        <f>TAX!$C$8</f>
        <v>30</v>
      </c>
      <c r="F68" s="561">
        <f>TAX!$C$9</f>
        <v>20</v>
      </c>
      <c r="G68" s="561">
        <f>TAX!$C$10</f>
        <v>10</v>
      </c>
      <c r="H68" s="561">
        <f>TAX!$C$12</f>
        <v>6.9832080720026219</v>
      </c>
      <c r="I68" s="561">
        <f>TAX!$C$13</f>
        <v>6.5893194706994329</v>
      </c>
      <c r="J68" s="561">
        <f>TAX!$C$17</f>
        <v>6.8564856955967928</v>
      </c>
      <c r="K68" s="561">
        <f>TAX!$C$18</f>
        <v>5.6090714932482975</v>
      </c>
      <c r="L68" s="561">
        <f>TAX!$C$19</f>
        <v>3.1488447684000027</v>
      </c>
      <c r="M68" s="561">
        <f>TAX!$C$20</f>
        <v>4.7</v>
      </c>
      <c r="N68" s="561">
        <f>TAX!$C$21</f>
        <v>3</v>
      </c>
      <c r="O68" s="561">
        <f>TAX!$C$22</f>
        <v>2.3569174140963063</v>
      </c>
      <c r="P68" s="561">
        <f>TAX!$C$15</f>
        <v>10</v>
      </c>
      <c r="Q68" s="561">
        <f>TAX!$C$16</f>
        <v>9.1000000000000014</v>
      </c>
      <c r="R68" s="561">
        <f>TAX!$C$24</f>
        <v>13.8</v>
      </c>
    </row>
    <row r="69" spans="1:18">
      <c r="A69" s="127" t="s">
        <v>37</v>
      </c>
      <c r="B69" s="561">
        <f>TAX!$C$5</f>
        <v>10.882804714239988</v>
      </c>
      <c r="C69" s="561">
        <f>TAX!$C$6</f>
        <v>9.5739924198611241</v>
      </c>
      <c r="D69" s="561">
        <f>TAX!$C$7</f>
        <v>40</v>
      </c>
      <c r="E69" s="561">
        <f>TAX!$C$8</f>
        <v>30</v>
      </c>
      <c r="F69" s="561">
        <f>TAX!$C$9</f>
        <v>20</v>
      </c>
      <c r="G69" s="561">
        <f>TAX!$C$10</f>
        <v>10</v>
      </c>
      <c r="H69" s="561">
        <f>TAX!$C$12</f>
        <v>6.9832080720026219</v>
      </c>
      <c r="I69" s="561">
        <f>TAX!$C$13</f>
        <v>6.5893194706994329</v>
      </c>
      <c r="J69" s="561">
        <f>TAX!$C$17</f>
        <v>6.8564856955967928</v>
      </c>
      <c r="K69" s="561">
        <f>TAX!$C$18</f>
        <v>5.6090714932482975</v>
      </c>
      <c r="L69" s="561">
        <f>TAX!$C$19</f>
        <v>3.1488447684000027</v>
      </c>
      <c r="M69" s="561">
        <f>TAX!$C$20</f>
        <v>4.7</v>
      </c>
      <c r="N69" s="561">
        <f>TAX!$C$21</f>
        <v>3</v>
      </c>
      <c r="O69" s="561">
        <f>TAX!$C$22</f>
        <v>2.3569174140963063</v>
      </c>
      <c r="P69" s="561">
        <f>TAX!$C$15</f>
        <v>10</v>
      </c>
      <c r="Q69" s="561">
        <f>TAX!$C$16</f>
        <v>9.1000000000000014</v>
      </c>
      <c r="R69" s="561">
        <f>TAX!$C$24</f>
        <v>13.8</v>
      </c>
    </row>
    <row r="70" spans="1:18" ht="15.75" thickBot="1">
      <c r="A70" s="128" t="s">
        <v>38</v>
      </c>
      <c r="B70" s="561">
        <f>TAX!$C$5</f>
        <v>10.882804714239988</v>
      </c>
      <c r="C70" s="561">
        <f>TAX!$C$6</f>
        <v>9.5739924198611241</v>
      </c>
      <c r="D70" s="561">
        <f>TAX!$C$7</f>
        <v>40</v>
      </c>
      <c r="E70" s="561">
        <f>TAX!$C$8</f>
        <v>30</v>
      </c>
      <c r="F70" s="561">
        <f>TAX!$C$9</f>
        <v>20</v>
      </c>
      <c r="G70" s="561">
        <f>TAX!$C$10</f>
        <v>10</v>
      </c>
      <c r="H70" s="561">
        <f>TAX!$C$12</f>
        <v>6.9832080720026219</v>
      </c>
      <c r="I70" s="561">
        <f>TAX!$C$13</f>
        <v>6.5893194706994329</v>
      </c>
      <c r="J70" s="561">
        <f>TAX!$C$17</f>
        <v>6.8564856955967928</v>
      </c>
      <c r="K70" s="561">
        <f>TAX!$C$18</f>
        <v>5.6090714932482975</v>
      </c>
      <c r="L70" s="561">
        <f>TAX!$C$19</f>
        <v>3.1488447684000027</v>
      </c>
      <c r="M70" s="561">
        <f>TAX!$C$20</f>
        <v>4.7</v>
      </c>
      <c r="N70" s="561">
        <f>TAX!$C$21</f>
        <v>3</v>
      </c>
      <c r="O70" s="561">
        <f>TAX!$C$22</f>
        <v>2.3569174140963063</v>
      </c>
      <c r="P70" s="561">
        <f>TAX!$C$15</f>
        <v>10</v>
      </c>
      <c r="Q70" s="561">
        <f>TAX!$C$16</f>
        <v>9.1000000000000014</v>
      </c>
      <c r="R70" s="561">
        <f>TAX!$C$24</f>
        <v>13.8</v>
      </c>
    </row>
    <row r="71" spans="1:18" ht="25.5">
      <c r="A71" s="274" t="s">
        <v>73</v>
      </c>
      <c r="B71" s="561">
        <f>TAX!$C$5</f>
        <v>10.882804714239988</v>
      </c>
      <c r="C71" s="561">
        <f>TAX!$C$6</f>
        <v>9.5739924198611241</v>
      </c>
      <c r="D71" s="561">
        <f>TAX!$C$7</f>
        <v>40</v>
      </c>
      <c r="E71" s="561">
        <f>TAX!$C$8</f>
        <v>30</v>
      </c>
      <c r="F71" s="561">
        <f>TAX!$C$9</f>
        <v>20</v>
      </c>
      <c r="G71" s="561">
        <f>TAX!$C$10</f>
        <v>10</v>
      </c>
      <c r="H71" s="561">
        <f>TAX!$C$12</f>
        <v>6.9832080720026219</v>
      </c>
      <c r="I71" s="561">
        <f>TAX!$C$13</f>
        <v>6.5893194706994329</v>
      </c>
      <c r="J71" s="561">
        <f>TAX!$C$17</f>
        <v>6.8564856955967928</v>
      </c>
      <c r="K71" s="561">
        <f>TAX!$C$18</f>
        <v>5.6090714932482975</v>
      </c>
      <c r="L71" s="561">
        <f>TAX!$C$19</f>
        <v>3.1488447684000027</v>
      </c>
      <c r="M71" s="561">
        <f>TAX!$C$20</f>
        <v>4.7</v>
      </c>
      <c r="N71" s="561">
        <f>TAX!$C$21</f>
        <v>3</v>
      </c>
      <c r="O71" s="561">
        <f>TAX!$C$22</f>
        <v>2.3569174140963063</v>
      </c>
      <c r="P71" s="561">
        <f>TAX!$C$15</f>
        <v>10</v>
      </c>
      <c r="Q71" s="561">
        <f>TAX!$C$16</f>
        <v>9.1000000000000014</v>
      </c>
      <c r="R71" s="561">
        <f>TAX!$C$24</f>
        <v>13.8</v>
      </c>
    </row>
    <row r="72" spans="1:18">
      <c r="A72" s="127" t="s">
        <v>40</v>
      </c>
      <c r="B72" s="561">
        <f>TAX!$C$5</f>
        <v>10.882804714239988</v>
      </c>
      <c r="C72" s="561">
        <f>TAX!$C$6</f>
        <v>9.5739924198611241</v>
      </c>
      <c r="D72" s="561">
        <f>TAX!$C$7</f>
        <v>40</v>
      </c>
      <c r="E72" s="561">
        <f>TAX!$C$8</f>
        <v>30</v>
      </c>
      <c r="F72" s="561">
        <f>TAX!$C$9</f>
        <v>20</v>
      </c>
      <c r="G72" s="561">
        <f>TAX!$C$10</f>
        <v>10</v>
      </c>
      <c r="H72" s="561">
        <f>TAX!$C$12</f>
        <v>6.9832080720026219</v>
      </c>
      <c r="I72" s="561">
        <f>TAX!$C$13</f>
        <v>6.5893194706994329</v>
      </c>
      <c r="J72" s="561">
        <f>TAX!$C$17</f>
        <v>6.8564856955967928</v>
      </c>
      <c r="K72" s="561">
        <f>TAX!$C$18</f>
        <v>5.6090714932482975</v>
      </c>
      <c r="L72" s="561">
        <f>TAX!$C$19</f>
        <v>3.1488447684000027</v>
      </c>
      <c r="M72" s="561">
        <f>TAX!$C$20</f>
        <v>4.7</v>
      </c>
      <c r="N72" s="561">
        <f>TAX!$C$21</f>
        <v>3</v>
      </c>
      <c r="O72" s="561">
        <f>TAX!$C$22</f>
        <v>2.3569174140963063</v>
      </c>
      <c r="P72" s="561">
        <f>TAX!$C$15</f>
        <v>10</v>
      </c>
      <c r="Q72" s="561">
        <f>TAX!$C$16</f>
        <v>9.1000000000000014</v>
      </c>
      <c r="R72" s="561">
        <f>TAX!$C$24</f>
        <v>13.8</v>
      </c>
    </row>
    <row r="73" spans="1:18">
      <c r="A73" s="127" t="s">
        <v>41</v>
      </c>
      <c r="B73" s="561">
        <f>TAX!$C$5</f>
        <v>10.882804714239988</v>
      </c>
      <c r="C73" s="561">
        <f>TAX!$C$6</f>
        <v>9.5739924198611241</v>
      </c>
      <c r="D73" s="561">
        <f>TAX!$C$7</f>
        <v>40</v>
      </c>
      <c r="E73" s="561">
        <f>TAX!$C$8</f>
        <v>30</v>
      </c>
      <c r="F73" s="561">
        <f>TAX!$C$9</f>
        <v>20</v>
      </c>
      <c r="G73" s="561">
        <f>TAX!$C$10</f>
        <v>10</v>
      </c>
      <c r="H73" s="561">
        <f>TAX!$C$12</f>
        <v>6.9832080720026219</v>
      </c>
      <c r="I73" s="561">
        <f>TAX!$C$13</f>
        <v>6.5893194706994329</v>
      </c>
      <c r="J73" s="561">
        <f>TAX!$C$17</f>
        <v>6.8564856955967928</v>
      </c>
      <c r="K73" s="561">
        <f>TAX!$C$18</f>
        <v>5.6090714932482975</v>
      </c>
      <c r="L73" s="561">
        <f>TAX!$C$19</f>
        <v>3.1488447684000027</v>
      </c>
      <c r="M73" s="561">
        <f>TAX!$C$20</f>
        <v>4.7</v>
      </c>
      <c r="N73" s="561">
        <f>TAX!$C$21</f>
        <v>3</v>
      </c>
      <c r="O73" s="561">
        <f>TAX!$C$22</f>
        <v>2.3569174140963063</v>
      </c>
      <c r="P73" s="561">
        <f>TAX!$C$15</f>
        <v>10</v>
      </c>
      <c r="Q73" s="561">
        <f>TAX!$C$16</f>
        <v>9.1000000000000014</v>
      </c>
      <c r="R73" s="561">
        <f>TAX!$C$24</f>
        <v>13.8</v>
      </c>
    </row>
    <row r="74" spans="1:18">
      <c r="A74" s="127" t="s">
        <v>42</v>
      </c>
      <c r="B74" s="561">
        <f>TAX!$C$5</f>
        <v>10.882804714239988</v>
      </c>
      <c r="C74" s="561">
        <f>TAX!$C$6</f>
        <v>9.5739924198611241</v>
      </c>
      <c r="D74" s="561">
        <f>TAX!$C$7</f>
        <v>40</v>
      </c>
      <c r="E74" s="561">
        <f>TAX!$C$8</f>
        <v>30</v>
      </c>
      <c r="F74" s="561">
        <f>TAX!$C$9</f>
        <v>20</v>
      </c>
      <c r="G74" s="561">
        <f>TAX!$C$10</f>
        <v>10</v>
      </c>
      <c r="H74" s="561">
        <f>TAX!$C$12</f>
        <v>6.9832080720026219</v>
      </c>
      <c r="I74" s="561">
        <f>TAX!$C$13</f>
        <v>6.5893194706994329</v>
      </c>
      <c r="J74" s="561">
        <f>TAX!$C$17</f>
        <v>6.8564856955967928</v>
      </c>
      <c r="K74" s="561">
        <f>TAX!$C$18</f>
        <v>5.6090714932482975</v>
      </c>
      <c r="L74" s="561">
        <f>TAX!$C$19</f>
        <v>3.1488447684000027</v>
      </c>
      <c r="M74" s="561">
        <f>TAX!$C$20</f>
        <v>4.7</v>
      </c>
      <c r="N74" s="561">
        <f>TAX!$C$21</f>
        <v>3</v>
      </c>
      <c r="O74" s="561">
        <f>TAX!$C$22</f>
        <v>2.3569174140963063</v>
      </c>
      <c r="P74" s="561">
        <f>TAX!$C$15</f>
        <v>10</v>
      </c>
      <c r="Q74" s="561">
        <f>TAX!$C$16</f>
        <v>9.1000000000000014</v>
      </c>
      <c r="R74" s="561">
        <f>TAX!$C$24</f>
        <v>13.8</v>
      </c>
    </row>
    <row r="75" spans="1:18" ht="26.25" thickBot="1">
      <c r="A75" s="128" t="s">
        <v>43</v>
      </c>
      <c r="B75" s="561">
        <f>TAX!$C$5</f>
        <v>10.882804714239988</v>
      </c>
      <c r="C75" s="561">
        <f>TAX!$C$6</f>
        <v>9.5739924198611241</v>
      </c>
      <c r="D75" s="561">
        <f>TAX!$C$7</f>
        <v>40</v>
      </c>
      <c r="E75" s="561">
        <f>TAX!$C$8</f>
        <v>30</v>
      </c>
      <c r="F75" s="561">
        <f>TAX!$C$9</f>
        <v>20</v>
      </c>
      <c r="G75" s="561">
        <f>TAX!$C$10</f>
        <v>10</v>
      </c>
      <c r="H75" s="561">
        <f>TAX!$C$12</f>
        <v>6.9832080720026219</v>
      </c>
      <c r="I75" s="561">
        <f>TAX!$C$13</f>
        <v>6.5893194706994329</v>
      </c>
      <c r="J75" s="561">
        <f>TAX!$C$17</f>
        <v>6.8564856955967928</v>
      </c>
      <c r="K75" s="561">
        <f>TAX!$C$18</f>
        <v>5.6090714932482975</v>
      </c>
      <c r="L75" s="561">
        <f>TAX!$C$19</f>
        <v>3.1488447684000027</v>
      </c>
      <c r="M75" s="561">
        <f>TAX!$C$20</f>
        <v>4.7</v>
      </c>
      <c r="N75" s="561">
        <f>TAX!$C$21</f>
        <v>3</v>
      </c>
      <c r="O75" s="561">
        <f>TAX!$C$22</f>
        <v>2.3569174140963063</v>
      </c>
      <c r="P75" s="561">
        <f>TAX!$C$15</f>
        <v>10</v>
      </c>
      <c r="Q75" s="561">
        <f>TAX!$C$16</f>
        <v>9.1000000000000014</v>
      </c>
      <c r="R75" s="561">
        <f>TAX!$C$24</f>
        <v>13.8</v>
      </c>
    </row>
    <row r="76" spans="1:18" ht="15.75" thickBot="1"/>
    <row r="77" spans="1:18" ht="15.75" customHeight="1" thickBot="1">
      <c r="A77" s="1051" t="s">
        <v>486</v>
      </c>
      <c r="B77" s="1054">
        <v>2011</v>
      </c>
      <c r="C77" s="1055"/>
      <c r="D77" s="1055"/>
      <c r="E77" s="1055"/>
      <c r="F77" s="1055"/>
      <c r="G77" s="1055"/>
      <c r="H77" s="1055"/>
      <c r="I77" s="1055"/>
      <c r="J77" s="1055"/>
      <c r="K77" s="1055"/>
      <c r="L77" s="1055"/>
      <c r="M77" s="1055"/>
      <c r="N77" s="1055"/>
      <c r="O77" s="1055"/>
      <c r="P77" s="1055"/>
      <c r="Q77" s="1055"/>
      <c r="R77" s="1078"/>
    </row>
    <row r="78" spans="1:18">
      <c r="A78" s="1052"/>
      <c r="B78" s="1060" t="s">
        <v>97</v>
      </c>
      <c r="C78" s="1061"/>
      <c r="D78" s="1061"/>
      <c r="E78" s="1061"/>
      <c r="F78" s="1061"/>
      <c r="G78" s="1061"/>
      <c r="H78" s="1061" t="s">
        <v>98</v>
      </c>
      <c r="I78" s="1061"/>
      <c r="J78" s="1061" t="s">
        <v>99</v>
      </c>
      <c r="K78" s="1061"/>
      <c r="L78" s="1061"/>
      <c r="M78" s="1061"/>
      <c r="N78" s="1061"/>
      <c r="O78" s="1061"/>
      <c r="P78" s="1061"/>
      <c r="Q78" s="1061"/>
      <c r="R78" s="289" t="s">
        <v>100</v>
      </c>
    </row>
    <row r="79" spans="1:18">
      <c r="A79" s="1052"/>
      <c r="B79" s="1062" t="s">
        <v>101</v>
      </c>
      <c r="C79" s="1064" t="s">
        <v>102</v>
      </c>
      <c r="D79" s="1064" t="s">
        <v>103</v>
      </c>
      <c r="E79" s="1064"/>
      <c r="F79" s="1064"/>
      <c r="G79" s="1064"/>
      <c r="H79" s="1062" t="s">
        <v>101</v>
      </c>
      <c r="I79" s="1064" t="s">
        <v>102</v>
      </c>
      <c r="J79" s="1064" t="s">
        <v>104</v>
      </c>
      <c r="K79" s="1064"/>
      <c r="L79" s="1064"/>
      <c r="M79" s="1064" t="s">
        <v>105</v>
      </c>
      <c r="N79" s="1064"/>
      <c r="O79" s="1064"/>
      <c r="P79" s="1062" t="s">
        <v>101</v>
      </c>
      <c r="Q79" s="1064" t="s">
        <v>102</v>
      </c>
      <c r="R79" s="1062" t="s">
        <v>101</v>
      </c>
    </row>
    <row r="80" spans="1:18" ht="15.75" thickBot="1">
      <c r="A80" s="1053"/>
      <c r="B80" s="1063"/>
      <c r="C80" s="1065"/>
      <c r="D80" s="290" t="s">
        <v>106</v>
      </c>
      <c r="E80" s="290" t="s">
        <v>107</v>
      </c>
      <c r="F80" s="290" t="s">
        <v>108</v>
      </c>
      <c r="G80" s="290" t="s">
        <v>109</v>
      </c>
      <c r="H80" s="1063"/>
      <c r="I80" s="1065"/>
      <c r="J80" s="290" t="s">
        <v>110</v>
      </c>
      <c r="K80" s="290" t="s">
        <v>111</v>
      </c>
      <c r="L80" s="290" t="s">
        <v>112</v>
      </c>
      <c r="M80" s="290" t="s">
        <v>113</v>
      </c>
      <c r="N80" s="290" t="s">
        <v>114</v>
      </c>
      <c r="O80" s="290" t="s">
        <v>115</v>
      </c>
      <c r="P80" s="1063"/>
      <c r="Q80" s="1065"/>
      <c r="R80" s="1063"/>
    </row>
    <row r="81" spans="1:18" ht="15.75" thickBot="1">
      <c r="A81" s="164" t="s">
        <v>11</v>
      </c>
      <c r="B81" s="561">
        <f>TAX!$D$5</f>
        <v>10.882804714239988</v>
      </c>
      <c r="C81" s="561">
        <f>TAX!$D$6</f>
        <v>9.5739924198611241</v>
      </c>
      <c r="D81" s="561">
        <f>TAX!$D$7</f>
        <v>40</v>
      </c>
      <c r="E81" s="561">
        <f>TAX!$D$8</f>
        <v>30</v>
      </c>
      <c r="F81" s="561">
        <f>TAX!$D$9</f>
        <v>20</v>
      </c>
      <c r="G81" s="561">
        <f>TAX!$D$10</f>
        <v>10</v>
      </c>
      <c r="H81" s="561">
        <f>TAX!$D$12</f>
        <v>6.9832080720026219</v>
      </c>
      <c r="I81" s="561">
        <f>TAX!$D$13</f>
        <v>6.5893194706994329</v>
      </c>
      <c r="J81" s="561">
        <f>TAX!$D$17</f>
        <v>6.8564856955967928</v>
      </c>
      <c r="K81" s="561">
        <f>TAX!$D$18</f>
        <v>5.6090714932482975</v>
      </c>
      <c r="L81" s="561">
        <f>TAX!$D$19</f>
        <v>3.1488447684000027</v>
      </c>
      <c r="M81" s="561">
        <f>TAX!$D$20</f>
        <v>4.7</v>
      </c>
      <c r="N81" s="561">
        <f>TAX!$D$21</f>
        <v>3</v>
      </c>
      <c r="O81" s="561">
        <f>TAX!$D$22</f>
        <v>2.3569174140963063</v>
      </c>
      <c r="P81" s="561">
        <f>TAX!$D$15</f>
        <v>10</v>
      </c>
      <c r="Q81" s="561">
        <f>TAX!$D$16</f>
        <v>9.1000000000000014</v>
      </c>
      <c r="R81" s="561">
        <f>TAX!$D$24</f>
        <v>13.8</v>
      </c>
    </row>
    <row r="82" spans="1:18">
      <c r="A82" s="269" t="s">
        <v>46</v>
      </c>
      <c r="B82" s="561">
        <f>TAX!$D$5</f>
        <v>10.882804714239988</v>
      </c>
      <c r="C82" s="561">
        <f>TAX!$D$6</f>
        <v>9.5739924198611241</v>
      </c>
      <c r="D82" s="561">
        <f>TAX!$D$7</f>
        <v>40</v>
      </c>
      <c r="E82" s="561">
        <f>TAX!$D$8</f>
        <v>30</v>
      </c>
      <c r="F82" s="561">
        <f>TAX!$D$9</f>
        <v>20</v>
      </c>
      <c r="G82" s="561">
        <f>TAX!$D$10</f>
        <v>10</v>
      </c>
      <c r="H82" s="561">
        <f>TAX!$D$12</f>
        <v>6.9832080720026219</v>
      </c>
      <c r="I82" s="561">
        <f>TAX!$D$13</f>
        <v>6.5893194706994329</v>
      </c>
      <c r="J82" s="561">
        <f>TAX!$D$17</f>
        <v>6.8564856955967928</v>
      </c>
      <c r="K82" s="561">
        <f>TAX!$D$18</f>
        <v>5.6090714932482975</v>
      </c>
      <c r="L82" s="561">
        <f>TAX!$D$19</f>
        <v>3.1488447684000027</v>
      </c>
      <c r="M82" s="561">
        <f>TAX!$D$20</f>
        <v>4.7</v>
      </c>
      <c r="N82" s="561">
        <f>TAX!$D$21</f>
        <v>3</v>
      </c>
      <c r="O82" s="561">
        <f>TAX!$D$22</f>
        <v>2.3569174140963063</v>
      </c>
      <c r="P82" s="561">
        <f>TAX!$D$15</f>
        <v>10</v>
      </c>
      <c r="Q82" s="561">
        <f>TAX!$D$16</f>
        <v>9.1000000000000014</v>
      </c>
      <c r="R82" s="561">
        <f>TAX!$D$24</f>
        <v>13.8</v>
      </c>
    </row>
    <row r="83" spans="1:18">
      <c r="A83" s="127" t="s">
        <v>13</v>
      </c>
      <c r="B83" s="561">
        <f>TAX!$D$5</f>
        <v>10.882804714239988</v>
      </c>
      <c r="C83" s="561">
        <f>TAX!$D$6</f>
        <v>9.5739924198611241</v>
      </c>
      <c r="D83" s="561">
        <f>TAX!$D$7</f>
        <v>40</v>
      </c>
      <c r="E83" s="561">
        <f>TAX!$D$8</f>
        <v>30</v>
      </c>
      <c r="F83" s="561">
        <f>TAX!$D$9</f>
        <v>20</v>
      </c>
      <c r="G83" s="561">
        <f>TAX!$D$10</f>
        <v>10</v>
      </c>
      <c r="H83" s="561">
        <f>TAX!$D$12</f>
        <v>6.9832080720026219</v>
      </c>
      <c r="I83" s="561">
        <f>TAX!$D$13</f>
        <v>6.5893194706994329</v>
      </c>
      <c r="J83" s="561">
        <f>TAX!$D$17</f>
        <v>6.8564856955967928</v>
      </c>
      <c r="K83" s="561">
        <f>TAX!$D$18</f>
        <v>5.6090714932482975</v>
      </c>
      <c r="L83" s="561">
        <f>TAX!$D$19</f>
        <v>3.1488447684000027</v>
      </c>
      <c r="M83" s="561">
        <f>TAX!$D$20</f>
        <v>4.7</v>
      </c>
      <c r="N83" s="561">
        <f>TAX!$D$21</f>
        <v>3</v>
      </c>
      <c r="O83" s="561">
        <f>TAX!$D$22</f>
        <v>2.3569174140963063</v>
      </c>
      <c r="P83" s="561">
        <f>TAX!$D$15</f>
        <v>10</v>
      </c>
      <c r="Q83" s="561">
        <f>TAX!$D$16</f>
        <v>9.1000000000000014</v>
      </c>
      <c r="R83" s="561">
        <f>TAX!$D$24</f>
        <v>13.8</v>
      </c>
    </row>
    <row r="84" spans="1:18">
      <c r="A84" s="127" t="s">
        <v>14</v>
      </c>
      <c r="B84" s="561">
        <f>TAX!$D$5</f>
        <v>10.882804714239988</v>
      </c>
      <c r="C84" s="561">
        <f>TAX!$D$6</f>
        <v>9.5739924198611241</v>
      </c>
      <c r="D84" s="561">
        <f>TAX!$D$7</f>
        <v>40</v>
      </c>
      <c r="E84" s="561">
        <f>TAX!$D$8</f>
        <v>30</v>
      </c>
      <c r="F84" s="561">
        <f>TAX!$D$9</f>
        <v>20</v>
      </c>
      <c r="G84" s="561">
        <f>TAX!$D$10</f>
        <v>10</v>
      </c>
      <c r="H84" s="561">
        <f>TAX!$D$12</f>
        <v>6.9832080720026219</v>
      </c>
      <c r="I84" s="561">
        <f>TAX!$D$13</f>
        <v>6.5893194706994329</v>
      </c>
      <c r="J84" s="561">
        <f>TAX!$D$17</f>
        <v>6.8564856955967928</v>
      </c>
      <c r="K84" s="561">
        <f>TAX!$D$18</f>
        <v>5.6090714932482975</v>
      </c>
      <c r="L84" s="561">
        <f>TAX!$D$19</f>
        <v>3.1488447684000027</v>
      </c>
      <c r="M84" s="561">
        <f>TAX!$D$20</f>
        <v>4.7</v>
      </c>
      <c r="N84" s="561">
        <f>TAX!$D$21</f>
        <v>3</v>
      </c>
      <c r="O84" s="561">
        <f>TAX!$D$22</f>
        <v>2.3569174140963063</v>
      </c>
      <c r="P84" s="561">
        <f>TAX!$D$15</f>
        <v>10</v>
      </c>
      <c r="Q84" s="561">
        <f>TAX!$D$16</f>
        <v>9.1000000000000014</v>
      </c>
      <c r="R84" s="561">
        <f>TAX!$D$24</f>
        <v>13.8</v>
      </c>
    </row>
    <row r="85" spans="1:18">
      <c r="A85" s="127" t="s">
        <v>15</v>
      </c>
      <c r="B85" s="561">
        <f>TAX!$D$5</f>
        <v>10.882804714239988</v>
      </c>
      <c r="C85" s="561">
        <f>TAX!$D$6</f>
        <v>9.5739924198611241</v>
      </c>
      <c r="D85" s="561">
        <f>TAX!$D$7</f>
        <v>40</v>
      </c>
      <c r="E85" s="561">
        <f>TAX!$D$8</f>
        <v>30</v>
      </c>
      <c r="F85" s="561">
        <f>TAX!$D$9</f>
        <v>20</v>
      </c>
      <c r="G85" s="561">
        <f>TAX!$D$10</f>
        <v>10</v>
      </c>
      <c r="H85" s="561">
        <f>TAX!$D$12</f>
        <v>6.9832080720026219</v>
      </c>
      <c r="I85" s="561">
        <f>TAX!$D$13</f>
        <v>6.5893194706994329</v>
      </c>
      <c r="J85" s="561">
        <f>TAX!$D$17</f>
        <v>6.8564856955967928</v>
      </c>
      <c r="K85" s="561">
        <f>TAX!$D$18</f>
        <v>5.6090714932482975</v>
      </c>
      <c r="L85" s="561">
        <f>TAX!$D$19</f>
        <v>3.1488447684000027</v>
      </c>
      <c r="M85" s="561">
        <f>TAX!$D$20</f>
        <v>4.7</v>
      </c>
      <c r="N85" s="561">
        <f>TAX!$D$21</f>
        <v>3</v>
      </c>
      <c r="O85" s="561">
        <f>TAX!$D$22</f>
        <v>2.3569174140963063</v>
      </c>
      <c r="P85" s="561">
        <f>TAX!$D$15</f>
        <v>10</v>
      </c>
      <c r="Q85" s="561">
        <f>TAX!$D$16</f>
        <v>9.1000000000000014</v>
      </c>
      <c r="R85" s="561">
        <f>TAX!$D$24</f>
        <v>13.8</v>
      </c>
    </row>
    <row r="86" spans="1:18">
      <c r="A86" s="127" t="s">
        <v>16</v>
      </c>
      <c r="B86" s="561">
        <f>TAX!$D$5</f>
        <v>10.882804714239988</v>
      </c>
      <c r="C86" s="561">
        <f>TAX!$D$6</f>
        <v>9.5739924198611241</v>
      </c>
      <c r="D86" s="561">
        <f>TAX!$D$7</f>
        <v>40</v>
      </c>
      <c r="E86" s="561">
        <f>TAX!$D$8</f>
        <v>30</v>
      </c>
      <c r="F86" s="561">
        <f>TAX!$D$9</f>
        <v>20</v>
      </c>
      <c r="G86" s="561">
        <f>TAX!$D$10</f>
        <v>10</v>
      </c>
      <c r="H86" s="561">
        <f>TAX!$D$12</f>
        <v>6.9832080720026219</v>
      </c>
      <c r="I86" s="561">
        <f>TAX!$D$13</f>
        <v>6.5893194706994329</v>
      </c>
      <c r="J86" s="561">
        <f>TAX!$D$17</f>
        <v>6.8564856955967928</v>
      </c>
      <c r="K86" s="561">
        <f>TAX!$D$18</f>
        <v>5.6090714932482975</v>
      </c>
      <c r="L86" s="561">
        <f>TAX!$D$19</f>
        <v>3.1488447684000027</v>
      </c>
      <c r="M86" s="561">
        <f>TAX!$D$20</f>
        <v>4.7</v>
      </c>
      <c r="N86" s="561">
        <f>TAX!$D$21</f>
        <v>3</v>
      </c>
      <c r="O86" s="561">
        <f>TAX!$D$22</f>
        <v>2.3569174140963063</v>
      </c>
      <c r="P86" s="561">
        <f>TAX!$D$15</f>
        <v>10</v>
      </c>
      <c r="Q86" s="561">
        <f>TAX!$D$16</f>
        <v>9.1000000000000014</v>
      </c>
      <c r="R86" s="561">
        <f>TAX!$D$24</f>
        <v>13.8</v>
      </c>
    </row>
    <row r="87" spans="1:18">
      <c r="A87" s="127" t="s">
        <v>17</v>
      </c>
      <c r="B87" s="561">
        <f>TAX!$D$5</f>
        <v>10.882804714239988</v>
      </c>
      <c r="C87" s="561">
        <f>TAX!$D$6</f>
        <v>9.5739924198611241</v>
      </c>
      <c r="D87" s="561">
        <f>TAX!$D$7</f>
        <v>40</v>
      </c>
      <c r="E87" s="561">
        <f>TAX!$D$8</f>
        <v>30</v>
      </c>
      <c r="F87" s="561">
        <f>TAX!$D$9</f>
        <v>20</v>
      </c>
      <c r="G87" s="561">
        <f>TAX!$D$10</f>
        <v>10</v>
      </c>
      <c r="H87" s="561">
        <f>TAX!$D$12</f>
        <v>6.9832080720026219</v>
      </c>
      <c r="I87" s="561">
        <f>TAX!$D$13</f>
        <v>6.5893194706994329</v>
      </c>
      <c r="J87" s="561">
        <f>TAX!$D$17</f>
        <v>6.8564856955967928</v>
      </c>
      <c r="K87" s="561">
        <f>TAX!$D$18</f>
        <v>5.6090714932482975</v>
      </c>
      <c r="L87" s="561">
        <f>TAX!$D$19</f>
        <v>3.1488447684000027</v>
      </c>
      <c r="M87" s="561">
        <f>TAX!$D$20</f>
        <v>4.7</v>
      </c>
      <c r="N87" s="561">
        <f>TAX!$D$21</f>
        <v>3</v>
      </c>
      <c r="O87" s="561">
        <f>TAX!$D$22</f>
        <v>2.3569174140963063</v>
      </c>
      <c r="P87" s="561">
        <f>TAX!$D$15</f>
        <v>10</v>
      </c>
      <c r="Q87" s="561">
        <f>TAX!$D$16</f>
        <v>9.1000000000000014</v>
      </c>
      <c r="R87" s="561">
        <f>TAX!$D$24</f>
        <v>13.8</v>
      </c>
    </row>
    <row r="88" spans="1:18">
      <c r="A88" s="127" t="s">
        <v>18</v>
      </c>
      <c r="B88" s="561">
        <f>TAX!$D$5</f>
        <v>10.882804714239988</v>
      </c>
      <c r="C88" s="561">
        <f>TAX!$D$6</f>
        <v>9.5739924198611241</v>
      </c>
      <c r="D88" s="561">
        <f>TAX!$D$7</f>
        <v>40</v>
      </c>
      <c r="E88" s="561">
        <f>TAX!$D$8</f>
        <v>30</v>
      </c>
      <c r="F88" s="561">
        <f>TAX!$D$9</f>
        <v>20</v>
      </c>
      <c r="G88" s="561">
        <f>TAX!$D$10</f>
        <v>10</v>
      </c>
      <c r="H88" s="561">
        <f>TAX!$D$12</f>
        <v>6.9832080720026219</v>
      </c>
      <c r="I88" s="561">
        <f>TAX!$D$13</f>
        <v>6.5893194706994329</v>
      </c>
      <c r="J88" s="561">
        <f>TAX!$D$17</f>
        <v>6.8564856955967928</v>
      </c>
      <c r="K88" s="561">
        <f>TAX!$D$18</f>
        <v>5.6090714932482975</v>
      </c>
      <c r="L88" s="561">
        <f>TAX!$D$19</f>
        <v>3.1488447684000027</v>
      </c>
      <c r="M88" s="561">
        <f>TAX!$D$20</f>
        <v>4.7</v>
      </c>
      <c r="N88" s="561">
        <f>TAX!$D$21</f>
        <v>3</v>
      </c>
      <c r="O88" s="561">
        <f>TAX!$D$22</f>
        <v>2.3569174140963063</v>
      </c>
      <c r="P88" s="561">
        <f>TAX!$D$15</f>
        <v>10</v>
      </c>
      <c r="Q88" s="561">
        <f>TAX!$D$16</f>
        <v>9.1000000000000014</v>
      </c>
      <c r="R88" s="561">
        <f>TAX!$D$24</f>
        <v>13.8</v>
      </c>
    </row>
    <row r="89" spans="1:18" ht="15.75" thickBot="1">
      <c r="A89" s="128" t="s">
        <v>19</v>
      </c>
      <c r="B89" s="561">
        <f>TAX!$D$5</f>
        <v>10.882804714239988</v>
      </c>
      <c r="C89" s="561">
        <f>TAX!$D$6</f>
        <v>9.5739924198611241</v>
      </c>
      <c r="D89" s="561">
        <f>TAX!$D$7</f>
        <v>40</v>
      </c>
      <c r="E89" s="561">
        <f>TAX!$D$8</f>
        <v>30</v>
      </c>
      <c r="F89" s="561">
        <f>TAX!$D$9</f>
        <v>20</v>
      </c>
      <c r="G89" s="561">
        <f>TAX!$D$10</f>
        <v>10</v>
      </c>
      <c r="H89" s="561">
        <f>TAX!$D$12</f>
        <v>6.9832080720026219</v>
      </c>
      <c r="I89" s="561">
        <f>TAX!$D$13</f>
        <v>6.5893194706994329</v>
      </c>
      <c r="J89" s="561">
        <f>TAX!$D$17</f>
        <v>6.8564856955967928</v>
      </c>
      <c r="K89" s="561">
        <f>TAX!$D$18</f>
        <v>5.6090714932482975</v>
      </c>
      <c r="L89" s="561">
        <f>TAX!$D$19</f>
        <v>3.1488447684000027</v>
      </c>
      <c r="M89" s="561">
        <f>TAX!$D$20</f>
        <v>4.7</v>
      </c>
      <c r="N89" s="561">
        <f>TAX!$D$21</f>
        <v>3</v>
      </c>
      <c r="O89" s="561">
        <f>TAX!$D$22</f>
        <v>2.3569174140963063</v>
      </c>
      <c r="P89" s="561">
        <f>TAX!$D$15</f>
        <v>10</v>
      </c>
      <c r="Q89" s="561">
        <f>TAX!$D$16</f>
        <v>9.1000000000000014</v>
      </c>
      <c r="R89" s="561">
        <f>TAX!$D$24</f>
        <v>13.8</v>
      </c>
    </row>
    <row r="90" spans="1:18">
      <c r="A90" s="269" t="s">
        <v>54</v>
      </c>
      <c r="B90" s="561">
        <f>TAX!$D$5</f>
        <v>10.882804714239988</v>
      </c>
      <c r="C90" s="561">
        <f>TAX!$D$6</f>
        <v>9.5739924198611241</v>
      </c>
      <c r="D90" s="561">
        <f>TAX!$D$7</f>
        <v>40</v>
      </c>
      <c r="E90" s="561">
        <f>TAX!$D$8</f>
        <v>30</v>
      </c>
      <c r="F90" s="561">
        <f>TAX!$D$9</f>
        <v>20</v>
      </c>
      <c r="G90" s="561">
        <f>TAX!$D$10</f>
        <v>10</v>
      </c>
      <c r="H90" s="561">
        <f>TAX!$D$12</f>
        <v>6.9832080720026219</v>
      </c>
      <c r="I90" s="561">
        <f>TAX!$D$13</f>
        <v>6.5893194706994329</v>
      </c>
      <c r="J90" s="561">
        <f>TAX!$D$17</f>
        <v>6.8564856955967928</v>
      </c>
      <c r="K90" s="561">
        <f>TAX!$D$18</f>
        <v>5.6090714932482975</v>
      </c>
      <c r="L90" s="561">
        <f>TAX!$D$19</f>
        <v>3.1488447684000027</v>
      </c>
      <c r="M90" s="561">
        <f>TAX!$D$20</f>
        <v>4.7</v>
      </c>
      <c r="N90" s="561">
        <f>TAX!$D$21</f>
        <v>3</v>
      </c>
      <c r="O90" s="561">
        <f>TAX!$D$22</f>
        <v>2.3569174140963063</v>
      </c>
      <c r="P90" s="561">
        <f>TAX!$D$15</f>
        <v>10</v>
      </c>
      <c r="Q90" s="561">
        <f>TAX!$D$16</f>
        <v>9.1000000000000014</v>
      </c>
      <c r="R90" s="561">
        <f>TAX!$D$24</f>
        <v>13.8</v>
      </c>
    </row>
    <row r="91" spans="1:18">
      <c r="A91" s="127" t="s">
        <v>21</v>
      </c>
      <c r="B91" s="561">
        <f>TAX!$D$5</f>
        <v>10.882804714239988</v>
      </c>
      <c r="C91" s="561">
        <f>TAX!$D$6</f>
        <v>9.5739924198611241</v>
      </c>
      <c r="D91" s="561">
        <f>TAX!$D$7</f>
        <v>40</v>
      </c>
      <c r="E91" s="561">
        <f>TAX!$D$8</f>
        <v>30</v>
      </c>
      <c r="F91" s="561">
        <f>TAX!$D$9</f>
        <v>20</v>
      </c>
      <c r="G91" s="561">
        <f>TAX!$D$10</f>
        <v>10</v>
      </c>
      <c r="H91" s="561">
        <f>TAX!$D$12</f>
        <v>6.9832080720026219</v>
      </c>
      <c r="I91" s="561">
        <f>TAX!$D$13</f>
        <v>6.5893194706994329</v>
      </c>
      <c r="J91" s="561">
        <f>TAX!$D$17</f>
        <v>6.8564856955967928</v>
      </c>
      <c r="K91" s="561">
        <f>TAX!$D$18</f>
        <v>5.6090714932482975</v>
      </c>
      <c r="L91" s="561">
        <f>TAX!$D$19</f>
        <v>3.1488447684000027</v>
      </c>
      <c r="M91" s="561">
        <f>TAX!$D$20</f>
        <v>4.7</v>
      </c>
      <c r="N91" s="561">
        <f>TAX!$D$21</f>
        <v>3</v>
      </c>
      <c r="O91" s="561">
        <f>TAX!$D$22</f>
        <v>2.3569174140963063</v>
      </c>
      <c r="P91" s="561">
        <f>TAX!$D$15</f>
        <v>10</v>
      </c>
      <c r="Q91" s="561">
        <f>TAX!$D$16</f>
        <v>9.1000000000000014</v>
      </c>
      <c r="R91" s="561">
        <f>TAX!$D$24</f>
        <v>13.8</v>
      </c>
    </row>
    <row r="92" spans="1:18">
      <c r="A92" s="127" t="s">
        <v>22</v>
      </c>
      <c r="B92" s="561">
        <f>TAX!$D$5</f>
        <v>10.882804714239988</v>
      </c>
      <c r="C92" s="561">
        <f>TAX!$D$6</f>
        <v>9.5739924198611241</v>
      </c>
      <c r="D92" s="561">
        <f>TAX!$D$7</f>
        <v>40</v>
      </c>
      <c r="E92" s="561">
        <f>TAX!$D$8</f>
        <v>30</v>
      </c>
      <c r="F92" s="561">
        <f>TAX!$D$9</f>
        <v>20</v>
      </c>
      <c r="G92" s="561">
        <f>TAX!$D$10</f>
        <v>10</v>
      </c>
      <c r="H92" s="561">
        <f>TAX!$D$12</f>
        <v>6.9832080720026219</v>
      </c>
      <c r="I92" s="561">
        <f>TAX!$D$13</f>
        <v>6.5893194706994329</v>
      </c>
      <c r="J92" s="561">
        <f>TAX!$D$17</f>
        <v>6.8564856955967928</v>
      </c>
      <c r="K92" s="561">
        <f>TAX!$D$18</f>
        <v>5.6090714932482975</v>
      </c>
      <c r="L92" s="561">
        <f>TAX!$D$19</f>
        <v>3.1488447684000027</v>
      </c>
      <c r="M92" s="561">
        <f>TAX!$D$20</f>
        <v>4.7</v>
      </c>
      <c r="N92" s="561">
        <f>TAX!$D$21</f>
        <v>3</v>
      </c>
      <c r="O92" s="561">
        <f>TAX!$D$22</f>
        <v>2.3569174140963063</v>
      </c>
      <c r="P92" s="561">
        <f>TAX!$D$15</f>
        <v>10</v>
      </c>
      <c r="Q92" s="561">
        <f>TAX!$D$16</f>
        <v>9.1000000000000014</v>
      </c>
      <c r="R92" s="561">
        <f>TAX!$D$24</f>
        <v>13.8</v>
      </c>
    </row>
    <row r="93" spans="1:18">
      <c r="A93" s="127" t="s">
        <v>23</v>
      </c>
      <c r="B93" s="561">
        <f>TAX!$D$5</f>
        <v>10.882804714239988</v>
      </c>
      <c r="C93" s="561">
        <f>TAX!$D$6</f>
        <v>9.5739924198611241</v>
      </c>
      <c r="D93" s="561">
        <f>TAX!$D$7</f>
        <v>40</v>
      </c>
      <c r="E93" s="561">
        <f>TAX!$D$8</f>
        <v>30</v>
      </c>
      <c r="F93" s="561">
        <f>TAX!$D$9</f>
        <v>20</v>
      </c>
      <c r="G93" s="561">
        <f>TAX!$D$10</f>
        <v>10</v>
      </c>
      <c r="H93" s="561">
        <f>TAX!$D$12</f>
        <v>6.9832080720026219</v>
      </c>
      <c r="I93" s="561">
        <f>TAX!$D$13</f>
        <v>6.5893194706994329</v>
      </c>
      <c r="J93" s="561">
        <f>TAX!$D$17</f>
        <v>6.8564856955967928</v>
      </c>
      <c r="K93" s="561">
        <f>TAX!$D$18</f>
        <v>5.6090714932482975</v>
      </c>
      <c r="L93" s="561">
        <f>TAX!$D$19</f>
        <v>3.1488447684000027</v>
      </c>
      <c r="M93" s="561">
        <f>TAX!$D$20</f>
        <v>4.7</v>
      </c>
      <c r="N93" s="561">
        <f>TAX!$D$21</f>
        <v>3</v>
      </c>
      <c r="O93" s="561">
        <f>TAX!$D$22</f>
        <v>2.3569174140963063</v>
      </c>
      <c r="P93" s="561">
        <f>TAX!$D$15</f>
        <v>10</v>
      </c>
      <c r="Q93" s="561">
        <f>TAX!$D$16</f>
        <v>9.1000000000000014</v>
      </c>
      <c r="R93" s="561">
        <f>TAX!$D$24</f>
        <v>13.8</v>
      </c>
    </row>
    <row r="94" spans="1:18">
      <c r="A94" s="127" t="s">
        <v>24</v>
      </c>
      <c r="B94" s="561">
        <f>TAX!$D$5</f>
        <v>10.882804714239988</v>
      </c>
      <c r="C94" s="561">
        <f>TAX!$D$6</f>
        <v>9.5739924198611241</v>
      </c>
      <c r="D94" s="561">
        <f>TAX!$D$7</f>
        <v>40</v>
      </c>
      <c r="E94" s="561">
        <f>TAX!$D$8</f>
        <v>30</v>
      </c>
      <c r="F94" s="561">
        <f>TAX!$D$9</f>
        <v>20</v>
      </c>
      <c r="G94" s="561">
        <f>TAX!$D$10</f>
        <v>10</v>
      </c>
      <c r="H94" s="561">
        <f>TAX!$D$12</f>
        <v>6.9832080720026219</v>
      </c>
      <c r="I94" s="561">
        <f>TAX!$D$13</f>
        <v>6.5893194706994329</v>
      </c>
      <c r="J94" s="561">
        <f>TAX!$D$17</f>
        <v>6.8564856955967928</v>
      </c>
      <c r="K94" s="561">
        <f>TAX!$D$18</f>
        <v>5.6090714932482975</v>
      </c>
      <c r="L94" s="561">
        <f>TAX!$D$19</f>
        <v>3.1488447684000027</v>
      </c>
      <c r="M94" s="561">
        <f>TAX!$D$20</f>
        <v>4.7</v>
      </c>
      <c r="N94" s="561">
        <f>TAX!$D$21</f>
        <v>3</v>
      </c>
      <c r="O94" s="561">
        <f>TAX!$D$22</f>
        <v>2.3569174140963063</v>
      </c>
      <c r="P94" s="561">
        <f>TAX!$D$15</f>
        <v>10</v>
      </c>
      <c r="Q94" s="561">
        <f>TAX!$D$16</f>
        <v>9.1000000000000014</v>
      </c>
      <c r="R94" s="561">
        <f>TAX!$D$24</f>
        <v>13.8</v>
      </c>
    </row>
    <row r="95" spans="1:18">
      <c r="A95" s="127" t="s">
        <v>25</v>
      </c>
      <c r="B95" s="561">
        <f>TAX!$D$5</f>
        <v>10.882804714239988</v>
      </c>
      <c r="C95" s="561">
        <f>TAX!$D$6</f>
        <v>9.5739924198611241</v>
      </c>
      <c r="D95" s="561">
        <f>TAX!$D$7</f>
        <v>40</v>
      </c>
      <c r="E95" s="561">
        <f>TAX!$D$8</f>
        <v>30</v>
      </c>
      <c r="F95" s="561">
        <f>TAX!$D$9</f>
        <v>20</v>
      </c>
      <c r="G95" s="561">
        <f>TAX!$D$10</f>
        <v>10</v>
      </c>
      <c r="H95" s="561">
        <f>TAX!$D$12</f>
        <v>6.9832080720026219</v>
      </c>
      <c r="I95" s="561">
        <f>TAX!$D$13</f>
        <v>6.5893194706994329</v>
      </c>
      <c r="J95" s="561">
        <f>TAX!$D$17</f>
        <v>6.8564856955967928</v>
      </c>
      <c r="K95" s="561">
        <f>TAX!$D$18</f>
        <v>5.6090714932482975</v>
      </c>
      <c r="L95" s="561">
        <f>TAX!$D$19</f>
        <v>3.1488447684000027</v>
      </c>
      <c r="M95" s="561">
        <f>TAX!$D$20</f>
        <v>4.7</v>
      </c>
      <c r="N95" s="561">
        <f>TAX!$D$21</f>
        <v>3</v>
      </c>
      <c r="O95" s="561">
        <f>TAX!$D$22</f>
        <v>2.3569174140963063</v>
      </c>
      <c r="P95" s="561">
        <f>TAX!$D$15</f>
        <v>10</v>
      </c>
      <c r="Q95" s="561">
        <f>TAX!$D$16</f>
        <v>9.1000000000000014</v>
      </c>
      <c r="R95" s="561">
        <f>TAX!$D$24</f>
        <v>13.8</v>
      </c>
    </row>
    <row r="96" spans="1:18">
      <c r="A96" s="127" t="s">
        <v>26</v>
      </c>
      <c r="B96" s="561">
        <f>TAX!$D$5</f>
        <v>10.882804714239988</v>
      </c>
      <c r="C96" s="561">
        <f>TAX!$D$6</f>
        <v>9.5739924198611241</v>
      </c>
      <c r="D96" s="561">
        <f>TAX!$D$7</f>
        <v>40</v>
      </c>
      <c r="E96" s="561">
        <f>TAX!$D$8</f>
        <v>30</v>
      </c>
      <c r="F96" s="561">
        <f>TAX!$D$9</f>
        <v>20</v>
      </c>
      <c r="G96" s="561">
        <f>TAX!$D$10</f>
        <v>10</v>
      </c>
      <c r="H96" s="561">
        <f>TAX!$D$12</f>
        <v>6.9832080720026219</v>
      </c>
      <c r="I96" s="561">
        <f>TAX!$D$13</f>
        <v>6.5893194706994329</v>
      </c>
      <c r="J96" s="561">
        <f>TAX!$D$17</f>
        <v>6.8564856955967928</v>
      </c>
      <c r="K96" s="561">
        <f>TAX!$D$18</f>
        <v>5.6090714932482975</v>
      </c>
      <c r="L96" s="561">
        <f>TAX!$D$19</f>
        <v>3.1488447684000027</v>
      </c>
      <c r="M96" s="561">
        <f>TAX!$D$20</f>
        <v>4.7</v>
      </c>
      <c r="N96" s="561">
        <f>TAX!$D$21</f>
        <v>3</v>
      </c>
      <c r="O96" s="561">
        <f>TAX!$D$22</f>
        <v>2.3569174140963063</v>
      </c>
      <c r="P96" s="561">
        <f>TAX!$D$15</f>
        <v>10</v>
      </c>
      <c r="Q96" s="561">
        <f>TAX!$D$16</f>
        <v>9.1000000000000014</v>
      </c>
      <c r="R96" s="561">
        <f>TAX!$D$24</f>
        <v>13.8</v>
      </c>
    </row>
    <row r="97" spans="1:18">
      <c r="A97" s="127" t="s">
        <v>27</v>
      </c>
      <c r="B97" s="561">
        <f>TAX!$D$5</f>
        <v>10.882804714239988</v>
      </c>
      <c r="C97" s="561">
        <f>TAX!$D$6</f>
        <v>9.5739924198611241</v>
      </c>
      <c r="D97" s="561">
        <f>TAX!$D$7</f>
        <v>40</v>
      </c>
      <c r="E97" s="561">
        <f>TAX!$D$8</f>
        <v>30</v>
      </c>
      <c r="F97" s="561">
        <f>TAX!$D$9</f>
        <v>20</v>
      </c>
      <c r="G97" s="561">
        <f>TAX!$D$10</f>
        <v>10</v>
      </c>
      <c r="H97" s="561">
        <f>TAX!$D$12</f>
        <v>6.9832080720026219</v>
      </c>
      <c r="I97" s="561">
        <f>TAX!$D$13</f>
        <v>6.5893194706994329</v>
      </c>
      <c r="J97" s="561">
        <f>TAX!$D$17</f>
        <v>6.8564856955967928</v>
      </c>
      <c r="K97" s="561">
        <f>TAX!$D$18</f>
        <v>5.6090714932482975</v>
      </c>
      <c r="L97" s="561">
        <f>TAX!$D$19</f>
        <v>3.1488447684000027</v>
      </c>
      <c r="M97" s="561">
        <f>TAX!$D$20</f>
        <v>4.7</v>
      </c>
      <c r="N97" s="561">
        <f>TAX!$D$21</f>
        <v>3</v>
      </c>
      <c r="O97" s="561">
        <f>TAX!$D$22</f>
        <v>2.3569174140963063</v>
      </c>
      <c r="P97" s="561">
        <f>TAX!$D$15</f>
        <v>10</v>
      </c>
      <c r="Q97" s="561">
        <f>TAX!$D$16</f>
        <v>9.1000000000000014</v>
      </c>
      <c r="R97" s="561">
        <f>TAX!$D$24</f>
        <v>13.8</v>
      </c>
    </row>
    <row r="98" spans="1:18" ht="25.5">
      <c r="A98" s="127" t="s">
        <v>28</v>
      </c>
      <c r="B98" s="561">
        <f>TAX!$D$5</f>
        <v>10.882804714239988</v>
      </c>
      <c r="C98" s="561">
        <f>TAX!$D$6</f>
        <v>9.5739924198611241</v>
      </c>
      <c r="D98" s="561">
        <f>TAX!$D$7</f>
        <v>40</v>
      </c>
      <c r="E98" s="561">
        <f>TAX!$D$8</f>
        <v>30</v>
      </c>
      <c r="F98" s="561">
        <f>TAX!$D$9</f>
        <v>20</v>
      </c>
      <c r="G98" s="561">
        <f>TAX!$D$10</f>
        <v>10</v>
      </c>
      <c r="H98" s="561">
        <f>TAX!$D$12</f>
        <v>6.9832080720026219</v>
      </c>
      <c r="I98" s="561">
        <f>TAX!$D$13</f>
        <v>6.5893194706994329</v>
      </c>
      <c r="J98" s="561">
        <f>TAX!$D$17</f>
        <v>6.8564856955967928</v>
      </c>
      <c r="K98" s="561">
        <f>TAX!$D$18</f>
        <v>5.6090714932482975</v>
      </c>
      <c r="L98" s="561">
        <f>TAX!$D$19</f>
        <v>3.1488447684000027</v>
      </c>
      <c r="M98" s="561">
        <f>TAX!$D$20</f>
        <v>4.7</v>
      </c>
      <c r="N98" s="561">
        <f>TAX!$D$21</f>
        <v>3</v>
      </c>
      <c r="O98" s="561">
        <f>TAX!$D$22</f>
        <v>2.3569174140963063</v>
      </c>
      <c r="P98" s="561">
        <f>TAX!$D$15</f>
        <v>10</v>
      </c>
      <c r="Q98" s="561">
        <f>TAX!$D$16</f>
        <v>9.1000000000000014</v>
      </c>
      <c r="R98" s="561">
        <f>TAX!$D$24</f>
        <v>13.8</v>
      </c>
    </row>
    <row r="99" spans="1:18" ht="15.75" thickBot="1">
      <c r="A99" s="128" t="s">
        <v>29</v>
      </c>
      <c r="B99" s="561">
        <f>TAX!$D$5</f>
        <v>10.882804714239988</v>
      </c>
      <c r="C99" s="561">
        <f>TAX!$D$6</f>
        <v>9.5739924198611241</v>
      </c>
      <c r="D99" s="561">
        <f>TAX!$D$7</f>
        <v>40</v>
      </c>
      <c r="E99" s="561">
        <f>TAX!$D$8</f>
        <v>30</v>
      </c>
      <c r="F99" s="561">
        <f>TAX!$D$9</f>
        <v>20</v>
      </c>
      <c r="G99" s="561">
        <f>TAX!$D$10</f>
        <v>10</v>
      </c>
      <c r="H99" s="561">
        <f>TAX!$D$12</f>
        <v>6.9832080720026219</v>
      </c>
      <c r="I99" s="561">
        <f>TAX!$D$13</f>
        <v>6.5893194706994329</v>
      </c>
      <c r="J99" s="561">
        <f>TAX!$D$17</f>
        <v>6.8564856955967928</v>
      </c>
      <c r="K99" s="561">
        <f>TAX!$D$18</f>
        <v>5.6090714932482975</v>
      </c>
      <c r="L99" s="561">
        <f>TAX!$D$19</f>
        <v>3.1488447684000027</v>
      </c>
      <c r="M99" s="561">
        <f>TAX!$D$20</f>
        <v>4.7</v>
      </c>
      <c r="N99" s="561">
        <f>TAX!$D$21</f>
        <v>3</v>
      </c>
      <c r="O99" s="561">
        <f>TAX!$D$22</f>
        <v>2.3569174140963063</v>
      </c>
      <c r="P99" s="561">
        <f>TAX!$D$15</f>
        <v>10</v>
      </c>
      <c r="Q99" s="561">
        <f>TAX!$D$16</f>
        <v>9.1000000000000014</v>
      </c>
      <c r="R99" s="561">
        <f>TAX!$D$24</f>
        <v>13.8</v>
      </c>
    </row>
    <row r="100" spans="1:18">
      <c r="A100" s="269" t="s">
        <v>64</v>
      </c>
      <c r="B100" s="561">
        <f>TAX!$D$5</f>
        <v>10.882804714239988</v>
      </c>
      <c r="C100" s="561">
        <f>TAX!$D$6</f>
        <v>9.5739924198611241</v>
      </c>
      <c r="D100" s="561">
        <f>TAX!$D$7</f>
        <v>40</v>
      </c>
      <c r="E100" s="561">
        <f>TAX!$D$8</f>
        <v>30</v>
      </c>
      <c r="F100" s="561">
        <f>TAX!$D$9</f>
        <v>20</v>
      </c>
      <c r="G100" s="561">
        <f>TAX!$D$10</f>
        <v>10</v>
      </c>
      <c r="H100" s="561">
        <f>TAX!$D$12</f>
        <v>6.9832080720026219</v>
      </c>
      <c r="I100" s="561">
        <f>TAX!$D$13</f>
        <v>6.5893194706994329</v>
      </c>
      <c r="J100" s="561">
        <f>TAX!$D$17</f>
        <v>6.8564856955967928</v>
      </c>
      <c r="K100" s="561">
        <f>TAX!$D$18</f>
        <v>5.6090714932482975</v>
      </c>
      <c r="L100" s="561">
        <f>TAX!$D$19</f>
        <v>3.1488447684000027</v>
      </c>
      <c r="M100" s="561">
        <f>TAX!$D$20</f>
        <v>4.7</v>
      </c>
      <c r="N100" s="561">
        <f>TAX!$D$21</f>
        <v>3</v>
      </c>
      <c r="O100" s="561">
        <f>TAX!$D$22</f>
        <v>2.3569174140963063</v>
      </c>
      <c r="P100" s="561">
        <f>TAX!$D$15</f>
        <v>10</v>
      </c>
      <c r="Q100" s="561">
        <f>TAX!$D$16</f>
        <v>9.1000000000000014</v>
      </c>
      <c r="R100" s="561">
        <f>TAX!$D$24</f>
        <v>13.8</v>
      </c>
    </row>
    <row r="101" spans="1:18">
      <c r="A101" s="127" t="s">
        <v>31</v>
      </c>
      <c r="B101" s="561">
        <f>TAX!$D$5</f>
        <v>10.882804714239988</v>
      </c>
      <c r="C101" s="561">
        <f>TAX!$D$6</f>
        <v>9.5739924198611241</v>
      </c>
      <c r="D101" s="561">
        <f>TAX!$D$7</f>
        <v>40</v>
      </c>
      <c r="E101" s="561">
        <f>TAX!$D$8</f>
        <v>30</v>
      </c>
      <c r="F101" s="561">
        <f>TAX!$D$9</f>
        <v>20</v>
      </c>
      <c r="G101" s="561">
        <f>TAX!$D$10</f>
        <v>10</v>
      </c>
      <c r="H101" s="561">
        <f>TAX!$D$12</f>
        <v>6.9832080720026219</v>
      </c>
      <c r="I101" s="561">
        <f>TAX!$D$13</f>
        <v>6.5893194706994329</v>
      </c>
      <c r="J101" s="561">
        <f>TAX!$D$17</f>
        <v>6.8564856955967928</v>
      </c>
      <c r="K101" s="561">
        <f>TAX!$D$18</f>
        <v>5.6090714932482975</v>
      </c>
      <c r="L101" s="561">
        <f>TAX!$D$19</f>
        <v>3.1488447684000027</v>
      </c>
      <c r="M101" s="561">
        <f>TAX!$D$20</f>
        <v>4.7</v>
      </c>
      <c r="N101" s="561">
        <f>TAX!$D$21</f>
        <v>3</v>
      </c>
      <c r="O101" s="561">
        <f>TAX!$D$22</f>
        <v>2.3569174140963063</v>
      </c>
      <c r="P101" s="561">
        <f>TAX!$D$15</f>
        <v>10</v>
      </c>
      <c r="Q101" s="561">
        <f>TAX!$D$16</f>
        <v>9.1000000000000014</v>
      </c>
      <c r="R101" s="561">
        <f>TAX!$D$24</f>
        <v>13.8</v>
      </c>
    </row>
    <row r="102" spans="1:18">
      <c r="A102" s="127" t="s">
        <v>32</v>
      </c>
      <c r="B102" s="561">
        <f>TAX!$D$5</f>
        <v>10.882804714239988</v>
      </c>
      <c r="C102" s="561">
        <f>TAX!$D$6</f>
        <v>9.5739924198611241</v>
      </c>
      <c r="D102" s="561">
        <f>TAX!$D$7</f>
        <v>40</v>
      </c>
      <c r="E102" s="561">
        <f>TAX!$D$8</f>
        <v>30</v>
      </c>
      <c r="F102" s="561">
        <f>TAX!$D$9</f>
        <v>20</v>
      </c>
      <c r="G102" s="561">
        <f>TAX!$D$10</f>
        <v>10</v>
      </c>
      <c r="H102" s="561">
        <f>TAX!$D$12</f>
        <v>6.9832080720026219</v>
      </c>
      <c r="I102" s="561">
        <f>TAX!$D$13</f>
        <v>6.5893194706994329</v>
      </c>
      <c r="J102" s="561">
        <f>TAX!$D$17</f>
        <v>6.8564856955967928</v>
      </c>
      <c r="K102" s="561">
        <f>TAX!$D$18</f>
        <v>5.6090714932482975</v>
      </c>
      <c r="L102" s="561">
        <f>TAX!$D$19</f>
        <v>3.1488447684000027</v>
      </c>
      <c r="M102" s="561">
        <f>TAX!$D$20</f>
        <v>4.7</v>
      </c>
      <c r="N102" s="561">
        <f>TAX!$D$21</f>
        <v>3</v>
      </c>
      <c r="O102" s="561">
        <f>TAX!$D$22</f>
        <v>2.3569174140963063</v>
      </c>
      <c r="P102" s="561">
        <f>TAX!$D$15</f>
        <v>10</v>
      </c>
      <c r="Q102" s="561">
        <f>TAX!$D$16</f>
        <v>9.1000000000000014</v>
      </c>
      <c r="R102" s="561">
        <f>TAX!$D$24</f>
        <v>13.8</v>
      </c>
    </row>
    <row r="103" spans="1:18">
      <c r="A103" s="127" t="s">
        <v>33</v>
      </c>
      <c r="B103" s="561">
        <f>TAX!$D$5</f>
        <v>10.882804714239988</v>
      </c>
      <c r="C103" s="561">
        <f>TAX!$D$6</f>
        <v>9.5739924198611241</v>
      </c>
      <c r="D103" s="561">
        <f>TAX!$D$7</f>
        <v>40</v>
      </c>
      <c r="E103" s="561">
        <f>TAX!$D$8</f>
        <v>30</v>
      </c>
      <c r="F103" s="561">
        <f>TAX!$D$9</f>
        <v>20</v>
      </c>
      <c r="G103" s="561">
        <f>TAX!$D$10</f>
        <v>10</v>
      </c>
      <c r="H103" s="561">
        <f>TAX!$D$12</f>
        <v>6.9832080720026219</v>
      </c>
      <c r="I103" s="561">
        <f>TAX!$D$13</f>
        <v>6.5893194706994329</v>
      </c>
      <c r="J103" s="561">
        <f>TAX!$D$17</f>
        <v>6.8564856955967928</v>
      </c>
      <c r="K103" s="561">
        <f>TAX!$D$18</f>
        <v>5.6090714932482975</v>
      </c>
      <c r="L103" s="561">
        <f>TAX!$D$19</f>
        <v>3.1488447684000027</v>
      </c>
      <c r="M103" s="561">
        <f>TAX!$D$20</f>
        <v>4.7</v>
      </c>
      <c r="N103" s="561">
        <f>TAX!$D$21</f>
        <v>3</v>
      </c>
      <c r="O103" s="561">
        <f>TAX!$D$22</f>
        <v>2.3569174140963063</v>
      </c>
      <c r="P103" s="561">
        <f>TAX!$D$15</f>
        <v>10</v>
      </c>
      <c r="Q103" s="561">
        <f>TAX!$D$16</f>
        <v>9.1000000000000014</v>
      </c>
      <c r="R103" s="561">
        <f>TAX!$D$24</f>
        <v>13.8</v>
      </c>
    </row>
    <row r="104" spans="1:18" ht="15.75" thickBot="1">
      <c r="A104" s="128" t="s">
        <v>34</v>
      </c>
      <c r="B104" s="561">
        <f>TAX!$D$5</f>
        <v>10.882804714239988</v>
      </c>
      <c r="C104" s="561">
        <f>TAX!$D$6</f>
        <v>9.5739924198611241</v>
      </c>
      <c r="D104" s="561">
        <f>TAX!$D$7</f>
        <v>40</v>
      </c>
      <c r="E104" s="561">
        <f>TAX!$D$8</f>
        <v>30</v>
      </c>
      <c r="F104" s="561">
        <f>TAX!$D$9</f>
        <v>20</v>
      </c>
      <c r="G104" s="561">
        <f>TAX!$D$10</f>
        <v>10</v>
      </c>
      <c r="H104" s="561">
        <f>TAX!$D$12</f>
        <v>6.9832080720026219</v>
      </c>
      <c r="I104" s="561">
        <f>TAX!$D$13</f>
        <v>6.5893194706994329</v>
      </c>
      <c r="J104" s="561">
        <f>TAX!$D$17</f>
        <v>6.8564856955967928</v>
      </c>
      <c r="K104" s="561">
        <f>TAX!$D$18</f>
        <v>5.6090714932482975</v>
      </c>
      <c r="L104" s="561">
        <f>TAX!$D$19</f>
        <v>3.1488447684000027</v>
      </c>
      <c r="M104" s="561">
        <f>TAX!$D$20</f>
        <v>4.7</v>
      </c>
      <c r="N104" s="561">
        <f>TAX!$D$21</f>
        <v>3</v>
      </c>
      <c r="O104" s="561">
        <f>TAX!$D$22</f>
        <v>2.3569174140963063</v>
      </c>
      <c r="P104" s="561">
        <f>TAX!$D$15</f>
        <v>10</v>
      </c>
      <c r="Q104" s="561">
        <f>TAX!$D$16</f>
        <v>9.1000000000000014</v>
      </c>
      <c r="R104" s="561">
        <f>TAX!$D$24</f>
        <v>13.8</v>
      </c>
    </row>
    <row r="105" spans="1:18">
      <c r="A105" s="269" t="s">
        <v>69</v>
      </c>
      <c r="B105" s="561">
        <f>TAX!$D$5</f>
        <v>10.882804714239988</v>
      </c>
      <c r="C105" s="561">
        <f>TAX!$D$6</f>
        <v>9.5739924198611241</v>
      </c>
      <c r="D105" s="561">
        <f>TAX!$D$7</f>
        <v>40</v>
      </c>
      <c r="E105" s="561">
        <f>TAX!$D$8</f>
        <v>30</v>
      </c>
      <c r="F105" s="561">
        <f>TAX!$D$9</f>
        <v>20</v>
      </c>
      <c r="G105" s="561">
        <f>TAX!$D$10</f>
        <v>10</v>
      </c>
      <c r="H105" s="561">
        <f>TAX!$D$12</f>
        <v>6.9832080720026219</v>
      </c>
      <c r="I105" s="561">
        <f>TAX!$D$13</f>
        <v>6.5893194706994329</v>
      </c>
      <c r="J105" s="561">
        <f>TAX!$D$17</f>
        <v>6.8564856955967928</v>
      </c>
      <c r="K105" s="561">
        <f>TAX!$D$18</f>
        <v>5.6090714932482975</v>
      </c>
      <c r="L105" s="561">
        <f>TAX!$D$19</f>
        <v>3.1488447684000027</v>
      </c>
      <c r="M105" s="561">
        <f>TAX!$D$20</f>
        <v>4.7</v>
      </c>
      <c r="N105" s="561">
        <f>TAX!$D$21</f>
        <v>3</v>
      </c>
      <c r="O105" s="561">
        <f>TAX!$D$22</f>
        <v>2.3569174140963063</v>
      </c>
      <c r="P105" s="561">
        <f>TAX!$D$15</f>
        <v>10</v>
      </c>
      <c r="Q105" s="561">
        <f>TAX!$D$16</f>
        <v>9.1000000000000014</v>
      </c>
      <c r="R105" s="561">
        <f>TAX!$D$24</f>
        <v>13.8</v>
      </c>
    </row>
    <row r="106" spans="1:18">
      <c r="A106" s="127" t="s">
        <v>36</v>
      </c>
      <c r="B106" s="561">
        <f>TAX!$D$5</f>
        <v>10.882804714239988</v>
      </c>
      <c r="C106" s="561">
        <f>TAX!$D$6</f>
        <v>9.5739924198611241</v>
      </c>
      <c r="D106" s="561">
        <f>TAX!$D$7</f>
        <v>40</v>
      </c>
      <c r="E106" s="561">
        <f>TAX!$D$8</f>
        <v>30</v>
      </c>
      <c r="F106" s="561">
        <f>TAX!$D$9</f>
        <v>20</v>
      </c>
      <c r="G106" s="561">
        <f>TAX!$D$10</f>
        <v>10</v>
      </c>
      <c r="H106" s="561">
        <f>TAX!$D$12</f>
        <v>6.9832080720026219</v>
      </c>
      <c r="I106" s="561">
        <f>TAX!$D$13</f>
        <v>6.5893194706994329</v>
      </c>
      <c r="J106" s="561">
        <f>TAX!$D$17</f>
        <v>6.8564856955967928</v>
      </c>
      <c r="K106" s="561">
        <f>TAX!$D$18</f>
        <v>5.6090714932482975</v>
      </c>
      <c r="L106" s="561">
        <f>TAX!$D$19</f>
        <v>3.1488447684000027</v>
      </c>
      <c r="M106" s="561">
        <f>TAX!$D$20</f>
        <v>4.7</v>
      </c>
      <c r="N106" s="561">
        <f>TAX!$D$21</f>
        <v>3</v>
      </c>
      <c r="O106" s="561">
        <f>TAX!$D$22</f>
        <v>2.3569174140963063</v>
      </c>
      <c r="P106" s="561">
        <f>TAX!$D$15</f>
        <v>10</v>
      </c>
      <c r="Q106" s="561">
        <f>TAX!$D$16</f>
        <v>9.1000000000000014</v>
      </c>
      <c r="R106" s="561">
        <f>TAX!$D$24</f>
        <v>13.8</v>
      </c>
    </row>
    <row r="107" spans="1:18">
      <c r="A107" s="127" t="s">
        <v>37</v>
      </c>
      <c r="B107" s="561">
        <f>TAX!$D$5</f>
        <v>10.882804714239988</v>
      </c>
      <c r="C107" s="561">
        <f>TAX!$D$6</f>
        <v>9.5739924198611241</v>
      </c>
      <c r="D107" s="561">
        <f>TAX!$D$7</f>
        <v>40</v>
      </c>
      <c r="E107" s="561">
        <f>TAX!$D$8</f>
        <v>30</v>
      </c>
      <c r="F107" s="561">
        <f>TAX!$D$9</f>
        <v>20</v>
      </c>
      <c r="G107" s="561">
        <f>TAX!$D$10</f>
        <v>10</v>
      </c>
      <c r="H107" s="561">
        <f>TAX!$D$12</f>
        <v>6.9832080720026219</v>
      </c>
      <c r="I107" s="561">
        <f>TAX!$D$13</f>
        <v>6.5893194706994329</v>
      </c>
      <c r="J107" s="561">
        <f>TAX!$D$17</f>
        <v>6.8564856955967928</v>
      </c>
      <c r="K107" s="561">
        <f>TAX!$D$18</f>
        <v>5.6090714932482975</v>
      </c>
      <c r="L107" s="561">
        <f>TAX!$D$19</f>
        <v>3.1488447684000027</v>
      </c>
      <c r="M107" s="561">
        <f>TAX!$D$20</f>
        <v>4.7</v>
      </c>
      <c r="N107" s="561">
        <f>TAX!$D$21</f>
        <v>3</v>
      </c>
      <c r="O107" s="561">
        <f>TAX!$D$22</f>
        <v>2.3569174140963063</v>
      </c>
      <c r="P107" s="561">
        <f>TAX!$D$15</f>
        <v>10</v>
      </c>
      <c r="Q107" s="561">
        <f>TAX!$D$16</f>
        <v>9.1000000000000014</v>
      </c>
      <c r="R107" s="561">
        <f>TAX!$D$24</f>
        <v>13.8</v>
      </c>
    </row>
    <row r="108" spans="1:18" ht="15.75" thickBot="1">
      <c r="A108" s="128" t="s">
        <v>38</v>
      </c>
      <c r="B108" s="561">
        <f>TAX!$D$5</f>
        <v>10.882804714239988</v>
      </c>
      <c r="C108" s="561">
        <f>TAX!$D$6</f>
        <v>9.5739924198611241</v>
      </c>
      <c r="D108" s="561">
        <f>TAX!$D$7</f>
        <v>40</v>
      </c>
      <c r="E108" s="561">
        <f>TAX!$D$8</f>
        <v>30</v>
      </c>
      <c r="F108" s="561">
        <f>TAX!$D$9</f>
        <v>20</v>
      </c>
      <c r="G108" s="561">
        <f>TAX!$D$10</f>
        <v>10</v>
      </c>
      <c r="H108" s="561">
        <f>TAX!$D$12</f>
        <v>6.9832080720026219</v>
      </c>
      <c r="I108" s="561">
        <f>TAX!$D$13</f>
        <v>6.5893194706994329</v>
      </c>
      <c r="J108" s="561">
        <f>TAX!$D$17</f>
        <v>6.8564856955967928</v>
      </c>
      <c r="K108" s="561">
        <f>TAX!$D$18</f>
        <v>5.6090714932482975</v>
      </c>
      <c r="L108" s="561">
        <f>TAX!$D$19</f>
        <v>3.1488447684000027</v>
      </c>
      <c r="M108" s="561">
        <f>TAX!$D$20</f>
        <v>4.7</v>
      </c>
      <c r="N108" s="561">
        <f>TAX!$D$21</f>
        <v>3</v>
      </c>
      <c r="O108" s="561">
        <f>TAX!$D$22</f>
        <v>2.3569174140963063</v>
      </c>
      <c r="P108" s="561">
        <f>TAX!$D$15</f>
        <v>10</v>
      </c>
      <c r="Q108" s="561">
        <f>TAX!$D$16</f>
        <v>9.1000000000000014</v>
      </c>
      <c r="R108" s="561">
        <f>TAX!$D$24</f>
        <v>13.8</v>
      </c>
    </row>
    <row r="109" spans="1:18" ht="25.5">
      <c r="A109" s="274" t="s">
        <v>73</v>
      </c>
      <c r="B109" s="561">
        <f>TAX!$D$5</f>
        <v>10.882804714239988</v>
      </c>
      <c r="C109" s="561">
        <f>TAX!$D$6</f>
        <v>9.5739924198611241</v>
      </c>
      <c r="D109" s="561">
        <f>TAX!$D$7</f>
        <v>40</v>
      </c>
      <c r="E109" s="561">
        <f>TAX!$D$8</f>
        <v>30</v>
      </c>
      <c r="F109" s="561">
        <f>TAX!$D$9</f>
        <v>20</v>
      </c>
      <c r="G109" s="561">
        <f>TAX!$D$10</f>
        <v>10</v>
      </c>
      <c r="H109" s="561">
        <f>TAX!$D$12</f>
        <v>6.9832080720026219</v>
      </c>
      <c r="I109" s="561">
        <f>TAX!$D$13</f>
        <v>6.5893194706994329</v>
      </c>
      <c r="J109" s="561">
        <f>TAX!$D$17</f>
        <v>6.8564856955967928</v>
      </c>
      <c r="K109" s="561">
        <f>TAX!$D$18</f>
        <v>5.6090714932482975</v>
      </c>
      <c r="L109" s="561">
        <f>TAX!$D$19</f>
        <v>3.1488447684000027</v>
      </c>
      <c r="M109" s="561">
        <f>TAX!$D$20</f>
        <v>4.7</v>
      </c>
      <c r="N109" s="561">
        <f>TAX!$D$21</f>
        <v>3</v>
      </c>
      <c r="O109" s="561">
        <f>TAX!$D$22</f>
        <v>2.3569174140963063</v>
      </c>
      <c r="P109" s="561">
        <f>TAX!$D$15</f>
        <v>10</v>
      </c>
      <c r="Q109" s="561">
        <f>TAX!$D$16</f>
        <v>9.1000000000000014</v>
      </c>
      <c r="R109" s="561">
        <f>TAX!$D$24</f>
        <v>13.8</v>
      </c>
    </row>
    <row r="110" spans="1:18">
      <c r="A110" s="127" t="s">
        <v>40</v>
      </c>
      <c r="B110" s="561">
        <f>TAX!$D$5</f>
        <v>10.882804714239988</v>
      </c>
      <c r="C110" s="561">
        <f>TAX!$D$6</f>
        <v>9.5739924198611241</v>
      </c>
      <c r="D110" s="561">
        <f>TAX!$D$7</f>
        <v>40</v>
      </c>
      <c r="E110" s="561">
        <f>TAX!$D$8</f>
        <v>30</v>
      </c>
      <c r="F110" s="561">
        <f>TAX!$D$9</f>
        <v>20</v>
      </c>
      <c r="G110" s="561">
        <f>TAX!$D$10</f>
        <v>10</v>
      </c>
      <c r="H110" s="561">
        <f>TAX!$D$12</f>
        <v>6.9832080720026219</v>
      </c>
      <c r="I110" s="561">
        <f>TAX!$D$13</f>
        <v>6.5893194706994329</v>
      </c>
      <c r="J110" s="561">
        <f>TAX!$D$17</f>
        <v>6.8564856955967928</v>
      </c>
      <c r="K110" s="561">
        <f>TAX!$D$18</f>
        <v>5.6090714932482975</v>
      </c>
      <c r="L110" s="561">
        <f>TAX!$D$19</f>
        <v>3.1488447684000027</v>
      </c>
      <c r="M110" s="561">
        <f>TAX!$D$20</f>
        <v>4.7</v>
      </c>
      <c r="N110" s="561">
        <f>TAX!$D$21</f>
        <v>3</v>
      </c>
      <c r="O110" s="561">
        <f>TAX!$D$22</f>
        <v>2.3569174140963063</v>
      </c>
      <c r="P110" s="561">
        <f>TAX!$D$15</f>
        <v>10</v>
      </c>
      <c r="Q110" s="561">
        <f>TAX!$D$16</f>
        <v>9.1000000000000014</v>
      </c>
      <c r="R110" s="561">
        <f>TAX!$D$24</f>
        <v>13.8</v>
      </c>
    </row>
    <row r="111" spans="1:18">
      <c r="A111" s="127" t="s">
        <v>41</v>
      </c>
      <c r="B111" s="561">
        <f>TAX!$D$5</f>
        <v>10.882804714239988</v>
      </c>
      <c r="C111" s="561">
        <f>TAX!$D$6</f>
        <v>9.5739924198611241</v>
      </c>
      <c r="D111" s="561">
        <f>TAX!$D$7</f>
        <v>40</v>
      </c>
      <c r="E111" s="561">
        <f>TAX!$D$8</f>
        <v>30</v>
      </c>
      <c r="F111" s="561">
        <f>TAX!$D$9</f>
        <v>20</v>
      </c>
      <c r="G111" s="561">
        <f>TAX!$D$10</f>
        <v>10</v>
      </c>
      <c r="H111" s="561">
        <f>TAX!$D$12</f>
        <v>6.9832080720026219</v>
      </c>
      <c r="I111" s="561">
        <f>TAX!$D$13</f>
        <v>6.5893194706994329</v>
      </c>
      <c r="J111" s="561">
        <f>TAX!$D$17</f>
        <v>6.8564856955967928</v>
      </c>
      <c r="K111" s="561">
        <f>TAX!$D$18</f>
        <v>5.6090714932482975</v>
      </c>
      <c r="L111" s="561">
        <f>TAX!$D$19</f>
        <v>3.1488447684000027</v>
      </c>
      <c r="M111" s="561">
        <f>TAX!$D$20</f>
        <v>4.7</v>
      </c>
      <c r="N111" s="561">
        <f>TAX!$D$21</f>
        <v>3</v>
      </c>
      <c r="O111" s="561">
        <f>TAX!$D$22</f>
        <v>2.3569174140963063</v>
      </c>
      <c r="P111" s="561">
        <f>TAX!$D$15</f>
        <v>10</v>
      </c>
      <c r="Q111" s="561">
        <f>TAX!$D$16</f>
        <v>9.1000000000000014</v>
      </c>
      <c r="R111" s="561">
        <f>TAX!$D$24</f>
        <v>13.8</v>
      </c>
    </row>
    <row r="112" spans="1:18">
      <c r="A112" s="127" t="s">
        <v>42</v>
      </c>
      <c r="B112" s="561">
        <f>TAX!$D$5</f>
        <v>10.882804714239988</v>
      </c>
      <c r="C112" s="561">
        <f>TAX!$D$6</f>
        <v>9.5739924198611241</v>
      </c>
      <c r="D112" s="561">
        <f>TAX!$D$7</f>
        <v>40</v>
      </c>
      <c r="E112" s="561">
        <f>TAX!$D$8</f>
        <v>30</v>
      </c>
      <c r="F112" s="561">
        <f>TAX!$D$9</f>
        <v>20</v>
      </c>
      <c r="G112" s="561">
        <f>TAX!$D$10</f>
        <v>10</v>
      </c>
      <c r="H112" s="561">
        <f>TAX!$D$12</f>
        <v>6.9832080720026219</v>
      </c>
      <c r="I112" s="561">
        <f>TAX!$D$13</f>
        <v>6.5893194706994329</v>
      </c>
      <c r="J112" s="561">
        <f>TAX!$D$17</f>
        <v>6.8564856955967928</v>
      </c>
      <c r="K112" s="561">
        <f>TAX!$D$18</f>
        <v>5.6090714932482975</v>
      </c>
      <c r="L112" s="561">
        <f>TAX!$D$19</f>
        <v>3.1488447684000027</v>
      </c>
      <c r="M112" s="561">
        <f>TAX!$D$20</f>
        <v>4.7</v>
      </c>
      <c r="N112" s="561">
        <f>TAX!$D$21</f>
        <v>3</v>
      </c>
      <c r="O112" s="561">
        <f>TAX!$D$22</f>
        <v>2.3569174140963063</v>
      </c>
      <c r="P112" s="561">
        <f>TAX!$D$15</f>
        <v>10</v>
      </c>
      <c r="Q112" s="561">
        <f>TAX!$D$16</f>
        <v>9.1000000000000014</v>
      </c>
      <c r="R112" s="561">
        <f>TAX!$D$24</f>
        <v>13.8</v>
      </c>
    </row>
    <row r="113" spans="1:18" ht="26.25" thickBot="1">
      <c r="A113" s="128" t="s">
        <v>43</v>
      </c>
      <c r="B113" s="561">
        <f>TAX!$D$5</f>
        <v>10.882804714239988</v>
      </c>
      <c r="C113" s="561">
        <f>TAX!$D$6</f>
        <v>9.5739924198611241</v>
      </c>
      <c r="D113" s="561">
        <f>TAX!$D$7</f>
        <v>40</v>
      </c>
      <c r="E113" s="561">
        <f>TAX!$D$8</f>
        <v>30</v>
      </c>
      <c r="F113" s="561">
        <f>TAX!$D$9</f>
        <v>20</v>
      </c>
      <c r="G113" s="561">
        <f>TAX!$D$10</f>
        <v>10</v>
      </c>
      <c r="H113" s="561">
        <f>TAX!$D$12</f>
        <v>6.9832080720026219</v>
      </c>
      <c r="I113" s="561">
        <f>TAX!$D$13</f>
        <v>6.5893194706994329</v>
      </c>
      <c r="J113" s="561">
        <f>TAX!$D$17</f>
        <v>6.8564856955967928</v>
      </c>
      <c r="K113" s="561">
        <f>TAX!$D$18</f>
        <v>5.6090714932482975</v>
      </c>
      <c r="L113" s="561">
        <f>TAX!$D$19</f>
        <v>3.1488447684000027</v>
      </c>
      <c r="M113" s="561">
        <f>TAX!$D$20</f>
        <v>4.7</v>
      </c>
      <c r="N113" s="561">
        <f>TAX!$D$21</f>
        <v>3</v>
      </c>
      <c r="O113" s="561">
        <f>TAX!$D$22</f>
        <v>2.3569174140963063</v>
      </c>
      <c r="P113" s="561">
        <f>TAX!$D$15</f>
        <v>10</v>
      </c>
      <c r="Q113" s="561">
        <f>TAX!$D$16</f>
        <v>9.1000000000000014</v>
      </c>
      <c r="R113" s="561">
        <f>TAX!$D$24</f>
        <v>13.8</v>
      </c>
    </row>
    <row r="114" spans="1:18" ht="15.75" thickBot="1"/>
    <row r="115" spans="1:18" ht="15.75" customHeight="1" thickBot="1">
      <c r="A115" s="1051" t="s">
        <v>487</v>
      </c>
      <c r="B115" s="1054">
        <v>2012</v>
      </c>
      <c r="C115" s="1055"/>
      <c r="D115" s="1055"/>
      <c r="E115" s="1055"/>
      <c r="F115" s="1055"/>
      <c r="G115" s="1055"/>
      <c r="H115" s="1055"/>
      <c r="I115" s="1055"/>
      <c r="J115" s="1055"/>
      <c r="K115" s="1055"/>
      <c r="L115" s="1055"/>
      <c r="M115" s="1055"/>
      <c r="N115" s="1055"/>
      <c r="O115" s="1055"/>
      <c r="P115" s="1055"/>
      <c r="Q115" s="1055"/>
      <c r="R115" s="1078"/>
    </row>
    <row r="116" spans="1:18">
      <c r="A116" s="1052"/>
      <c r="B116" s="1060" t="s">
        <v>97</v>
      </c>
      <c r="C116" s="1061"/>
      <c r="D116" s="1061"/>
      <c r="E116" s="1061"/>
      <c r="F116" s="1061"/>
      <c r="G116" s="1061"/>
      <c r="H116" s="1061" t="s">
        <v>98</v>
      </c>
      <c r="I116" s="1061"/>
      <c r="J116" s="1061" t="s">
        <v>99</v>
      </c>
      <c r="K116" s="1061"/>
      <c r="L116" s="1061"/>
      <c r="M116" s="1061"/>
      <c r="N116" s="1061"/>
      <c r="O116" s="1061"/>
      <c r="P116" s="1061"/>
      <c r="Q116" s="1061"/>
      <c r="R116" s="289" t="s">
        <v>100</v>
      </c>
    </row>
    <row r="117" spans="1:18">
      <c r="A117" s="1052"/>
      <c r="B117" s="1062" t="s">
        <v>101</v>
      </c>
      <c r="C117" s="1064" t="s">
        <v>102</v>
      </c>
      <c r="D117" s="1064" t="s">
        <v>103</v>
      </c>
      <c r="E117" s="1064"/>
      <c r="F117" s="1064"/>
      <c r="G117" s="1064"/>
      <c r="H117" s="1062" t="s">
        <v>101</v>
      </c>
      <c r="I117" s="1064" t="s">
        <v>102</v>
      </c>
      <c r="J117" s="1064" t="s">
        <v>104</v>
      </c>
      <c r="K117" s="1064"/>
      <c r="L117" s="1064"/>
      <c r="M117" s="1064" t="s">
        <v>105</v>
      </c>
      <c r="N117" s="1064"/>
      <c r="O117" s="1064"/>
      <c r="P117" s="1062" t="s">
        <v>101</v>
      </c>
      <c r="Q117" s="1064" t="s">
        <v>102</v>
      </c>
      <c r="R117" s="1062" t="s">
        <v>101</v>
      </c>
    </row>
    <row r="118" spans="1:18" ht="15.75" thickBot="1">
      <c r="A118" s="1053"/>
      <c r="B118" s="1063"/>
      <c r="C118" s="1065"/>
      <c r="D118" s="290" t="s">
        <v>106</v>
      </c>
      <c r="E118" s="290" t="s">
        <v>107</v>
      </c>
      <c r="F118" s="290" t="s">
        <v>108</v>
      </c>
      <c r="G118" s="290" t="s">
        <v>109</v>
      </c>
      <c r="H118" s="1063"/>
      <c r="I118" s="1065"/>
      <c r="J118" s="290" t="s">
        <v>110</v>
      </c>
      <c r="K118" s="290" t="s">
        <v>111</v>
      </c>
      <c r="L118" s="290" t="s">
        <v>112</v>
      </c>
      <c r="M118" s="290" t="s">
        <v>113</v>
      </c>
      <c r="N118" s="290" t="s">
        <v>114</v>
      </c>
      <c r="O118" s="290" t="s">
        <v>115</v>
      </c>
      <c r="P118" s="1063"/>
      <c r="Q118" s="1065"/>
      <c r="R118" s="1063"/>
    </row>
    <row r="119" spans="1:18" ht="15.75" thickBot="1">
      <c r="A119" s="164" t="s">
        <v>11</v>
      </c>
      <c r="B119" s="561">
        <f>TAX!$E$5</f>
        <v>10.882804714239988</v>
      </c>
      <c r="C119" s="561">
        <f>TAX!$E$6</f>
        <v>9.5739924198611241</v>
      </c>
      <c r="D119" s="561">
        <f>TAX!$E$7</f>
        <v>40</v>
      </c>
      <c r="E119" s="561">
        <f>TAX!$E$8</f>
        <v>30</v>
      </c>
      <c r="F119" s="561">
        <f>TAX!$E$9</f>
        <v>20</v>
      </c>
      <c r="G119" s="561">
        <f>TAX!$E$10</f>
        <v>10</v>
      </c>
      <c r="H119" s="561">
        <f>TAX!$E$12</f>
        <v>6.9832080720026219</v>
      </c>
      <c r="I119" s="561">
        <f>TAX!$E$13</f>
        <v>6.5893194706994329</v>
      </c>
      <c r="J119" s="561">
        <f>TAX!$E$17</f>
        <v>6.8564856955967928</v>
      </c>
      <c r="K119" s="561">
        <f>TAX!$E$18</f>
        <v>5.6090714932482975</v>
      </c>
      <c r="L119" s="561">
        <f>TAX!$E$19</f>
        <v>3.1488447684000027</v>
      </c>
      <c r="M119" s="561">
        <f>TAX!$E$20</f>
        <v>4.7</v>
      </c>
      <c r="N119" s="561">
        <f>TAX!$E$21</f>
        <v>3</v>
      </c>
      <c r="O119" s="561">
        <f>TAX!$E$22</f>
        <v>2.3569174140963063</v>
      </c>
      <c r="P119" s="561">
        <f>TAX!$E$15</f>
        <v>10</v>
      </c>
      <c r="Q119" s="561">
        <f>TAX!$E$16</f>
        <v>9.1000000000000014</v>
      </c>
      <c r="R119" s="561">
        <f>TAX!$E$24</f>
        <v>13.8</v>
      </c>
    </row>
    <row r="120" spans="1:18">
      <c r="A120" s="269" t="s">
        <v>46</v>
      </c>
      <c r="B120" s="561">
        <f>TAX!$E$5</f>
        <v>10.882804714239988</v>
      </c>
      <c r="C120" s="561">
        <f>TAX!$E$6</f>
        <v>9.5739924198611241</v>
      </c>
      <c r="D120" s="561">
        <f>TAX!$E$7</f>
        <v>40</v>
      </c>
      <c r="E120" s="561">
        <f>TAX!$E$8</f>
        <v>30</v>
      </c>
      <c r="F120" s="561">
        <f>TAX!$E$9</f>
        <v>20</v>
      </c>
      <c r="G120" s="561">
        <f>TAX!$E$10</f>
        <v>10</v>
      </c>
      <c r="H120" s="561">
        <f>TAX!$E$12</f>
        <v>6.9832080720026219</v>
      </c>
      <c r="I120" s="561">
        <f>TAX!$E$13</f>
        <v>6.5893194706994329</v>
      </c>
      <c r="J120" s="561">
        <f>TAX!$E$17</f>
        <v>6.8564856955967928</v>
      </c>
      <c r="K120" s="561">
        <f>TAX!$E$18</f>
        <v>5.6090714932482975</v>
      </c>
      <c r="L120" s="561">
        <f>TAX!$E$19</f>
        <v>3.1488447684000027</v>
      </c>
      <c r="M120" s="561">
        <f>TAX!$E$20</f>
        <v>4.7</v>
      </c>
      <c r="N120" s="561">
        <f>TAX!$E$21</f>
        <v>3</v>
      </c>
      <c r="O120" s="561">
        <f>TAX!$E$22</f>
        <v>2.3569174140963063</v>
      </c>
      <c r="P120" s="561">
        <f>TAX!$E$15</f>
        <v>10</v>
      </c>
      <c r="Q120" s="561">
        <f>TAX!$E$16</f>
        <v>9.1000000000000014</v>
      </c>
      <c r="R120" s="561">
        <f>TAX!$E$24</f>
        <v>13.8</v>
      </c>
    </row>
    <row r="121" spans="1:18">
      <c r="A121" s="127" t="s">
        <v>13</v>
      </c>
      <c r="B121" s="561">
        <f>TAX!$E$5</f>
        <v>10.882804714239988</v>
      </c>
      <c r="C121" s="561">
        <f>TAX!$E$6</f>
        <v>9.5739924198611241</v>
      </c>
      <c r="D121" s="561">
        <f>TAX!$E$7</f>
        <v>40</v>
      </c>
      <c r="E121" s="561">
        <f>TAX!$E$8</f>
        <v>30</v>
      </c>
      <c r="F121" s="561">
        <f>TAX!$E$9</f>
        <v>20</v>
      </c>
      <c r="G121" s="561">
        <f>TAX!$E$10</f>
        <v>10</v>
      </c>
      <c r="H121" s="561">
        <f>TAX!$E$12</f>
        <v>6.9832080720026219</v>
      </c>
      <c r="I121" s="561">
        <f>TAX!$E$13</f>
        <v>6.5893194706994329</v>
      </c>
      <c r="J121" s="561">
        <f>TAX!$E$17</f>
        <v>6.8564856955967928</v>
      </c>
      <c r="K121" s="561">
        <f>TAX!$E$18</f>
        <v>5.6090714932482975</v>
      </c>
      <c r="L121" s="561">
        <f>TAX!$E$19</f>
        <v>3.1488447684000027</v>
      </c>
      <c r="M121" s="561">
        <f>TAX!$E$20</f>
        <v>4.7</v>
      </c>
      <c r="N121" s="561">
        <f>TAX!$E$21</f>
        <v>3</v>
      </c>
      <c r="O121" s="561">
        <f>TAX!$E$22</f>
        <v>2.3569174140963063</v>
      </c>
      <c r="P121" s="561">
        <f>TAX!$E$15</f>
        <v>10</v>
      </c>
      <c r="Q121" s="561">
        <f>TAX!$E$16</f>
        <v>9.1000000000000014</v>
      </c>
      <c r="R121" s="561">
        <f>TAX!$E$24</f>
        <v>13.8</v>
      </c>
    </row>
    <row r="122" spans="1:18">
      <c r="A122" s="127" t="s">
        <v>14</v>
      </c>
      <c r="B122" s="561">
        <f>TAX!$E$5</f>
        <v>10.882804714239988</v>
      </c>
      <c r="C122" s="561">
        <f>TAX!$E$6</f>
        <v>9.5739924198611241</v>
      </c>
      <c r="D122" s="561">
        <f>TAX!$E$7</f>
        <v>40</v>
      </c>
      <c r="E122" s="561">
        <f>TAX!$E$8</f>
        <v>30</v>
      </c>
      <c r="F122" s="561">
        <f>TAX!$E$9</f>
        <v>20</v>
      </c>
      <c r="G122" s="561">
        <f>TAX!$E$10</f>
        <v>10</v>
      </c>
      <c r="H122" s="561">
        <f>TAX!$E$12</f>
        <v>6.9832080720026219</v>
      </c>
      <c r="I122" s="561">
        <f>TAX!$E$13</f>
        <v>6.5893194706994329</v>
      </c>
      <c r="J122" s="561">
        <f>TAX!$E$17</f>
        <v>6.8564856955967928</v>
      </c>
      <c r="K122" s="561">
        <f>TAX!$E$18</f>
        <v>5.6090714932482975</v>
      </c>
      <c r="L122" s="561">
        <f>TAX!$E$19</f>
        <v>3.1488447684000027</v>
      </c>
      <c r="M122" s="561">
        <f>TAX!$E$20</f>
        <v>4.7</v>
      </c>
      <c r="N122" s="561">
        <f>TAX!$E$21</f>
        <v>3</v>
      </c>
      <c r="O122" s="561">
        <f>TAX!$E$22</f>
        <v>2.3569174140963063</v>
      </c>
      <c r="P122" s="561">
        <f>TAX!$E$15</f>
        <v>10</v>
      </c>
      <c r="Q122" s="561">
        <f>TAX!$E$16</f>
        <v>9.1000000000000014</v>
      </c>
      <c r="R122" s="561">
        <f>TAX!$E$24</f>
        <v>13.8</v>
      </c>
    </row>
    <row r="123" spans="1:18">
      <c r="A123" s="127" t="s">
        <v>15</v>
      </c>
      <c r="B123" s="561">
        <f>TAX!$E$5</f>
        <v>10.882804714239988</v>
      </c>
      <c r="C123" s="561">
        <f>TAX!$E$6</f>
        <v>9.5739924198611241</v>
      </c>
      <c r="D123" s="561">
        <f>TAX!$E$7</f>
        <v>40</v>
      </c>
      <c r="E123" s="561">
        <f>TAX!$E$8</f>
        <v>30</v>
      </c>
      <c r="F123" s="561">
        <f>TAX!$E$9</f>
        <v>20</v>
      </c>
      <c r="G123" s="561">
        <f>TAX!$E$10</f>
        <v>10</v>
      </c>
      <c r="H123" s="561">
        <f>TAX!$E$12</f>
        <v>6.9832080720026219</v>
      </c>
      <c r="I123" s="561">
        <f>TAX!$E$13</f>
        <v>6.5893194706994329</v>
      </c>
      <c r="J123" s="561">
        <f>TAX!$E$17</f>
        <v>6.8564856955967928</v>
      </c>
      <c r="K123" s="561">
        <f>TAX!$E$18</f>
        <v>5.6090714932482975</v>
      </c>
      <c r="L123" s="561">
        <f>TAX!$E$19</f>
        <v>3.1488447684000027</v>
      </c>
      <c r="M123" s="561">
        <f>TAX!$E$20</f>
        <v>4.7</v>
      </c>
      <c r="N123" s="561">
        <f>TAX!$E$21</f>
        <v>3</v>
      </c>
      <c r="O123" s="561">
        <f>TAX!$E$22</f>
        <v>2.3569174140963063</v>
      </c>
      <c r="P123" s="561">
        <f>TAX!$E$15</f>
        <v>10</v>
      </c>
      <c r="Q123" s="561">
        <f>TAX!$E$16</f>
        <v>9.1000000000000014</v>
      </c>
      <c r="R123" s="561">
        <f>TAX!$E$24</f>
        <v>13.8</v>
      </c>
    </row>
    <row r="124" spans="1:18">
      <c r="A124" s="127" t="s">
        <v>16</v>
      </c>
      <c r="B124" s="561">
        <f>TAX!$E$5</f>
        <v>10.882804714239988</v>
      </c>
      <c r="C124" s="561">
        <f>TAX!$E$6</f>
        <v>9.5739924198611241</v>
      </c>
      <c r="D124" s="561">
        <f>TAX!$E$7</f>
        <v>40</v>
      </c>
      <c r="E124" s="561">
        <f>TAX!$E$8</f>
        <v>30</v>
      </c>
      <c r="F124" s="561">
        <f>TAX!$E$9</f>
        <v>20</v>
      </c>
      <c r="G124" s="561">
        <f>TAX!$E$10</f>
        <v>10</v>
      </c>
      <c r="H124" s="561">
        <f>TAX!$E$12</f>
        <v>6.9832080720026219</v>
      </c>
      <c r="I124" s="561">
        <f>TAX!$E$13</f>
        <v>6.5893194706994329</v>
      </c>
      <c r="J124" s="561">
        <f>TAX!$E$17</f>
        <v>6.8564856955967928</v>
      </c>
      <c r="K124" s="561">
        <f>TAX!$E$18</f>
        <v>5.6090714932482975</v>
      </c>
      <c r="L124" s="561">
        <f>TAX!$E$19</f>
        <v>3.1488447684000027</v>
      </c>
      <c r="M124" s="561">
        <f>TAX!$E$20</f>
        <v>4.7</v>
      </c>
      <c r="N124" s="561">
        <f>TAX!$E$21</f>
        <v>3</v>
      </c>
      <c r="O124" s="561">
        <f>TAX!$E$22</f>
        <v>2.3569174140963063</v>
      </c>
      <c r="P124" s="561">
        <f>TAX!$E$15</f>
        <v>10</v>
      </c>
      <c r="Q124" s="561">
        <f>TAX!$E$16</f>
        <v>9.1000000000000014</v>
      </c>
      <c r="R124" s="561">
        <f>TAX!$E$24</f>
        <v>13.8</v>
      </c>
    </row>
    <row r="125" spans="1:18">
      <c r="A125" s="127" t="s">
        <v>17</v>
      </c>
      <c r="B125" s="561">
        <f>TAX!$E$5</f>
        <v>10.882804714239988</v>
      </c>
      <c r="C125" s="561">
        <f>TAX!$E$6</f>
        <v>9.5739924198611241</v>
      </c>
      <c r="D125" s="561">
        <f>TAX!$E$7</f>
        <v>40</v>
      </c>
      <c r="E125" s="561">
        <f>TAX!$E$8</f>
        <v>30</v>
      </c>
      <c r="F125" s="561">
        <f>TAX!$E$9</f>
        <v>20</v>
      </c>
      <c r="G125" s="561">
        <f>TAX!$E$10</f>
        <v>10</v>
      </c>
      <c r="H125" s="561">
        <f>TAX!$E$12</f>
        <v>6.9832080720026219</v>
      </c>
      <c r="I125" s="561">
        <f>TAX!$E$13</f>
        <v>6.5893194706994329</v>
      </c>
      <c r="J125" s="561">
        <f>TAX!$E$17</f>
        <v>6.8564856955967928</v>
      </c>
      <c r="K125" s="561">
        <f>TAX!$E$18</f>
        <v>5.6090714932482975</v>
      </c>
      <c r="L125" s="561">
        <f>TAX!$E$19</f>
        <v>3.1488447684000027</v>
      </c>
      <c r="M125" s="561">
        <f>TAX!$E$20</f>
        <v>4.7</v>
      </c>
      <c r="N125" s="561">
        <f>TAX!$E$21</f>
        <v>3</v>
      </c>
      <c r="O125" s="561">
        <f>TAX!$E$22</f>
        <v>2.3569174140963063</v>
      </c>
      <c r="P125" s="561">
        <f>TAX!$E$15</f>
        <v>10</v>
      </c>
      <c r="Q125" s="561">
        <f>TAX!$E$16</f>
        <v>9.1000000000000014</v>
      </c>
      <c r="R125" s="561">
        <f>TAX!$E$24</f>
        <v>13.8</v>
      </c>
    </row>
    <row r="126" spans="1:18">
      <c r="A126" s="127" t="s">
        <v>18</v>
      </c>
      <c r="B126" s="561">
        <f>TAX!$E$5</f>
        <v>10.882804714239988</v>
      </c>
      <c r="C126" s="561">
        <f>TAX!$E$6</f>
        <v>9.5739924198611241</v>
      </c>
      <c r="D126" s="561">
        <f>TAX!$E$7</f>
        <v>40</v>
      </c>
      <c r="E126" s="561">
        <f>TAX!$E$8</f>
        <v>30</v>
      </c>
      <c r="F126" s="561">
        <f>TAX!$E$9</f>
        <v>20</v>
      </c>
      <c r="G126" s="561">
        <f>TAX!$E$10</f>
        <v>10</v>
      </c>
      <c r="H126" s="561">
        <f>TAX!$E$12</f>
        <v>6.9832080720026219</v>
      </c>
      <c r="I126" s="561">
        <f>TAX!$E$13</f>
        <v>6.5893194706994329</v>
      </c>
      <c r="J126" s="561">
        <f>TAX!$E$17</f>
        <v>6.8564856955967928</v>
      </c>
      <c r="K126" s="561">
        <f>TAX!$E$18</f>
        <v>5.6090714932482975</v>
      </c>
      <c r="L126" s="561">
        <f>TAX!$E$19</f>
        <v>3.1488447684000027</v>
      </c>
      <c r="M126" s="561">
        <f>TAX!$E$20</f>
        <v>4.7</v>
      </c>
      <c r="N126" s="561">
        <f>TAX!$E$21</f>
        <v>3</v>
      </c>
      <c r="O126" s="561">
        <f>TAX!$E$22</f>
        <v>2.3569174140963063</v>
      </c>
      <c r="P126" s="561">
        <f>TAX!$E$15</f>
        <v>10</v>
      </c>
      <c r="Q126" s="561">
        <f>TAX!$E$16</f>
        <v>9.1000000000000014</v>
      </c>
      <c r="R126" s="561">
        <f>TAX!$E$24</f>
        <v>13.8</v>
      </c>
    </row>
    <row r="127" spans="1:18" ht="15.75" thickBot="1">
      <c r="A127" s="128" t="s">
        <v>19</v>
      </c>
      <c r="B127" s="561">
        <f>TAX!$E$5</f>
        <v>10.882804714239988</v>
      </c>
      <c r="C127" s="561">
        <f>TAX!$E$6</f>
        <v>9.5739924198611241</v>
      </c>
      <c r="D127" s="561">
        <f>TAX!$E$7</f>
        <v>40</v>
      </c>
      <c r="E127" s="561">
        <f>TAX!$E$8</f>
        <v>30</v>
      </c>
      <c r="F127" s="561">
        <f>TAX!$E$9</f>
        <v>20</v>
      </c>
      <c r="G127" s="561">
        <f>TAX!$E$10</f>
        <v>10</v>
      </c>
      <c r="H127" s="561">
        <f>TAX!$E$12</f>
        <v>6.9832080720026219</v>
      </c>
      <c r="I127" s="561">
        <f>TAX!$E$13</f>
        <v>6.5893194706994329</v>
      </c>
      <c r="J127" s="561">
        <f>TAX!$E$17</f>
        <v>6.8564856955967928</v>
      </c>
      <c r="K127" s="561">
        <f>TAX!$E$18</f>
        <v>5.6090714932482975</v>
      </c>
      <c r="L127" s="561">
        <f>TAX!$E$19</f>
        <v>3.1488447684000027</v>
      </c>
      <c r="M127" s="561">
        <f>TAX!$E$20</f>
        <v>4.7</v>
      </c>
      <c r="N127" s="561">
        <f>TAX!$E$21</f>
        <v>3</v>
      </c>
      <c r="O127" s="561">
        <f>TAX!$E$22</f>
        <v>2.3569174140963063</v>
      </c>
      <c r="P127" s="561">
        <f>TAX!$E$15</f>
        <v>10</v>
      </c>
      <c r="Q127" s="561">
        <f>TAX!$E$16</f>
        <v>9.1000000000000014</v>
      </c>
      <c r="R127" s="561">
        <f>TAX!$E$24</f>
        <v>13.8</v>
      </c>
    </row>
    <row r="128" spans="1:18">
      <c r="A128" s="269" t="s">
        <v>54</v>
      </c>
      <c r="B128" s="561">
        <f>TAX!$E$5</f>
        <v>10.882804714239988</v>
      </c>
      <c r="C128" s="561">
        <f>TAX!$E$6</f>
        <v>9.5739924198611241</v>
      </c>
      <c r="D128" s="561">
        <f>TAX!$E$7</f>
        <v>40</v>
      </c>
      <c r="E128" s="561">
        <f>TAX!$E$8</f>
        <v>30</v>
      </c>
      <c r="F128" s="561">
        <f>TAX!$E$9</f>
        <v>20</v>
      </c>
      <c r="G128" s="561">
        <f>TAX!$E$10</f>
        <v>10</v>
      </c>
      <c r="H128" s="561">
        <f>TAX!$E$12</f>
        <v>6.9832080720026219</v>
      </c>
      <c r="I128" s="561">
        <f>TAX!$E$13</f>
        <v>6.5893194706994329</v>
      </c>
      <c r="J128" s="561">
        <f>TAX!$E$17</f>
        <v>6.8564856955967928</v>
      </c>
      <c r="K128" s="561">
        <f>TAX!$E$18</f>
        <v>5.6090714932482975</v>
      </c>
      <c r="L128" s="561">
        <f>TAX!$E$19</f>
        <v>3.1488447684000027</v>
      </c>
      <c r="M128" s="561">
        <f>TAX!$E$20</f>
        <v>4.7</v>
      </c>
      <c r="N128" s="561">
        <f>TAX!$E$21</f>
        <v>3</v>
      </c>
      <c r="O128" s="561">
        <f>TAX!$E$22</f>
        <v>2.3569174140963063</v>
      </c>
      <c r="P128" s="561">
        <f>TAX!$E$15</f>
        <v>10</v>
      </c>
      <c r="Q128" s="561">
        <f>TAX!$E$16</f>
        <v>9.1000000000000014</v>
      </c>
      <c r="R128" s="561">
        <f>TAX!$E$24</f>
        <v>13.8</v>
      </c>
    </row>
    <row r="129" spans="1:18">
      <c r="A129" s="127" t="s">
        <v>21</v>
      </c>
      <c r="B129" s="561">
        <f>TAX!$E$5</f>
        <v>10.882804714239988</v>
      </c>
      <c r="C129" s="561">
        <f>TAX!$E$6</f>
        <v>9.5739924198611241</v>
      </c>
      <c r="D129" s="561">
        <f>TAX!$E$7</f>
        <v>40</v>
      </c>
      <c r="E129" s="561">
        <f>TAX!$E$8</f>
        <v>30</v>
      </c>
      <c r="F129" s="561">
        <f>TAX!$E$9</f>
        <v>20</v>
      </c>
      <c r="G129" s="561">
        <f>TAX!$E$10</f>
        <v>10</v>
      </c>
      <c r="H129" s="561">
        <f>TAX!$E$12</f>
        <v>6.9832080720026219</v>
      </c>
      <c r="I129" s="561">
        <f>TAX!$E$13</f>
        <v>6.5893194706994329</v>
      </c>
      <c r="J129" s="561">
        <f>TAX!$E$17</f>
        <v>6.8564856955967928</v>
      </c>
      <c r="K129" s="561">
        <f>TAX!$E$18</f>
        <v>5.6090714932482975</v>
      </c>
      <c r="L129" s="561">
        <f>TAX!$E$19</f>
        <v>3.1488447684000027</v>
      </c>
      <c r="M129" s="561">
        <f>TAX!$E$20</f>
        <v>4.7</v>
      </c>
      <c r="N129" s="561">
        <f>TAX!$E$21</f>
        <v>3</v>
      </c>
      <c r="O129" s="561">
        <f>TAX!$E$22</f>
        <v>2.3569174140963063</v>
      </c>
      <c r="P129" s="561">
        <f>TAX!$E$15</f>
        <v>10</v>
      </c>
      <c r="Q129" s="561">
        <f>TAX!$E$16</f>
        <v>9.1000000000000014</v>
      </c>
      <c r="R129" s="561">
        <f>TAX!$E$24</f>
        <v>13.8</v>
      </c>
    </row>
    <row r="130" spans="1:18">
      <c r="A130" s="127" t="s">
        <v>22</v>
      </c>
      <c r="B130" s="561">
        <f>TAX!$E$5</f>
        <v>10.882804714239988</v>
      </c>
      <c r="C130" s="561">
        <f>TAX!$E$6</f>
        <v>9.5739924198611241</v>
      </c>
      <c r="D130" s="561">
        <f>TAX!$E$7</f>
        <v>40</v>
      </c>
      <c r="E130" s="561">
        <f>TAX!$E$8</f>
        <v>30</v>
      </c>
      <c r="F130" s="561">
        <f>TAX!$E$9</f>
        <v>20</v>
      </c>
      <c r="G130" s="561">
        <f>TAX!$E$10</f>
        <v>10</v>
      </c>
      <c r="H130" s="561">
        <f>TAX!$E$12</f>
        <v>6.9832080720026219</v>
      </c>
      <c r="I130" s="561">
        <f>TAX!$E$13</f>
        <v>6.5893194706994329</v>
      </c>
      <c r="J130" s="561">
        <f>TAX!$E$17</f>
        <v>6.8564856955967928</v>
      </c>
      <c r="K130" s="561">
        <f>TAX!$E$18</f>
        <v>5.6090714932482975</v>
      </c>
      <c r="L130" s="561">
        <f>TAX!$E$19</f>
        <v>3.1488447684000027</v>
      </c>
      <c r="M130" s="561">
        <f>TAX!$E$20</f>
        <v>4.7</v>
      </c>
      <c r="N130" s="561">
        <f>TAX!$E$21</f>
        <v>3</v>
      </c>
      <c r="O130" s="561">
        <f>TAX!$E$22</f>
        <v>2.3569174140963063</v>
      </c>
      <c r="P130" s="561">
        <f>TAX!$E$15</f>
        <v>10</v>
      </c>
      <c r="Q130" s="561">
        <f>TAX!$E$16</f>
        <v>9.1000000000000014</v>
      </c>
      <c r="R130" s="561">
        <f>TAX!$E$24</f>
        <v>13.8</v>
      </c>
    </row>
    <row r="131" spans="1:18">
      <c r="A131" s="127" t="s">
        <v>23</v>
      </c>
      <c r="B131" s="561">
        <f>TAX!$E$5</f>
        <v>10.882804714239988</v>
      </c>
      <c r="C131" s="561">
        <f>TAX!$E$6</f>
        <v>9.5739924198611241</v>
      </c>
      <c r="D131" s="561">
        <f>TAX!$E$7</f>
        <v>40</v>
      </c>
      <c r="E131" s="561">
        <f>TAX!$E$8</f>
        <v>30</v>
      </c>
      <c r="F131" s="561">
        <f>TAX!$E$9</f>
        <v>20</v>
      </c>
      <c r="G131" s="561">
        <f>TAX!$E$10</f>
        <v>10</v>
      </c>
      <c r="H131" s="561">
        <f>TAX!$E$12</f>
        <v>6.9832080720026219</v>
      </c>
      <c r="I131" s="561">
        <f>TAX!$E$13</f>
        <v>6.5893194706994329</v>
      </c>
      <c r="J131" s="561">
        <f>TAX!$E$17</f>
        <v>6.8564856955967928</v>
      </c>
      <c r="K131" s="561">
        <f>TAX!$E$18</f>
        <v>5.6090714932482975</v>
      </c>
      <c r="L131" s="561">
        <f>TAX!$E$19</f>
        <v>3.1488447684000027</v>
      </c>
      <c r="M131" s="561">
        <f>TAX!$E$20</f>
        <v>4.7</v>
      </c>
      <c r="N131" s="561">
        <f>TAX!$E$21</f>
        <v>3</v>
      </c>
      <c r="O131" s="561">
        <f>TAX!$E$22</f>
        <v>2.3569174140963063</v>
      </c>
      <c r="P131" s="561">
        <f>TAX!$E$15</f>
        <v>10</v>
      </c>
      <c r="Q131" s="561">
        <f>TAX!$E$16</f>
        <v>9.1000000000000014</v>
      </c>
      <c r="R131" s="561">
        <f>TAX!$E$24</f>
        <v>13.8</v>
      </c>
    </row>
    <row r="132" spans="1:18">
      <c r="A132" s="127" t="s">
        <v>24</v>
      </c>
      <c r="B132" s="561">
        <f>TAX!$E$5</f>
        <v>10.882804714239988</v>
      </c>
      <c r="C132" s="561">
        <f>TAX!$E$6</f>
        <v>9.5739924198611241</v>
      </c>
      <c r="D132" s="561">
        <f>TAX!$E$7</f>
        <v>40</v>
      </c>
      <c r="E132" s="561">
        <f>TAX!$E$8</f>
        <v>30</v>
      </c>
      <c r="F132" s="561">
        <f>TAX!$E$9</f>
        <v>20</v>
      </c>
      <c r="G132" s="561">
        <f>TAX!$E$10</f>
        <v>10</v>
      </c>
      <c r="H132" s="561">
        <f>TAX!$E$12</f>
        <v>6.9832080720026219</v>
      </c>
      <c r="I132" s="561">
        <f>TAX!$E$13</f>
        <v>6.5893194706994329</v>
      </c>
      <c r="J132" s="561">
        <f>TAX!$E$17</f>
        <v>6.8564856955967928</v>
      </c>
      <c r="K132" s="561">
        <f>TAX!$E$18</f>
        <v>5.6090714932482975</v>
      </c>
      <c r="L132" s="561">
        <f>TAX!$E$19</f>
        <v>3.1488447684000027</v>
      </c>
      <c r="M132" s="561">
        <f>TAX!$E$20</f>
        <v>4.7</v>
      </c>
      <c r="N132" s="561">
        <f>TAX!$E$21</f>
        <v>3</v>
      </c>
      <c r="O132" s="561">
        <f>TAX!$E$22</f>
        <v>2.3569174140963063</v>
      </c>
      <c r="P132" s="561">
        <f>TAX!$E$15</f>
        <v>10</v>
      </c>
      <c r="Q132" s="561">
        <f>TAX!$E$16</f>
        <v>9.1000000000000014</v>
      </c>
      <c r="R132" s="561">
        <f>TAX!$E$24</f>
        <v>13.8</v>
      </c>
    </row>
    <row r="133" spans="1:18">
      <c r="A133" s="127" t="s">
        <v>25</v>
      </c>
      <c r="B133" s="561">
        <f>TAX!$E$5</f>
        <v>10.882804714239988</v>
      </c>
      <c r="C133" s="561">
        <f>TAX!$E$6</f>
        <v>9.5739924198611241</v>
      </c>
      <c r="D133" s="561">
        <f>TAX!$E$7</f>
        <v>40</v>
      </c>
      <c r="E133" s="561">
        <f>TAX!$E$8</f>
        <v>30</v>
      </c>
      <c r="F133" s="561">
        <f>TAX!$E$9</f>
        <v>20</v>
      </c>
      <c r="G133" s="561">
        <f>TAX!$E$10</f>
        <v>10</v>
      </c>
      <c r="H133" s="561">
        <f>TAX!$E$12</f>
        <v>6.9832080720026219</v>
      </c>
      <c r="I133" s="561">
        <f>TAX!$E$13</f>
        <v>6.5893194706994329</v>
      </c>
      <c r="J133" s="561">
        <f>TAX!$E$17</f>
        <v>6.8564856955967928</v>
      </c>
      <c r="K133" s="561">
        <f>TAX!$E$18</f>
        <v>5.6090714932482975</v>
      </c>
      <c r="L133" s="561">
        <f>TAX!$E$19</f>
        <v>3.1488447684000027</v>
      </c>
      <c r="M133" s="561">
        <f>TAX!$E$20</f>
        <v>4.7</v>
      </c>
      <c r="N133" s="561">
        <f>TAX!$E$21</f>
        <v>3</v>
      </c>
      <c r="O133" s="561">
        <f>TAX!$E$22</f>
        <v>2.3569174140963063</v>
      </c>
      <c r="P133" s="561">
        <f>TAX!$E$15</f>
        <v>10</v>
      </c>
      <c r="Q133" s="561">
        <f>TAX!$E$16</f>
        <v>9.1000000000000014</v>
      </c>
      <c r="R133" s="561">
        <f>TAX!$E$24</f>
        <v>13.8</v>
      </c>
    </row>
    <row r="134" spans="1:18">
      <c r="A134" s="127" t="s">
        <v>26</v>
      </c>
      <c r="B134" s="561">
        <f>TAX!$E$5</f>
        <v>10.882804714239988</v>
      </c>
      <c r="C134" s="561">
        <f>TAX!$E$6</f>
        <v>9.5739924198611241</v>
      </c>
      <c r="D134" s="561">
        <f>TAX!$E$7</f>
        <v>40</v>
      </c>
      <c r="E134" s="561">
        <f>TAX!$E$8</f>
        <v>30</v>
      </c>
      <c r="F134" s="561">
        <f>TAX!$E$9</f>
        <v>20</v>
      </c>
      <c r="G134" s="561">
        <f>TAX!$E$10</f>
        <v>10</v>
      </c>
      <c r="H134" s="561">
        <f>TAX!$E$12</f>
        <v>6.9832080720026219</v>
      </c>
      <c r="I134" s="561">
        <f>TAX!$E$13</f>
        <v>6.5893194706994329</v>
      </c>
      <c r="J134" s="561">
        <f>TAX!$E$17</f>
        <v>6.8564856955967928</v>
      </c>
      <c r="K134" s="561">
        <f>TAX!$E$18</f>
        <v>5.6090714932482975</v>
      </c>
      <c r="L134" s="561">
        <f>TAX!$E$19</f>
        <v>3.1488447684000027</v>
      </c>
      <c r="M134" s="561">
        <f>TAX!$E$20</f>
        <v>4.7</v>
      </c>
      <c r="N134" s="561">
        <f>TAX!$E$21</f>
        <v>3</v>
      </c>
      <c r="O134" s="561">
        <f>TAX!$E$22</f>
        <v>2.3569174140963063</v>
      </c>
      <c r="P134" s="561">
        <f>TAX!$E$15</f>
        <v>10</v>
      </c>
      <c r="Q134" s="561">
        <f>TAX!$E$16</f>
        <v>9.1000000000000014</v>
      </c>
      <c r="R134" s="561">
        <f>TAX!$E$24</f>
        <v>13.8</v>
      </c>
    </row>
    <row r="135" spans="1:18">
      <c r="A135" s="127" t="s">
        <v>27</v>
      </c>
      <c r="B135" s="561">
        <f>TAX!$E$5</f>
        <v>10.882804714239988</v>
      </c>
      <c r="C135" s="561">
        <f>TAX!$E$6</f>
        <v>9.5739924198611241</v>
      </c>
      <c r="D135" s="561">
        <f>TAX!$E$7</f>
        <v>40</v>
      </c>
      <c r="E135" s="561">
        <f>TAX!$E$8</f>
        <v>30</v>
      </c>
      <c r="F135" s="561">
        <f>TAX!$E$9</f>
        <v>20</v>
      </c>
      <c r="G135" s="561">
        <f>TAX!$E$10</f>
        <v>10</v>
      </c>
      <c r="H135" s="561">
        <f>TAX!$E$12</f>
        <v>6.9832080720026219</v>
      </c>
      <c r="I135" s="561">
        <f>TAX!$E$13</f>
        <v>6.5893194706994329</v>
      </c>
      <c r="J135" s="561">
        <f>TAX!$E$17</f>
        <v>6.8564856955967928</v>
      </c>
      <c r="K135" s="561">
        <f>TAX!$E$18</f>
        <v>5.6090714932482975</v>
      </c>
      <c r="L135" s="561">
        <f>TAX!$E$19</f>
        <v>3.1488447684000027</v>
      </c>
      <c r="M135" s="561">
        <f>TAX!$E$20</f>
        <v>4.7</v>
      </c>
      <c r="N135" s="561">
        <f>TAX!$E$21</f>
        <v>3</v>
      </c>
      <c r="O135" s="561">
        <f>TAX!$E$22</f>
        <v>2.3569174140963063</v>
      </c>
      <c r="P135" s="561">
        <f>TAX!$E$15</f>
        <v>10</v>
      </c>
      <c r="Q135" s="561">
        <f>TAX!$E$16</f>
        <v>9.1000000000000014</v>
      </c>
      <c r="R135" s="561">
        <f>TAX!$E$24</f>
        <v>13.8</v>
      </c>
    </row>
    <row r="136" spans="1:18" ht="25.5">
      <c r="A136" s="127" t="s">
        <v>28</v>
      </c>
      <c r="B136" s="561">
        <f>TAX!$E$5</f>
        <v>10.882804714239988</v>
      </c>
      <c r="C136" s="561">
        <f>TAX!$E$6</f>
        <v>9.5739924198611241</v>
      </c>
      <c r="D136" s="561">
        <f>TAX!$E$7</f>
        <v>40</v>
      </c>
      <c r="E136" s="561">
        <f>TAX!$E$8</f>
        <v>30</v>
      </c>
      <c r="F136" s="561">
        <f>TAX!$E$9</f>
        <v>20</v>
      </c>
      <c r="G136" s="561">
        <f>TAX!$E$10</f>
        <v>10</v>
      </c>
      <c r="H136" s="561">
        <f>TAX!$E$12</f>
        <v>6.9832080720026219</v>
      </c>
      <c r="I136" s="561">
        <f>TAX!$E$13</f>
        <v>6.5893194706994329</v>
      </c>
      <c r="J136" s="561">
        <f>TAX!$E$17</f>
        <v>6.8564856955967928</v>
      </c>
      <c r="K136" s="561">
        <f>TAX!$E$18</f>
        <v>5.6090714932482975</v>
      </c>
      <c r="L136" s="561">
        <f>TAX!$E$19</f>
        <v>3.1488447684000027</v>
      </c>
      <c r="M136" s="561">
        <f>TAX!$E$20</f>
        <v>4.7</v>
      </c>
      <c r="N136" s="561">
        <f>TAX!$E$21</f>
        <v>3</v>
      </c>
      <c r="O136" s="561">
        <f>TAX!$E$22</f>
        <v>2.3569174140963063</v>
      </c>
      <c r="P136" s="561">
        <f>TAX!$E$15</f>
        <v>10</v>
      </c>
      <c r="Q136" s="561">
        <f>TAX!$E$16</f>
        <v>9.1000000000000014</v>
      </c>
      <c r="R136" s="561">
        <f>TAX!$E$24</f>
        <v>13.8</v>
      </c>
    </row>
    <row r="137" spans="1:18" ht="15.75" thickBot="1">
      <c r="A137" s="128" t="s">
        <v>29</v>
      </c>
      <c r="B137" s="561">
        <f>TAX!$E$5</f>
        <v>10.882804714239988</v>
      </c>
      <c r="C137" s="561">
        <f>TAX!$E$6</f>
        <v>9.5739924198611241</v>
      </c>
      <c r="D137" s="561">
        <f>TAX!$E$7</f>
        <v>40</v>
      </c>
      <c r="E137" s="561">
        <f>TAX!$E$8</f>
        <v>30</v>
      </c>
      <c r="F137" s="561">
        <f>TAX!$E$9</f>
        <v>20</v>
      </c>
      <c r="G137" s="561">
        <f>TAX!$E$10</f>
        <v>10</v>
      </c>
      <c r="H137" s="561">
        <f>TAX!$E$12</f>
        <v>6.9832080720026219</v>
      </c>
      <c r="I137" s="561">
        <f>TAX!$E$13</f>
        <v>6.5893194706994329</v>
      </c>
      <c r="J137" s="561">
        <f>TAX!$E$17</f>
        <v>6.8564856955967928</v>
      </c>
      <c r="K137" s="561">
        <f>TAX!$E$18</f>
        <v>5.6090714932482975</v>
      </c>
      <c r="L137" s="561">
        <f>TAX!$E$19</f>
        <v>3.1488447684000027</v>
      </c>
      <c r="M137" s="561">
        <f>TAX!$E$20</f>
        <v>4.7</v>
      </c>
      <c r="N137" s="561">
        <f>TAX!$E$21</f>
        <v>3</v>
      </c>
      <c r="O137" s="561">
        <f>TAX!$E$22</f>
        <v>2.3569174140963063</v>
      </c>
      <c r="P137" s="561">
        <f>TAX!$E$15</f>
        <v>10</v>
      </c>
      <c r="Q137" s="561">
        <f>TAX!$E$16</f>
        <v>9.1000000000000014</v>
      </c>
      <c r="R137" s="561">
        <f>TAX!$E$24</f>
        <v>13.8</v>
      </c>
    </row>
    <row r="138" spans="1:18">
      <c r="A138" s="269" t="s">
        <v>64</v>
      </c>
      <c r="B138" s="561">
        <f>TAX!$E$5</f>
        <v>10.882804714239988</v>
      </c>
      <c r="C138" s="561">
        <f>TAX!$E$6</f>
        <v>9.5739924198611241</v>
      </c>
      <c r="D138" s="561">
        <f>TAX!$E$7</f>
        <v>40</v>
      </c>
      <c r="E138" s="561">
        <f>TAX!$E$8</f>
        <v>30</v>
      </c>
      <c r="F138" s="561">
        <f>TAX!$E$9</f>
        <v>20</v>
      </c>
      <c r="G138" s="561">
        <f>TAX!$E$10</f>
        <v>10</v>
      </c>
      <c r="H138" s="561">
        <f>TAX!$E$12</f>
        <v>6.9832080720026219</v>
      </c>
      <c r="I138" s="561">
        <f>TAX!$E$13</f>
        <v>6.5893194706994329</v>
      </c>
      <c r="J138" s="561">
        <f>TAX!$E$17</f>
        <v>6.8564856955967928</v>
      </c>
      <c r="K138" s="561">
        <f>TAX!$E$18</f>
        <v>5.6090714932482975</v>
      </c>
      <c r="L138" s="561">
        <f>TAX!$E$19</f>
        <v>3.1488447684000027</v>
      </c>
      <c r="M138" s="561">
        <f>TAX!$E$20</f>
        <v>4.7</v>
      </c>
      <c r="N138" s="561">
        <f>TAX!$E$21</f>
        <v>3</v>
      </c>
      <c r="O138" s="561">
        <f>TAX!$E$22</f>
        <v>2.3569174140963063</v>
      </c>
      <c r="P138" s="561">
        <f>TAX!$E$15</f>
        <v>10</v>
      </c>
      <c r="Q138" s="561">
        <f>TAX!$E$16</f>
        <v>9.1000000000000014</v>
      </c>
      <c r="R138" s="561">
        <f>TAX!$E$24</f>
        <v>13.8</v>
      </c>
    </row>
    <row r="139" spans="1:18">
      <c r="A139" s="127" t="s">
        <v>31</v>
      </c>
      <c r="B139" s="561">
        <f>TAX!$E$5</f>
        <v>10.882804714239988</v>
      </c>
      <c r="C139" s="561">
        <f>TAX!$E$6</f>
        <v>9.5739924198611241</v>
      </c>
      <c r="D139" s="561">
        <f>TAX!$E$7</f>
        <v>40</v>
      </c>
      <c r="E139" s="561">
        <f>TAX!$E$8</f>
        <v>30</v>
      </c>
      <c r="F139" s="561">
        <f>TAX!$E$9</f>
        <v>20</v>
      </c>
      <c r="G139" s="561">
        <f>TAX!$E$10</f>
        <v>10</v>
      </c>
      <c r="H139" s="561">
        <f>TAX!$E$12</f>
        <v>6.9832080720026219</v>
      </c>
      <c r="I139" s="561">
        <f>TAX!$E$13</f>
        <v>6.5893194706994329</v>
      </c>
      <c r="J139" s="561">
        <f>TAX!$E$17</f>
        <v>6.8564856955967928</v>
      </c>
      <c r="K139" s="561">
        <f>TAX!$E$18</f>
        <v>5.6090714932482975</v>
      </c>
      <c r="L139" s="561">
        <f>TAX!$E$19</f>
        <v>3.1488447684000027</v>
      </c>
      <c r="M139" s="561">
        <f>TAX!$E$20</f>
        <v>4.7</v>
      </c>
      <c r="N139" s="561">
        <f>TAX!$E$21</f>
        <v>3</v>
      </c>
      <c r="O139" s="561">
        <f>TAX!$E$22</f>
        <v>2.3569174140963063</v>
      </c>
      <c r="P139" s="561">
        <f>TAX!$E$15</f>
        <v>10</v>
      </c>
      <c r="Q139" s="561">
        <f>TAX!$E$16</f>
        <v>9.1000000000000014</v>
      </c>
      <c r="R139" s="561">
        <f>TAX!$E$24</f>
        <v>13.8</v>
      </c>
    </row>
    <row r="140" spans="1:18">
      <c r="A140" s="127" t="s">
        <v>32</v>
      </c>
      <c r="B140" s="561">
        <f>TAX!$E$5</f>
        <v>10.882804714239988</v>
      </c>
      <c r="C140" s="561">
        <f>TAX!$E$6</f>
        <v>9.5739924198611241</v>
      </c>
      <c r="D140" s="561">
        <f>TAX!$E$7</f>
        <v>40</v>
      </c>
      <c r="E140" s="561">
        <f>TAX!$E$8</f>
        <v>30</v>
      </c>
      <c r="F140" s="561">
        <f>TAX!$E$9</f>
        <v>20</v>
      </c>
      <c r="G140" s="561">
        <f>TAX!$E$10</f>
        <v>10</v>
      </c>
      <c r="H140" s="561">
        <f>TAX!$E$12</f>
        <v>6.9832080720026219</v>
      </c>
      <c r="I140" s="561">
        <f>TAX!$E$13</f>
        <v>6.5893194706994329</v>
      </c>
      <c r="J140" s="561">
        <f>TAX!$E$17</f>
        <v>6.8564856955967928</v>
      </c>
      <c r="K140" s="561">
        <f>TAX!$E$18</f>
        <v>5.6090714932482975</v>
      </c>
      <c r="L140" s="561">
        <f>TAX!$E$19</f>
        <v>3.1488447684000027</v>
      </c>
      <c r="M140" s="561">
        <f>TAX!$E$20</f>
        <v>4.7</v>
      </c>
      <c r="N140" s="561">
        <f>TAX!$E$21</f>
        <v>3</v>
      </c>
      <c r="O140" s="561">
        <f>TAX!$E$22</f>
        <v>2.3569174140963063</v>
      </c>
      <c r="P140" s="561">
        <f>TAX!$E$15</f>
        <v>10</v>
      </c>
      <c r="Q140" s="561">
        <f>TAX!$E$16</f>
        <v>9.1000000000000014</v>
      </c>
      <c r="R140" s="561">
        <f>TAX!$E$24</f>
        <v>13.8</v>
      </c>
    </row>
    <row r="141" spans="1:18">
      <c r="A141" s="127" t="s">
        <v>33</v>
      </c>
      <c r="B141" s="561">
        <f>TAX!$E$5</f>
        <v>10.882804714239988</v>
      </c>
      <c r="C141" s="561">
        <f>TAX!$E$6</f>
        <v>9.5739924198611241</v>
      </c>
      <c r="D141" s="561">
        <f>TAX!$E$7</f>
        <v>40</v>
      </c>
      <c r="E141" s="561">
        <f>TAX!$E$8</f>
        <v>30</v>
      </c>
      <c r="F141" s="561">
        <f>TAX!$E$9</f>
        <v>20</v>
      </c>
      <c r="G141" s="561">
        <f>TAX!$E$10</f>
        <v>10</v>
      </c>
      <c r="H141" s="561">
        <f>TAX!$E$12</f>
        <v>6.9832080720026219</v>
      </c>
      <c r="I141" s="561">
        <f>TAX!$E$13</f>
        <v>6.5893194706994329</v>
      </c>
      <c r="J141" s="561">
        <f>TAX!$E$17</f>
        <v>6.8564856955967928</v>
      </c>
      <c r="K141" s="561">
        <f>TAX!$E$18</f>
        <v>5.6090714932482975</v>
      </c>
      <c r="L141" s="561">
        <f>TAX!$E$19</f>
        <v>3.1488447684000027</v>
      </c>
      <c r="M141" s="561">
        <f>TAX!$E$20</f>
        <v>4.7</v>
      </c>
      <c r="N141" s="561">
        <f>TAX!$E$21</f>
        <v>3</v>
      </c>
      <c r="O141" s="561">
        <f>TAX!$E$22</f>
        <v>2.3569174140963063</v>
      </c>
      <c r="P141" s="561">
        <f>TAX!$E$15</f>
        <v>10</v>
      </c>
      <c r="Q141" s="561">
        <f>TAX!$E$16</f>
        <v>9.1000000000000014</v>
      </c>
      <c r="R141" s="561">
        <f>TAX!$E$24</f>
        <v>13.8</v>
      </c>
    </row>
    <row r="142" spans="1:18" ht="15.75" thickBot="1">
      <c r="A142" s="128" t="s">
        <v>34</v>
      </c>
      <c r="B142" s="561">
        <f>TAX!$E$5</f>
        <v>10.882804714239988</v>
      </c>
      <c r="C142" s="561">
        <f>TAX!$E$6</f>
        <v>9.5739924198611241</v>
      </c>
      <c r="D142" s="561">
        <f>TAX!$E$7</f>
        <v>40</v>
      </c>
      <c r="E142" s="561">
        <f>TAX!$E$8</f>
        <v>30</v>
      </c>
      <c r="F142" s="561">
        <f>TAX!$E$9</f>
        <v>20</v>
      </c>
      <c r="G142" s="561">
        <f>TAX!$E$10</f>
        <v>10</v>
      </c>
      <c r="H142" s="561">
        <f>TAX!$E$12</f>
        <v>6.9832080720026219</v>
      </c>
      <c r="I142" s="561">
        <f>TAX!$E$13</f>
        <v>6.5893194706994329</v>
      </c>
      <c r="J142" s="561">
        <f>TAX!$E$17</f>
        <v>6.8564856955967928</v>
      </c>
      <c r="K142" s="561">
        <f>TAX!$E$18</f>
        <v>5.6090714932482975</v>
      </c>
      <c r="L142" s="561">
        <f>TAX!$E$19</f>
        <v>3.1488447684000027</v>
      </c>
      <c r="M142" s="561">
        <f>TAX!$E$20</f>
        <v>4.7</v>
      </c>
      <c r="N142" s="561">
        <f>TAX!$E$21</f>
        <v>3</v>
      </c>
      <c r="O142" s="561">
        <f>TAX!$E$22</f>
        <v>2.3569174140963063</v>
      </c>
      <c r="P142" s="561">
        <f>TAX!$E$15</f>
        <v>10</v>
      </c>
      <c r="Q142" s="561">
        <f>TAX!$E$16</f>
        <v>9.1000000000000014</v>
      </c>
      <c r="R142" s="561">
        <f>TAX!$E$24</f>
        <v>13.8</v>
      </c>
    </row>
    <row r="143" spans="1:18">
      <c r="A143" s="269" t="s">
        <v>69</v>
      </c>
      <c r="B143" s="561">
        <f>TAX!$E$5</f>
        <v>10.882804714239988</v>
      </c>
      <c r="C143" s="561">
        <f>TAX!$E$6</f>
        <v>9.5739924198611241</v>
      </c>
      <c r="D143" s="561">
        <f>TAX!$E$7</f>
        <v>40</v>
      </c>
      <c r="E143" s="561">
        <f>TAX!$E$8</f>
        <v>30</v>
      </c>
      <c r="F143" s="561">
        <f>TAX!$E$9</f>
        <v>20</v>
      </c>
      <c r="G143" s="561">
        <f>TAX!$E$10</f>
        <v>10</v>
      </c>
      <c r="H143" s="561">
        <f>TAX!$E$12</f>
        <v>6.9832080720026219</v>
      </c>
      <c r="I143" s="561">
        <f>TAX!$E$13</f>
        <v>6.5893194706994329</v>
      </c>
      <c r="J143" s="561">
        <f>TAX!$E$17</f>
        <v>6.8564856955967928</v>
      </c>
      <c r="K143" s="561">
        <f>TAX!$E$18</f>
        <v>5.6090714932482975</v>
      </c>
      <c r="L143" s="561">
        <f>TAX!$E$19</f>
        <v>3.1488447684000027</v>
      </c>
      <c r="M143" s="561">
        <f>TAX!$E$20</f>
        <v>4.7</v>
      </c>
      <c r="N143" s="561">
        <f>TAX!$E$21</f>
        <v>3</v>
      </c>
      <c r="O143" s="561">
        <f>TAX!$E$22</f>
        <v>2.3569174140963063</v>
      </c>
      <c r="P143" s="561">
        <f>TAX!$E$15</f>
        <v>10</v>
      </c>
      <c r="Q143" s="561">
        <f>TAX!$E$16</f>
        <v>9.1000000000000014</v>
      </c>
      <c r="R143" s="561">
        <f>TAX!$E$24</f>
        <v>13.8</v>
      </c>
    </row>
    <row r="144" spans="1:18">
      <c r="A144" s="127" t="s">
        <v>36</v>
      </c>
      <c r="B144" s="561">
        <f>TAX!$E$5</f>
        <v>10.882804714239988</v>
      </c>
      <c r="C144" s="561">
        <f>TAX!$E$6</f>
        <v>9.5739924198611241</v>
      </c>
      <c r="D144" s="561">
        <f>TAX!$E$7</f>
        <v>40</v>
      </c>
      <c r="E144" s="561">
        <f>TAX!$E$8</f>
        <v>30</v>
      </c>
      <c r="F144" s="561">
        <f>TAX!$E$9</f>
        <v>20</v>
      </c>
      <c r="G144" s="561">
        <f>TAX!$E$10</f>
        <v>10</v>
      </c>
      <c r="H144" s="561">
        <f>TAX!$E$12</f>
        <v>6.9832080720026219</v>
      </c>
      <c r="I144" s="561">
        <f>TAX!$E$13</f>
        <v>6.5893194706994329</v>
      </c>
      <c r="J144" s="561">
        <f>TAX!$E$17</f>
        <v>6.8564856955967928</v>
      </c>
      <c r="K144" s="561">
        <f>TAX!$E$18</f>
        <v>5.6090714932482975</v>
      </c>
      <c r="L144" s="561">
        <f>TAX!$E$19</f>
        <v>3.1488447684000027</v>
      </c>
      <c r="M144" s="561">
        <f>TAX!$E$20</f>
        <v>4.7</v>
      </c>
      <c r="N144" s="561">
        <f>TAX!$E$21</f>
        <v>3</v>
      </c>
      <c r="O144" s="561">
        <f>TAX!$E$22</f>
        <v>2.3569174140963063</v>
      </c>
      <c r="P144" s="561">
        <f>TAX!$E$15</f>
        <v>10</v>
      </c>
      <c r="Q144" s="561">
        <f>TAX!$E$16</f>
        <v>9.1000000000000014</v>
      </c>
      <c r="R144" s="561">
        <f>TAX!$E$24</f>
        <v>13.8</v>
      </c>
    </row>
    <row r="145" spans="1:18">
      <c r="A145" s="127" t="s">
        <v>37</v>
      </c>
      <c r="B145" s="561">
        <f>TAX!$E$5</f>
        <v>10.882804714239988</v>
      </c>
      <c r="C145" s="561">
        <f>TAX!$E$6</f>
        <v>9.5739924198611241</v>
      </c>
      <c r="D145" s="561">
        <f>TAX!$E$7</f>
        <v>40</v>
      </c>
      <c r="E145" s="561">
        <f>TAX!$E$8</f>
        <v>30</v>
      </c>
      <c r="F145" s="561">
        <f>TAX!$E$9</f>
        <v>20</v>
      </c>
      <c r="G145" s="561">
        <f>TAX!$E$10</f>
        <v>10</v>
      </c>
      <c r="H145" s="561">
        <f>TAX!$E$12</f>
        <v>6.9832080720026219</v>
      </c>
      <c r="I145" s="561">
        <f>TAX!$E$13</f>
        <v>6.5893194706994329</v>
      </c>
      <c r="J145" s="561">
        <f>TAX!$E$17</f>
        <v>6.8564856955967928</v>
      </c>
      <c r="K145" s="561">
        <f>TAX!$E$18</f>
        <v>5.6090714932482975</v>
      </c>
      <c r="L145" s="561">
        <f>TAX!$E$19</f>
        <v>3.1488447684000027</v>
      </c>
      <c r="M145" s="561">
        <f>TAX!$E$20</f>
        <v>4.7</v>
      </c>
      <c r="N145" s="561">
        <f>TAX!$E$21</f>
        <v>3</v>
      </c>
      <c r="O145" s="561">
        <f>TAX!$E$22</f>
        <v>2.3569174140963063</v>
      </c>
      <c r="P145" s="561">
        <f>TAX!$E$15</f>
        <v>10</v>
      </c>
      <c r="Q145" s="561">
        <f>TAX!$E$16</f>
        <v>9.1000000000000014</v>
      </c>
      <c r="R145" s="561">
        <f>TAX!$E$24</f>
        <v>13.8</v>
      </c>
    </row>
    <row r="146" spans="1:18" ht="15.75" thickBot="1">
      <c r="A146" s="128" t="s">
        <v>38</v>
      </c>
      <c r="B146" s="561">
        <f>TAX!$E$5</f>
        <v>10.882804714239988</v>
      </c>
      <c r="C146" s="561">
        <f>TAX!$E$6</f>
        <v>9.5739924198611241</v>
      </c>
      <c r="D146" s="561">
        <f>TAX!$E$7</f>
        <v>40</v>
      </c>
      <c r="E146" s="561">
        <f>TAX!$E$8</f>
        <v>30</v>
      </c>
      <c r="F146" s="561">
        <f>TAX!$E$9</f>
        <v>20</v>
      </c>
      <c r="G146" s="561">
        <f>TAX!$E$10</f>
        <v>10</v>
      </c>
      <c r="H146" s="561">
        <f>TAX!$E$12</f>
        <v>6.9832080720026219</v>
      </c>
      <c r="I146" s="561">
        <f>TAX!$E$13</f>
        <v>6.5893194706994329</v>
      </c>
      <c r="J146" s="561">
        <f>TAX!$E$17</f>
        <v>6.8564856955967928</v>
      </c>
      <c r="K146" s="561">
        <f>TAX!$E$18</f>
        <v>5.6090714932482975</v>
      </c>
      <c r="L146" s="561">
        <f>TAX!$E$19</f>
        <v>3.1488447684000027</v>
      </c>
      <c r="M146" s="561">
        <f>TAX!$E$20</f>
        <v>4.7</v>
      </c>
      <c r="N146" s="561">
        <f>TAX!$E$21</f>
        <v>3</v>
      </c>
      <c r="O146" s="561">
        <f>TAX!$E$22</f>
        <v>2.3569174140963063</v>
      </c>
      <c r="P146" s="561">
        <f>TAX!$E$15</f>
        <v>10</v>
      </c>
      <c r="Q146" s="561">
        <f>TAX!$E$16</f>
        <v>9.1000000000000014</v>
      </c>
      <c r="R146" s="561">
        <f>TAX!$E$24</f>
        <v>13.8</v>
      </c>
    </row>
    <row r="147" spans="1:18" ht="25.5">
      <c r="A147" s="274" t="s">
        <v>73</v>
      </c>
      <c r="B147" s="561">
        <f>TAX!$E$5</f>
        <v>10.882804714239988</v>
      </c>
      <c r="C147" s="561">
        <f>TAX!$E$6</f>
        <v>9.5739924198611241</v>
      </c>
      <c r="D147" s="561">
        <f>TAX!$E$7</f>
        <v>40</v>
      </c>
      <c r="E147" s="561">
        <f>TAX!$E$8</f>
        <v>30</v>
      </c>
      <c r="F147" s="561">
        <f>TAX!$E$9</f>
        <v>20</v>
      </c>
      <c r="G147" s="561">
        <f>TAX!$E$10</f>
        <v>10</v>
      </c>
      <c r="H147" s="561">
        <f>TAX!$E$12</f>
        <v>6.9832080720026219</v>
      </c>
      <c r="I147" s="561">
        <f>TAX!$E$13</f>
        <v>6.5893194706994329</v>
      </c>
      <c r="J147" s="561">
        <f>TAX!$E$17</f>
        <v>6.8564856955967928</v>
      </c>
      <c r="K147" s="561">
        <f>TAX!$E$18</f>
        <v>5.6090714932482975</v>
      </c>
      <c r="L147" s="561">
        <f>TAX!$E$19</f>
        <v>3.1488447684000027</v>
      </c>
      <c r="M147" s="561">
        <f>TAX!$E$20</f>
        <v>4.7</v>
      </c>
      <c r="N147" s="561">
        <f>TAX!$E$21</f>
        <v>3</v>
      </c>
      <c r="O147" s="561">
        <f>TAX!$E$22</f>
        <v>2.3569174140963063</v>
      </c>
      <c r="P147" s="561">
        <f>TAX!$E$15</f>
        <v>10</v>
      </c>
      <c r="Q147" s="561">
        <f>TAX!$E$16</f>
        <v>9.1000000000000014</v>
      </c>
      <c r="R147" s="561">
        <f>TAX!$E$24</f>
        <v>13.8</v>
      </c>
    </row>
    <row r="148" spans="1:18">
      <c r="A148" s="127" t="s">
        <v>40</v>
      </c>
      <c r="B148" s="561">
        <f>TAX!$E$5</f>
        <v>10.882804714239988</v>
      </c>
      <c r="C148" s="561">
        <f>TAX!$E$6</f>
        <v>9.5739924198611241</v>
      </c>
      <c r="D148" s="561">
        <f>TAX!$E$7</f>
        <v>40</v>
      </c>
      <c r="E148" s="561">
        <f>TAX!$E$8</f>
        <v>30</v>
      </c>
      <c r="F148" s="561">
        <f>TAX!$E$9</f>
        <v>20</v>
      </c>
      <c r="G148" s="561">
        <f>TAX!$E$10</f>
        <v>10</v>
      </c>
      <c r="H148" s="561">
        <f>TAX!$E$12</f>
        <v>6.9832080720026219</v>
      </c>
      <c r="I148" s="561">
        <f>TAX!$E$13</f>
        <v>6.5893194706994329</v>
      </c>
      <c r="J148" s="561">
        <f>TAX!$E$17</f>
        <v>6.8564856955967928</v>
      </c>
      <c r="K148" s="561">
        <f>TAX!$E$18</f>
        <v>5.6090714932482975</v>
      </c>
      <c r="L148" s="561">
        <f>TAX!$E$19</f>
        <v>3.1488447684000027</v>
      </c>
      <c r="M148" s="561">
        <f>TAX!$E$20</f>
        <v>4.7</v>
      </c>
      <c r="N148" s="561">
        <f>TAX!$E$21</f>
        <v>3</v>
      </c>
      <c r="O148" s="561">
        <f>TAX!$E$22</f>
        <v>2.3569174140963063</v>
      </c>
      <c r="P148" s="561">
        <f>TAX!$E$15</f>
        <v>10</v>
      </c>
      <c r="Q148" s="561">
        <f>TAX!$E$16</f>
        <v>9.1000000000000014</v>
      </c>
      <c r="R148" s="561">
        <f>TAX!$E$24</f>
        <v>13.8</v>
      </c>
    </row>
    <row r="149" spans="1:18">
      <c r="A149" s="127" t="s">
        <v>41</v>
      </c>
      <c r="B149" s="561">
        <f>TAX!$E$5</f>
        <v>10.882804714239988</v>
      </c>
      <c r="C149" s="561">
        <f>TAX!$E$6</f>
        <v>9.5739924198611241</v>
      </c>
      <c r="D149" s="561">
        <f>TAX!$E$7</f>
        <v>40</v>
      </c>
      <c r="E149" s="561">
        <f>TAX!$E$8</f>
        <v>30</v>
      </c>
      <c r="F149" s="561">
        <f>TAX!$E$9</f>
        <v>20</v>
      </c>
      <c r="G149" s="561">
        <f>TAX!$E$10</f>
        <v>10</v>
      </c>
      <c r="H149" s="561">
        <f>TAX!$E$12</f>
        <v>6.9832080720026219</v>
      </c>
      <c r="I149" s="561">
        <f>TAX!$E$13</f>
        <v>6.5893194706994329</v>
      </c>
      <c r="J149" s="561">
        <f>TAX!$E$17</f>
        <v>6.8564856955967928</v>
      </c>
      <c r="K149" s="561">
        <f>TAX!$E$18</f>
        <v>5.6090714932482975</v>
      </c>
      <c r="L149" s="561">
        <f>TAX!$E$19</f>
        <v>3.1488447684000027</v>
      </c>
      <c r="M149" s="561">
        <f>TAX!$E$20</f>
        <v>4.7</v>
      </c>
      <c r="N149" s="561">
        <f>TAX!$E$21</f>
        <v>3</v>
      </c>
      <c r="O149" s="561">
        <f>TAX!$E$22</f>
        <v>2.3569174140963063</v>
      </c>
      <c r="P149" s="561">
        <f>TAX!$E$15</f>
        <v>10</v>
      </c>
      <c r="Q149" s="561">
        <f>TAX!$E$16</f>
        <v>9.1000000000000014</v>
      </c>
      <c r="R149" s="561">
        <f>TAX!$E$24</f>
        <v>13.8</v>
      </c>
    </row>
    <row r="150" spans="1:18">
      <c r="A150" s="127" t="s">
        <v>42</v>
      </c>
      <c r="B150" s="561">
        <f>TAX!$E$5</f>
        <v>10.882804714239988</v>
      </c>
      <c r="C150" s="561">
        <f>TAX!$E$6</f>
        <v>9.5739924198611241</v>
      </c>
      <c r="D150" s="561">
        <f>TAX!$E$7</f>
        <v>40</v>
      </c>
      <c r="E150" s="561">
        <f>TAX!$E$8</f>
        <v>30</v>
      </c>
      <c r="F150" s="561">
        <f>TAX!$E$9</f>
        <v>20</v>
      </c>
      <c r="G150" s="561">
        <f>TAX!$E$10</f>
        <v>10</v>
      </c>
      <c r="H150" s="561">
        <f>TAX!$E$12</f>
        <v>6.9832080720026219</v>
      </c>
      <c r="I150" s="561">
        <f>TAX!$E$13</f>
        <v>6.5893194706994329</v>
      </c>
      <c r="J150" s="561">
        <f>TAX!$E$17</f>
        <v>6.8564856955967928</v>
      </c>
      <c r="K150" s="561">
        <f>TAX!$E$18</f>
        <v>5.6090714932482975</v>
      </c>
      <c r="L150" s="561">
        <f>TAX!$E$19</f>
        <v>3.1488447684000027</v>
      </c>
      <c r="M150" s="561">
        <f>TAX!$E$20</f>
        <v>4.7</v>
      </c>
      <c r="N150" s="561">
        <f>TAX!$E$21</f>
        <v>3</v>
      </c>
      <c r="O150" s="561">
        <f>TAX!$E$22</f>
        <v>2.3569174140963063</v>
      </c>
      <c r="P150" s="561">
        <f>TAX!$E$15</f>
        <v>10</v>
      </c>
      <c r="Q150" s="561">
        <f>TAX!$E$16</f>
        <v>9.1000000000000014</v>
      </c>
      <c r="R150" s="561">
        <f>TAX!$E$24</f>
        <v>13.8</v>
      </c>
    </row>
    <row r="151" spans="1:18" ht="26.25" thickBot="1">
      <c r="A151" s="128" t="s">
        <v>43</v>
      </c>
      <c r="B151" s="561">
        <f>TAX!$E$5</f>
        <v>10.882804714239988</v>
      </c>
      <c r="C151" s="561">
        <f>TAX!$E$6</f>
        <v>9.5739924198611241</v>
      </c>
      <c r="D151" s="561">
        <f>TAX!$E$7</f>
        <v>40</v>
      </c>
      <c r="E151" s="561">
        <f>TAX!$E$8</f>
        <v>30</v>
      </c>
      <c r="F151" s="561">
        <f>TAX!$E$9</f>
        <v>20</v>
      </c>
      <c r="G151" s="561">
        <f>TAX!$E$10</f>
        <v>10</v>
      </c>
      <c r="H151" s="561">
        <f>TAX!$E$12</f>
        <v>6.9832080720026219</v>
      </c>
      <c r="I151" s="561">
        <f>TAX!$E$13</f>
        <v>6.5893194706994329</v>
      </c>
      <c r="J151" s="561">
        <f>TAX!$E$17</f>
        <v>6.8564856955967928</v>
      </c>
      <c r="K151" s="561">
        <f>TAX!$E$18</f>
        <v>5.6090714932482975</v>
      </c>
      <c r="L151" s="561">
        <f>TAX!$E$19</f>
        <v>3.1488447684000027</v>
      </c>
      <c r="M151" s="561">
        <f>TAX!$E$20</f>
        <v>4.7</v>
      </c>
      <c r="N151" s="561">
        <f>TAX!$E$21</f>
        <v>3</v>
      </c>
      <c r="O151" s="561">
        <f>TAX!$E$22</f>
        <v>2.3569174140963063</v>
      </c>
      <c r="P151" s="561">
        <f>TAX!$E$15</f>
        <v>10</v>
      </c>
      <c r="Q151" s="561">
        <f>TAX!$E$16</f>
        <v>9.1000000000000014</v>
      </c>
      <c r="R151" s="561">
        <f>TAX!$E$24</f>
        <v>13.8</v>
      </c>
    </row>
    <row r="152" spans="1:18" ht="15.75" thickBot="1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</row>
    <row r="153" spans="1:18" ht="15.75" thickBot="1">
      <c r="A153" s="1051" t="s">
        <v>488</v>
      </c>
      <c r="B153" s="1054">
        <v>2013</v>
      </c>
      <c r="C153" s="1055"/>
      <c r="D153" s="1055"/>
      <c r="E153" s="1055"/>
      <c r="F153" s="1055"/>
      <c r="G153" s="1055"/>
      <c r="H153" s="1055"/>
      <c r="I153" s="1055"/>
      <c r="J153" s="1055"/>
      <c r="K153" s="1055"/>
      <c r="L153" s="1055"/>
      <c r="M153" s="1055"/>
      <c r="N153" s="1055"/>
      <c r="O153" s="1055"/>
      <c r="P153" s="1055"/>
      <c r="Q153" s="1055"/>
      <c r="R153" s="1078"/>
    </row>
    <row r="154" spans="1:18">
      <c r="A154" s="1052"/>
      <c r="B154" s="1060" t="s">
        <v>97</v>
      </c>
      <c r="C154" s="1061"/>
      <c r="D154" s="1061"/>
      <c r="E154" s="1061"/>
      <c r="F154" s="1061"/>
      <c r="G154" s="1061"/>
      <c r="H154" s="1061" t="s">
        <v>98</v>
      </c>
      <c r="I154" s="1061"/>
      <c r="J154" s="1061" t="s">
        <v>99</v>
      </c>
      <c r="K154" s="1061"/>
      <c r="L154" s="1061"/>
      <c r="M154" s="1061"/>
      <c r="N154" s="1061"/>
      <c r="O154" s="1061"/>
      <c r="P154" s="1061"/>
      <c r="Q154" s="1061"/>
      <c r="R154" s="289" t="s">
        <v>100</v>
      </c>
    </row>
    <row r="155" spans="1:18">
      <c r="A155" s="1052"/>
      <c r="B155" s="1062" t="s">
        <v>101</v>
      </c>
      <c r="C155" s="1064" t="s">
        <v>102</v>
      </c>
      <c r="D155" s="1064" t="s">
        <v>103</v>
      </c>
      <c r="E155" s="1064"/>
      <c r="F155" s="1064"/>
      <c r="G155" s="1064"/>
      <c r="H155" s="1062" t="s">
        <v>101</v>
      </c>
      <c r="I155" s="1064" t="s">
        <v>102</v>
      </c>
      <c r="J155" s="1064" t="s">
        <v>104</v>
      </c>
      <c r="K155" s="1064"/>
      <c r="L155" s="1064"/>
      <c r="M155" s="1064" t="s">
        <v>105</v>
      </c>
      <c r="N155" s="1064"/>
      <c r="O155" s="1064"/>
      <c r="P155" s="1062" t="s">
        <v>101</v>
      </c>
      <c r="Q155" s="1064" t="s">
        <v>102</v>
      </c>
      <c r="R155" s="1062" t="s">
        <v>101</v>
      </c>
    </row>
    <row r="156" spans="1:18" ht="15.75" thickBot="1">
      <c r="A156" s="1053"/>
      <c r="B156" s="1063"/>
      <c r="C156" s="1065"/>
      <c r="D156" s="290" t="s">
        <v>106</v>
      </c>
      <c r="E156" s="290" t="s">
        <v>107</v>
      </c>
      <c r="F156" s="290" t="s">
        <v>108</v>
      </c>
      <c r="G156" s="290" t="s">
        <v>109</v>
      </c>
      <c r="H156" s="1063"/>
      <c r="I156" s="1065"/>
      <c r="J156" s="290" t="s">
        <v>110</v>
      </c>
      <c r="K156" s="290" t="s">
        <v>111</v>
      </c>
      <c r="L156" s="290" t="s">
        <v>112</v>
      </c>
      <c r="M156" s="290" t="s">
        <v>113</v>
      </c>
      <c r="N156" s="290" t="s">
        <v>114</v>
      </c>
      <c r="O156" s="290" t="s">
        <v>115</v>
      </c>
      <c r="P156" s="1063"/>
      <c r="Q156" s="1065"/>
      <c r="R156" s="1063"/>
    </row>
    <row r="157" spans="1:18" ht="15.75" thickBot="1">
      <c r="A157" s="164" t="s">
        <v>11</v>
      </c>
      <c r="B157" s="561" t="e">
        <f>TAX!$F$5</f>
        <v>#DIV/0!</v>
      </c>
      <c r="C157" s="561" t="e">
        <f>TAX!$F$6</f>
        <v>#DIV/0!</v>
      </c>
      <c r="D157" s="561">
        <f>TAX!$F$7</f>
        <v>40</v>
      </c>
      <c r="E157" s="561">
        <f>TAX!$F$8</f>
        <v>30</v>
      </c>
      <c r="F157" s="561">
        <f>TAX!$F$9</f>
        <v>20</v>
      </c>
      <c r="G157" s="561">
        <f>TAX!$F$10</f>
        <v>10</v>
      </c>
      <c r="H157" s="561" t="e">
        <f>TAX!$F$12</f>
        <v>#DIV/0!</v>
      </c>
      <c r="I157" s="561" t="e">
        <f>TAX!$F$13</f>
        <v>#DIV/0!</v>
      </c>
      <c r="J157" s="561">
        <f>TAX!$F$17</f>
        <v>6.8564856955967928</v>
      </c>
      <c r="K157" s="561">
        <f>TAX!$F$18</f>
        <v>5.6090714932482975</v>
      </c>
      <c r="L157" s="561">
        <f>TAX!$F$19</f>
        <v>3.1488447684000027</v>
      </c>
      <c r="M157" s="561">
        <f>TAX!$F$20</f>
        <v>4.7</v>
      </c>
      <c r="N157" s="561">
        <f>TAX!$F$21</f>
        <v>3</v>
      </c>
      <c r="O157" s="561">
        <f>TAX!$F$22</f>
        <v>2.3569174140963063</v>
      </c>
      <c r="P157" s="561" t="e">
        <f>TAX!$F$15</f>
        <v>#DIV/0!</v>
      </c>
      <c r="Q157" s="561" t="e">
        <f>TAX!$F$16</f>
        <v>#DIV/0!</v>
      </c>
      <c r="R157" s="561">
        <f>TAX!$F$24</f>
        <v>13.8</v>
      </c>
    </row>
    <row r="158" spans="1:18">
      <c r="A158" s="269" t="s">
        <v>46</v>
      </c>
      <c r="B158" s="561" t="e">
        <f>TAX!$F$5</f>
        <v>#DIV/0!</v>
      </c>
      <c r="C158" s="561" t="e">
        <f>TAX!$F$6</f>
        <v>#DIV/0!</v>
      </c>
      <c r="D158" s="561">
        <f>TAX!$F$7</f>
        <v>40</v>
      </c>
      <c r="E158" s="561">
        <f>TAX!$F$8</f>
        <v>30</v>
      </c>
      <c r="F158" s="561">
        <f>TAX!$F$9</f>
        <v>20</v>
      </c>
      <c r="G158" s="561">
        <f>TAX!$F$10</f>
        <v>10</v>
      </c>
      <c r="H158" s="561" t="e">
        <f>TAX!$F$12</f>
        <v>#DIV/0!</v>
      </c>
      <c r="I158" s="561" t="e">
        <f>TAX!$F$13</f>
        <v>#DIV/0!</v>
      </c>
      <c r="J158" s="561">
        <f>TAX!$F$17</f>
        <v>6.8564856955967928</v>
      </c>
      <c r="K158" s="561">
        <f>TAX!$F$18</f>
        <v>5.6090714932482975</v>
      </c>
      <c r="L158" s="561">
        <f>TAX!$F$19</f>
        <v>3.1488447684000027</v>
      </c>
      <c r="M158" s="561">
        <f>TAX!$F$20</f>
        <v>4.7</v>
      </c>
      <c r="N158" s="561">
        <f>TAX!$F$21</f>
        <v>3</v>
      </c>
      <c r="O158" s="561">
        <f>TAX!$F$22</f>
        <v>2.3569174140963063</v>
      </c>
      <c r="P158" s="561" t="e">
        <f>TAX!$F$15</f>
        <v>#DIV/0!</v>
      </c>
      <c r="Q158" s="561" t="e">
        <f>TAX!$F$16</f>
        <v>#DIV/0!</v>
      </c>
      <c r="R158" s="561">
        <f>TAX!$F$24</f>
        <v>13.8</v>
      </c>
    </row>
    <row r="159" spans="1:18">
      <c r="A159" s="127" t="s">
        <v>13</v>
      </c>
      <c r="B159" s="561" t="e">
        <f>TAX!$F$5</f>
        <v>#DIV/0!</v>
      </c>
      <c r="C159" s="561" t="e">
        <f>TAX!$F$6</f>
        <v>#DIV/0!</v>
      </c>
      <c r="D159" s="561">
        <f>TAX!$F$7</f>
        <v>40</v>
      </c>
      <c r="E159" s="561">
        <f>TAX!$F$8</f>
        <v>30</v>
      </c>
      <c r="F159" s="561">
        <f>TAX!$F$9</f>
        <v>20</v>
      </c>
      <c r="G159" s="561">
        <f>TAX!$F$10</f>
        <v>10</v>
      </c>
      <c r="H159" s="561" t="e">
        <f>TAX!$F$12</f>
        <v>#DIV/0!</v>
      </c>
      <c r="I159" s="561" t="e">
        <f>TAX!$F$13</f>
        <v>#DIV/0!</v>
      </c>
      <c r="J159" s="561">
        <f>TAX!$F$17</f>
        <v>6.8564856955967928</v>
      </c>
      <c r="K159" s="561">
        <f>TAX!$F$18</f>
        <v>5.6090714932482975</v>
      </c>
      <c r="L159" s="561">
        <f>TAX!$F$19</f>
        <v>3.1488447684000027</v>
      </c>
      <c r="M159" s="561">
        <f>TAX!$F$20</f>
        <v>4.7</v>
      </c>
      <c r="N159" s="561">
        <f>TAX!$F$21</f>
        <v>3</v>
      </c>
      <c r="O159" s="561">
        <f>TAX!$F$22</f>
        <v>2.3569174140963063</v>
      </c>
      <c r="P159" s="561" t="e">
        <f>TAX!$F$15</f>
        <v>#DIV/0!</v>
      </c>
      <c r="Q159" s="561" t="e">
        <f>TAX!$F$16</f>
        <v>#DIV/0!</v>
      </c>
      <c r="R159" s="561">
        <f>TAX!$F$24</f>
        <v>13.8</v>
      </c>
    </row>
    <row r="160" spans="1:18">
      <c r="A160" s="127" t="s">
        <v>14</v>
      </c>
      <c r="B160" s="561" t="e">
        <f>TAX!$F$5</f>
        <v>#DIV/0!</v>
      </c>
      <c r="C160" s="561" t="e">
        <f>TAX!$F$6</f>
        <v>#DIV/0!</v>
      </c>
      <c r="D160" s="561">
        <f>TAX!$F$7</f>
        <v>40</v>
      </c>
      <c r="E160" s="561">
        <f>TAX!$F$8</f>
        <v>30</v>
      </c>
      <c r="F160" s="561">
        <f>TAX!$F$9</f>
        <v>20</v>
      </c>
      <c r="G160" s="561">
        <f>TAX!$F$10</f>
        <v>10</v>
      </c>
      <c r="H160" s="561" t="e">
        <f>TAX!$F$12</f>
        <v>#DIV/0!</v>
      </c>
      <c r="I160" s="561" t="e">
        <f>TAX!$F$13</f>
        <v>#DIV/0!</v>
      </c>
      <c r="J160" s="561">
        <f>TAX!$F$17</f>
        <v>6.8564856955967928</v>
      </c>
      <c r="K160" s="561">
        <f>TAX!$F$18</f>
        <v>5.6090714932482975</v>
      </c>
      <c r="L160" s="561">
        <f>TAX!$F$19</f>
        <v>3.1488447684000027</v>
      </c>
      <c r="M160" s="561">
        <f>TAX!$F$20</f>
        <v>4.7</v>
      </c>
      <c r="N160" s="561">
        <f>TAX!$F$21</f>
        <v>3</v>
      </c>
      <c r="O160" s="561">
        <f>TAX!$F$22</f>
        <v>2.3569174140963063</v>
      </c>
      <c r="P160" s="561" t="e">
        <f>TAX!$F$15</f>
        <v>#DIV/0!</v>
      </c>
      <c r="Q160" s="561" t="e">
        <f>TAX!$F$16</f>
        <v>#DIV/0!</v>
      </c>
      <c r="R160" s="561">
        <f>TAX!$F$24</f>
        <v>13.8</v>
      </c>
    </row>
    <row r="161" spans="1:18">
      <c r="A161" s="127" t="s">
        <v>15</v>
      </c>
      <c r="B161" s="561" t="e">
        <f>TAX!$F$5</f>
        <v>#DIV/0!</v>
      </c>
      <c r="C161" s="561" t="e">
        <f>TAX!$F$6</f>
        <v>#DIV/0!</v>
      </c>
      <c r="D161" s="561">
        <f>TAX!$F$7</f>
        <v>40</v>
      </c>
      <c r="E161" s="561">
        <f>TAX!$F$8</f>
        <v>30</v>
      </c>
      <c r="F161" s="561">
        <f>TAX!$F$9</f>
        <v>20</v>
      </c>
      <c r="G161" s="561">
        <f>TAX!$F$10</f>
        <v>10</v>
      </c>
      <c r="H161" s="561" t="e">
        <f>TAX!$F$12</f>
        <v>#DIV/0!</v>
      </c>
      <c r="I161" s="561" t="e">
        <f>TAX!$F$13</f>
        <v>#DIV/0!</v>
      </c>
      <c r="J161" s="561">
        <f>TAX!$F$17</f>
        <v>6.8564856955967928</v>
      </c>
      <c r="K161" s="561">
        <f>TAX!$F$18</f>
        <v>5.6090714932482975</v>
      </c>
      <c r="L161" s="561">
        <f>TAX!$F$19</f>
        <v>3.1488447684000027</v>
      </c>
      <c r="M161" s="561">
        <f>TAX!$F$20</f>
        <v>4.7</v>
      </c>
      <c r="N161" s="561">
        <f>TAX!$F$21</f>
        <v>3</v>
      </c>
      <c r="O161" s="561">
        <f>TAX!$F$22</f>
        <v>2.3569174140963063</v>
      </c>
      <c r="P161" s="561" t="e">
        <f>TAX!$F$15</f>
        <v>#DIV/0!</v>
      </c>
      <c r="Q161" s="561" t="e">
        <f>TAX!$F$16</f>
        <v>#DIV/0!</v>
      </c>
      <c r="R161" s="561">
        <f>TAX!$F$24</f>
        <v>13.8</v>
      </c>
    </row>
    <row r="162" spans="1:18">
      <c r="A162" s="127" t="s">
        <v>16</v>
      </c>
      <c r="B162" s="561" t="e">
        <f>TAX!$F$5</f>
        <v>#DIV/0!</v>
      </c>
      <c r="C162" s="561" t="e">
        <f>TAX!$F$6</f>
        <v>#DIV/0!</v>
      </c>
      <c r="D162" s="561">
        <f>TAX!$F$7</f>
        <v>40</v>
      </c>
      <c r="E162" s="561">
        <f>TAX!$F$8</f>
        <v>30</v>
      </c>
      <c r="F162" s="561">
        <f>TAX!$F$9</f>
        <v>20</v>
      </c>
      <c r="G162" s="561">
        <f>TAX!$F$10</f>
        <v>10</v>
      </c>
      <c r="H162" s="561" t="e">
        <f>TAX!$F$12</f>
        <v>#DIV/0!</v>
      </c>
      <c r="I162" s="561" t="e">
        <f>TAX!$F$13</f>
        <v>#DIV/0!</v>
      </c>
      <c r="J162" s="561">
        <f>TAX!$F$17</f>
        <v>6.8564856955967928</v>
      </c>
      <c r="K162" s="561">
        <f>TAX!$F$18</f>
        <v>5.6090714932482975</v>
      </c>
      <c r="L162" s="561">
        <f>TAX!$F$19</f>
        <v>3.1488447684000027</v>
      </c>
      <c r="M162" s="561">
        <f>TAX!$F$20</f>
        <v>4.7</v>
      </c>
      <c r="N162" s="561">
        <f>TAX!$F$21</f>
        <v>3</v>
      </c>
      <c r="O162" s="561">
        <f>TAX!$F$22</f>
        <v>2.3569174140963063</v>
      </c>
      <c r="P162" s="561" t="e">
        <f>TAX!$F$15</f>
        <v>#DIV/0!</v>
      </c>
      <c r="Q162" s="561" t="e">
        <f>TAX!$F$16</f>
        <v>#DIV/0!</v>
      </c>
      <c r="R162" s="561">
        <f>TAX!$F$24</f>
        <v>13.8</v>
      </c>
    </row>
    <row r="163" spans="1:18">
      <c r="A163" s="127" t="s">
        <v>17</v>
      </c>
      <c r="B163" s="561" t="e">
        <f>TAX!$F$5</f>
        <v>#DIV/0!</v>
      </c>
      <c r="C163" s="561" t="e">
        <f>TAX!$F$6</f>
        <v>#DIV/0!</v>
      </c>
      <c r="D163" s="561">
        <f>TAX!$F$7</f>
        <v>40</v>
      </c>
      <c r="E163" s="561">
        <f>TAX!$F$8</f>
        <v>30</v>
      </c>
      <c r="F163" s="561">
        <f>TAX!$F$9</f>
        <v>20</v>
      </c>
      <c r="G163" s="561">
        <f>TAX!$F$10</f>
        <v>10</v>
      </c>
      <c r="H163" s="561" t="e">
        <f>TAX!$F$12</f>
        <v>#DIV/0!</v>
      </c>
      <c r="I163" s="561" t="e">
        <f>TAX!$F$13</f>
        <v>#DIV/0!</v>
      </c>
      <c r="J163" s="561">
        <f>TAX!$F$17</f>
        <v>6.8564856955967928</v>
      </c>
      <c r="K163" s="561">
        <f>TAX!$F$18</f>
        <v>5.6090714932482975</v>
      </c>
      <c r="L163" s="561">
        <f>TAX!$F$19</f>
        <v>3.1488447684000027</v>
      </c>
      <c r="M163" s="561">
        <f>TAX!$F$20</f>
        <v>4.7</v>
      </c>
      <c r="N163" s="561">
        <f>TAX!$F$21</f>
        <v>3</v>
      </c>
      <c r="O163" s="561">
        <f>TAX!$F$22</f>
        <v>2.3569174140963063</v>
      </c>
      <c r="P163" s="561" t="e">
        <f>TAX!$F$15</f>
        <v>#DIV/0!</v>
      </c>
      <c r="Q163" s="561" t="e">
        <f>TAX!$F$16</f>
        <v>#DIV/0!</v>
      </c>
      <c r="R163" s="561">
        <f>TAX!$F$24</f>
        <v>13.8</v>
      </c>
    </row>
    <row r="164" spans="1:18">
      <c r="A164" s="127" t="s">
        <v>18</v>
      </c>
      <c r="B164" s="561" t="e">
        <f>TAX!$F$5</f>
        <v>#DIV/0!</v>
      </c>
      <c r="C164" s="561" t="e">
        <f>TAX!$F$6</f>
        <v>#DIV/0!</v>
      </c>
      <c r="D164" s="561">
        <f>TAX!$F$7</f>
        <v>40</v>
      </c>
      <c r="E164" s="561">
        <f>TAX!$F$8</f>
        <v>30</v>
      </c>
      <c r="F164" s="561">
        <f>TAX!$F$9</f>
        <v>20</v>
      </c>
      <c r="G164" s="561">
        <f>TAX!$F$10</f>
        <v>10</v>
      </c>
      <c r="H164" s="561" t="e">
        <f>TAX!$F$12</f>
        <v>#DIV/0!</v>
      </c>
      <c r="I164" s="561" t="e">
        <f>TAX!$F$13</f>
        <v>#DIV/0!</v>
      </c>
      <c r="J164" s="561">
        <f>TAX!$F$17</f>
        <v>6.8564856955967928</v>
      </c>
      <c r="K164" s="561">
        <f>TAX!$F$18</f>
        <v>5.6090714932482975</v>
      </c>
      <c r="L164" s="561">
        <f>TAX!$F$19</f>
        <v>3.1488447684000027</v>
      </c>
      <c r="M164" s="561">
        <f>TAX!$F$20</f>
        <v>4.7</v>
      </c>
      <c r="N164" s="561">
        <f>TAX!$F$21</f>
        <v>3</v>
      </c>
      <c r="O164" s="561">
        <f>TAX!$F$22</f>
        <v>2.3569174140963063</v>
      </c>
      <c r="P164" s="561" t="e">
        <f>TAX!$F$15</f>
        <v>#DIV/0!</v>
      </c>
      <c r="Q164" s="561" t="e">
        <f>TAX!$F$16</f>
        <v>#DIV/0!</v>
      </c>
      <c r="R164" s="561">
        <f>TAX!$F$24</f>
        <v>13.8</v>
      </c>
    </row>
    <row r="165" spans="1:18" ht="15.75" thickBot="1">
      <c r="A165" s="128" t="s">
        <v>19</v>
      </c>
      <c r="B165" s="561" t="e">
        <f>TAX!$F$5</f>
        <v>#DIV/0!</v>
      </c>
      <c r="C165" s="561" t="e">
        <f>TAX!$F$6</f>
        <v>#DIV/0!</v>
      </c>
      <c r="D165" s="561">
        <f>TAX!$F$7</f>
        <v>40</v>
      </c>
      <c r="E165" s="561">
        <f>TAX!$F$8</f>
        <v>30</v>
      </c>
      <c r="F165" s="561">
        <f>TAX!$F$9</f>
        <v>20</v>
      </c>
      <c r="G165" s="561">
        <f>TAX!$F$10</f>
        <v>10</v>
      </c>
      <c r="H165" s="561" t="e">
        <f>TAX!$F$12</f>
        <v>#DIV/0!</v>
      </c>
      <c r="I165" s="561" t="e">
        <f>TAX!$F$13</f>
        <v>#DIV/0!</v>
      </c>
      <c r="J165" s="561">
        <f>TAX!$F$17</f>
        <v>6.8564856955967928</v>
      </c>
      <c r="K165" s="561">
        <f>TAX!$F$18</f>
        <v>5.6090714932482975</v>
      </c>
      <c r="L165" s="561">
        <f>TAX!$F$19</f>
        <v>3.1488447684000027</v>
      </c>
      <c r="M165" s="561">
        <f>TAX!$F$20</f>
        <v>4.7</v>
      </c>
      <c r="N165" s="561">
        <f>TAX!$F$21</f>
        <v>3</v>
      </c>
      <c r="O165" s="561">
        <f>TAX!$F$22</f>
        <v>2.3569174140963063</v>
      </c>
      <c r="P165" s="561" t="e">
        <f>TAX!$F$15</f>
        <v>#DIV/0!</v>
      </c>
      <c r="Q165" s="561" t="e">
        <f>TAX!$F$16</f>
        <v>#DIV/0!</v>
      </c>
      <c r="R165" s="561">
        <f>TAX!$F$24</f>
        <v>13.8</v>
      </c>
    </row>
    <row r="166" spans="1:18">
      <c r="A166" s="269" t="s">
        <v>54</v>
      </c>
      <c r="B166" s="561" t="e">
        <f>TAX!$F$5</f>
        <v>#DIV/0!</v>
      </c>
      <c r="C166" s="561" t="e">
        <f>TAX!$F$6</f>
        <v>#DIV/0!</v>
      </c>
      <c r="D166" s="561">
        <f>TAX!$F$7</f>
        <v>40</v>
      </c>
      <c r="E166" s="561">
        <f>TAX!$F$8</f>
        <v>30</v>
      </c>
      <c r="F166" s="561">
        <f>TAX!$F$9</f>
        <v>20</v>
      </c>
      <c r="G166" s="561">
        <f>TAX!$F$10</f>
        <v>10</v>
      </c>
      <c r="H166" s="561" t="e">
        <f>TAX!$F$12</f>
        <v>#DIV/0!</v>
      </c>
      <c r="I166" s="561" t="e">
        <f>TAX!$F$13</f>
        <v>#DIV/0!</v>
      </c>
      <c r="J166" s="561">
        <f>TAX!$F$17</f>
        <v>6.8564856955967928</v>
      </c>
      <c r="K166" s="561">
        <f>TAX!$F$18</f>
        <v>5.6090714932482975</v>
      </c>
      <c r="L166" s="561">
        <f>TAX!$F$19</f>
        <v>3.1488447684000027</v>
      </c>
      <c r="M166" s="561">
        <f>TAX!$F$20</f>
        <v>4.7</v>
      </c>
      <c r="N166" s="561">
        <f>TAX!$F$21</f>
        <v>3</v>
      </c>
      <c r="O166" s="561">
        <f>TAX!$F$22</f>
        <v>2.3569174140963063</v>
      </c>
      <c r="P166" s="561" t="e">
        <f>TAX!$F$15</f>
        <v>#DIV/0!</v>
      </c>
      <c r="Q166" s="561" t="e">
        <f>TAX!$F$16</f>
        <v>#DIV/0!</v>
      </c>
      <c r="R166" s="561">
        <f>TAX!$F$24</f>
        <v>13.8</v>
      </c>
    </row>
    <row r="167" spans="1:18">
      <c r="A167" s="127" t="s">
        <v>21</v>
      </c>
      <c r="B167" s="561" t="e">
        <f>TAX!$F$5</f>
        <v>#DIV/0!</v>
      </c>
      <c r="C167" s="561" t="e">
        <f>TAX!$F$6</f>
        <v>#DIV/0!</v>
      </c>
      <c r="D167" s="561">
        <f>TAX!$F$7</f>
        <v>40</v>
      </c>
      <c r="E167" s="561">
        <f>TAX!$F$8</f>
        <v>30</v>
      </c>
      <c r="F167" s="561">
        <f>TAX!$F$9</f>
        <v>20</v>
      </c>
      <c r="G167" s="561">
        <f>TAX!$F$10</f>
        <v>10</v>
      </c>
      <c r="H167" s="561" t="e">
        <f>TAX!$F$12</f>
        <v>#DIV/0!</v>
      </c>
      <c r="I167" s="561" t="e">
        <f>TAX!$F$13</f>
        <v>#DIV/0!</v>
      </c>
      <c r="J167" s="561">
        <f>TAX!$F$17</f>
        <v>6.8564856955967928</v>
      </c>
      <c r="K167" s="561">
        <f>TAX!$F$18</f>
        <v>5.6090714932482975</v>
      </c>
      <c r="L167" s="561">
        <f>TAX!$F$19</f>
        <v>3.1488447684000027</v>
      </c>
      <c r="M167" s="561">
        <f>TAX!$F$20</f>
        <v>4.7</v>
      </c>
      <c r="N167" s="561">
        <f>TAX!$F$21</f>
        <v>3</v>
      </c>
      <c r="O167" s="561">
        <f>TAX!$F$22</f>
        <v>2.3569174140963063</v>
      </c>
      <c r="P167" s="561" t="e">
        <f>TAX!$F$15</f>
        <v>#DIV/0!</v>
      </c>
      <c r="Q167" s="561" t="e">
        <f>TAX!$F$16</f>
        <v>#DIV/0!</v>
      </c>
      <c r="R167" s="561">
        <f>TAX!$F$24</f>
        <v>13.8</v>
      </c>
    </row>
    <row r="168" spans="1:18">
      <c r="A168" s="127" t="s">
        <v>22</v>
      </c>
      <c r="B168" s="561" t="e">
        <f>TAX!$F$5</f>
        <v>#DIV/0!</v>
      </c>
      <c r="C168" s="561" t="e">
        <f>TAX!$F$6</f>
        <v>#DIV/0!</v>
      </c>
      <c r="D168" s="561">
        <f>TAX!$F$7</f>
        <v>40</v>
      </c>
      <c r="E168" s="561">
        <f>TAX!$F$8</f>
        <v>30</v>
      </c>
      <c r="F168" s="561">
        <f>TAX!$F$9</f>
        <v>20</v>
      </c>
      <c r="G168" s="561">
        <f>TAX!$F$10</f>
        <v>10</v>
      </c>
      <c r="H168" s="561" t="e">
        <f>TAX!$F$12</f>
        <v>#DIV/0!</v>
      </c>
      <c r="I168" s="561" t="e">
        <f>TAX!$F$13</f>
        <v>#DIV/0!</v>
      </c>
      <c r="J168" s="561">
        <f>TAX!$F$17</f>
        <v>6.8564856955967928</v>
      </c>
      <c r="K168" s="561">
        <f>TAX!$F$18</f>
        <v>5.6090714932482975</v>
      </c>
      <c r="L168" s="561">
        <f>TAX!$F$19</f>
        <v>3.1488447684000027</v>
      </c>
      <c r="M168" s="561">
        <f>TAX!$F$20</f>
        <v>4.7</v>
      </c>
      <c r="N168" s="561">
        <f>TAX!$F$21</f>
        <v>3</v>
      </c>
      <c r="O168" s="561">
        <f>TAX!$F$22</f>
        <v>2.3569174140963063</v>
      </c>
      <c r="P168" s="561" t="e">
        <f>TAX!$F$15</f>
        <v>#DIV/0!</v>
      </c>
      <c r="Q168" s="561" t="e">
        <f>TAX!$F$16</f>
        <v>#DIV/0!</v>
      </c>
      <c r="R168" s="561">
        <f>TAX!$F$24</f>
        <v>13.8</v>
      </c>
    </row>
    <row r="169" spans="1:18">
      <c r="A169" s="127" t="s">
        <v>23</v>
      </c>
      <c r="B169" s="561" t="e">
        <f>TAX!$F$5</f>
        <v>#DIV/0!</v>
      </c>
      <c r="C169" s="561" t="e">
        <f>TAX!$F$6</f>
        <v>#DIV/0!</v>
      </c>
      <c r="D169" s="561">
        <f>TAX!$F$7</f>
        <v>40</v>
      </c>
      <c r="E169" s="561">
        <f>TAX!$F$8</f>
        <v>30</v>
      </c>
      <c r="F169" s="561">
        <f>TAX!$F$9</f>
        <v>20</v>
      </c>
      <c r="G169" s="561">
        <f>TAX!$F$10</f>
        <v>10</v>
      </c>
      <c r="H169" s="561" t="e">
        <f>TAX!$F$12</f>
        <v>#DIV/0!</v>
      </c>
      <c r="I169" s="561" t="e">
        <f>TAX!$F$13</f>
        <v>#DIV/0!</v>
      </c>
      <c r="J169" s="561">
        <f>TAX!$F$17</f>
        <v>6.8564856955967928</v>
      </c>
      <c r="K169" s="561">
        <f>TAX!$F$18</f>
        <v>5.6090714932482975</v>
      </c>
      <c r="L169" s="561">
        <f>TAX!$F$19</f>
        <v>3.1488447684000027</v>
      </c>
      <c r="M169" s="561">
        <f>TAX!$F$20</f>
        <v>4.7</v>
      </c>
      <c r="N169" s="561">
        <f>TAX!$F$21</f>
        <v>3</v>
      </c>
      <c r="O169" s="561">
        <f>TAX!$F$22</f>
        <v>2.3569174140963063</v>
      </c>
      <c r="P169" s="561" t="e">
        <f>TAX!$F$15</f>
        <v>#DIV/0!</v>
      </c>
      <c r="Q169" s="561" t="e">
        <f>TAX!$F$16</f>
        <v>#DIV/0!</v>
      </c>
      <c r="R169" s="561">
        <f>TAX!$F$24</f>
        <v>13.8</v>
      </c>
    </row>
    <row r="170" spans="1:18">
      <c r="A170" s="127" t="s">
        <v>24</v>
      </c>
      <c r="B170" s="561" t="e">
        <f>TAX!$F$5</f>
        <v>#DIV/0!</v>
      </c>
      <c r="C170" s="561" t="e">
        <f>TAX!$F$6</f>
        <v>#DIV/0!</v>
      </c>
      <c r="D170" s="561">
        <f>TAX!$F$7</f>
        <v>40</v>
      </c>
      <c r="E170" s="561">
        <f>TAX!$F$8</f>
        <v>30</v>
      </c>
      <c r="F170" s="561">
        <f>TAX!$F$9</f>
        <v>20</v>
      </c>
      <c r="G170" s="561">
        <f>TAX!$F$10</f>
        <v>10</v>
      </c>
      <c r="H170" s="561" t="e">
        <f>TAX!$F$12</f>
        <v>#DIV/0!</v>
      </c>
      <c r="I170" s="561" t="e">
        <f>TAX!$F$13</f>
        <v>#DIV/0!</v>
      </c>
      <c r="J170" s="561">
        <f>TAX!$F$17</f>
        <v>6.8564856955967928</v>
      </c>
      <c r="K170" s="561">
        <f>TAX!$F$18</f>
        <v>5.6090714932482975</v>
      </c>
      <c r="L170" s="561">
        <f>TAX!$F$19</f>
        <v>3.1488447684000027</v>
      </c>
      <c r="M170" s="561">
        <f>TAX!$F$20</f>
        <v>4.7</v>
      </c>
      <c r="N170" s="561">
        <f>TAX!$F$21</f>
        <v>3</v>
      </c>
      <c r="O170" s="561">
        <f>TAX!$F$22</f>
        <v>2.3569174140963063</v>
      </c>
      <c r="P170" s="561" t="e">
        <f>TAX!$F$15</f>
        <v>#DIV/0!</v>
      </c>
      <c r="Q170" s="561" t="e">
        <f>TAX!$F$16</f>
        <v>#DIV/0!</v>
      </c>
      <c r="R170" s="561">
        <f>TAX!$F$24</f>
        <v>13.8</v>
      </c>
    </row>
    <row r="171" spans="1:18">
      <c r="A171" s="127" t="s">
        <v>25</v>
      </c>
      <c r="B171" s="561" t="e">
        <f>TAX!$F$5</f>
        <v>#DIV/0!</v>
      </c>
      <c r="C171" s="561" t="e">
        <f>TAX!$F$6</f>
        <v>#DIV/0!</v>
      </c>
      <c r="D171" s="561">
        <f>TAX!$F$7</f>
        <v>40</v>
      </c>
      <c r="E171" s="561">
        <f>TAX!$F$8</f>
        <v>30</v>
      </c>
      <c r="F171" s="561">
        <f>TAX!$F$9</f>
        <v>20</v>
      </c>
      <c r="G171" s="561">
        <f>TAX!$F$10</f>
        <v>10</v>
      </c>
      <c r="H171" s="561" t="e">
        <f>TAX!$F$12</f>
        <v>#DIV/0!</v>
      </c>
      <c r="I171" s="561" t="e">
        <f>TAX!$F$13</f>
        <v>#DIV/0!</v>
      </c>
      <c r="J171" s="561">
        <f>TAX!$F$17</f>
        <v>6.8564856955967928</v>
      </c>
      <c r="K171" s="561">
        <f>TAX!$F$18</f>
        <v>5.6090714932482975</v>
      </c>
      <c r="L171" s="561">
        <f>TAX!$F$19</f>
        <v>3.1488447684000027</v>
      </c>
      <c r="M171" s="561">
        <f>TAX!$F$20</f>
        <v>4.7</v>
      </c>
      <c r="N171" s="561">
        <f>TAX!$F$21</f>
        <v>3</v>
      </c>
      <c r="O171" s="561">
        <f>TAX!$F$22</f>
        <v>2.3569174140963063</v>
      </c>
      <c r="P171" s="561" t="e">
        <f>TAX!$F$15</f>
        <v>#DIV/0!</v>
      </c>
      <c r="Q171" s="561" t="e">
        <f>TAX!$F$16</f>
        <v>#DIV/0!</v>
      </c>
      <c r="R171" s="561">
        <f>TAX!$F$24</f>
        <v>13.8</v>
      </c>
    </row>
    <row r="172" spans="1:18">
      <c r="A172" s="127" t="s">
        <v>26</v>
      </c>
      <c r="B172" s="561" t="e">
        <f>TAX!$F$5</f>
        <v>#DIV/0!</v>
      </c>
      <c r="C172" s="561" t="e">
        <f>TAX!$F$6</f>
        <v>#DIV/0!</v>
      </c>
      <c r="D172" s="561">
        <f>TAX!$F$7</f>
        <v>40</v>
      </c>
      <c r="E172" s="561">
        <f>TAX!$F$8</f>
        <v>30</v>
      </c>
      <c r="F172" s="561">
        <f>TAX!$F$9</f>
        <v>20</v>
      </c>
      <c r="G172" s="561">
        <f>TAX!$F$10</f>
        <v>10</v>
      </c>
      <c r="H172" s="561" t="e">
        <f>TAX!$F$12</f>
        <v>#DIV/0!</v>
      </c>
      <c r="I172" s="561" t="e">
        <f>TAX!$F$13</f>
        <v>#DIV/0!</v>
      </c>
      <c r="J172" s="561">
        <f>TAX!$F$17</f>
        <v>6.8564856955967928</v>
      </c>
      <c r="K172" s="561">
        <f>TAX!$F$18</f>
        <v>5.6090714932482975</v>
      </c>
      <c r="L172" s="561">
        <f>TAX!$F$19</f>
        <v>3.1488447684000027</v>
      </c>
      <c r="M172" s="561">
        <f>TAX!$F$20</f>
        <v>4.7</v>
      </c>
      <c r="N172" s="561">
        <f>TAX!$F$21</f>
        <v>3</v>
      </c>
      <c r="O172" s="561">
        <f>TAX!$F$22</f>
        <v>2.3569174140963063</v>
      </c>
      <c r="P172" s="561" t="e">
        <f>TAX!$F$15</f>
        <v>#DIV/0!</v>
      </c>
      <c r="Q172" s="561" t="e">
        <f>TAX!$F$16</f>
        <v>#DIV/0!</v>
      </c>
      <c r="R172" s="561">
        <f>TAX!$F$24</f>
        <v>13.8</v>
      </c>
    </row>
    <row r="173" spans="1:18">
      <c r="A173" s="127" t="s">
        <v>27</v>
      </c>
      <c r="B173" s="561" t="e">
        <f>TAX!$F$5</f>
        <v>#DIV/0!</v>
      </c>
      <c r="C173" s="561" t="e">
        <f>TAX!$F$6</f>
        <v>#DIV/0!</v>
      </c>
      <c r="D173" s="561">
        <f>TAX!$F$7</f>
        <v>40</v>
      </c>
      <c r="E173" s="561">
        <f>TAX!$F$8</f>
        <v>30</v>
      </c>
      <c r="F173" s="561">
        <f>TAX!$F$9</f>
        <v>20</v>
      </c>
      <c r="G173" s="561">
        <f>TAX!$F$10</f>
        <v>10</v>
      </c>
      <c r="H173" s="561" t="e">
        <f>TAX!$F$12</f>
        <v>#DIV/0!</v>
      </c>
      <c r="I173" s="561" t="e">
        <f>TAX!$F$13</f>
        <v>#DIV/0!</v>
      </c>
      <c r="J173" s="561">
        <f>TAX!$F$17</f>
        <v>6.8564856955967928</v>
      </c>
      <c r="K173" s="561">
        <f>TAX!$F$18</f>
        <v>5.6090714932482975</v>
      </c>
      <c r="L173" s="561">
        <f>TAX!$F$19</f>
        <v>3.1488447684000027</v>
      </c>
      <c r="M173" s="561">
        <f>TAX!$F$20</f>
        <v>4.7</v>
      </c>
      <c r="N173" s="561">
        <f>TAX!$F$21</f>
        <v>3</v>
      </c>
      <c r="O173" s="561">
        <f>TAX!$F$22</f>
        <v>2.3569174140963063</v>
      </c>
      <c r="P173" s="561" t="e">
        <f>TAX!$F$15</f>
        <v>#DIV/0!</v>
      </c>
      <c r="Q173" s="561" t="e">
        <f>TAX!$F$16</f>
        <v>#DIV/0!</v>
      </c>
      <c r="R173" s="561">
        <f>TAX!$F$24</f>
        <v>13.8</v>
      </c>
    </row>
    <row r="174" spans="1:18" ht="25.5">
      <c r="A174" s="127" t="s">
        <v>28</v>
      </c>
      <c r="B174" s="561" t="e">
        <f>TAX!$F$5</f>
        <v>#DIV/0!</v>
      </c>
      <c r="C174" s="561" t="e">
        <f>TAX!$F$6</f>
        <v>#DIV/0!</v>
      </c>
      <c r="D174" s="561">
        <f>TAX!$F$7</f>
        <v>40</v>
      </c>
      <c r="E174" s="561">
        <f>TAX!$F$8</f>
        <v>30</v>
      </c>
      <c r="F174" s="561">
        <f>TAX!$F$9</f>
        <v>20</v>
      </c>
      <c r="G174" s="561">
        <f>TAX!$F$10</f>
        <v>10</v>
      </c>
      <c r="H174" s="561" t="e">
        <f>TAX!$F$12</f>
        <v>#DIV/0!</v>
      </c>
      <c r="I174" s="561" t="e">
        <f>TAX!$F$13</f>
        <v>#DIV/0!</v>
      </c>
      <c r="J174" s="561">
        <f>TAX!$F$17</f>
        <v>6.8564856955967928</v>
      </c>
      <c r="K174" s="561">
        <f>TAX!$F$18</f>
        <v>5.6090714932482975</v>
      </c>
      <c r="L174" s="561">
        <f>TAX!$F$19</f>
        <v>3.1488447684000027</v>
      </c>
      <c r="M174" s="561">
        <f>TAX!$F$20</f>
        <v>4.7</v>
      </c>
      <c r="N174" s="561">
        <f>TAX!$F$21</f>
        <v>3</v>
      </c>
      <c r="O174" s="561">
        <f>TAX!$F$22</f>
        <v>2.3569174140963063</v>
      </c>
      <c r="P174" s="561" t="e">
        <f>TAX!$F$15</f>
        <v>#DIV/0!</v>
      </c>
      <c r="Q174" s="561" t="e">
        <f>TAX!$F$16</f>
        <v>#DIV/0!</v>
      </c>
      <c r="R174" s="561">
        <f>TAX!$F$24</f>
        <v>13.8</v>
      </c>
    </row>
    <row r="175" spans="1:18" ht="15.75" thickBot="1">
      <c r="A175" s="128" t="s">
        <v>29</v>
      </c>
      <c r="B175" s="561" t="e">
        <f>TAX!$F$5</f>
        <v>#DIV/0!</v>
      </c>
      <c r="C175" s="561" t="e">
        <f>TAX!$F$6</f>
        <v>#DIV/0!</v>
      </c>
      <c r="D175" s="561">
        <f>TAX!$F$7</f>
        <v>40</v>
      </c>
      <c r="E175" s="561">
        <f>TAX!$F$8</f>
        <v>30</v>
      </c>
      <c r="F175" s="561">
        <f>TAX!$F$9</f>
        <v>20</v>
      </c>
      <c r="G175" s="561">
        <f>TAX!$F$10</f>
        <v>10</v>
      </c>
      <c r="H175" s="561" t="e">
        <f>TAX!$F$12</f>
        <v>#DIV/0!</v>
      </c>
      <c r="I175" s="561" t="e">
        <f>TAX!$F$13</f>
        <v>#DIV/0!</v>
      </c>
      <c r="J175" s="561">
        <f>TAX!$F$17</f>
        <v>6.8564856955967928</v>
      </c>
      <c r="K175" s="561">
        <f>TAX!$F$18</f>
        <v>5.6090714932482975</v>
      </c>
      <c r="L175" s="561">
        <f>TAX!$F$19</f>
        <v>3.1488447684000027</v>
      </c>
      <c r="M175" s="561">
        <f>TAX!$F$20</f>
        <v>4.7</v>
      </c>
      <c r="N175" s="561">
        <f>TAX!$F$21</f>
        <v>3</v>
      </c>
      <c r="O175" s="561">
        <f>TAX!$F$22</f>
        <v>2.3569174140963063</v>
      </c>
      <c r="P175" s="561" t="e">
        <f>TAX!$F$15</f>
        <v>#DIV/0!</v>
      </c>
      <c r="Q175" s="561" t="e">
        <f>TAX!$F$16</f>
        <v>#DIV/0!</v>
      </c>
      <c r="R175" s="561">
        <f>TAX!$F$24</f>
        <v>13.8</v>
      </c>
    </row>
    <row r="176" spans="1:18">
      <c r="A176" s="269" t="s">
        <v>64</v>
      </c>
      <c r="B176" s="561" t="e">
        <f>TAX!$F$5</f>
        <v>#DIV/0!</v>
      </c>
      <c r="C176" s="561" t="e">
        <f>TAX!$F$6</f>
        <v>#DIV/0!</v>
      </c>
      <c r="D176" s="561">
        <f>TAX!$F$7</f>
        <v>40</v>
      </c>
      <c r="E176" s="561">
        <f>TAX!$F$8</f>
        <v>30</v>
      </c>
      <c r="F176" s="561">
        <f>TAX!$F$9</f>
        <v>20</v>
      </c>
      <c r="G176" s="561">
        <f>TAX!$F$10</f>
        <v>10</v>
      </c>
      <c r="H176" s="561" t="e">
        <f>TAX!$F$12</f>
        <v>#DIV/0!</v>
      </c>
      <c r="I176" s="561" t="e">
        <f>TAX!$F$13</f>
        <v>#DIV/0!</v>
      </c>
      <c r="J176" s="561">
        <f>TAX!$F$17</f>
        <v>6.8564856955967928</v>
      </c>
      <c r="K176" s="561">
        <f>TAX!$F$18</f>
        <v>5.6090714932482975</v>
      </c>
      <c r="L176" s="561">
        <f>TAX!$F$19</f>
        <v>3.1488447684000027</v>
      </c>
      <c r="M176" s="561">
        <f>TAX!$F$20</f>
        <v>4.7</v>
      </c>
      <c r="N176" s="561">
        <f>TAX!$F$21</f>
        <v>3</v>
      </c>
      <c r="O176" s="561">
        <f>TAX!$F$22</f>
        <v>2.3569174140963063</v>
      </c>
      <c r="P176" s="561" t="e">
        <f>TAX!$F$15</f>
        <v>#DIV/0!</v>
      </c>
      <c r="Q176" s="561" t="e">
        <f>TAX!$F$16</f>
        <v>#DIV/0!</v>
      </c>
      <c r="R176" s="561">
        <f>TAX!$F$24</f>
        <v>13.8</v>
      </c>
    </row>
    <row r="177" spans="1:18">
      <c r="A177" s="127" t="s">
        <v>31</v>
      </c>
      <c r="B177" s="561" t="e">
        <f>TAX!$F$5</f>
        <v>#DIV/0!</v>
      </c>
      <c r="C177" s="561" t="e">
        <f>TAX!$F$6</f>
        <v>#DIV/0!</v>
      </c>
      <c r="D177" s="561">
        <f>TAX!$F$7</f>
        <v>40</v>
      </c>
      <c r="E177" s="561">
        <f>TAX!$F$8</f>
        <v>30</v>
      </c>
      <c r="F177" s="561">
        <f>TAX!$F$9</f>
        <v>20</v>
      </c>
      <c r="G177" s="561">
        <f>TAX!$F$10</f>
        <v>10</v>
      </c>
      <c r="H177" s="561" t="e">
        <f>TAX!$F$12</f>
        <v>#DIV/0!</v>
      </c>
      <c r="I177" s="561" t="e">
        <f>TAX!$F$13</f>
        <v>#DIV/0!</v>
      </c>
      <c r="J177" s="561">
        <f>TAX!$F$17</f>
        <v>6.8564856955967928</v>
      </c>
      <c r="K177" s="561">
        <f>TAX!$F$18</f>
        <v>5.6090714932482975</v>
      </c>
      <c r="L177" s="561">
        <f>TAX!$F$19</f>
        <v>3.1488447684000027</v>
      </c>
      <c r="M177" s="561">
        <f>TAX!$F$20</f>
        <v>4.7</v>
      </c>
      <c r="N177" s="561">
        <f>TAX!$F$21</f>
        <v>3</v>
      </c>
      <c r="O177" s="561">
        <f>TAX!$F$22</f>
        <v>2.3569174140963063</v>
      </c>
      <c r="P177" s="561" t="e">
        <f>TAX!$F$15</f>
        <v>#DIV/0!</v>
      </c>
      <c r="Q177" s="561" t="e">
        <f>TAX!$F$16</f>
        <v>#DIV/0!</v>
      </c>
      <c r="R177" s="561">
        <f>TAX!$F$24</f>
        <v>13.8</v>
      </c>
    </row>
    <row r="178" spans="1:18">
      <c r="A178" s="127" t="s">
        <v>32</v>
      </c>
      <c r="B178" s="561" t="e">
        <f>TAX!$F$5</f>
        <v>#DIV/0!</v>
      </c>
      <c r="C178" s="561" t="e">
        <f>TAX!$F$6</f>
        <v>#DIV/0!</v>
      </c>
      <c r="D178" s="561">
        <f>TAX!$F$7</f>
        <v>40</v>
      </c>
      <c r="E178" s="561">
        <f>TAX!$F$8</f>
        <v>30</v>
      </c>
      <c r="F178" s="561">
        <f>TAX!$F$9</f>
        <v>20</v>
      </c>
      <c r="G178" s="561">
        <f>TAX!$F$10</f>
        <v>10</v>
      </c>
      <c r="H178" s="561" t="e">
        <f>TAX!$F$12</f>
        <v>#DIV/0!</v>
      </c>
      <c r="I178" s="561" t="e">
        <f>TAX!$F$13</f>
        <v>#DIV/0!</v>
      </c>
      <c r="J178" s="561">
        <f>TAX!$F$17</f>
        <v>6.8564856955967928</v>
      </c>
      <c r="K178" s="561">
        <f>TAX!$F$18</f>
        <v>5.6090714932482975</v>
      </c>
      <c r="L178" s="561">
        <f>TAX!$F$19</f>
        <v>3.1488447684000027</v>
      </c>
      <c r="M178" s="561">
        <f>TAX!$F$20</f>
        <v>4.7</v>
      </c>
      <c r="N178" s="561">
        <f>TAX!$F$21</f>
        <v>3</v>
      </c>
      <c r="O178" s="561">
        <f>TAX!$F$22</f>
        <v>2.3569174140963063</v>
      </c>
      <c r="P178" s="561" t="e">
        <f>TAX!$F$15</f>
        <v>#DIV/0!</v>
      </c>
      <c r="Q178" s="561" t="e">
        <f>TAX!$F$16</f>
        <v>#DIV/0!</v>
      </c>
      <c r="R178" s="561">
        <f>TAX!$F$24</f>
        <v>13.8</v>
      </c>
    </row>
    <row r="179" spans="1:18">
      <c r="A179" s="127" t="s">
        <v>33</v>
      </c>
      <c r="B179" s="561" t="e">
        <f>TAX!$F$5</f>
        <v>#DIV/0!</v>
      </c>
      <c r="C179" s="561" t="e">
        <f>TAX!$F$6</f>
        <v>#DIV/0!</v>
      </c>
      <c r="D179" s="561">
        <f>TAX!$F$7</f>
        <v>40</v>
      </c>
      <c r="E179" s="561">
        <f>TAX!$F$8</f>
        <v>30</v>
      </c>
      <c r="F179" s="561">
        <f>TAX!$F$9</f>
        <v>20</v>
      </c>
      <c r="G179" s="561">
        <f>TAX!$F$10</f>
        <v>10</v>
      </c>
      <c r="H179" s="561" t="e">
        <f>TAX!$F$12</f>
        <v>#DIV/0!</v>
      </c>
      <c r="I179" s="561" t="e">
        <f>TAX!$F$13</f>
        <v>#DIV/0!</v>
      </c>
      <c r="J179" s="561">
        <f>TAX!$F$17</f>
        <v>6.8564856955967928</v>
      </c>
      <c r="K179" s="561">
        <f>TAX!$F$18</f>
        <v>5.6090714932482975</v>
      </c>
      <c r="L179" s="561">
        <f>TAX!$F$19</f>
        <v>3.1488447684000027</v>
      </c>
      <c r="M179" s="561">
        <f>TAX!$F$20</f>
        <v>4.7</v>
      </c>
      <c r="N179" s="561">
        <f>TAX!$F$21</f>
        <v>3</v>
      </c>
      <c r="O179" s="561">
        <f>TAX!$F$22</f>
        <v>2.3569174140963063</v>
      </c>
      <c r="P179" s="561" t="e">
        <f>TAX!$F$15</f>
        <v>#DIV/0!</v>
      </c>
      <c r="Q179" s="561" t="e">
        <f>TAX!$F$16</f>
        <v>#DIV/0!</v>
      </c>
      <c r="R179" s="561">
        <f>TAX!$F$24</f>
        <v>13.8</v>
      </c>
    </row>
    <row r="180" spans="1:18" ht="15.75" thickBot="1">
      <c r="A180" s="128" t="s">
        <v>34</v>
      </c>
      <c r="B180" s="561" t="e">
        <f>TAX!$F$5</f>
        <v>#DIV/0!</v>
      </c>
      <c r="C180" s="561" t="e">
        <f>TAX!$F$6</f>
        <v>#DIV/0!</v>
      </c>
      <c r="D180" s="561">
        <f>TAX!$F$7</f>
        <v>40</v>
      </c>
      <c r="E180" s="561">
        <f>TAX!$F$8</f>
        <v>30</v>
      </c>
      <c r="F180" s="561">
        <f>TAX!$F$9</f>
        <v>20</v>
      </c>
      <c r="G180" s="561">
        <f>TAX!$F$10</f>
        <v>10</v>
      </c>
      <c r="H180" s="561" t="e">
        <f>TAX!$F$12</f>
        <v>#DIV/0!</v>
      </c>
      <c r="I180" s="561" t="e">
        <f>TAX!$F$13</f>
        <v>#DIV/0!</v>
      </c>
      <c r="J180" s="561">
        <f>TAX!$F$17</f>
        <v>6.8564856955967928</v>
      </c>
      <c r="K180" s="561">
        <f>TAX!$F$18</f>
        <v>5.6090714932482975</v>
      </c>
      <c r="L180" s="561">
        <f>TAX!$F$19</f>
        <v>3.1488447684000027</v>
      </c>
      <c r="M180" s="561">
        <f>TAX!$F$20</f>
        <v>4.7</v>
      </c>
      <c r="N180" s="561">
        <f>TAX!$F$21</f>
        <v>3</v>
      </c>
      <c r="O180" s="561">
        <f>TAX!$F$22</f>
        <v>2.3569174140963063</v>
      </c>
      <c r="P180" s="561" t="e">
        <f>TAX!$F$15</f>
        <v>#DIV/0!</v>
      </c>
      <c r="Q180" s="561" t="e">
        <f>TAX!$F$16</f>
        <v>#DIV/0!</v>
      </c>
      <c r="R180" s="561">
        <f>TAX!$F$24</f>
        <v>13.8</v>
      </c>
    </row>
    <row r="181" spans="1:18">
      <c r="A181" s="269" t="s">
        <v>69</v>
      </c>
      <c r="B181" s="561" t="e">
        <f>TAX!$F$5</f>
        <v>#DIV/0!</v>
      </c>
      <c r="C181" s="561" t="e">
        <f>TAX!$F$6</f>
        <v>#DIV/0!</v>
      </c>
      <c r="D181" s="561">
        <f>TAX!$F$7</f>
        <v>40</v>
      </c>
      <c r="E181" s="561">
        <f>TAX!$F$8</f>
        <v>30</v>
      </c>
      <c r="F181" s="561">
        <f>TAX!$F$9</f>
        <v>20</v>
      </c>
      <c r="G181" s="561">
        <f>TAX!$F$10</f>
        <v>10</v>
      </c>
      <c r="H181" s="561" t="e">
        <f>TAX!$F$12</f>
        <v>#DIV/0!</v>
      </c>
      <c r="I181" s="561" t="e">
        <f>TAX!$F$13</f>
        <v>#DIV/0!</v>
      </c>
      <c r="J181" s="561">
        <f>TAX!$F$17</f>
        <v>6.8564856955967928</v>
      </c>
      <c r="K181" s="561">
        <f>TAX!$F$18</f>
        <v>5.6090714932482975</v>
      </c>
      <c r="L181" s="561">
        <f>TAX!$F$19</f>
        <v>3.1488447684000027</v>
      </c>
      <c r="M181" s="561">
        <f>TAX!$F$20</f>
        <v>4.7</v>
      </c>
      <c r="N181" s="561">
        <f>TAX!$F$21</f>
        <v>3</v>
      </c>
      <c r="O181" s="561">
        <f>TAX!$F$22</f>
        <v>2.3569174140963063</v>
      </c>
      <c r="P181" s="561" t="e">
        <f>TAX!$F$15</f>
        <v>#DIV/0!</v>
      </c>
      <c r="Q181" s="561" t="e">
        <f>TAX!$F$16</f>
        <v>#DIV/0!</v>
      </c>
      <c r="R181" s="561">
        <f>TAX!$F$24</f>
        <v>13.8</v>
      </c>
    </row>
    <row r="182" spans="1:18">
      <c r="A182" s="127" t="s">
        <v>36</v>
      </c>
      <c r="B182" s="561" t="e">
        <f>TAX!$F$5</f>
        <v>#DIV/0!</v>
      </c>
      <c r="C182" s="561" t="e">
        <f>TAX!$F$6</f>
        <v>#DIV/0!</v>
      </c>
      <c r="D182" s="561">
        <f>TAX!$F$7</f>
        <v>40</v>
      </c>
      <c r="E182" s="561">
        <f>TAX!$F$8</f>
        <v>30</v>
      </c>
      <c r="F182" s="561">
        <f>TAX!$F$9</f>
        <v>20</v>
      </c>
      <c r="G182" s="561">
        <f>TAX!$F$10</f>
        <v>10</v>
      </c>
      <c r="H182" s="561" t="e">
        <f>TAX!$F$12</f>
        <v>#DIV/0!</v>
      </c>
      <c r="I182" s="561" t="e">
        <f>TAX!$F$13</f>
        <v>#DIV/0!</v>
      </c>
      <c r="J182" s="561">
        <f>TAX!$F$17</f>
        <v>6.8564856955967928</v>
      </c>
      <c r="K182" s="561">
        <f>TAX!$F$18</f>
        <v>5.6090714932482975</v>
      </c>
      <c r="L182" s="561">
        <f>TAX!$F$19</f>
        <v>3.1488447684000027</v>
      </c>
      <c r="M182" s="561">
        <f>TAX!$F$20</f>
        <v>4.7</v>
      </c>
      <c r="N182" s="561">
        <f>TAX!$F$21</f>
        <v>3</v>
      </c>
      <c r="O182" s="561">
        <f>TAX!$F$22</f>
        <v>2.3569174140963063</v>
      </c>
      <c r="P182" s="561" t="e">
        <f>TAX!$F$15</f>
        <v>#DIV/0!</v>
      </c>
      <c r="Q182" s="561" t="e">
        <f>TAX!$F$16</f>
        <v>#DIV/0!</v>
      </c>
      <c r="R182" s="561">
        <f>TAX!$F$24</f>
        <v>13.8</v>
      </c>
    </row>
    <row r="183" spans="1:18">
      <c r="A183" s="127" t="s">
        <v>37</v>
      </c>
      <c r="B183" s="561" t="e">
        <f>TAX!$F$5</f>
        <v>#DIV/0!</v>
      </c>
      <c r="C183" s="561" t="e">
        <f>TAX!$F$6</f>
        <v>#DIV/0!</v>
      </c>
      <c r="D183" s="561">
        <f>TAX!$F$7</f>
        <v>40</v>
      </c>
      <c r="E183" s="561">
        <f>TAX!$F$8</f>
        <v>30</v>
      </c>
      <c r="F183" s="561">
        <f>TAX!$F$9</f>
        <v>20</v>
      </c>
      <c r="G183" s="561">
        <f>TAX!$F$10</f>
        <v>10</v>
      </c>
      <c r="H183" s="561" t="e">
        <f>TAX!$F$12</f>
        <v>#DIV/0!</v>
      </c>
      <c r="I183" s="561" t="e">
        <f>TAX!$F$13</f>
        <v>#DIV/0!</v>
      </c>
      <c r="J183" s="561">
        <f>TAX!$F$17</f>
        <v>6.8564856955967928</v>
      </c>
      <c r="K183" s="561">
        <f>TAX!$F$18</f>
        <v>5.6090714932482975</v>
      </c>
      <c r="L183" s="561">
        <f>TAX!$F$19</f>
        <v>3.1488447684000027</v>
      </c>
      <c r="M183" s="561">
        <f>TAX!$F$20</f>
        <v>4.7</v>
      </c>
      <c r="N183" s="561">
        <f>TAX!$F$21</f>
        <v>3</v>
      </c>
      <c r="O183" s="561">
        <f>TAX!$F$22</f>
        <v>2.3569174140963063</v>
      </c>
      <c r="P183" s="561" t="e">
        <f>TAX!$F$15</f>
        <v>#DIV/0!</v>
      </c>
      <c r="Q183" s="561" t="e">
        <f>TAX!$F$16</f>
        <v>#DIV/0!</v>
      </c>
      <c r="R183" s="561">
        <f>TAX!$F$24</f>
        <v>13.8</v>
      </c>
    </row>
    <row r="184" spans="1:18" ht="15.75" thickBot="1">
      <c r="A184" s="128" t="s">
        <v>38</v>
      </c>
      <c r="B184" s="561" t="e">
        <f>TAX!$F$5</f>
        <v>#DIV/0!</v>
      </c>
      <c r="C184" s="561" t="e">
        <f>TAX!$F$6</f>
        <v>#DIV/0!</v>
      </c>
      <c r="D184" s="561">
        <f>TAX!$F$7</f>
        <v>40</v>
      </c>
      <c r="E184" s="561">
        <f>TAX!$F$8</f>
        <v>30</v>
      </c>
      <c r="F184" s="561">
        <f>TAX!$F$9</f>
        <v>20</v>
      </c>
      <c r="G184" s="561">
        <f>TAX!$F$10</f>
        <v>10</v>
      </c>
      <c r="H184" s="561" t="e">
        <f>TAX!$F$12</f>
        <v>#DIV/0!</v>
      </c>
      <c r="I184" s="561" t="e">
        <f>TAX!$F$13</f>
        <v>#DIV/0!</v>
      </c>
      <c r="J184" s="561">
        <f>TAX!$F$17</f>
        <v>6.8564856955967928</v>
      </c>
      <c r="K184" s="561">
        <f>TAX!$F$18</f>
        <v>5.6090714932482975</v>
      </c>
      <c r="L184" s="561">
        <f>TAX!$F$19</f>
        <v>3.1488447684000027</v>
      </c>
      <c r="M184" s="561">
        <f>TAX!$F$20</f>
        <v>4.7</v>
      </c>
      <c r="N184" s="561">
        <f>TAX!$F$21</f>
        <v>3</v>
      </c>
      <c r="O184" s="561">
        <f>TAX!$F$22</f>
        <v>2.3569174140963063</v>
      </c>
      <c r="P184" s="561" t="e">
        <f>TAX!$F$15</f>
        <v>#DIV/0!</v>
      </c>
      <c r="Q184" s="561" t="e">
        <f>TAX!$F$16</f>
        <v>#DIV/0!</v>
      </c>
      <c r="R184" s="561">
        <f>TAX!$F$24</f>
        <v>13.8</v>
      </c>
    </row>
    <row r="185" spans="1:18" ht="25.5">
      <c r="A185" s="274" t="s">
        <v>73</v>
      </c>
      <c r="B185" s="561" t="e">
        <f>TAX!$F$5</f>
        <v>#DIV/0!</v>
      </c>
      <c r="C185" s="561" t="e">
        <f>TAX!$F$6</f>
        <v>#DIV/0!</v>
      </c>
      <c r="D185" s="561">
        <f>TAX!$F$7</f>
        <v>40</v>
      </c>
      <c r="E185" s="561">
        <f>TAX!$F$8</f>
        <v>30</v>
      </c>
      <c r="F185" s="561">
        <f>TAX!$F$9</f>
        <v>20</v>
      </c>
      <c r="G185" s="561">
        <f>TAX!$F$10</f>
        <v>10</v>
      </c>
      <c r="H185" s="561" t="e">
        <f>TAX!$F$12</f>
        <v>#DIV/0!</v>
      </c>
      <c r="I185" s="561" t="e">
        <f>TAX!$F$13</f>
        <v>#DIV/0!</v>
      </c>
      <c r="J185" s="561">
        <f>TAX!$F$17</f>
        <v>6.8564856955967928</v>
      </c>
      <c r="K185" s="561">
        <f>TAX!$F$18</f>
        <v>5.6090714932482975</v>
      </c>
      <c r="L185" s="561">
        <f>TAX!$F$19</f>
        <v>3.1488447684000027</v>
      </c>
      <c r="M185" s="561">
        <f>TAX!$F$20</f>
        <v>4.7</v>
      </c>
      <c r="N185" s="561">
        <f>TAX!$F$21</f>
        <v>3</v>
      </c>
      <c r="O185" s="561">
        <f>TAX!$F$22</f>
        <v>2.3569174140963063</v>
      </c>
      <c r="P185" s="561" t="e">
        <f>TAX!$F$15</f>
        <v>#DIV/0!</v>
      </c>
      <c r="Q185" s="561" t="e">
        <f>TAX!$F$16</f>
        <v>#DIV/0!</v>
      </c>
      <c r="R185" s="561">
        <f>TAX!$F$24</f>
        <v>13.8</v>
      </c>
    </row>
    <row r="186" spans="1:18">
      <c r="A186" s="127" t="s">
        <v>40</v>
      </c>
      <c r="B186" s="561" t="e">
        <f>TAX!$F$5</f>
        <v>#DIV/0!</v>
      </c>
      <c r="C186" s="561" t="e">
        <f>TAX!$F$6</f>
        <v>#DIV/0!</v>
      </c>
      <c r="D186" s="561">
        <f>TAX!$F$7</f>
        <v>40</v>
      </c>
      <c r="E186" s="561">
        <f>TAX!$F$8</f>
        <v>30</v>
      </c>
      <c r="F186" s="561">
        <f>TAX!$F$9</f>
        <v>20</v>
      </c>
      <c r="G186" s="561">
        <f>TAX!$F$10</f>
        <v>10</v>
      </c>
      <c r="H186" s="561" t="e">
        <f>TAX!$F$12</f>
        <v>#DIV/0!</v>
      </c>
      <c r="I186" s="561" t="e">
        <f>TAX!$F$13</f>
        <v>#DIV/0!</v>
      </c>
      <c r="J186" s="561">
        <f>TAX!$F$17</f>
        <v>6.8564856955967928</v>
      </c>
      <c r="K186" s="561">
        <f>TAX!$F$18</f>
        <v>5.6090714932482975</v>
      </c>
      <c r="L186" s="561">
        <f>TAX!$F$19</f>
        <v>3.1488447684000027</v>
      </c>
      <c r="M186" s="561">
        <f>TAX!$F$20</f>
        <v>4.7</v>
      </c>
      <c r="N186" s="561">
        <f>TAX!$F$21</f>
        <v>3</v>
      </c>
      <c r="O186" s="561">
        <f>TAX!$F$22</f>
        <v>2.3569174140963063</v>
      </c>
      <c r="P186" s="561" t="e">
        <f>TAX!$F$15</f>
        <v>#DIV/0!</v>
      </c>
      <c r="Q186" s="561" t="e">
        <f>TAX!$F$16</f>
        <v>#DIV/0!</v>
      </c>
      <c r="R186" s="561">
        <f>TAX!$F$24</f>
        <v>13.8</v>
      </c>
    </row>
    <row r="187" spans="1:18">
      <c r="A187" s="127" t="s">
        <v>41</v>
      </c>
      <c r="B187" s="561" t="e">
        <f>TAX!$F$5</f>
        <v>#DIV/0!</v>
      </c>
      <c r="C187" s="561" t="e">
        <f>TAX!$F$6</f>
        <v>#DIV/0!</v>
      </c>
      <c r="D187" s="561">
        <f>TAX!$F$7</f>
        <v>40</v>
      </c>
      <c r="E187" s="561">
        <f>TAX!$F$8</f>
        <v>30</v>
      </c>
      <c r="F187" s="561">
        <f>TAX!$F$9</f>
        <v>20</v>
      </c>
      <c r="G187" s="561">
        <f>TAX!$F$10</f>
        <v>10</v>
      </c>
      <c r="H187" s="561" t="e">
        <f>TAX!$F$12</f>
        <v>#DIV/0!</v>
      </c>
      <c r="I187" s="561" t="e">
        <f>TAX!$F$13</f>
        <v>#DIV/0!</v>
      </c>
      <c r="J187" s="561">
        <f>TAX!$F$17</f>
        <v>6.8564856955967928</v>
      </c>
      <c r="K187" s="561">
        <f>TAX!$F$18</f>
        <v>5.6090714932482975</v>
      </c>
      <c r="L187" s="561">
        <f>TAX!$F$19</f>
        <v>3.1488447684000027</v>
      </c>
      <c r="M187" s="561">
        <f>TAX!$F$20</f>
        <v>4.7</v>
      </c>
      <c r="N187" s="561">
        <f>TAX!$F$21</f>
        <v>3</v>
      </c>
      <c r="O187" s="561">
        <f>TAX!$F$22</f>
        <v>2.3569174140963063</v>
      </c>
      <c r="P187" s="561" t="e">
        <f>TAX!$F$15</f>
        <v>#DIV/0!</v>
      </c>
      <c r="Q187" s="561" t="e">
        <f>TAX!$F$16</f>
        <v>#DIV/0!</v>
      </c>
      <c r="R187" s="561">
        <f>TAX!$F$24</f>
        <v>13.8</v>
      </c>
    </row>
    <row r="188" spans="1:18">
      <c r="A188" s="127" t="s">
        <v>42</v>
      </c>
      <c r="B188" s="561" t="e">
        <f>TAX!$F$5</f>
        <v>#DIV/0!</v>
      </c>
      <c r="C188" s="561" t="e">
        <f>TAX!$F$6</f>
        <v>#DIV/0!</v>
      </c>
      <c r="D188" s="561">
        <f>TAX!$F$7</f>
        <v>40</v>
      </c>
      <c r="E188" s="561">
        <f>TAX!$F$8</f>
        <v>30</v>
      </c>
      <c r="F188" s="561">
        <f>TAX!$F$9</f>
        <v>20</v>
      </c>
      <c r="G188" s="561">
        <f>TAX!$F$10</f>
        <v>10</v>
      </c>
      <c r="H188" s="561" t="e">
        <f>TAX!$F$12</f>
        <v>#DIV/0!</v>
      </c>
      <c r="I188" s="561" t="e">
        <f>TAX!$F$13</f>
        <v>#DIV/0!</v>
      </c>
      <c r="J188" s="561">
        <f>TAX!$F$17</f>
        <v>6.8564856955967928</v>
      </c>
      <c r="K188" s="561">
        <f>TAX!$F$18</f>
        <v>5.6090714932482975</v>
      </c>
      <c r="L188" s="561">
        <f>TAX!$F$19</f>
        <v>3.1488447684000027</v>
      </c>
      <c r="M188" s="561">
        <f>TAX!$F$20</f>
        <v>4.7</v>
      </c>
      <c r="N188" s="561">
        <f>TAX!$F$21</f>
        <v>3</v>
      </c>
      <c r="O188" s="561">
        <f>TAX!$F$22</f>
        <v>2.3569174140963063</v>
      </c>
      <c r="P188" s="561" t="e">
        <f>TAX!$F$15</f>
        <v>#DIV/0!</v>
      </c>
      <c r="Q188" s="561" t="e">
        <f>TAX!$F$16</f>
        <v>#DIV/0!</v>
      </c>
      <c r="R188" s="561">
        <f>TAX!$F$24</f>
        <v>13.8</v>
      </c>
    </row>
    <row r="189" spans="1:18" ht="26.25" thickBot="1">
      <c r="A189" s="128" t="s">
        <v>43</v>
      </c>
      <c r="B189" s="561" t="e">
        <f>TAX!$F$5</f>
        <v>#DIV/0!</v>
      </c>
      <c r="C189" s="561" t="e">
        <f>TAX!$F$6</f>
        <v>#DIV/0!</v>
      </c>
      <c r="D189" s="561">
        <f>TAX!$F$7</f>
        <v>40</v>
      </c>
      <c r="E189" s="561">
        <f>TAX!$F$8</f>
        <v>30</v>
      </c>
      <c r="F189" s="561">
        <f>TAX!$F$9</f>
        <v>20</v>
      </c>
      <c r="G189" s="561">
        <f>TAX!$F$10</f>
        <v>10</v>
      </c>
      <c r="H189" s="561" t="e">
        <f>TAX!$F$12</f>
        <v>#DIV/0!</v>
      </c>
      <c r="I189" s="561" t="e">
        <f>TAX!$F$13</f>
        <v>#DIV/0!</v>
      </c>
      <c r="J189" s="561">
        <f>TAX!$F$17</f>
        <v>6.8564856955967928</v>
      </c>
      <c r="K189" s="561">
        <f>TAX!$F$18</f>
        <v>5.6090714932482975</v>
      </c>
      <c r="L189" s="561">
        <f>TAX!$F$19</f>
        <v>3.1488447684000027</v>
      </c>
      <c r="M189" s="561">
        <f>TAX!$F$20</f>
        <v>4.7</v>
      </c>
      <c r="N189" s="561">
        <f>TAX!$F$21</f>
        <v>3</v>
      </c>
      <c r="O189" s="561">
        <f>TAX!$F$22</f>
        <v>2.3569174140963063</v>
      </c>
      <c r="P189" s="561" t="e">
        <f>TAX!$F$15</f>
        <v>#DIV/0!</v>
      </c>
      <c r="Q189" s="561" t="e">
        <f>TAX!$F$16</f>
        <v>#DIV/0!</v>
      </c>
      <c r="R189" s="561">
        <f>TAX!$F$24</f>
        <v>13.8</v>
      </c>
    </row>
    <row r="190" spans="1:18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</row>
    <row r="191" spans="1:18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</row>
    <row r="192" spans="1:18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</row>
    <row r="193" spans="1:18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</row>
    <row r="194" spans="1:18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</row>
    <row r="195" spans="1:18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</row>
    <row r="196" spans="1:18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</row>
    <row r="197" spans="1:18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</row>
    <row r="198" spans="1:18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</row>
    <row r="199" spans="1:18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</row>
    <row r="200" spans="1:18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</row>
    <row r="201" spans="1:18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</row>
    <row r="202" spans="1:18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</row>
    <row r="203" spans="1:18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</row>
    <row r="204" spans="1:18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</row>
    <row r="205" spans="1:18">
      <c r="A205" s="1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</row>
    <row r="206" spans="1:18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</row>
    <row r="207" spans="1:18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</row>
    <row r="208" spans="1:18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</row>
    <row r="209" spans="1:18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</row>
    <row r="210" spans="1:18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</row>
  </sheetData>
  <mergeCells count="75">
    <mergeCell ref="B117:B118"/>
    <mergeCell ref="C117:C118"/>
    <mergeCell ref="Q117:Q118"/>
    <mergeCell ref="R117:R118"/>
    <mergeCell ref="D117:G117"/>
    <mergeCell ref="H117:H118"/>
    <mergeCell ref="I117:I118"/>
    <mergeCell ref="J117:L117"/>
    <mergeCell ref="M117:O117"/>
    <mergeCell ref="P117:P118"/>
    <mergeCell ref="A77:A80"/>
    <mergeCell ref="B115:R115"/>
    <mergeCell ref="B116:G116"/>
    <mergeCell ref="H116:I116"/>
    <mergeCell ref="J116:Q116"/>
    <mergeCell ref="A115:A118"/>
    <mergeCell ref="B77:R77"/>
    <mergeCell ref="B78:G78"/>
    <mergeCell ref="H78:I78"/>
    <mergeCell ref="J78:Q78"/>
    <mergeCell ref="B79:B80"/>
    <mergeCell ref="P79:P80"/>
    <mergeCell ref="Q79:Q80"/>
    <mergeCell ref="R79:R80"/>
    <mergeCell ref="C79:C80"/>
    <mergeCell ref="D79:G79"/>
    <mergeCell ref="J41:L41"/>
    <mergeCell ref="H79:H80"/>
    <mergeCell ref="I79:I80"/>
    <mergeCell ref="J79:L79"/>
    <mergeCell ref="M79:O79"/>
    <mergeCell ref="M41:O41"/>
    <mergeCell ref="B41:B42"/>
    <mergeCell ref="C41:C42"/>
    <mergeCell ref="D41:G41"/>
    <mergeCell ref="H41:H42"/>
    <mergeCell ref="I41:I42"/>
    <mergeCell ref="A1:A4"/>
    <mergeCell ref="B39:R39"/>
    <mergeCell ref="B40:G40"/>
    <mergeCell ref="H40:I40"/>
    <mergeCell ref="J40:Q40"/>
    <mergeCell ref="A39:A42"/>
    <mergeCell ref="B1:R1"/>
    <mergeCell ref="B2:G2"/>
    <mergeCell ref="H2:I2"/>
    <mergeCell ref="J2:Q2"/>
    <mergeCell ref="B3:B4"/>
    <mergeCell ref="C3:C4"/>
    <mergeCell ref="D3:G3"/>
    <mergeCell ref="H3:H4"/>
    <mergeCell ref="I3:I4"/>
    <mergeCell ref="J3:L3"/>
    <mergeCell ref="A153:A156"/>
    <mergeCell ref="B153:R153"/>
    <mergeCell ref="B154:G154"/>
    <mergeCell ref="H154:I154"/>
    <mergeCell ref="J154:Q154"/>
    <mergeCell ref="B155:B156"/>
    <mergeCell ref="C155:C156"/>
    <mergeCell ref="D155:G155"/>
    <mergeCell ref="H155:H156"/>
    <mergeCell ref="I155:I156"/>
    <mergeCell ref="J155:L155"/>
    <mergeCell ref="M155:O155"/>
    <mergeCell ref="P155:P156"/>
    <mergeCell ref="Q155:Q156"/>
    <mergeCell ref="R155:R156"/>
    <mergeCell ref="M3:O3"/>
    <mergeCell ref="P3:P4"/>
    <mergeCell ref="Q3:Q4"/>
    <mergeCell ref="R3:R4"/>
    <mergeCell ref="P41:P42"/>
    <mergeCell ref="Q41:Q42"/>
    <mergeCell ref="R41:R42"/>
  </mergeCells>
  <pageMargins left="0.511811024" right="0.511811024" top="0.78740157499999996" bottom="0.78740157499999996" header="0.31496062000000002" footer="0.31496062000000002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theme="5" tint="-0.249977111117893"/>
  </sheetPr>
  <dimension ref="A1:AF174"/>
  <sheetViews>
    <sheetView workbookViewId="0">
      <selection activeCell="B3" sqref="B3:C3"/>
    </sheetView>
  </sheetViews>
  <sheetFormatPr defaultColWidth="8.85546875" defaultRowHeight="15"/>
  <cols>
    <col min="1" max="1" width="22.85546875" bestFit="1" customWidth="1"/>
    <col min="2" max="5" width="12.42578125" bestFit="1" customWidth="1"/>
    <col min="6" max="6" width="11.140625" style="1" bestFit="1" customWidth="1"/>
    <col min="7" max="32" width="8.85546875" style="1"/>
  </cols>
  <sheetData>
    <row r="1" spans="1:6" ht="15.75" thickBot="1">
      <c r="A1" s="1117" t="s">
        <v>44</v>
      </c>
      <c r="B1" s="1262" t="s">
        <v>489</v>
      </c>
      <c r="C1" s="1263"/>
      <c r="D1" s="1263"/>
      <c r="E1" s="1263"/>
      <c r="F1" s="1264"/>
    </row>
    <row r="2" spans="1:6" ht="15.75" thickBot="1">
      <c r="A2" s="1122"/>
      <c r="B2" s="571">
        <v>2009</v>
      </c>
      <c r="C2" s="572">
        <v>2010</v>
      </c>
      <c r="D2" s="572">
        <v>2011</v>
      </c>
      <c r="E2" s="573">
        <v>2012</v>
      </c>
      <c r="F2" s="573">
        <v>2013</v>
      </c>
    </row>
    <row r="3" spans="1:6" ht="15.75" thickBot="1">
      <c r="A3" s="372" t="s">
        <v>11</v>
      </c>
      <c r="B3" s="371">
        <f>B4+B12+B22+B27+B31</f>
        <v>191481045</v>
      </c>
      <c r="C3" s="369">
        <f>C4+C12+C22+C27+C31</f>
        <v>190755799</v>
      </c>
      <c r="D3" s="369">
        <f>D4+D12+D22+D27+D31</f>
        <v>0</v>
      </c>
      <c r="E3" s="370">
        <f>E4+E12+E22+E27+E31</f>
        <v>0</v>
      </c>
      <c r="F3" s="370">
        <f>F4+F12+F22+F27+F31</f>
        <v>0</v>
      </c>
    </row>
    <row r="4" spans="1:6" ht="15.75" thickBot="1">
      <c r="A4" s="381" t="s">
        <v>46</v>
      </c>
      <c r="B4" s="382">
        <f>SUM(B5:B11)</f>
        <v>15359645</v>
      </c>
      <c r="C4" s="383">
        <f>SUM(C5:C11)</f>
        <v>15864454</v>
      </c>
      <c r="D4" s="383">
        <f>SUM(D5:D11)</f>
        <v>0</v>
      </c>
      <c r="E4" s="384">
        <f>SUM(E5:E11)</f>
        <v>0</v>
      </c>
      <c r="F4" s="384">
        <f>SUM(F5:F11)</f>
        <v>0</v>
      </c>
    </row>
    <row r="5" spans="1:6">
      <c r="A5" s="378" t="s">
        <v>13</v>
      </c>
      <c r="B5" s="800">
        <v>691169</v>
      </c>
      <c r="C5" s="800">
        <v>733559</v>
      </c>
      <c r="D5" s="379"/>
      <c r="E5" s="380"/>
      <c r="F5" s="380"/>
    </row>
    <row r="6" spans="1:6">
      <c r="A6" s="373" t="s">
        <v>14</v>
      </c>
      <c r="B6" s="800">
        <v>626607</v>
      </c>
      <c r="C6" s="800">
        <v>669526</v>
      </c>
      <c r="D6" s="365"/>
      <c r="E6" s="366"/>
      <c r="F6" s="366"/>
    </row>
    <row r="7" spans="1:6">
      <c r="A7" s="373" t="s">
        <v>15</v>
      </c>
      <c r="B7" s="800">
        <v>3393357</v>
      </c>
      <c r="C7" s="800">
        <v>3483985</v>
      </c>
      <c r="D7" s="365"/>
      <c r="E7" s="366"/>
      <c r="F7" s="366"/>
    </row>
    <row r="8" spans="1:6">
      <c r="A8" s="373" t="s">
        <v>16</v>
      </c>
      <c r="B8" s="800">
        <v>7431041</v>
      </c>
      <c r="C8" s="800">
        <v>7581051</v>
      </c>
      <c r="D8" s="365"/>
      <c r="E8" s="366"/>
      <c r="F8" s="366"/>
    </row>
    <row r="9" spans="1:6">
      <c r="A9" s="373" t="s">
        <v>17</v>
      </c>
      <c r="B9" s="800">
        <v>1503911</v>
      </c>
      <c r="C9" s="800">
        <v>1562409</v>
      </c>
      <c r="D9" s="365"/>
      <c r="E9" s="366"/>
      <c r="F9" s="366"/>
    </row>
    <row r="10" spans="1:6">
      <c r="A10" s="373" t="s">
        <v>18</v>
      </c>
      <c r="B10" s="800">
        <v>421497</v>
      </c>
      <c r="C10" s="800">
        <v>450479</v>
      </c>
      <c r="D10" s="365"/>
      <c r="E10" s="366"/>
      <c r="F10" s="366"/>
    </row>
    <row r="11" spans="1:6" ht="15.75" thickBot="1">
      <c r="A11" s="375" t="s">
        <v>19</v>
      </c>
      <c r="B11" s="800">
        <v>1292063</v>
      </c>
      <c r="C11" s="800">
        <v>1383445</v>
      </c>
      <c r="D11" s="376"/>
      <c r="E11" s="377"/>
      <c r="F11" s="377"/>
    </row>
    <row r="12" spans="1:6" ht="15.75" thickBot="1">
      <c r="A12" s="381" t="s">
        <v>54</v>
      </c>
      <c r="B12" s="382">
        <f>SUM(B13:B21)</f>
        <v>53591299</v>
      </c>
      <c r="C12" s="801">
        <f>SUM(C13:C21)</f>
        <v>53081950</v>
      </c>
      <c r="D12" s="383">
        <f>SUM(D13:D21)</f>
        <v>0</v>
      </c>
      <c r="E12" s="384">
        <f>SUM(E13:E21)</f>
        <v>0</v>
      </c>
      <c r="F12" s="384">
        <f>SUM(F13:F21)</f>
        <v>0</v>
      </c>
    </row>
    <row r="13" spans="1:6">
      <c r="A13" s="378" t="s">
        <v>21</v>
      </c>
      <c r="B13" s="800">
        <v>3156101</v>
      </c>
      <c r="C13" s="800">
        <v>3120494</v>
      </c>
      <c r="D13" s="379"/>
      <c r="E13" s="380"/>
      <c r="F13" s="380"/>
    </row>
    <row r="14" spans="1:6">
      <c r="A14" s="373" t="s">
        <v>22</v>
      </c>
      <c r="B14" s="800">
        <v>14637500</v>
      </c>
      <c r="C14" s="800">
        <v>14016906</v>
      </c>
      <c r="D14" s="365"/>
      <c r="E14" s="366"/>
      <c r="F14" s="366"/>
    </row>
    <row r="15" spans="1:6">
      <c r="A15" s="373" t="s">
        <v>23</v>
      </c>
      <c r="B15" s="800">
        <v>8547750</v>
      </c>
      <c r="C15" s="800">
        <v>8452381</v>
      </c>
      <c r="D15" s="365"/>
      <c r="E15" s="366"/>
      <c r="F15" s="366"/>
    </row>
    <row r="16" spans="1:6">
      <c r="A16" s="373" t="s">
        <v>24</v>
      </c>
      <c r="B16" s="800">
        <v>6367111</v>
      </c>
      <c r="C16" s="800">
        <v>6574789</v>
      </c>
      <c r="D16" s="365"/>
      <c r="E16" s="366"/>
      <c r="F16" s="366"/>
    </row>
    <row r="17" spans="1:6">
      <c r="A17" s="373" t="s">
        <v>25</v>
      </c>
      <c r="B17" s="800">
        <v>3769954</v>
      </c>
      <c r="C17" s="800">
        <v>3766528</v>
      </c>
      <c r="D17" s="365"/>
      <c r="E17" s="366"/>
      <c r="F17" s="366"/>
    </row>
    <row r="18" spans="1:6">
      <c r="A18" s="373" t="s">
        <v>26</v>
      </c>
      <c r="B18" s="800">
        <v>8810318</v>
      </c>
      <c r="C18" s="800">
        <v>8796448</v>
      </c>
      <c r="D18" s="365"/>
      <c r="E18" s="366"/>
      <c r="F18" s="366"/>
    </row>
    <row r="19" spans="1:6">
      <c r="A19" s="373" t="s">
        <v>27</v>
      </c>
      <c r="B19" s="800">
        <v>3145164</v>
      </c>
      <c r="C19" s="800">
        <v>3118360</v>
      </c>
      <c r="D19" s="365"/>
      <c r="E19" s="366"/>
      <c r="F19" s="366"/>
    </row>
    <row r="20" spans="1:6">
      <c r="A20" s="373" t="s">
        <v>28</v>
      </c>
      <c r="B20" s="800">
        <v>3137646</v>
      </c>
      <c r="C20" s="800">
        <v>3168027</v>
      </c>
      <c r="D20" s="365"/>
      <c r="E20" s="366"/>
      <c r="F20" s="366"/>
    </row>
    <row r="21" spans="1:6" ht="15.75" thickBot="1">
      <c r="A21" s="375" t="s">
        <v>29</v>
      </c>
      <c r="B21" s="800">
        <v>2019755</v>
      </c>
      <c r="C21" s="800">
        <v>2068017</v>
      </c>
      <c r="D21" s="376"/>
      <c r="E21" s="377"/>
      <c r="F21" s="377"/>
    </row>
    <row r="22" spans="1:6" ht="15.75" thickBot="1">
      <c r="A22" s="381" t="s">
        <v>64</v>
      </c>
      <c r="B22" s="382">
        <f>SUM(B23:B26)</f>
        <v>80915637</v>
      </c>
      <c r="C22" s="801">
        <f>SUM(C23:C26)</f>
        <v>80364410</v>
      </c>
      <c r="D22" s="383">
        <f>SUM(D23:D26)</f>
        <v>0</v>
      </c>
      <c r="E22" s="384">
        <f>SUM(E23:E26)</f>
        <v>0</v>
      </c>
      <c r="F22" s="384">
        <f>SUM(F23:F26)</f>
        <v>0</v>
      </c>
    </row>
    <row r="23" spans="1:6">
      <c r="A23" s="378" t="s">
        <v>31</v>
      </c>
      <c r="B23" s="800">
        <v>3487094</v>
      </c>
      <c r="C23" s="800">
        <v>3514952</v>
      </c>
      <c r="D23" s="379"/>
      <c r="E23" s="380"/>
      <c r="F23" s="380"/>
    </row>
    <row r="24" spans="1:6">
      <c r="A24" s="373" t="s">
        <v>32</v>
      </c>
      <c r="B24" s="800">
        <v>20034068</v>
      </c>
      <c r="C24" s="800">
        <v>19597330</v>
      </c>
      <c r="D24" s="365"/>
      <c r="E24" s="366"/>
      <c r="F24" s="366"/>
    </row>
    <row r="25" spans="1:6">
      <c r="A25" s="373" t="s">
        <v>33</v>
      </c>
      <c r="B25" s="800">
        <v>16010386</v>
      </c>
      <c r="C25" s="800">
        <v>15989929</v>
      </c>
      <c r="D25" s="365"/>
      <c r="E25" s="366"/>
      <c r="F25" s="366"/>
    </row>
    <row r="26" spans="1:6" ht="15.75" thickBot="1">
      <c r="A26" s="375" t="s">
        <v>34</v>
      </c>
      <c r="B26" s="800">
        <v>41384089</v>
      </c>
      <c r="C26" s="800">
        <v>41262199</v>
      </c>
      <c r="D26" s="376"/>
      <c r="E26" s="377"/>
      <c r="F26" s="377"/>
    </row>
    <row r="27" spans="1:6" ht="15.75" thickBot="1">
      <c r="A27" s="381" t="s">
        <v>69</v>
      </c>
      <c r="B27" s="382">
        <f>SUM(B28:B30)</f>
        <v>27718997</v>
      </c>
      <c r="C27" s="801">
        <f>SUM(C28:C30)</f>
        <v>27386891</v>
      </c>
      <c r="D27" s="383">
        <f>SUM(D28:D30)</f>
        <v>0</v>
      </c>
      <c r="E27" s="384">
        <f>SUM(E28:E30)</f>
        <v>0</v>
      </c>
      <c r="F27" s="384">
        <f>SUM(F28:F30)</f>
        <v>0</v>
      </c>
    </row>
    <row r="28" spans="1:6">
      <c r="A28" s="378" t="s">
        <v>36</v>
      </c>
      <c r="B28" s="800">
        <v>10686228</v>
      </c>
      <c r="C28" s="800">
        <v>10444526</v>
      </c>
      <c r="D28" s="379"/>
      <c r="E28" s="380"/>
      <c r="F28" s="380"/>
    </row>
    <row r="29" spans="1:6">
      <c r="A29" s="373" t="s">
        <v>37</v>
      </c>
      <c r="B29" s="800">
        <v>10914042</v>
      </c>
      <c r="C29" s="800">
        <v>10693929</v>
      </c>
      <c r="D29" s="365"/>
      <c r="E29" s="366"/>
      <c r="F29" s="366"/>
    </row>
    <row r="30" spans="1:6" ht="15.75" thickBot="1">
      <c r="A30" s="375" t="s">
        <v>38</v>
      </c>
      <c r="B30" s="800">
        <v>6118727</v>
      </c>
      <c r="C30" s="800">
        <v>6248436</v>
      </c>
      <c r="D30" s="376"/>
      <c r="E30" s="377"/>
      <c r="F30" s="377"/>
    </row>
    <row r="31" spans="1:6" ht="15.75" thickBot="1">
      <c r="A31" s="381" t="s">
        <v>73</v>
      </c>
      <c r="B31" s="382">
        <f>SUM(B32:B35)</f>
        <v>13895467</v>
      </c>
      <c r="C31" s="801">
        <f>SUM(C32:C35)</f>
        <v>14058094</v>
      </c>
      <c r="D31" s="383">
        <f>SUM(D32:D35)</f>
        <v>0</v>
      </c>
      <c r="E31" s="384">
        <f>SUM(E32:E35)</f>
        <v>0</v>
      </c>
      <c r="F31" s="384">
        <f>SUM(F32:F35)</f>
        <v>0</v>
      </c>
    </row>
    <row r="32" spans="1:6">
      <c r="A32" s="378" t="s">
        <v>40</v>
      </c>
      <c r="B32" s="800">
        <v>2606884</v>
      </c>
      <c r="C32" s="800">
        <v>2570160</v>
      </c>
      <c r="D32" s="379"/>
      <c r="E32" s="380"/>
      <c r="F32" s="380"/>
    </row>
    <row r="33" spans="1:6">
      <c r="A33" s="373" t="s">
        <v>41</v>
      </c>
      <c r="B33" s="800">
        <v>5926308</v>
      </c>
      <c r="C33" s="800">
        <v>6003788</v>
      </c>
      <c r="D33" s="365"/>
      <c r="E33" s="366"/>
      <c r="F33" s="366"/>
    </row>
    <row r="34" spans="1:6">
      <c r="A34" s="373" t="s">
        <v>42</v>
      </c>
      <c r="B34" s="800">
        <v>3001725</v>
      </c>
      <c r="C34" s="800">
        <v>3035122</v>
      </c>
      <c r="D34" s="365"/>
      <c r="E34" s="366"/>
      <c r="F34" s="366"/>
    </row>
    <row r="35" spans="1:6" ht="15.75" thickBot="1">
      <c r="A35" s="374" t="s">
        <v>43</v>
      </c>
      <c r="B35" s="800">
        <v>2360550</v>
      </c>
      <c r="C35" s="800">
        <v>2449024</v>
      </c>
      <c r="D35" s="367"/>
      <c r="E35" s="368"/>
      <c r="F35" s="368"/>
    </row>
    <row r="36" spans="1:6" s="1" customFormat="1"/>
    <row r="37" spans="1:6" s="1" customFormat="1"/>
    <row r="38" spans="1:6" s="1" customFormat="1"/>
    <row r="39" spans="1:6" s="1" customFormat="1"/>
    <row r="40" spans="1:6" s="1" customFormat="1"/>
    <row r="41" spans="1:6" s="1" customFormat="1"/>
    <row r="42" spans="1:6" s="1" customFormat="1"/>
    <row r="43" spans="1:6" s="1" customFormat="1"/>
    <row r="44" spans="1:6" s="1" customFormat="1"/>
    <row r="45" spans="1:6" s="1" customFormat="1"/>
    <row r="46" spans="1:6" s="1" customFormat="1"/>
    <row r="47" spans="1:6" s="1" customFormat="1"/>
    <row r="48" spans="1:6" s="1" customFormat="1"/>
    <row r="49" s="1" customFormat="1"/>
    <row r="50" s="1" customFormat="1"/>
    <row r="51" s="1" customFormat="1"/>
    <row r="52" s="1" customFormat="1"/>
    <row r="53" s="1" customFormat="1"/>
    <row r="54" s="1" customFormat="1"/>
    <row r="55" s="1" customFormat="1"/>
    <row r="56" s="1" customFormat="1"/>
    <row r="57" s="1" customFormat="1"/>
    <row r="58" s="1" customFormat="1"/>
    <row r="59" s="1" customFormat="1"/>
    <row r="60" s="1" customFormat="1"/>
    <row r="61" s="1" customFormat="1"/>
    <row r="62" s="1" customFormat="1"/>
    <row r="63" s="1" customFormat="1"/>
    <row r="64" s="1" customFormat="1"/>
    <row r="65" s="1" customFormat="1"/>
    <row r="66" s="1" customFormat="1"/>
    <row r="67" s="1" customFormat="1"/>
    <row r="68" s="1" customFormat="1"/>
    <row r="69" s="1" customFormat="1"/>
    <row r="70" s="1" customFormat="1"/>
    <row r="71" s="1" customFormat="1"/>
    <row r="72" s="1" customFormat="1"/>
    <row r="73" s="1" customFormat="1"/>
    <row r="74" s="1" customFormat="1"/>
    <row r="75" s="1" customFormat="1"/>
    <row r="76" s="1" customFormat="1"/>
    <row r="77" s="1" customFormat="1"/>
    <row r="78" s="1" customFormat="1"/>
    <row r="79" s="1" customFormat="1"/>
    <row r="80" s="1" customFormat="1"/>
    <row r="81" s="1" customFormat="1"/>
    <row r="82" s="1" customFormat="1"/>
    <row r="83" s="1" customFormat="1"/>
    <row r="84" s="1" customFormat="1"/>
    <row r="85" s="1" customFormat="1"/>
    <row r="86" s="1" customFormat="1"/>
    <row r="87" s="1" customFormat="1"/>
    <row r="88" s="1" customFormat="1"/>
    <row r="89" s="1" customFormat="1"/>
    <row r="90" s="1" customFormat="1"/>
    <row r="91" s="1" customFormat="1"/>
    <row r="92" s="1" customFormat="1"/>
    <row r="93" s="1" customFormat="1"/>
    <row r="94" s="1" customFormat="1"/>
    <row r="95" s="1" customFormat="1"/>
    <row r="96" s="1" customFormat="1"/>
    <row r="97" s="1" customFormat="1"/>
    <row r="98" s="1" customFormat="1"/>
    <row r="99" s="1" customFormat="1"/>
    <row r="100" s="1" customFormat="1"/>
    <row r="101" s="1" customFormat="1"/>
    <row r="102" s="1" customFormat="1"/>
    <row r="103" s="1" customFormat="1"/>
    <row r="104" s="1" customFormat="1"/>
    <row r="105" s="1" customFormat="1"/>
    <row r="106" s="1" customFormat="1"/>
    <row r="107" s="1" customFormat="1"/>
    <row r="108" s="1" customFormat="1"/>
    <row r="109" s="1" customFormat="1"/>
    <row r="110" s="1" customFormat="1"/>
    <row r="111" s="1" customFormat="1"/>
    <row r="112" s="1" customFormat="1"/>
    <row r="113" s="1" customFormat="1"/>
    <row r="114" s="1" customFormat="1"/>
    <row r="115" s="1" customFormat="1"/>
    <row r="116" s="1" customFormat="1"/>
    <row r="117" s="1" customFormat="1"/>
    <row r="118" s="1" customFormat="1"/>
    <row r="119" s="1" customFormat="1"/>
    <row r="120" s="1" customFormat="1"/>
    <row r="121" s="1" customFormat="1"/>
    <row r="122" s="1" customFormat="1"/>
    <row r="123" s="1" customFormat="1"/>
    <row r="124" s="1" customFormat="1"/>
    <row r="125" s="1" customFormat="1"/>
    <row r="126" s="1" customFormat="1"/>
    <row r="127" s="1" customFormat="1"/>
    <row r="128" s="1" customFormat="1"/>
    <row r="129" s="1" customFormat="1"/>
    <row r="130" s="1" customFormat="1"/>
    <row r="131" s="1" customFormat="1"/>
    <row r="132" s="1" customFormat="1"/>
    <row r="133" s="1" customFormat="1"/>
    <row r="134" s="1" customFormat="1"/>
    <row r="135" s="1" customFormat="1"/>
    <row r="136" s="1" customFormat="1"/>
    <row r="137" s="1" customFormat="1"/>
    <row r="138" s="1" customFormat="1"/>
    <row r="139" s="1" customFormat="1"/>
    <row r="140" s="1" customFormat="1"/>
    <row r="141" s="1" customFormat="1"/>
    <row r="142" s="1" customFormat="1"/>
    <row r="143" s="1" customFormat="1"/>
    <row r="144" s="1" customFormat="1"/>
    <row r="145" s="1" customFormat="1"/>
    <row r="146" s="1" customFormat="1"/>
    <row r="147" s="1" customFormat="1"/>
    <row r="148" s="1" customFormat="1"/>
    <row r="149" s="1" customFormat="1"/>
    <row r="150" s="1" customFormat="1"/>
    <row r="151" s="1" customFormat="1"/>
    <row r="152" s="1" customFormat="1"/>
    <row r="153" s="1" customFormat="1"/>
    <row r="154" s="1" customFormat="1"/>
    <row r="155" s="1" customFormat="1"/>
    <row r="156" s="1" customFormat="1"/>
    <row r="157" s="1" customFormat="1"/>
    <row r="158" s="1" customFormat="1"/>
    <row r="159" s="1" customFormat="1"/>
    <row r="160" s="1" customFormat="1"/>
    <row r="161" s="1" customFormat="1"/>
    <row r="162" s="1" customFormat="1"/>
    <row r="163" s="1" customFormat="1"/>
    <row r="164" s="1" customFormat="1"/>
    <row r="165" s="1" customFormat="1"/>
    <row r="166" s="1" customFormat="1"/>
    <row r="167" s="1" customFormat="1"/>
    <row r="168" s="1" customFormat="1"/>
    <row r="169" s="1" customFormat="1"/>
    <row r="170" s="1" customFormat="1"/>
    <row r="171" s="1" customFormat="1"/>
    <row r="172" s="1" customFormat="1"/>
    <row r="173" s="1" customFormat="1"/>
    <row r="174" s="1" customFormat="1"/>
  </sheetData>
  <sortState xmlns:xlrd2="http://schemas.microsoft.com/office/spreadsheetml/2017/richdata2" ref="A5:E11">
    <sortCondition ref="A5"/>
  </sortState>
  <mergeCells count="2">
    <mergeCell ref="A1:A2"/>
    <mergeCell ref="B1:F1"/>
  </mergeCells>
  <pageMargins left="0.511811024" right="0.511811024" top="0.78740157499999996" bottom="0.78740157499999996" header="0.31496062000000002" footer="0.31496062000000002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theme="5" tint="0.79998168889431442"/>
  </sheetPr>
  <dimension ref="A1:AG247"/>
  <sheetViews>
    <sheetView workbookViewId="0">
      <selection activeCell="J20" sqref="J20"/>
    </sheetView>
  </sheetViews>
  <sheetFormatPr defaultColWidth="8.85546875" defaultRowHeight="15"/>
  <cols>
    <col min="1" max="1" width="19.140625" bestFit="1" customWidth="1"/>
    <col min="2" max="5" width="10.140625" bestFit="1" customWidth="1"/>
    <col min="6" max="33" width="8.85546875" style="1"/>
  </cols>
  <sheetData>
    <row r="1" spans="1:6" ht="15.75" thickBot="1">
      <c r="A1" s="1265" t="s">
        <v>406</v>
      </c>
      <c r="B1" s="1267" t="s">
        <v>490</v>
      </c>
      <c r="C1" s="1268"/>
      <c r="D1" s="1268"/>
      <c r="E1" s="1268"/>
      <c r="F1" s="1269"/>
    </row>
    <row r="2" spans="1:6" ht="15.75" thickBot="1">
      <c r="A2" s="1266"/>
      <c r="B2" s="586">
        <v>2004</v>
      </c>
      <c r="C2" s="587">
        <v>2005</v>
      </c>
      <c r="D2" s="587">
        <v>2006</v>
      </c>
      <c r="E2" s="587">
        <v>2007</v>
      </c>
      <c r="F2" s="588">
        <v>2008</v>
      </c>
    </row>
    <row r="3" spans="1:6">
      <c r="A3" s="574" t="s">
        <v>86</v>
      </c>
      <c r="B3" s="583"/>
      <c r="C3" s="584"/>
      <c r="D3" s="584"/>
      <c r="E3" s="584"/>
      <c r="F3" s="585"/>
    </row>
    <row r="4" spans="1:6">
      <c r="A4" s="575" t="s">
        <v>87</v>
      </c>
      <c r="B4" s="577"/>
      <c r="C4" s="386"/>
      <c r="D4" s="386"/>
      <c r="E4" s="386"/>
      <c r="F4" s="387"/>
    </row>
    <row r="5" spans="1:6">
      <c r="A5" s="576" t="s">
        <v>13</v>
      </c>
      <c r="B5" s="578">
        <v>0.69199999999999995</v>
      </c>
      <c r="C5" s="392">
        <v>0.751</v>
      </c>
      <c r="D5" s="392">
        <v>0.76300000000000001</v>
      </c>
      <c r="E5" s="392">
        <v>0.78</v>
      </c>
      <c r="F5" s="393">
        <f>(1+(E5-D5)/D5)*E5</f>
        <v>0.79737876802096985</v>
      </c>
    </row>
    <row r="6" spans="1:6">
      <c r="A6" s="576" t="s">
        <v>14</v>
      </c>
      <c r="B6" s="578">
        <v>0.73199999999999998</v>
      </c>
      <c r="C6" s="392">
        <v>0.78</v>
      </c>
      <c r="D6" s="392">
        <v>0.78900000000000003</v>
      </c>
      <c r="E6" s="392">
        <v>0.8</v>
      </c>
      <c r="F6" s="393">
        <f t="shared" ref="F6:F35" si="0">(1+(E6-D6)/D6)*E6</f>
        <v>0.81115335868187588</v>
      </c>
    </row>
    <row r="7" spans="1:6">
      <c r="A7" s="576" t="s">
        <v>15</v>
      </c>
      <c r="B7" s="578">
        <v>0.71699999999999997</v>
      </c>
      <c r="C7" s="392">
        <v>0.78</v>
      </c>
      <c r="D7" s="392">
        <v>0.78400000000000003</v>
      </c>
      <c r="E7" s="392">
        <v>0.79600000000000004</v>
      </c>
      <c r="F7" s="393">
        <f t="shared" si="0"/>
        <v>0.80818367346938791</v>
      </c>
    </row>
    <row r="8" spans="1:6">
      <c r="A8" s="576" t="s">
        <v>16</v>
      </c>
      <c r="B8" s="578">
        <v>0.72</v>
      </c>
      <c r="C8" s="392">
        <v>0.755</v>
      </c>
      <c r="D8" s="392">
        <v>0.76400000000000001</v>
      </c>
      <c r="E8" s="392">
        <v>0.78200000000000003</v>
      </c>
      <c r="F8" s="393">
        <f t="shared" si="0"/>
        <v>0.80042408376963359</v>
      </c>
    </row>
    <row r="9" spans="1:6">
      <c r="A9" s="576" t="s">
        <v>17</v>
      </c>
      <c r="B9" s="578">
        <v>0.72899999999999998</v>
      </c>
      <c r="C9" s="392">
        <v>0.77600000000000002</v>
      </c>
      <c r="D9" s="392">
        <v>0.77900000000000003</v>
      </c>
      <c r="E9" s="392">
        <v>0.78400000000000003</v>
      </c>
      <c r="F9" s="393">
        <f t="shared" si="0"/>
        <v>0.78903209242618744</v>
      </c>
    </row>
    <row r="10" spans="1:6">
      <c r="A10" s="576" t="s">
        <v>18</v>
      </c>
      <c r="B10" s="578">
        <v>0.749</v>
      </c>
      <c r="C10" s="392">
        <v>0.75</v>
      </c>
      <c r="D10" s="392">
        <v>0.78400000000000003</v>
      </c>
      <c r="E10" s="392">
        <v>0.78200000000000003</v>
      </c>
      <c r="F10" s="393">
        <f t="shared" si="0"/>
        <v>0.78000510204081641</v>
      </c>
    </row>
    <row r="11" spans="1:6">
      <c r="A11" s="576" t="s">
        <v>19</v>
      </c>
      <c r="B11" s="578">
        <v>0.72099999999999997</v>
      </c>
      <c r="C11" s="392">
        <v>0.75600000000000001</v>
      </c>
      <c r="D11" s="392">
        <v>0.76900000000000002</v>
      </c>
      <c r="E11" s="392">
        <v>0.78400000000000003</v>
      </c>
      <c r="F11" s="393">
        <f t="shared" si="0"/>
        <v>0.79929258777633294</v>
      </c>
    </row>
    <row r="12" spans="1:6">
      <c r="A12" s="575" t="s">
        <v>88</v>
      </c>
      <c r="B12" s="579"/>
      <c r="C12" s="394"/>
      <c r="D12" s="394"/>
      <c r="E12" s="394"/>
      <c r="F12" s="393"/>
    </row>
    <row r="13" spans="1:6">
      <c r="A13" s="576" t="s">
        <v>21</v>
      </c>
      <c r="B13" s="578">
        <v>0.64600000000000002</v>
      </c>
      <c r="C13" s="392">
        <v>0.67700000000000005</v>
      </c>
      <c r="D13" s="392">
        <v>0.7</v>
      </c>
      <c r="E13" s="392">
        <v>0.72199999999999998</v>
      </c>
      <c r="F13" s="393">
        <f t="shared" si="0"/>
        <v>0.74469142857142845</v>
      </c>
    </row>
    <row r="14" spans="1:6">
      <c r="A14" s="576" t="s">
        <v>22</v>
      </c>
      <c r="B14" s="578">
        <v>0.69599999999999995</v>
      </c>
      <c r="C14" s="392">
        <v>0.74199999999999999</v>
      </c>
      <c r="D14" s="392">
        <v>0.754</v>
      </c>
      <c r="E14" s="392">
        <v>0.76700000000000002</v>
      </c>
      <c r="F14" s="393">
        <f t="shared" si="0"/>
        <v>0.7802241379310344</v>
      </c>
    </row>
    <row r="15" spans="1:6">
      <c r="A15" s="576" t="s">
        <v>23</v>
      </c>
      <c r="B15" s="578">
        <v>0.7</v>
      </c>
      <c r="C15" s="392">
        <v>0.72299999999999998</v>
      </c>
      <c r="D15" s="392">
        <v>0.73099999999999998</v>
      </c>
      <c r="E15" s="392">
        <v>0.749</v>
      </c>
      <c r="F15" s="393">
        <f t="shared" si="0"/>
        <v>0.76744322845417245</v>
      </c>
    </row>
    <row r="16" spans="1:6">
      <c r="A16" s="576" t="s">
        <v>24</v>
      </c>
      <c r="B16" s="578">
        <v>0.64700000000000002</v>
      </c>
      <c r="C16" s="392">
        <v>0.68300000000000005</v>
      </c>
      <c r="D16" s="392">
        <v>0.70699999999999996</v>
      </c>
      <c r="E16" s="392">
        <v>0.72399999999999998</v>
      </c>
      <c r="F16" s="393">
        <f t="shared" si="0"/>
        <v>0.74140876944837342</v>
      </c>
    </row>
    <row r="17" spans="1:6">
      <c r="A17" s="576" t="s">
        <v>25</v>
      </c>
      <c r="B17" s="578">
        <v>0.67800000000000005</v>
      </c>
      <c r="C17" s="392">
        <v>0.71799999999999997</v>
      </c>
      <c r="D17" s="392">
        <v>0.72899999999999998</v>
      </c>
      <c r="E17" s="392">
        <v>0.752</v>
      </c>
      <c r="F17" s="393">
        <f t="shared" si="0"/>
        <v>0.77572565157750351</v>
      </c>
    </row>
    <row r="18" spans="1:6">
      <c r="A18" s="576" t="s">
        <v>26</v>
      </c>
      <c r="B18" s="578">
        <v>0.70499999999999996</v>
      </c>
      <c r="C18" s="392">
        <v>0.71799999999999997</v>
      </c>
      <c r="D18" s="392">
        <v>0.73299999999999998</v>
      </c>
      <c r="E18" s="392">
        <v>0.74199999999999999</v>
      </c>
      <c r="F18" s="393">
        <f t="shared" si="0"/>
        <v>0.75111050477489771</v>
      </c>
    </row>
    <row r="19" spans="1:6">
      <c r="A19" s="576" t="s">
        <v>27</v>
      </c>
      <c r="B19" s="578">
        <v>0.67300000000000004</v>
      </c>
      <c r="C19" s="392">
        <v>0.70299999999999996</v>
      </c>
      <c r="D19" s="392">
        <v>0.72099999999999997</v>
      </c>
      <c r="E19" s="392">
        <v>0.74</v>
      </c>
      <c r="F19" s="393">
        <f t="shared" si="0"/>
        <v>0.75950069348127602</v>
      </c>
    </row>
    <row r="20" spans="1:6">
      <c r="A20" s="576" t="s">
        <v>28</v>
      </c>
      <c r="B20" s="578">
        <v>0.70199999999999996</v>
      </c>
      <c r="C20" s="392">
        <v>0.73799999999999999</v>
      </c>
      <c r="D20" s="392">
        <v>0.74199999999999999</v>
      </c>
      <c r="E20" s="392">
        <v>0.753</v>
      </c>
      <c r="F20" s="393">
        <f t="shared" si="0"/>
        <v>0.76416307277628026</v>
      </c>
    </row>
    <row r="21" spans="1:6">
      <c r="A21" s="576" t="s">
        <v>29</v>
      </c>
      <c r="B21" s="578">
        <v>0.69299999999999995</v>
      </c>
      <c r="C21" s="392">
        <v>0.74199999999999999</v>
      </c>
      <c r="D21" s="392">
        <v>0.75600000000000001</v>
      </c>
      <c r="E21" s="392">
        <v>0.77</v>
      </c>
      <c r="F21" s="393">
        <f t="shared" si="0"/>
        <v>0.78425925925925932</v>
      </c>
    </row>
    <row r="22" spans="1:6">
      <c r="A22" s="575" t="s">
        <v>90</v>
      </c>
      <c r="B22" s="579"/>
      <c r="C22" s="394"/>
      <c r="D22" s="394"/>
      <c r="E22" s="394"/>
      <c r="F22" s="393"/>
    </row>
    <row r="23" spans="1:6">
      <c r="A23" s="576" t="s">
        <v>31</v>
      </c>
      <c r="B23" s="578">
        <v>0.78700000000000003</v>
      </c>
      <c r="C23" s="392">
        <v>0.80200000000000005</v>
      </c>
      <c r="D23" s="392">
        <v>0.80800000000000005</v>
      </c>
      <c r="E23" s="392">
        <v>0.82099999999999995</v>
      </c>
      <c r="F23" s="393">
        <f t="shared" si="0"/>
        <v>0.83420915841584142</v>
      </c>
    </row>
    <row r="24" spans="1:6">
      <c r="A24" s="576" t="s">
        <v>32</v>
      </c>
      <c r="B24" s="578">
        <v>0.76800000000000002</v>
      </c>
      <c r="C24" s="392">
        <v>0.8</v>
      </c>
      <c r="D24" s="392">
        <v>0.81299999999999994</v>
      </c>
      <c r="E24" s="392">
        <v>0.82499999999999996</v>
      </c>
      <c r="F24" s="393">
        <f t="shared" si="0"/>
        <v>0.83717712177121772</v>
      </c>
    </row>
    <row r="25" spans="1:6">
      <c r="A25" s="576" t="s">
        <v>33</v>
      </c>
      <c r="B25" s="578">
        <v>0.80200000000000005</v>
      </c>
      <c r="C25" s="392">
        <v>0.83199999999999996</v>
      </c>
      <c r="D25" s="392">
        <v>0.84599999999999997</v>
      </c>
      <c r="E25" s="392">
        <v>0.85199999999999998</v>
      </c>
      <c r="F25" s="393">
        <f t="shared" si="0"/>
        <v>0.85804255319148925</v>
      </c>
    </row>
    <row r="26" spans="1:6">
      <c r="A26" s="576" t="s">
        <v>34</v>
      </c>
      <c r="B26" s="578">
        <v>0.81399999999999995</v>
      </c>
      <c r="C26" s="392">
        <v>0.83299999999999996</v>
      </c>
      <c r="D26" s="392">
        <v>0.84199999999999997</v>
      </c>
      <c r="E26" s="392">
        <v>0.85699999999999998</v>
      </c>
      <c r="F26" s="393">
        <f t="shared" si="0"/>
        <v>0.87226722090261277</v>
      </c>
    </row>
    <row r="27" spans="1:6">
      <c r="A27" s="575" t="s">
        <v>91</v>
      </c>
      <c r="B27" s="579"/>
      <c r="C27" s="394"/>
      <c r="D27" s="394"/>
      <c r="E27" s="394"/>
      <c r="F27" s="393"/>
    </row>
    <row r="28" spans="1:6">
      <c r="A28" s="576" t="s">
        <v>36</v>
      </c>
      <c r="B28" s="578">
        <v>0.80300000000000005</v>
      </c>
      <c r="C28" s="392">
        <v>0.82</v>
      </c>
      <c r="D28" s="392">
        <v>0.82699999999999996</v>
      </c>
      <c r="E28" s="392">
        <v>0.84599999999999997</v>
      </c>
      <c r="F28" s="393">
        <f t="shared" si="0"/>
        <v>0.86543651753325268</v>
      </c>
    </row>
    <row r="29" spans="1:6">
      <c r="A29" s="576" t="s">
        <v>37</v>
      </c>
      <c r="B29" s="578">
        <v>0.80900000000000005</v>
      </c>
      <c r="C29" s="392">
        <v>0.83199999999999996</v>
      </c>
      <c r="D29" s="392">
        <v>0.84</v>
      </c>
      <c r="E29" s="392">
        <v>0.84699999999999998</v>
      </c>
      <c r="F29" s="393">
        <f t="shared" si="0"/>
        <v>0.85405833333333325</v>
      </c>
    </row>
    <row r="30" spans="1:6">
      <c r="A30" s="576" t="s">
        <v>38</v>
      </c>
      <c r="B30" s="578">
        <v>0.80600000000000005</v>
      </c>
      <c r="C30" s="392">
        <v>0.84</v>
      </c>
      <c r="D30" s="392">
        <v>0.84799999999999998</v>
      </c>
      <c r="E30" s="392">
        <v>0.86</v>
      </c>
      <c r="F30" s="393">
        <f t="shared" si="0"/>
        <v>0.87216981132075466</v>
      </c>
    </row>
    <row r="31" spans="1:6">
      <c r="A31" s="575" t="s">
        <v>92</v>
      </c>
      <c r="B31" s="579"/>
      <c r="C31" s="394"/>
      <c r="D31" s="394"/>
      <c r="E31" s="394"/>
      <c r="F31" s="393"/>
    </row>
    <row r="32" spans="1:6">
      <c r="A32" s="576" t="s">
        <v>40</v>
      </c>
      <c r="B32" s="578">
        <v>0.84599999999999997</v>
      </c>
      <c r="C32" s="392">
        <v>0.874</v>
      </c>
      <c r="D32" s="392">
        <v>0.88200000000000001</v>
      </c>
      <c r="E32" s="392">
        <v>0.9</v>
      </c>
      <c r="F32" s="393">
        <f t="shared" si="0"/>
        <v>0.91836734693877553</v>
      </c>
    </row>
    <row r="33" spans="1:6">
      <c r="A33" s="576" t="s">
        <v>41</v>
      </c>
      <c r="B33" s="578">
        <v>0.77</v>
      </c>
      <c r="C33" s="392">
        <v>0.8</v>
      </c>
      <c r="D33" s="392">
        <v>0.80700000000000005</v>
      </c>
      <c r="E33" s="392">
        <v>0.82399999999999995</v>
      </c>
      <c r="F33" s="393">
        <f t="shared" si="0"/>
        <v>0.84135811648079284</v>
      </c>
    </row>
    <row r="34" spans="1:6">
      <c r="A34" s="576" t="s">
        <v>42</v>
      </c>
      <c r="B34" s="578">
        <v>0.76700000000000002</v>
      </c>
      <c r="C34" s="392">
        <v>0.79600000000000004</v>
      </c>
      <c r="D34" s="392">
        <v>0.80400000000000005</v>
      </c>
      <c r="E34" s="392">
        <v>0.80800000000000005</v>
      </c>
      <c r="F34" s="393">
        <f t="shared" si="0"/>
        <v>0.8120199004975126</v>
      </c>
    </row>
    <row r="35" spans="1:6" ht="15.75" thickBot="1">
      <c r="A35" s="576" t="s">
        <v>43</v>
      </c>
      <c r="B35" s="580">
        <v>0.76900000000000002</v>
      </c>
      <c r="C35" s="581">
        <v>0.80200000000000005</v>
      </c>
      <c r="D35" s="581">
        <v>0.81499999999999995</v>
      </c>
      <c r="E35" s="581">
        <v>0.83</v>
      </c>
      <c r="F35" s="582">
        <f t="shared" si="0"/>
        <v>0.84527607361963197</v>
      </c>
    </row>
    <row r="36" spans="1:6" s="1" customFormat="1"/>
    <row r="37" spans="1:6" s="1" customFormat="1"/>
    <row r="38" spans="1:6" s="1" customFormat="1"/>
    <row r="39" spans="1:6" s="1" customFormat="1"/>
    <row r="40" spans="1:6" s="1" customFormat="1"/>
    <row r="41" spans="1:6" s="1" customFormat="1"/>
    <row r="42" spans="1:6" s="1" customFormat="1"/>
    <row r="43" spans="1:6" s="1" customFormat="1"/>
    <row r="44" spans="1:6" s="1" customFormat="1"/>
    <row r="45" spans="1:6" s="1" customFormat="1"/>
    <row r="46" spans="1:6" s="1" customFormat="1"/>
    <row r="47" spans="1:6" s="1" customFormat="1"/>
    <row r="48" spans="1:6" s="1" customFormat="1"/>
    <row r="49" s="1" customFormat="1"/>
    <row r="50" s="1" customFormat="1"/>
    <row r="51" s="1" customFormat="1"/>
    <row r="52" s="1" customFormat="1"/>
    <row r="53" s="1" customFormat="1"/>
    <row r="54" s="1" customFormat="1"/>
    <row r="55" s="1" customFormat="1"/>
    <row r="56" s="1" customFormat="1"/>
    <row r="57" s="1" customFormat="1"/>
    <row r="58" s="1" customFormat="1"/>
    <row r="59" s="1" customFormat="1"/>
    <row r="60" s="1" customFormat="1"/>
    <row r="61" s="1" customFormat="1"/>
    <row r="62" s="1" customFormat="1"/>
    <row r="63" s="1" customFormat="1"/>
    <row r="64" s="1" customFormat="1"/>
    <row r="65" s="1" customFormat="1"/>
    <row r="66" s="1" customFormat="1"/>
    <row r="67" s="1" customFormat="1"/>
    <row r="68" s="1" customFormat="1"/>
    <row r="69" s="1" customFormat="1"/>
    <row r="70" s="1" customFormat="1"/>
    <row r="71" s="1" customFormat="1"/>
    <row r="72" s="1" customFormat="1"/>
    <row r="73" s="1" customFormat="1"/>
    <row r="74" s="1" customFormat="1"/>
    <row r="75" s="1" customFormat="1"/>
    <row r="76" s="1" customFormat="1"/>
    <row r="77" s="1" customFormat="1"/>
    <row r="78" s="1" customFormat="1"/>
    <row r="79" s="1" customFormat="1"/>
    <row r="80" s="1" customFormat="1"/>
    <row r="81" s="1" customFormat="1"/>
    <row r="82" s="1" customFormat="1"/>
    <row r="83" s="1" customFormat="1"/>
    <row r="84" s="1" customFormat="1"/>
    <row r="85" s="1" customFormat="1"/>
    <row r="86" s="1" customFormat="1"/>
    <row r="87" s="1" customFormat="1"/>
    <row r="88" s="1" customFormat="1"/>
    <row r="89" s="1" customFormat="1"/>
    <row r="90" s="1" customFormat="1"/>
    <row r="91" s="1" customFormat="1"/>
    <row r="92" s="1" customFormat="1"/>
    <row r="93" s="1" customFormat="1"/>
    <row r="94" s="1" customFormat="1"/>
    <row r="95" s="1" customFormat="1"/>
    <row r="96" s="1" customFormat="1"/>
    <row r="97" s="1" customFormat="1"/>
    <row r="98" s="1" customFormat="1"/>
    <row r="99" s="1" customFormat="1"/>
    <row r="100" s="1" customFormat="1"/>
    <row r="101" s="1" customFormat="1"/>
    <row r="102" s="1" customFormat="1"/>
    <row r="103" s="1" customFormat="1"/>
    <row r="104" s="1" customFormat="1"/>
    <row r="105" s="1" customFormat="1"/>
    <row r="106" s="1" customFormat="1"/>
    <row r="107" s="1" customFormat="1"/>
    <row r="108" s="1" customFormat="1"/>
    <row r="109" s="1" customFormat="1"/>
    <row r="110" s="1" customFormat="1"/>
    <row r="111" s="1" customFormat="1"/>
    <row r="112" s="1" customFormat="1"/>
    <row r="113" s="1" customFormat="1"/>
    <row r="114" s="1" customFormat="1"/>
    <row r="115" s="1" customFormat="1"/>
    <row r="116" s="1" customFormat="1"/>
    <row r="117" s="1" customFormat="1"/>
    <row r="118" s="1" customFormat="1"/>
    <row r="119" s="1" customFormat="1"/>
    <row r="120" s="1" customFormat="1"/>
    <row r="121" s="1" customFormat="1"/>
    <row r="122" s="1" customFormat="1"/>
    <row r="123" s="1" customFormat="1"/>
    <row r="124" s="1" customFormat="1"/>
    <row r="125" s="1" customFormat="1"/>
    <row r="126" s="1" customFormat="1"/>
    <row r="127" s="1" customFormat="1"/>
    <row r="128" s="1" customFormat="1"/>
    <row r="129" s="1" customFormat="1"/>
    <row r="130" s="1" customFormat="1"/>
    <row r="131" s="1" customFormat="1"/>
    <row r="132" s="1" customFormat="1"/>
    <row r="133" s="1" customFormat="1"/>
    <row r="134" s="1" customFormat="1"/>
    <row r="135" s="1" customFormat="1"/>
    <row r="136" s="1" customFormat="1"/>
    <row r="137" s="1" customFormat="1"/>
    <row r="138" s="1" customFormat="1"/>
    <row r="139" s="1" customFormat="1"/>
    <row r="140" s="1" customFormat="1"/>
    <row r="141" s="1" customFormat="1"/>
    <row r="142" s="1" customFormat="1"/>
    <row r="143" s="1" customFormat="1"/>
    <row r="144" s="1" customFormat="1"/>
    <row r="145" s="1" customFormat="1"/>
    <row r="146" s="1" customFormat="1"/>
    <row r="147" s="1" customFormat="1"/>
    <row r="148" s="1" customFormat="1"/>
    <row r="149" s="1" customFormat="1"/>
    <row r="150" s="1" customFormat="1"/>
    <row r="151" s="1" customFormat="1"/>
    <row r="152" s="1" customFormat="1"/>
    <row r="153" s="1" customFormat="1"/>
    <row r="154" s="1" customFormat="1"/>
    <row r="155" s="1" customFormat="1"/>
    <row r="156" s="1" customFormat="1"/>
    <row r="157" s="1" customFormat="1"/>
    <row r="158" s="1" customFormat="1"/>
    <row r="159" s="1" customFormat="1"/>
    <row r="160" s="1" customFormat="1"/>
    <row r="161" s="1" customFormat="1"/>
    <row r="162" s="1" customFormat="1"/>
    <row r="163" s="1" customFormat="1"/>
    <row r="164" s="1" customFormat="1"/>
    <row r="165" s="1" customFormat="1"/>
    <row r="166" s="1" customFormat="1"/>
    <row r="167" s="1" customFormat="1"/>
    <row r="168" s="1" customFormat="1"/>
    <row r="169" s="1" customFormat="1"/>
    <row r="170" s="1" customFormat="1"/>
    <row r="171" s="1" customFormat="1"/>
    <row r="172" s="1" customFormat="1"/>
    <row r="173" s="1" customFormat="1"/>
    <row r="174" s="1" customFormat="1"/>
    <row r="175" s="1" customFormat="1"/>
    <row r="176" s="1" customFormat="1"/>
    <row r="177" s="1" customFormat="1"/>
    <row r="178" s="1" customFormat="1"/>
    <row r="179" s="1" customFormat="1"/>
    <row r="180" s="1" customFormat="1"/>
    <row r="181" s="1" customFormat="1"/>
    <row r="182" s="1" customFormat="1"/>
    <row r="183" s="1" customFormat="1"/>
    <row r="184" s="1" customFormat="1"/>
    <row r="185" s="1" customFormat="1"/>
    <row r="186" s="1" customFormat="1"/>
    <row r="187" s="1" customFormat="1"/>
    <row r="188" s="1" customFormat="1"/>
    <row r="189" s="1" customFormat="1"/>
    <row r="190" s="1" customFormat="1"/>
    <row r="191" s="1" customFormat="1"/>
    <row r="192" s="1" customFormat="1"/>
    <row r="193" s="1" customFormat="1"/>
    <row r="194" s="1" customFormat="1"/>
    <row r="195" s="1" customFormat="1"/>
    <row r="196" s="1" customFormat="1"/>
    <row r="197" s="1" customFormat="1"/>
    <row r="198" s="1" customFormat="1"/>
    <row r="199" s="1" customFormat="1"/>
    <row r="200" s="1" customFormat="1"/>
    <row r="201" s="1" customFormat="1"/>
    <row r="202" s="1" customFormat="1"/>
    <row r="203" s="1" customFormat="1"/>
    <row r="204" s="1" customFormat="1"/>
    <row r="205" s="1" customFormat="1"/>
    <row r="206" s="1" customFormat="1"/>
    <row r="207" s="1" customFormat="1"/>
    <row r="208" s="1" customFormat="1"/>
    <row r="209" s="1" customFormat="1"/>
    <row r="210" s="1" customFormat="1"/>
    <row r="211" s="1" customFormat="1"/>
    <row r="212" s="1" customFormat="1"/>
    <row r="213" s="1" customFormat="1"/>
    <row r="214" s="1" customFormat="1"/>
    <row r="215" s="1" customFormat="1"/>
    <row r="216" s="1" customFormat="1"/>
    <row r="217" s="1" customFormat="1"/>
    <row r="218" s="1" customFormat="1"/>
    <row r="219" s="1" customFormat="1"/>
    <row r="220" s="1" customFormat="1"/>
    <row r="221" s="1" customFormat="1"/>
    <row r="222" s="1" customFormat="1"/>
    <row r="223" s="1" customFormat="1"/>
    <row r="224" s="1" customFormat="1"/>
    <row r="225" s="1" customFormat="1"/>
    <row r="226" s="1" customFormat="1"/>
    <row r="227" s="1" customFormat="1"/>
    <row r="228" s="1" customFormat="1"/>
    <row r="229" s="1" customFormat="1"/>
    <row r="230" s="1" customFormat="1"/>
    <row r="231" s="1" customFormat="1"/>
    <row r="232" s="1" customFormat="1"/>
    <row r="233" s="1" customFormat="1"/>
    <row r="234" s="1" customFormat="1"/>
    <row r="235" s="1" customFormat="1"/>
    <row r="236" s="1" customFormat="1"/>
    <row r="237" s="1" customFormat="1"/>
    <row r="238" s="1" customFormat="1"/>
    <row r="239" s="1" customFormat="1"/>
    <row r="240" s="1" customFormat="1"/>
    <row r="241" s="1" customFormat="1"/>
    <row r="242" s="1" customFormat="1"/>
    <row r="243" s="1" customFormat="1"/>
    <row r="244" s="1" customFormat="1"/>
    <row r="245" s="1" customFormat="1"/>
    <row r="246" s="1" customFormat="1"/>
    <row r="247" s="1" customFormat="1"/>
  </sheetData>
  <mergeCells count="2">
    <mergeCell ref="A1:A2"/>
    <mergeCell ref="B1:F1"/>
  </mergeCells>
  <pageMargins left="0.511811024" right="0.511811024" top="0.78740157499999996" bottom="0.78740157499999996" header="0.31496062000000002" footer="0.31496062000000002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theme="5" tint="0.59999389629810485"/>
  </sheetPr>
  <dimension ref="A1:AS318"/>
  <sheetViews>
    <sheetView topLeftCell="A19" workbookViewId="0">
      <selection activeCell="A36" sqref="A36"/>
    </sheetView>
  </sheetViews>
  <sheetFormatPr defaultColWidth="8.85546875" defaultRowHeight="15"/>
  <cols>
    <col min="1" max="1" width="18.42578125" style="385" customWidth="1"/>
    <col min="2" max="6" width="8.85546875" style="385"/>
    <col min="7" max="45" width="8.85546875" style="1"/>
  </cols>
  <sheetData>
    <row r="1" spans="1:6" ht="15.75" thickBot="1">
      <c r="A1" s="1265" t="s">
        <v>406</v>
      </c>
      <c r="B1" s="1270" t="s">
        <v>491</v>
      </c>
      <c r="C1" s="1271"/>
      <c r="D1" s="1271"/>
      <c r="E1" s="1272"/>
      <c r="F1" s="1273"/>
    </row>
    <row r="2" spans="1:6" ht="15.75" thickBot="1">
      <c r="A2" s="1266"/>
      <c r="B2" s="586">
        <v>2004</v>
      </c>
      <c r="C2" s="587">
        <v>2005</v>
      </c>
      <c r="D2" s="587">
        <v>2006</v>
      </c>
      <c r="E2" s="587">
        <v>2007</v>
      </c>
      <c r="F2" s="588">
        <v>2008</v>
      </c>
    </row>
    <row r="3" spans="1:6">
      <c r="A3" s="574" t="s">
        <v>86</v>
      </c>
      <c r="B3" s="583">
        <v>10692.187516246193</v>
      </c>
      <c r="C3" s="584">
        <v>11658.103930094703</v>
      </c>
      <c r="D3" s="584">
        <v>12686.600719095119</v>
      </c>
      <c r="E3" s="584">
        <v>14464.732986029017</v>
      </c>
      <c r="F3" s="585">
        <f>(1+(E3-D3)/D3)*E3</f>
        <v>16492.085231483452</v>
      </c>
    </row>
    <row r="4" spans="1:6">
      <c r="A4" s="575" t="s">
        <v>87</v>
      </c>
      <c r="B4" s="577">
        <v>6679.9279024338966</v>
      </c>
      <c r="C4" s="386">
        <v>7241.4853451728195</v>
      </c>
      <c r="D4" s="386">
        <v>7987.8145247060766</v>
      </c>
      <c r="E4" s="386">
        <v>9134.616376171276</v>
      </c>
      <c r="F4" s="585">
        <f t="shared" ref="F4:F35" si="0">(1+(E4-D4)/D4)*E4</f>
        <v>10446.063323295155</v>
      </c>
    </row>
    <row r="5" spans="1:6">
      <c r="A5" s="576" t="s">
        <v>13</v>
      </c>
      <c r="B5" s="589">
        <v>6251.2143002923021</v>
      </c>
      <c r="C5" s="388">
        <v>6693.5622062631255</v>
      </c>
      <c r="D5" s="388">
        <v>7040.859526540341</v>
      </c>
      <c r="E5" s="388">
        <v>8789.4917192419143</v>
      </c>
      <c r="F5" s="592">
        <f t="shared" si="0"/>
        <v>10972.405342190226</v>
      </c>
    </row>
    <row r="6" spans="1:6">
      <c r="A6" s="576" t="s">
        <v>14</v>
      </c>
      <c r="B6" s="589">
        <v>7026.1710838753215</v>
      </c>
      <c r="C6" s="388">
        <v>7334.9321588002713</v>
      </c>
      <c r="D6" s="388">
        <v>8542.9410648245685</v>
      </c>
      <c r="E6" s="388">
        <v>10253.735274365346</v>
      </c>
      <c r="F6" s="592">
        <f t="shared" si="0"/>
        <v>12307.130094771786</v>
      </c>
    </row>
    <row r="7" spans="1:6">
      <c r="A7" s="576" t="s">
        <v>15</v>
      </c>
      <c r="B7" s="589">
        <v>9657.9742548466002</v>
      </c>
      <c r="C7" s="388">
        <v>10318.295712704374</v>
      </c>
      <c r="D7" s="388">
        <v>11826.21404378744</v>
      </c>
      <c r="E7" s="388">
        <v>13042.830845316787</v>
      </c>
      <c r="F7" s="592">
        <f t="shared" si="0"/>
        <v>14384.606589199375</v>
      </c>
    </row>
    <row r="8" spans="1:6">
      <c r="A8" s="576" t="s">
        <v>16</v>
      </c>
      <c r="B8" s="589">
        <v>5191.519151869943</v>
      </c>
      <c r="C8" s="388">
        <v>5612.3169799428497</v>
      </c>
      <c r="D8" s="388">
        <v>6240.0525252185516</v>
      </c>
      <c r="E8" s="388">
        <v>7006.8123235518033</v>
      </c>
      <c r="F8" s="592">
        <f t="shared" si="0"/>
        <v>7867.7893718142859</v>
      </c>
    </row>
    <row r="9" spans="1:6">
      <c r="A9" s="576" t="s">
        <v>17</v>
      </c>
      <c r="B9" s="589">
        <v>7208.585703859957</v>
      </c>
      <c r="C9" s="388">
        <v>8395.7365320465706</v>
      </c>
      <c r="D9" s="388">
        <v>8389.2080729590089</v>
      </c>
      <c r="E9" s="388">
        <v>10319.980859045867</v>
      </c>
      <c r="F9" s="592">
        <f t="shared" si="0"/>
        <v>12695.120207396179</v>
      </c>
    </row>
    <row r="10" spans="1:6">
      <c r="A10" s="576" t="s">
        <v>18</v>
      </c>
      <c r="B10" s="589">
        <v>7360.8500722509125</v>
      </c>
      <c r="C10" s="388">
        <v>8124.5822097863684</v>
      </c>
      <c r="D10" s="388">
        <v>9074.3462149707557</v>
      </c>
      <c r="E10" s="388">
        <v>10534.079373995637</v>
      </c>
      <c r="F10" s="592">
        <f t="shared" si="0"/>
        <v>12228.630650500028</v>
      </c>
    </row>
    <row r="11" spans="1:6">
      <c r="A11" s="576" t="s">
        <v>19</v>
      </c>
      <c r="B11" s="589">
        <v>6555.9377856698884</v>
      </c>
      <c r="C11" s="388">
        <v>6939.3669653715579</v>
      </c>
      <c r="D11" s="388">
        <v>7208.3418004449686</v>
      </c>
      <c r="E11" s="388">
        <v>8920.7321462893015</v>
      </c>
      <c r="F11" s="592">
        <f t="shared" si="0"/>
        <v>11039.912399954024</v>
      </c>
    </row>
    <row r="12" spans="1:6">
      <c r="A12" s="575" t="s">
        <v>88</v>
      </c>
      <c r="B12" s="577">
        <v>4898.9860495952062</v>
      </c>
      <c r="C12" s="386">
        <v>5498.8250327449132</v>
      </c>
      <c r="D12" s="386">
        <v>6028.0937636451963</v>
      </c>
      <c r="E12" s="386">
        <v>6748.8102508708434</v>
      </c>
      <c r="F12" s="585">
        <f t="shared" si="0"/>
        <v>7555.6953139888437</v>
      </c>
    </row>
    <row r="13" spans="1:6">
      <c r="A13" s="576" t="s">
        <v>21</v>
      </c>
      <c r="B13" s="589">
        <v>4324.3544300744079</v>
      </c>
      <c r="C13" s="388">
        <v>4688.2487580077586</v>
      </c>
      <c r="D13" s="388">
        <v>5162.1873217624461</v>
      </c>
      <c r="E13" s="388">
        <v>5858.3712236805795</v>
      </c>
      <c r="F13" s="592">
        <f t="shared" si="0"/>
        <v>6648.4440132116642</v>
      </c>
    </row>
    <row r="14" spans="1:6">
      <c r="A14" s="576" t="s">
        <v>22</v>
      </c>
      <c r="B14" s="589">
        <v>5780.0613950999459</v>
      </c>
      <c r="C14" s="388">
        <v>6581.044983679928</v>
      </c>
      <c r="D14" s="388">
        <v>6918.9742353811434</v>
      </c>
      <c r="E14" s="388">
        <v>7787.4024465393868</v>
      </c>
      <c r="F14" s="592">
        <f t="shared" si="0"/>
        <v>8764.8305661058675</v>
      </c>
    </row>
    <row r="15" spans="1:6">
      <c r="A15" s="576" t="s">
        <v>23</v>
      </c>
      <c r="B15" s="589">
        <v>4621.8243891120437</v>
      </c>
      <c r="C15" s="388">
        <v>5055.4343913483863</v>
      </c>
      <c r="D15" s="388">
        <v>5634.9736562503022</v>
      </c>
      <c r="E15" s="388">
        <v>6149.0343365611461</v>
      </c>
      <c r="F15" s="592">
        <f t="shared" si="0"/>
        <v>6709.9911337240246</v>
      </c>
    </row>
    <row r="16" spans="1:6">
      <c r="A16" s="576" t="s">
        <v>24</v>
      </c>
      <c r="B16" s="589">
        <v>3587.9037869469803</v>
      </c>
      <c r="C16" s="388">
        <v>4150.9476443656422</v>
      </c>
      <c r="D16" s="388">
        <v>4627.7096023896001</v>
      </c>
      <c r="E16" s="388">
        <v>5165.2316056363534</v>
      </c>
      <c r="F16" s="592">
        <f t="shared" si="0"/>
        <v>5765.1883614495182</v>
      </c>
    </row>
    <row r="17" spans="1:6">
      <c r="A17" s="576" t="s">
        <v>25</v>
      </c>
      <c r="B17" s="589">
        <v>4209.9006119720725</v>
      </c>
      <c r="C17" s="388">
        <v>4691.0937824887505</v>
      </c>
      <c r="D17" s="388">
        <v>5506.5224679450048</v>
      </c>
      <c r="E17" s="388">
        <v>6097.0419103009581</v>
      </c>
      <c r="F17" s="592">
        <f t="shared" si="0"/>
        <v>6750.8886547482662</v>
      </c>
    </row>
    <row r="18" spans="1:6">
      <c r="A18" s="576" t="s">
        <v>26</v>
      </c>
      <c r="B18" s="589">
        <v>5287.2867923541808</v>
      </c>
      <c r="C18" s="388">
        <v>5933.4631639152994</v>
      </c>
      <c r="D18" s="388">
        <v>6526.6298230528255</v>
      </c>
      <c r="E18" s="388">
        <v>7336.7771747174193</v>
      </c>
      <c r="F18" s="592">
        <f t="shared" si="0"/>
        <v>8247.4877189030431</v>
      </c>
    </row>
    <row r="19" spans="1:6">
      <c r="A19" s="576" t="s">
        <v>27</v>
      </c>
      <c r="B19" s="589">
        <v>3297.2391445571384</v>
      </c>
      <c r="C19" s="388">
        <v>3701.239331431866</v>
      </c>
      <c r="D19" s="388">
        <v>4211.8719623238612</v>
      </c>
      <c r="E19" s="388">
        <v>4661.5573494030541</v>
      </c>
      <c r="F19" s="592">
        <f t="shared" si="0"/>
        <v>5159.2539175346246</v>
      </c>
    </row>
    <row r="20" spans="1:6">
      <c r="A20" s="576" t="s">
        <v>28</v>
      </c>
      <c r="B20" s="589">
        <v>5259.9229536491393</v>
      </c>
      <c r="C20" s="388">
        <v>5950.3823597379833</v>
      </c>
      <c r="D20" s="388">
        <v>6753.0361733778263</v>
      </c>
      <c r="E20" s="388">
        <v>7607.0142261905885</v>
      </c>
      <c r="F20" s="592">
        <f t="shared" si="0"/>
        <v>8568.9849649541356</v>
      </c>
    </row>
    <row r="21" spans="1:6">
      <c r="A21" s="576" t="s">
        <v>29</v>
      </c>
      <c r="B21" s="589">
        <v>6289.3902761838071</v>
      </c>
      <c r="C21" s="388">
        <v>6823.6091110891757</v>
      </c>
      <c r="D21" s="388">
        <v>7559.3452813064605</v>
      </c>
      <c r="E21" s="388">
        <v>8711.6965033609304</v>
      </c>
      <c r="F21" s="592">
        <f t="shared" si="0"/>
        <v>10039.712851104821</v>
      </c>
    </row>
    <row r="22" spans="1:6">
      <c r="A22" s="575" t="s">
        <v>90</v>
      </c>
      <c r="B22" s="577">
        <v>14009.41736712557</v>
      </c>
      <c r="C22" s="386">
        <v>15468.742291554841</v>
      </c>
      <c r="D22" s="386">
        <v>16911.698664654799</v>
      </c>
      <c r="E22" s="386">
        <v>19277.263359462017</v>
      </c>
      <c r="F22" s="585">
        <f t="shared" si="0"/>
        <v>21973.717129120934</v>
      </c>
    </row>
    <row r="23" spans="1:6">
      <c r="A23" s="576" t="s">
        <v>31</v>
      </c>
      <c r="B23" s="589">
        <v>11997.944357415641</v>
      </c>
      <c r="C23" s="388">
        <v>13854.906640322049</v>
      </c>
      <c r="D23" s="388">
        <v>15234.758093902639</v>
      </c>
      <c r="E23" s="388">
        <v>18002.916538759306</v>
      </c>
      <c r="F23" s="592">
        <f t="shared" si="0"/>
        <v>21274.049899830632</v>
      </c>
    </row>
    <row r="24" spans="1:6">
      <c r="A24" s="576" t="s">
        <v>32</v>
      </c>
      <c r="B24" s="589">
        <v>9335.9708461572063</v>
      </c>
      <c r="C24" s="388">
        <v>10013.762537453182</v>
      </c>
      <c r="D24" s="388">
        <v>11024.695937721497</v>
      </c>
      <c r="E24" s="388">
        <v>12519.399202946424</v>
      </c>
      <c r="F24" s="592">
        <f t="shared" si="0"/>
        <v>14216.750946069944</v>
      </c>
    </row>
    <row r="25" spans="1:6">
      <c r="A25" s="576" t="s">
        <v>33</v>
      </c>
      <c r="B25" s="589">
        <v>14663.819164048769</v>
      </c>
      <c r="C25" s="388">
        <v>16057.400564323567</v>
      </c>
      <c r="D25" s="388">
        <v>17692.589854586546</v>
      </c>
      <c r="E25" s="388">
        <v>19245.079344487516</v>
      </c>
      <c r="F25" s="592">
        <f t="shared" si="0"/>
        <v>20933.796692269236</v>
      </c>
    </row>
    <row r="26" spans="1:6">
      <c r="A26" s="576" t="s">
        <v>34</v>
      </c>
      <c r="B26" s="589">
        <v>16157.786321470641</v>
      </c>
      <c r="C26" s="388">
        <v>17975.613328189149</v>
      </c>
      <c r="D26" s="388">
        <v>19550.365699760492</v>
      </c>
      <c r="E26" s="388">
        <v>22667.251545019142</v>
      </c>
      <c r="F26" s="592">
        <f t="shared" si="0"/>
        <v>26281.057883815811</v>
      </c>
    </row>
    <row r="27" spans="1:6">
      <c r="A27" s="575" t="s">
        <v>91</v>
      </c>
      <c r="B27" s="577">
        <v>12676.907478806444</v>
      </c>
      <c r="C27" s="386">
        <v>13205.967471426178</v>
      </c>
      <c r="D27" s="386">
        <v>14156.148666848187</v>
      </c>
      <c r="E27" s="386">
        <v>16563.997194658426</v>
      </c>
      <c r="F27" s="585">
        <f t="shared" si="0"/>
        <v>19381.401645433467</v>
      </c>
    </row>
    <row r="28" spans="1:6">
      <c r="A28" s="576" t="s">
        <v>36</v>
      </c>
      <c r="B28" s="589">
        <v>12079.826715677054</v>
      </c>
      <c r="C28" s="388">
        <v>12344.437083128983</v>
      </c>
      <c r="D28" s="388">
        <v>13151.984836409982</v>
      </c>
      <c r="E28" s="388">
        <v>15711.196108694512</v>
      </c>
      <c r="F28" s="592">
        <f t="shared" si="0"/>
        <v>18768.397792134048</v>
      </c>
    </row>
    <row r="29" spans="1:6">
      <c r="A29" s="576" t="s">
        <v>37</v>
      </c>
      <c r="B29" s="589">
        <v>12850.072058969863</v>
      </c>
      <c r="C29" s="388">
        <v>13298.021312991703</v>
      </c>
      <c r="D29" s="388">
        <v>14304.825274705392</v>
      </c>
      <c r="E29" s="388">
        <v>16688.742224076006</v>
      </c>
      <c r="F29" s="592">
        <f t="shared" si="0"/>
        <v>19469.941902341296</v>
      </c>
    </row>
    <row r="30" spans="1:6">
      <c r="A30" s="576" t="s">
        <v>38</v>
      </c>
      <c r="B30" s="589">
        <v>13403.291564203719</v>
      </c>
      <c r="C30" s="388">
        <v>14542.791465261676</v>
      </c>
      <c r="D30" s="388">
        <v>15633.198377044726</v>
      </c>
      <c r="E30" s="388">
        <v>17834.003039188749</v>
      </c>
      <c r="F30" s="592">
        <f t="shared" si="0"/>
        <v>20344.631772140125</v>
      </c>
    </row>
    <row r="31" spans="1:6">
      <c r="A31" s="575" t="s">
        <v>92</v>
      </c>
      <c r="B31" s="577">
        <v>13845.685416837292</v>
      </c>
      <c r="C31" s="386">
        <v>14605.730269665353</v>
      </c>
      <c r="D31" s="386">
        <v>15545.741015964144</v>
      </c>
      <c r="E31" s="386">
        <v>17844.45996371939</v>
      </c>
      <c r="F31" s="585">
        <f t="shared" si="0"/>
        <v>20483.086079318397</v>
      </c>
    </row>
    <row r="32" spans="1:6">
      <c r="A32" s="576" t="s">
        <v>40</v>
      </c>
      <c r="B32" s="589">
        <v>30991.496299239781</v>
      </c>
      <c r="C32" s="388">
        <v>34514.738299306933</v>
      </c>
      <c r="D32" s="388">
        <v>37599.27629617347</v>
      </c>
      <c r="E32" s="388">
        <v>40696.078149258523</v>
      </c>
      <c r="F32" s="592">
        <f t="shared" si="0"/>
        <v>44047.942936048159</v>
      </c>
    </row>
    <row r="33" spans="1:6">
      <c r="A33" s="576" t="s">
        <v>41</v>
      </c>
      <c r="B33" s="589">
        <v>8718.0125647535751</v>
      </c>
      <c r="C33" s="388">
        <v>8992.0203633827969</v>
      </c>
      <c r="D33" s="388">
        <v>9956.2957432058174</v>
      </c>
      <c r="E33" s="388">
        <v>11547.678871833459</v>
      </c>
      <c r="F33" s="592">
        <f t="shared" si="0"/>
        <v>13393.423695553261</v>
      </c>
    </row>
    <row r="34" spans="1:6">
      <c r="A34" s="576" t="s">
        <v>42</v>
      </c>
      <c r="B34" s="589">
        <v>13444.588457402135</v>
      </c>
      <c r="C34" s="388">
        <v>13365.064178760551</v>
      </c>
      <c r="D34" s="388">
        <v>12340.786324018361</v>
      </c>
      <c r="E34" s="388">
        <v>14953.580628441914</v>
      </c>
      <c r="F34" s="592">
        <f t="shared" si="0"/>
        <v>18119.556383219377</v>
      </c>
    </row>
    <row r="35" spans="1:6" ht="15.75" thickBot="1">
      <c r="A35" s="576" t="s">
        <v>43</v>
      </c>
      <c r="B35" s="590">
        <v>9461.2232481103729</v>
      </c>
      <c r="C35" s="591">
        <v>9561.1214806163662</v>
      </c>
      <c r="D35" s="591">
        <v>10592.444217919032</v>
      </c>
      <c r="E35" s="591">
        <v>12411.183309341075</v>
      </c>
      <c r="F35" s="592">
        <f t="shared" si="0"/>
        <v>14542.202721963293</v>
      </c>
    </row>
    <row r="36" spans="1:6" s="1" customFormat="1">
      <c r="A36" s="389" t="s">
        <v>492</v>
      </c>
      <c r="B36" s="390"/>
      <c r="C36" s="390"/>
      <c r="D36" s="390"/>
      <c r="E36" s="390"/>
      <c r="F36" s="390"/>
    </row>
    <row r="37" spans="1:6" s="1" customFormat="1">
      <c r="A37" s="391"/>
      <c r="B37" s="391"/>
      <c r="C37" s="391"/>
      <c r="D37" s="391"/>
      <c r="E37" s="391"/>
      <c r="F37" s="391"/>
    </row>
    <row r="38" spans="1:6" s="1" customFormat="1">
      <c r="A38" s="391"/>
      <c r="B38" s="391"/>
      <c r="C38" s="391"/>
      <c r="D38" s="391"/>
      <c r="E38" s="391"/>
      <c r="F38" s="391"/>
    </row>
    <row r="39" spans="1:6" s="1" customFormat="1">
      <c r="A39" s="391"/>
      <c r="B39" s="391"/>
      <c r="C39" s="391"/>
      <c r="D39" s="391"/>
      <c r="E39" s="391"/>
      <c r="F39" s="391"/>
    </row>
    <row r="40" spans="1:6" s="1" customFormat="1">
      <c r="A40" s="391"/>
      <c r="B40" s="391"/>
      <c r="C40" s="391"/>
      <c r="D40" s="391"/>
      <c r="E40" s="391"/>
      <c r="F40" s="391"/>
    </row>
    <row r="41" spans="1:6" s="1" customFormat="1">
      <c r="A41" s="391"/>
      <c r="B41" s="391"/>
      <c r="C41" s="391"/>
      <c r="D41" s="391"/>
      <c r="E41" s="391"/>
      <c r="F41" s="391"/>
    </row>
    <row r="42" spans="1:6" s="1" customFormat="1">
      <c r="A42" s="391"/>
      <c r="B42" s="391"/>
      <c r="C42" s="391"/>
      <c r="D42" s="391"/>
      <c r="E42" s="391"/>
      <c r="F42" s="391"/>
    </row>
    <row r="43" spans="1:6" s="1" customFormat="1">
      <c r="A43" s="391"/>
      <c r="B43" s="391"/>
      <c r="C43" s="391"/>
      <c r="D43" s="391"/>
      <c r="E43" s="391"/>
      <c r="F43" s="391"/>
    </row>
    <row r="44" spans="1:6" s="1" customFormat="1">
      <c r="A44" s="391"/>
      <c r="B44" s="391"/>
      <c r="C44" s="391"/>
      <c r="D44" s="391"/>
      <c r="E44" s="391"/>
      <c r="F44" s="391"/>
    </row>
    <row r="45" spans="1:6" s="1" customFormat="1">
      <c r="A45" s="391"/>
      <c r="B45" s="391"/>
      <c r="C45" s="391"/>
      <c r="D45" s="391"/>
      <c r="E45" s="391"/>
      <c r="F45" s="391"/>
    </row>
    <row r="46" spans="1:6" s="1" customFormat="1">
      <c r="A46" s="391"/>
      <c r="B46" s="391"/>
      <c r="C46" s="391"/>
      <c r="D46" s="391"/>
      <c r="E46" s="391"/>
      <c r="F46" s="391"/>
    </row>
    <row r="47" spans="1:6" s="1" customFormat="1">
      <c r="A47" s="391"/>
      <c r="B47" s="391"/>
      <c r="C47" s="391"/>
      <c r="D47" s="391"/>
      <c r="E47" s="391"/>
      <c r="F47" s="391"/>
    </row>
    <row r="48" spans="1:6" s="1" customFormat="1">
      <c r="A48" s="391"/>
      <c r="B48" s="391"/>
      <c r="C48" s="391"/>
      <c r="D48" s="391"/>
      <c r="E48" s="391"/>
      <c r="F48" s="391"/>
    </row>
    <row r="49" spans="1:6" s="1" customFormat="1">
      <c r="A49" s="391"/>
      <c r="B49" s="391"/>
      <c r="C49" s="391"/>
      <c r="D49" s="391"/>
      <c r="E49" s="391"/>
      <c r="F49" s="391"/>
    </row>
    <row r="50" spans="1:6" s="1" customFormat="1">
      <c r="A50" s="391"/>
      <c r="B50" s="391"/>
      <c r="C50" s="391"/>
      <c r="D50" s="391"/>
      <c r="E50" s="391"/>
      <c r="F50" s="391"/>
    </row>
    <row r="51" spans="1:6" s="1" customFormat="1">
      <c r="A51" s="391"/>
      <c r="B51" s="391"/>
      <c r="C51" s="391"/>
      <c r="D51" s="391"/>
      <c r="E51" s="391"/>
      <c r="F51" s="391"/>
    </row>
    <row r="52" spans="1:6" s="1" customFormat="1">
      <c r="A52" s="391"/>
      <c r="B52" s="391"/>
      <c r="C52" s="391"/>
      <c r="D52" s="391"/>
      <c r="E52" s="391"/>
      <c r="F52" s="391"/>
    </row>
    <row r="53" spans="1:6" s="1" customFormat="1">
      <c r="A53" s="391"/>
      <c r="B53" s="391"/>
      <c r="C53" s="391"/>
      <c r="D53" s="391"/>
      <c r="E53" s="391"/>
      <c r="F53" s="391"/>
    </row>
    <row r="54" spans="1:6" s="1" customFormat="1">
      <c r="A54" s="391"/>
      <c r="B54" s="391"/>
      <c r="C54" s="391"/>
      <c r="D54" s="391"/>
      <c r="E54" s="391"/>
      <c r="F54" s="391"/>
    </row>
    <row r="55" spans="1:6" s="1" customFormat="1">
      <c r="A55" s="391"/>
      <c r="B55" s="391"/>
      <c r="C55" s="391"/>
      <c r="D55" s="391"/>
      <c r="E55" s="391"/>
      <c r="F55" s="391"/>
    </row>
    <row r="56" spans="1:6" s="1" customFormat="1">
      <c r="A56" s="391"/>
      <c r="B56" s="391"/>
      <c r="C56" s="391"/>
      <c r="D56" s="391"/>
      <c r="E56" s="391"/>
      <c r="F56" s="391"/>
    </row>
    <row r="57" spans="1:6" s="1" customFormat="1">
      <c r="A57" s="391"/>
      <c r="B57" s="391"/>
      <c r="C57" s="391"/>
      <c r="D57" s="391"/>
      <c r="E57" s="391"/>
      <c r="F57" s="391"/>
    </row>
    <row r="58" spans="1:6" s="1" customFormat="1">
      <c r="A58" s="391"/>
      <c r="B58" s="391"/>
      <c r="C58" s="391"/>
      <c r="D58" s="391"/>
      <c r="E58" s="391"/>
      <c r="F58" s="391"/>
    </row>
    <row r="59" spans="1:6" s="1" customFormat="1">
      <c r="A59" s="391"/>
      <c r="B59" s="391"/>
      <c r="C59" s="391"/>
      <c r="D59" s="391"/>
      <c r="E59" s="391"/>
      <c r="F59" s="391"/>
    </row>
    <row r="60" spans="1:6" s="1" customFormat="1">
      <c r="A60" s="391"/>
      <c r="B60" s="391"/>
      <c r="C60" s="391"/>
      <c r="D60" s="391"/>
      <c r="E60" s="391"/>
      <c r="F60" s="391"/>
    </row>
    <row r="61" spans="1:6" s="1" customFormat="1">
      <c r="A61" s="391"/>
      <c r="B61" s="391"/>
      <c r="C61" s="391"/>
      <c r="D61" s="391"/>
      <c r="E61" s="391"/>
      <c r="F61" s="391"/>
    </row>
    <row r="62" spans="1:6" s="1" customFormat="1">
      <c r="A62" s="391"/>
      <c r="B62" s="391"/>
      <c r="C62" s="391"/>
      <c r="D62" s="391"/>
      <c r="E62" s="391"/>
      <c r="F62" s="391"/>
    </row>
    <row r="63" spans="1:6" s="1" customFormat="1">
      <c r="A63" s="391"/>
      <c r="B63" s="391"/>
      <c r="C63" s="391"/>
      <c r="D63" s="391"/>
      <c r="E63" s="391"/>
      <c r="F63" s="391"/>
    </row>
    <row r="64" spans="1:6" s="1" customFormat="1">
      <c r="A64" s="391"/>
      <c r="B64" s="391"/>
      <c r="C64" s="391"/>
      <c r="D64" s="391"/>
      <c r="E64" s="391"/>
      <c r="F64" s="391"/>
    </row>
    <row r="65" spans="1:6" s="1" customFormat="1">
      <c r="A65" s="391"/>
      <c r="B65" s="391"/>
      <c r="C65" s="391"/>
      <c r="D65" s="391"/>
      <c r="E65" s="391"/>
      <c r="F65" s="391"/>
    </row>
    <row r="66" spans="1:6" s="1" customFormat="1">
      <c r="A66" s="391"/>
      <c r="B66" s="391"/>
      <c r="C66" s="391"/>
      <c r="D66" s="391"/>
      <c r="E66" s="391"/>
      <c r="F66" s="391"/>
    </row>
    <row r="67" spans="1:6" s="1" customFormat="1">
      <c r="A67" s="391"/>
      <c r="B67" s="391"/>
      <c r="C67" s="391"/>
      <c r="D67" s="391"/>
      <c r="E67" s="391"/>
      <c r="F67" s="391"/>
    </row>
    <row r="68" spans="1:6" s="1" customFormat="1">
      <c r="A68" s="391"/>
      <c r="B68" s="391"/>
      <c r="C68" s="391"/>
      <c r="D68" s="391"/>
      <c r="E68" s="391"/>
      <c r="F68" s="391"/>
    </row>
    <row r="69" spans="1:6" s="1" customFormat="1">
      <c r="A69" s="391"/>
      <c r="B69" s="391"/>
      <c r="C69" s="391"/>
      <c r="D69" s="391"/>
      <c r="E69" s="391"/>
      <c r="F69" s="391"/>
    </row>
    <row r="70" spans="1:6" s="1" customFormat="1">
      <c r="A70" s="391"/>
      <c r="B70" s="391"/>
      <c r="C70" s="391"/>
      <c r="D70" s="391"/>
      <c r="E70" s="391"/>
      <c r="F70" s="391"/>
    </row>
    <row r="71" spans="1:6" s="1" customFormat="1">
      <c r="A71" s="391"/>
      <c r="B71" s="391"/>
      <c r="C71" s="391"/>
      <c r="D71" s="391"/>
      <c r="E71" s="391"/>
      <c r="F71" s="391"/>
    </row>
    <row r="72" spans="1:6" s="1" customFormat="1">
      <c r="A72" s="391"/>
      <c r="B72" s="391"/>
      <c r="C72" s="391"/>
      <c r="D72" s="391"/>
      <c r="E72" s="391"/>
      <c r="F72" s="391"/>
    </row>
    <row r="73" spans="1:6" s="1" customFormat="1">
      <c r="A73" s="391"/>
      <c r="B73" s="391"/>
      <c r="C73" s="391"/>
      <c r="D73" s="391"/>
      <c r="E73" s="391"/>
      <c r="F73" s="391"/>
    </row>
    <row r="74" spans="1:6" s="1" customFormat="1">
      <c r="A74" s="391"/>
      <c r="B74" s="391"/>
      <c r="C74" s="391"/>
      <c r="D74" s="391"/>
      <c r="E74" s="391"/>
      <c r="F74" s="391"/>
    </row>
    <row r="75" spans="1:6" s="1" customFormat="1">
      <c r="A75" s="391"/>
      <c r="B75" s="391"/>
      <c r="C75" s="391"/>
      <c r="D75" s="391"/>
      <c r="E75" s="391"/>
      <c r="F75" s="391"/>
    </row>
    <row r="76" spans="1:6" s="1" customFormat="1">
      <c r="A76" s="391"/>
      <c r="B76" s="391"/>
      <c r="C76" s="391"/>
      <c r="D76" s="391"/>
      <c r="E76" s="391"/>
      <c r="F76" s="391"/>
    </row>
    <row r="77" spans="1:6" s="1" customFormat="1">
      <c r="A77" s="391"/>
      <c r="B77" s="391"/>
      <c r="C77" s="391"/>
      <c r="D77" s="391"/>
      <c r="E77" s="391"/>
      <c r="F77" s="391"/>
    </row>
    <row r="78" spans="1:6" s="1" customFormat="1">
      <c r="A78" s="391"/>
      <c r="B78" s="391"/>
      <c r="C78" s="391"/>
      <c r="D78" s="391"/>
      <c r="E78" s="391"/>
      <c r="F78" s="391"/>
    </row>
    <row r="79" spans="1:6" s="1" customFormat="1">
      <c r="A79" s="391"/>
      <c r="B79" s="391"/>
      <c r="C79" s="391"/>
      <c r="D79" s="391"/>
      <c r="E79" s="391"/>
      <c r="F79" s="391"/>
    </row>
    <row r="80" spans="1:6" s="1" customFormat="1">
      <c r="A80" s="391"/>
      <c r="B80" s="391"/>
      <c r="C80" s="391"/>
      <c r="D80" s="391"/>
      <c r="E80" s="391"/>
      <c r="F80" s="391"/>
    </row>
    <row r="81" spans="1:6" s="1" customFormat="1">
      <c r="A81" s="391"/>
      <c r="B81" s="391"/>
      <c r="C81" s="391"/>
      <c r="D81" s="391"/>
      <c r="E81" s="391"/>
      <c r="F81" s="391"/>
    </row>
    <row r="82" spans="1:6" s="1" customFormat="1">
      <c r="A82" s="391"/>
      <c r="B82" s="391"/>
      <c r="C82" s="391"/>
      <c r="D82" s="391"/>
      <c r="E82" s="391"/>
      <c r="F82" s="391"/>
    </row>
    <row r="83" spans="1:6" s="1" customFormat="1">
      <c r="A83" s="391"/>
      <c r="B83" s="391"/>
      <c r="C83" s="391"/>
      <c r="D83" s="391"/>
      <c r="E83" s="391"/>
      <c r="F83" s="391"/>
    </row>
    <row r="84" spans="1:6" s="1" customFormat="1">
      <c r="A84" s="391"/>
      <c r="B84" s="391"/>
      <c r="C84" s="391"/>
      <c r="D84" s="391"/>
      <c r="E84" s="391"/>
      <c r="F84" s="391"/>
    </row>
    <row r="85" spans="1:6" s="1" customFormat="1">
      <c r="A85" s="391"/>
      <c r="B85" s="391"/>
      <c r="C85" s="391"/>
      <c r="D85" s="391"/>
      <c r="E85" s="391"/>
      <c r="F85" s="391"/>
    </row>
    <row r="86" spans="1:6" s="1" customFormat="1">
      <c r="A86" s="391"/>
      <c r="B86" s="391"/>
      <c r="C86" s="391"/>
      <c r="D86" s="391"/>
      <c r="E86" s="391"/>
      <c r="F86" s="391"/>
    </row>
    <row r="87" spans="1:6" s="1" customFormat="1">
      <c r="A87" s="391"/>
      <c r="B87" s="391"/>
      <c r="C87" s="391"/>
      <c r="D87" s="391"/>
      <c r="E87" s="391"/>
      <c r="F87" s="391"/>
    </row>
    <row r="88" spans="1:6" s="1" customFormat="1">
      <c r="A88" s="391"/>
      <c r="B88" s="391"/>
      <c r="C88" s="391"/>
      <c r="D88" s="391"/>
      <c r="E88" s="391"/>
      <c r="F88" s="391"/>
    </row>
    <row r="89" spans="1:6" s="1" customFormat="1">
      <c r="A89" s="391"/>
      <c r="B89" s="391"/>
      <c r="C89" s="391"/>
      <c r="D89" s="391"/>
      <c r="E89" s="391"/>
      <c r="F89" s="391"/>
    </row>
    <row r="90" spans="1:6" s="1" customFormat="1">
      <c r="A90" s="391"/>
      <c r="B90" s="391"/>
      <c r="C90" s="391"/>
      <c r="D90" s="391"/>
      <c r="E90" s="391"/>
      <c r="F90" s="391"/>
    </row>
    <row r="91" spans="1:6" s="1" customFormat="1">
      <c r="A91" s="391"/>
      <c r="B91" s="391"/>
      <c r="C91" s="391"/>
      <c r="D91" s="391"/>
      <c r="E91" s="391"/>
      <c r="F91" s="391"/>
    </row>
    <row r="92" spans="1:6" s="1" customFormat="1">
      <c r="A92" s="391"/>
      <c r="B92" s="391"/>
      <c r="C92" s="391"/>
      <c r="D92" s="391"/>
      <c r="E92" s="391"/>
      <c r="F92" s="391"/>
    </row>
    <row r="93" spans="1:6" s="1" customFormat="1">
      <c r="A93" s="391"/>
      <c r="B93" s="391"/>
      <c r="C93" s="391"/>
      <c r="D93" s="391"/>
      <c r="E93" s="391"/>
      <c r="F93" s="391"/>
    </row>
    <row r="94" spans="1:6" s="1" customFormat="1">
      <c r="A94" s="391"/>
      <c r="B94" s="391"/>
      <c r="C94" s="391"/>
      <c r="D94" s="391"/>
      <c r="E94" s="391"/>
      <c r="F94" s="391"/>
    </row>
    <row r="95" spans="1:6" s="1" customFormat="1">
      <c r="A95" s="391"/>
      <c r="B95" s="391"/>
      <c r="C95" s="391"/>
      <c r="D95" s="391"/>
      <c r="E95" s="391"/>
      <c r="F95" s="391"/>
    </row>
    <row r="96" spans="1:6" s="1" customFormat="1">
      <c r="A96" s="391"/>
      <c r="B96" s="391"/>
      <c r="C96" s="391"/>
      <c r="D96" s="391"/>
      <c r="E96" s="391"/>
      <c r="F96" s="391"/>
    </row>
    <row r="97" spans="1:6" s="1" customFormat="1">
      <c r="A97" s="391"/>
      <c r="B97" s="391"/>
      <c r="C97" s="391"/>
      <c r="D97" s="391"/>
      <c r="E97" s="391"/>
      <c r="F97" s="391"/>
    </row>
    <row r="98" spans="1:6" s="1" customFormat="1">
      <c r="A98" s="391"/>
      <c r="B98" s="391"/>
      <c r="C98" s="391"/>
      <c r="D98" s="391"/>
      <c r="E98" s="391"/>
      <c r="F98" s="391"/>
    </row>
    <row r="99" spans="1:6" s="1" customFormat="1">
      <c r="A99" s="391"/>
      <c r="B99" s="391"/>
      <c r="C99" s="391"/>
      <c r="D99" s="391"/>
      <c r="E99" s="391"/>
      <c r="F99" s="391"/>
    </row>
    <row r="100" spans="1:6" s="1" customFormat="1">
      <c r="A100" s="391"/>
      <c r="B100" s="391"/>
      <c r="C100" s="391"/>
      <c r="D100" s="391"/>
      <c r="E100" s="391"/>
      <c r="F100" s="391"/>
    </row>
    <row r="101" spans="1:6" s="1" customFormat="1">
      <c r="A101" s="391"/>
      <c r="B101" s="391"/>
      <c r="C101" s="391"/>
      <c r="D101" s="391"/>
      <c r="E101" s="391"/>
      <c r="F101" s="391"/>
    </row>
    <row r="102" spans="1:6" s="1" customFormat="1">
      <c r="A102" s="391"/>
      <c r="B102" s="391"/>
      <c r="C102" s="391"/>
      <c r="D102" s="391"/>
      <c r="E102" s="391"/>
      <c r="F102" s="391"/>
    </row>
    <row r="103" spans="1:6" s="1" customFormat="1">
      <c r="A103" s="391"/>
      <c r="B103" s="391"/>
      <c r="C103" s="391"/>
      <c r="D103" s="391"/>
      <c r="E103" s="391"/>
      <c r="F103" s="391"/>
    </row>
    <row r="104" spans="1:6" s="1" customFormat="1">
      <c r="A104" s="391"/>
      <c r="B104" s="391"/>
      <c r="C104" s="391"/>
      <c r="D104" s="391"/>
      <c r="E104" s="391"/>
      <c r="F104" s="391"/>
    </row>
    <row r="105" spans="1:6" s="1" customFormat="1">
      <c r="A105" s="391"/>
      <c r="B105" s="391"/>
      <c r="C105" s="391"/>
      <c r="D105" s="391"/>
      <c r="E105" s="391"/>
      <c r="F105" s="391"/>
    </row>
    <row r="106" spans="1:6" s="1" customFormat="1">
      <c r="A106" s="391"/>
      <c r="B106" s="391"/>
      <c r="C106" s="391"/>
      <c r="D106" s="391"/>
      <c r="E106" s="391"/>
      <c r="F106" s="391"/>
    </row>
    <row r="107" spans="1:6" s="1" customFormat="1">
      <c r="A107" s="391"/>
      <c r="B107" s="391"/>
      <c r="C107" s="391"/>
      <c r="D107" s="391"/>
      <c r="E107" s="391"/>
      <c r="F107" s="391"/>
    </row>
    <row r="108" spans="1:6" s="1" customFormat="1">
      <c r="A108" s="391"/>
      <c r="B108" s="391"/>
      <c r="C108" s="391"/>
      <c r="D108" s="391"/>
      <c r="E108" s="391"/>
      <c r="F108" s="391"/>
    </row>
    <row r="109" spans="1:6" s="1" customFormat="1">
      <c r="A109" s="391"/>
      <c r="B109" s="391"/>
      <c r="C109" s="391"/>
      <c r="D109" s="391"/>
      <c r="E109" s="391"/>
      <c r="F109" s="391"/>
    </row>
    <row r="110" spans="1:6" s="1" customFormat="1">
      <c r="A110" s="391"/>
      <c r="B110" s="391"/>
      <c r="C110" s="391"/>
      <c r="D110" s="391"/>
      <c r="E110" s="391"/>
      <c r="F110" s="391"/>
    </row>
    <row r="111" spans="1:6" s="1" customFormat="1">
      <c r="A111" s="391"/>
      <c r="B111" s="391"/>
      <c r="C111" s="391"/>
      <c r="D111" s="391"/>
      <c r="E111" s="391"/>
      <c r="F111" s="391"/>
    </row>
    <row r="112" spans="1:6" s="1" customFormat="1">
      <c r="A112" s="391"/>
      <c r="B112" s="391"/>
      <c r="C112" s="391"/>
      <c r="D112" s="391"/>
      <c r="E112" s="391"/>
      <c r="F112" s="391"/>
    </row>
    <row r="113" spans="1:6" s="1" customFormat="1">
      <c r="A113" s="391"/>
      <c r="B113" s="391"/>
      <c r="C113" s="391"/>
      <c r="D113" s="391"/>
      <c r="E113" s="391"/>
      <c r="F113" s="391"/>
    </row>
    <row r="114" spans="1:6" s="1" customFormat="1">
      <c r="A114" s="391"/>
      <c r="B114" s="391"/>
      <c r="C114" s="391"/>
      <c r="D114" s="391"/>
      <c r="E114" s="391"/>
      <c r="F114" s="391"/>
    </row>
    <row r="115" spans="1:6" s="1" customFormat="1">
      <c r="A115" s="391"/>
      <c r="B115" s="391"/>
      <c r="C115" s="391"/>
      <c r="D115" s="391"/>
      <c r="E115" s="391"/>
      <c r="F115" s="391"/>
    </row>
    <row r="116" spans="1:6" s="1" customFormat="1">
      <c r="A116" s="391"/>
      <c r="B116" s="391"/>
      <c r="C116" s="391"/>
      <c r="D116" s="391"/>
      <c r="E116" s="391"/>
      <c r="F116" s="391"/>
    </row>
    <row r="117" spans="1:6" s="1" customFormat="1">
      <c r="A117" s="391"/>
      <c r="B117" s="391"/>
      <c r="C117" s="391"/>
      <c r="D117" s="391"/>
      <c r="E117" s="391"/>
      <c r="F117" s="391"/>
    </row>
    <row r="118" spans="1:6" s="1" customFormat="1">
      <c r="A118" s="391"/>
      <c r="B118" s="391"/>
      <c r="C118" s="391"/>
      <c r="D118" s="391"/>
      <c r="E118" s="391"/>
      <c r="F118" s="391"/>
    </row>
    <row r="119" spans="1:6" s="1" customFormat="1">
      <c r="A119" s="391"/>
      <c r="B119" s="391"/>
      <c r="C119" s="391"/>
      <c r="D119" s="391"/>
      <c r="E119" s="391"/>
      <c r="F119" s="391"/>
    </row>
    <row r="120" spans="1:6" s="1" customFormat="1">
      <c r="A120" s="391"/>
      <c r="B120" s="391"/>
      <c r="C120" s="391"/>
      <c r="D120" s="391"/>
      <c r="E120" s="391"/>
      <c r="F120" s="391"/>
    </row>
    <row r="121" spans="1:6" s="1" customFormat="1">
      <c r="A121" s="391"/>
      <c r="B121" s="391"/>
      <c r="C121" s="391"/>
      <c r="D121" s="391"/>
      <c r="E121" s="391"/>
      <c r="F121" s="391"/>
    </row>
    <row r="122" spans="1:6" s="1" customFormat="1">
      <c r="A122" s="391"/>
      <c r="B122" s="391"/>
      <c r="C122" s="391"/>
      <c r="D122" s="391"/>
      <c r="E122" s="391"/>
      <c r="F122" s="391"/>
    </row>
    <row r="123" spans="1:6" s="1" customFormat="1">
      <c r="A123" s="391"/>
      <c r="B123" s="391"/>
      <c r="C123" s="391"/>
      <c r="D123" s="391"/>
      <c r="E123" s="391"/>
      <c r="F123" s="391"/>
    </row>
    <row r="124" spans="1:6" s="1" customFormat="1">
      <c r="A124" s="391"/>
      <c r="B124" s="391"/>
      <c r="C124" s="391"/>
      <c r="D124" s="391"/>
      <c r="E124" s="391"/>
      <c r="F124" s="391"/>
    </row>
    <row r="125" spans="1:6" s="1" customFormat="1">
      <c r="A125" s="391"/>
      <c r="B125" s="391"/>
      <c r="C125" s="391"/>
      <c r="D125" s="391"/>
      <c r="E125" s="391"/>
      <c r="F125" s="391"/>
    </row>
    <row r="126" spans="1:6" s="1" customFormat="1">
      <c r="A126" s="391"/>
      <c r="B126" s="391"/>
      <c r="C126" s="391"/>
      <c r="D126" s="391"/>
      <c r="E126" s="391"/>
      <c r="F126" s="391"/>
    </row>
    <row r="127" spans="1:6" s="1" customFormat="1">
      <c r="A127" s="391"/>
      <c r="B127" s="391"/>
      <c r="C127" s="391"/>
      <c r="D127" s="391"/>
      <c r="E127" s="391"/>
      <c r="F127" s="391"/>
    </row>
    <row r="128" spans="1:6" s="1" customFormat="1">
      <c r="A128" s="391"/>
      <c r="B128" s="391"/>
      <c r="C128" s="391"/>
      <c r="D128" s="391"/>
      <c r="E128" s="391"/>
      <c r="F128" s="391"/>
    </row>
    <row r="129" spans="1:6" s="1" customFormat="1">
      <c r="A129" s="391"/>
      <c r="B129" s="391"/>
      <c r="C129" s="391"/>
      <c r="D129" s="391"/>
      <c r="E129" s="391"/>
      <c r="F129" s="391"/>
    </row>
    <row r="130" spans="1:6" s="1" customFormat="1">
      <c r="A130" s="391"/>
      <c r="B130" s="391"/>
      <c r="C130" s="391"/>
      <c r="D130" s="391"/>
      <c r="E130" s="391"/>
      <c r="F130" s="391"/>
    </row>
    <row r="131" spans="1:6" s="1" customFormat="1">
      <c r="A131" s="391"/>
      <c r="B131" s="391"/>
      <c r="C131" s="391"/>
      <c r="D131" s="391"/>
      <c r="E131" s="391"/>
      <c r="F131" s="391"/>
    </row>
    <row r="132" spans="1:6" s="1" customFormat="1">
      <c r="A132" s="391"/>
      <c r="B132" s="391"/>
      <c r="C132" s="391"/>
      <c r="D132" s="391"/>
      <c r="E132" s="391"/>
      <c r="F132" s="391"/>
    </row>
    <row r="133" spans="1:6" s="1" customFormat="1">
      <c r="A133" s="391"/>
      <c r="B133" s="391"/>
      <c r="C133" s="391"/>
      <c r="D133" s="391"/>
      <c r="E133" s="391"/>
      <c r="F133" s="391"/>
    </row>
    <row r="134" spans="1:6" s="1" customFormat="1">
      <c r="A134" s="391"/>
      <c r="B134" s="391"/>
      <c r="C134" s="391"/>
      <c r="D134" s="391"/>
      <c r="E134" s="391"/>
      <c r="F134" s="391"/>
    </row>
    <row r="135" spans="1:6" s="1" customFormat="1">
      <c r="A135" s="391"/>
      <c r="B135" s="391"/>
      <c r="C135" s="391"/>
      <c r="D135" s="391"/>
      <c r="E135" s="391"/>
      <c r="F135" s="391"/>
    </row>
    <row r="136" spans="1:6" s="1" customFormat="1">
      <c r="A136" s="391"/>
      <c r="B136" s="391"/>
      <c r="C136" s="391"/>
      <c r="D136" s="391"/>
      <c r="E136" s="391"/>
      <c r="F136" s="391"/>
    </row>
    <row r="137" spans="1:6" s="1" customFormat="1">
      <c r="A137" s="391"/>
      <c r="B137" s="391"/>
      <c r="C137" s="391"/>
      <c r="D137" s="391"/>
      <c r="E137" s="391"/>
      <c r="F137" s="391"/>
    </row>
    <row r="138" spans="1:6" s="1" customFormat="1">
      <c r="A138" s="391"/>
      <c r="B138" s="391"/>
      <c r="C138" s="391"/>
      <c r="D138" s="391"/>
      <c r="E138" s="391"/>
      <c r="F138" s="391"/>
    </row>
    <row r="139" spans="1:6" s="1" customFormat="1">
      <c r="A139" s="391"/>
      <c r="B139" s="391"/>
      <c r="C139" s="391"/>
      <c r="D139" s="391"/>
      <c r="E139" s="391"/>
      <c r="F139" s="391"/>
    </row>
    <row r="140" spans="1:6" s="1" customFormat="1">
      <c r="A140" s="391"/>
      <c r="B140" s="391"/>
      <c r="C140" s="391"/>
      <c r="D140" s="391"/>
      <c r="E140" s="391"/>
      <c r="F140" s="391"/>
    </row>
    <row r="141" spans="1:6" s="1" customFormat="1">
      <c r="A141" s="391"/>
      <c r="B141" s="391"/>
      <c r="C141" s="391"/>
      <c r="D141" s="391"/>
      <c r="E141" s="391"/>
      <c r="F141" s="391"/>
    </row>
    <row r="142" spans="1:6" s="1" customFormat="1">
      <c r="A142" s="391"/>
      <c r="B142" s="391"/>
      <c r="C142" s="391"/>
      <c r="D142" s="391"/>
      <c r="E142" s="391"/>
      <c r="F142" s="391"/>
    </row>
    <row r="143" spans="1:6" s="1" customFormat="1">
      <c r="A143" s="391"/>
      <c r="B143" s="391"/>
      <c r="C143" s="391"/>
      <c r="D143" s="391"/>
      <c r="E143" s="391"/>
      <c r="F143" s="391"/>
    </row>
    <row r="144" spans="1:6" s="1" customFormat="1">
      <c r="A144" s="391"/>
      <c r="B144" s="391"/>
      <c r="C144" s="391"/>
      <c r="D144" s="391"/>
      <c r="E144" s="391"/>
      <c r="F144" s="391"/>
    </row>
    <row r="145" spans="1:6" s="1" customFormat="1">
      <c r="A145" s="391"/>
      <c r="B145" s="391"/>
      <c r="C145" s="391"/>
      <c r="D145" s="391"/>
      <c r="E145" s="391"/>
      <c r="F145" s="391"/>
    </row>
    <row r="146" spans="1:6" s="1" customFormat="1">
      <c r="A146" s="391"/>
      <c r="B146" s="391"/>
      <c r="C146" s="391"/>
      <c r="D146" s="391"/>
      <c r="E146" s="391"/>
      <c r="F146" s="391"/>
    </row>
    <row r="147" spans="1:6" s="1" customFormat="1">
      <c r="A147" s="391"/>
      <c r="B147" s="391"/>
      <c r="C147" s="391"/>
      <c r="D147" s="391"/>
      <c r="E147" s="391"/>
      <c r="F147" s="391"/>
    </row>
    <row r="148" spans="1:6" s="1" customFormat="1">
      <c r="A148" s="391"/>
      <c r="B148" s="391"/>
      <c r="C148" s="391"/>
      <c r="D148" s="391"/>
      <c r="E148" s="391"/>
      <c r="F148" s="391"/>
    </row>
    <row r="149" spans="1:6" s="1" customFormat="1">
      <c r="A149" s="391"/>
      <c r="B149" s="391"/>
      <c r="C149" s="391"/>
      <c r="D149" s="391"/>
      <c r="E149" s="391"/>
      <c r="F149" s="391"/>
    </row>
    <row r="150" spans="1:6" s="1" customFormat="1">
      <c r="A150" s="391"/>
      <c r="B150" s="391"/>
      <c r="C150" s="391"/>
      <c r="D150" s="391"/>
      <c r="E150" s="391"/>
      <c r="F150" s="391"/>
    </row>
    <row r="151" spans="1:6" s="1" customFormat="1">
      <c r="A151" s="391"/>
      <c r="B151" s="391"/>
      <c r="C151" s="391"/>
      <c r="D151" s="391"/>
      <c r="E151" s="391"/>
      <c r="F151" s="391"/>
    </row>
    <row r="152" spans="1:6" s="1" customFormat="1">
      <c r="A152" s="391"/>
      <c r="B152" s="391"/>
      <c r="C152" s="391"/>
      <c r="D152" s="391"/>
      <c r="E152" s="391"/>
      <c r="F152" s="391"/>
    </row>
    <row r="153" spans="1:6" s="1" customFormat="1">
      <c r="A153" s="391"/>
      <c r="B153" s="391"/>
      <c r="C153" s="391"/>
      <c r="D153" s="391"/>
      <c r="E153" s="391"/>
      <c r="F153" s="391"/>
    </row>
    <row r="154" spans="1:6" s="1" customFormat="1">
      <c r="A154" s="391"/>
      <c r="B154" s="391"/>
      <c r="C154" s="391"/>
      <c r="D154" s="391"/>
      <c r="E154" s="391"/>
      <c r="F154" s="391"/>
    </row>
    <row r="155" spans="1:6" s="1" customFormat="1">
      <c r="A155" s="391"/>
      <c r="B155" s="391"/>
      <c r="C155" s="391"/>
      <c r="D155" s="391"/>
      <c r="E155" s="391"/>
      <c r="F155" s="391"/>
    </row>
    <row r="156" spans="1:6" s="1" customFormat="1">
      <c r="A156" s="391"/>
      <c r="B156" s="391"/>
      <c r="C156" s="391"/>
      <c r="D156" s="391"/>
      <c r="E156" s="391"/>
      <c r="F156" s="391"/>
    </row>
    <row r="157" spans="1:6" s="1" customFormat="1">
      <c r="A157" s="391"/>
      <c r="B157" s="391"/>
      <c r="C157" s="391"/>
      <c r="D157" s="391"/>
      <c r="E157" s="391"/>
      <c r="F157" s="391"/>
    </row>
    <row r="158" spans="1:6" s="1" customFormat="1">
      <c r="A158" s="391"/>
      <c r="B158" s="391"/>
      <c r="C158" s="391"/>
      <c r="D158" s="391"/>
      <c r="E158" s="391"/>
      <c r="F158" s="391"/>
    </row>
    <row r="159" spans="1:6" s="1" customFormat="1">
      <c r="A159" s="391"/>
      <c r="B159" s="391"/>
      <c r="C159" s="391"/>
      <c r="D159" s="391"/>
      <c r="E159" s="391"/>
      <c r="F159" s="391"/>
    </row>
    <row r="160" spans="1:6" s="1" customFormat="1">
      <c r="A160" s="391"/>
      <c r="B160" s="391"/>
      <c r="C160" s="391"/>
      <c r="D160" s="391"/>
      <c r="E160" s="391"/>
      <c r="F160" s="391"/>
    </row>
    <row r="161" spans="1:6" s="1" customFormat="1">
      <c r="A161" s="391"/>
      <c r="B161" s="391"/>
      <c r="C161" s="391"/>
      <c r="D161" s="391"/>
      <c r="E161" s="391"/>
      <c r="F161" s="391"/>
    </row>
    <row r="162" spans="1:6" s="1" customFormat="1">
      <c r="A162" s="391"/>
      <c r="B162" s="391"/>
      <c r="C162" s="391"/>
      <c r="D162" s="391"/>
      <c r="E162" s="391"/>
      <c r="F162" s="391"/>
    </row>
    <row r="163" spans="1:6" s="1" customFormat="1">
      <c r="A163" s="391"/>
      <c r="B163" s="391"/>
      <c r="C163" s="391"/>
      <c r="D163" s="391"/>
      <c r="E163" s="391"/>
      <c r="F163" s="391"/>
    </row>
    <row r="164" spans="1:6" s="1" customFormat="1">
      <c r="A164" s="391"/>
      <c r="B164" s="391"/>
      <c r="C164" s="391"/>
      <c r="D164" s="391"/>
      <c r="E164" s="391"/>
      <c r="F164" s="391"/>
    </row>
    <row r="165" spans="1:6" s="1" customFormat="1">
      <c r="A165" s="391"/>
      <c r="B165" s="391"/>
      <c r="C165" s="391"/>
      <c r="D165" s="391"/>
      <c r="E165" s="391"/>
      <c r="F165" s="391"/>
    </row>
    <row r="166" spans="1:6" s="1" customFormat="1">
      <c r="A166" s="391"/>
      <c r="B166" s="391"/>
      <c r="C166" s="391"/>
      <c r="D166" s="391"/>
      <c r="E166" s="391"/>
      <c r="F166" s="391"/>
    </row>
    <row r="167" spans="1:6" s="1" customFormat="1">
      <c r="A167" s="391"/>
      <c r="B167" s="391"/>
      <c r="C167" s="391"/>
      <c r="D167" s="391"/>
      <c r="E167" s="391"/>
      <c r="F167" s="391"/>
    </row>
    <row r="168" spans="1:6" s="1" customFormat="1">
      <c r="A168" s="391"/>
      <c r="B168" s="391"/>
      <c r="C168" s="391"/>
      <c r="D168" s="391"/>
      <c r="E168" s="391"/>
      <c r="F168" s="391"/>
    </row>
    <row r="169" spans="1:6" s="1" customFormat="1">
      <c r="A169" s="391"/>
      <c r="B169" s="391"/>
      <c r="C169" s="391"/>
      <c r="D169" s="391"/>
      <c r="E169" s="391"/>
      <c r="F169" s="391"/>
    </row>
    <row r="170" spans="1:6" s="1" customFormat="1">
      <c r="A170" s="391"/>
      <c r="B170" s="391"/>
      <c r="C170" s="391"/>
      <c r="D170" s="391"/>
      <c r="E170" s="391"/>
      <c r="F170" s="391"/>
    </row>
    <row r="171" spans="1:6" s="1" customFormat="1">
      <c r="A171" s="391"/>
      <c r="B171" s="391"/>
      <c r="C171" s="391"/>
      <c r="D171" s="391"/>
      <c r="E171" s="391"/>
      <c r="F171" s="391"/>
    </row>
    <row r="172" spans="1:6" s="1" customFormat="1">
      <c r="A172" s="391"/>
      <c r="B172" s="391"/>
      <c r="C172" s="391"/>
      <c r="D172" s="391"/>
      <c r="E172" s="391"/>
      <c r="F172" s="391"/>
    </row>
    <row r="173" spans="1:6" s="1" customFormat="1">
      <c r="A173" s="391"/>
      <c r="B173" s="391"/>
      <c r="C173" s="391"/>
      <c r="D173" s="391"/>
      <c r="E173" s="391"/>
      <c r="F173" s="391"/>
    </row>
    <row r="174" spans="1:6" s="1" customFormat="1">
      <c r="A174" s="391"/>
      <c r="B174" s="391"/>
      <c r="C174" s="391"/>
      <c r="D174" s="391"/>
      <c r="E174" s="391"/>
      <c r="F174" s="391"/>
    </row>
    <row r="175" spans="1:6" s="1" customFormat="1">
      <c r="A175" s="391"/>
      <c r="B175" s="391"/>
      <c r="C175" s="391"/>
      <c r="D175" s="391"/>
      <c r="E175" s="391"/>
      <c r="F175" s="391"/>
    </row>
    <row r="176" spans="1:6" s="1" customFormat="1">
      <c r="A176" s="391"/>
      <c r="B176" s="391"/>
      <c r="C176" s="391"/>
      <c r="D176" s="391"/>
      <c r="E176" s="391"/>
      <c r="F176" s="391"/>
    </row>
    <row r="177" spans="1:6" s="1" customFormat="1">
      <c r="A177" s="391"/>
      <c r="B177" s="391"/>
      <c r="C177" s="391"/>
      <c r="D177" s="391"/>
      <c r="E177" s="391"/>
      <c r="F177" s="391"/>
    </row>
    <row r="178" spans="1:6" s="1" customFormat="1">
      <c r="A178" s="391"/>
      <c r="B178" s="391"/>
      <c r="C178" s="391"/>
      <c r="D178" s="391"/>
      <c r="E178" s="391"/>
      <c r="F178" s="391"/>
    </row>
    <row r="179" spans="1:6" s="1" customFormat="1">
      <c r="A179" s="391"/>
      <c r="B179" s="391"/>
      <c r="C179" s="391"/>
      <c r="D179" s="391"/>
      <c r="E179" s="391"/>
      <c r="F179" s="391"/>
    </row>
    <row r="180" spans="1:6" s="1" customFormat="1">
      <c r="A180" s="391"/>
      <c r="B180" s="391"/>
      <c r="C180" s="391"/>
      <c r="D180" s="391"/>
      <c r="E180" s="391"/>
      <c r="F180" s="391"/>
    </row>
    <row r="181" spans="1:6" s="1" customFormat="1">
      <c r="A181" s="391"/>
      <c r="B181" s="391"/>
      <c r="C181" s="391"/>
      <c r="D181" s="391"/>
      <c r="E181" s="391"/>
      <c r="F181" s="391"/>
    </row>
    <row r="182" spans="1:6" s="1" customFormat="1">
      <c r="A182" s="391"/>
      <c r="B182" s="391"/>
      <c r="C182" s="391"/>
      <c r="D182" s="391"/>
      <c r="E182" s="391"/>
      <c r="F182" s="391"/>
    </row>
    <row r="183" spans="1:6" s="1" customFormat="1">
      <c r="A183" s="391"/>
      <c r="B183" s="391"/>
      <c r="C183" s="391"/>
      <c r="D183" s="391"/>
      <c r="E183" s="391"/>
      <c r="F183" s="391"/>
    </row>
    <row r="184" spans="1:6" s="1" customFormat="1">
      <c r="A184" s="391"/>
      <c r="B184" s="391"/>
      <c r="C184" s="391"/>
      <c r="D184" s="391"/>
      <c r="E184" s="391"/>
      <c r="F184" s="391"/>
    </row>
    <row r="185" spans="1:6" s="1" customFormat="1">
      <c r="A185" s="391"/>
      <c r="B185" s="391"/>
      <c r="C185" s="391"/>
      <c r="D185" s="391"/>
      <c r="E185" s="391"/>
      <c r="F185" s="391"/>
    </row>
    <row r="186" spans="1:6" s="1" customFormat="1">
      <c r="A186" s="391"/>
      <c r="B186" s="391"/>
      <c r="C186" s="391"/>
      <c r="D186" s="391"/>
      <c r="E186" s="391"/>
      <c r="F186" s="391"/>
    </row>
    <row r="187" spans="1:6" s="1" customFormat="1">
      <c r="A187" s="391"/>
      <c r="B187" s="391"/>
      <c r="C187" s="391"/>
      <c r="D187" s="391"/>
      <c r="E187" s="391"/>
      <c r="F187" s="391"/>
    </row>
    <row r="188" spans="1:6" s="1" customFormat="1">
      <c r="A188" s="391"/>
      <c r="B188" s="391"/>
      <c r="C188" s="391"/>
      <c r="D188" s="391"/>
      <c r="E188" s="391"/>
      <c r="F188" s="391"/>
    </row>
    <row r="189" spans="1:6" s="1" customFormat="1">
      <c r="A189" s="391"/>
      <c r="B189" s="391"/>
      <c r="C189" s="391"/>
      <c r="D189" s="391"/>
      <c r="E189" s="391"/>
      <c r="F189" s="391"/>
    </row>
    <row r="190" spans="1:6" s="1" customFormat="1">
      <c r="A190" s="391"/>
      <c r="B190" s="391"/>
      <c r="C190" s="391"/>
      <c r="D190" s="391"/>
      <c r="E190" s="391"/>
      <c r="F190" s="391"/>
    </row>
    <row r="191" spans="1:6" s="1" customFormat="1">
      <c r="A191" s="391"/>
      <c r="B191" s="391"/>
      <c r="C191" s="391"/>
      <c r="D191" s="391"/>
      <c r="E191" s="391"/>
      <c r="F191" s="391"/>
    </row>
    <row r="192" spans="1:6" s="1" customFormat="1">
      <c r="A192" s="391"/>
      <c r="B192" s="391"/>
      <c r="C192" s="391"/>
      <c r="D192" s="391"/>
      <c r="E192" s="391"/>
      <c r="F192" s="391"/>
    </row>
    <row r="193" spans="1:6" s="1" customFormat="1">
      <c r="A193" s="391"/>
      <c r="B193" s="391"/>
      <c r="C193" s="391"/>
      <c r="D193" s="391"/>
      <c r="E193" s="391"/>
      <c r="F193" s="391"/>
    </row>
    <row r="194" spans="1:6" s="1" customFormat="1">
      <c r="A194" s="391"/>
      <c r="B194" s="391"/>
      <c r="C194" s="391"/>
      <c r="D194" s="391"/>
      <c r="E194" s="391"/>
      <c r="F194" s="391"/>
    </row>
    <row r="195" spans="1:6" s="1" customFormat="1">
      <c r="A195" s="391"/>
      <c r="B195" s="391"/>
      <c r="C195" s="391"/>
      <c r="D195" s="391"/>
      <c r="E195" s="391"/>
      <c r="F195" s="391"/>
    </row>
    <row r="196" spans="1:6" s="1" customFormat="1">
      <c r="A196" s="391"/>
      <c r="B196" s="391"/>
      <c r="C196" s="391"/>
      <c r="D196" s="391"/>
      <c r="E196" s="391"/>
      <c r="F196" s="391"/>
    </row>
    <row r="197" spans="1:6" s="1" customFormat="1">
      <c r="A197" s="391"/>
      <c r="B197" s="391"/>
      <c r="C197" s="391"/>
      <c r="D197" s="391"/>
      <c r="E197" s="391"/>
      <c r="F197" s="391"/>
    </row>
    <row r="198" spans="1:6" s="1" customFormat="1">
      <c r="A198" s="391"/>
      <c r="B198" s="391"/>
      <c r="C198" s="391"/>
      <c r="D198" s="391"/>
      <c r="E198" s="391"/>
      <c r="F198" s="391"/>
    </row>
    <row r="199" spans="1:6" s="1" customFormat="1">
      <c r="A199" s="391"/>
      <c r="B199" s="391"/>
      <c r="C199" s="391"/>
      <c r="D199" s="391"/>
      <c r="E199" s="391"/>
      <c r="F199" s="391"/>
    </row>
    <row r="200" spans="1:6" s="1" customFormat="1">
      <c r="A200" s="391"/>
      <c r="B200" s="391"/>
      <c r="C200" s="391"/>
      <c r="D200" s="391"/>
      <c r="E200" s="391"/>
      <c r="F200" s="391"/>
    </row>
    <row r="201" spans="1:6" s="1" customFormat="1">
      <c r="A201" s="391"/>
      <c r="B201" s="391"/>
      <c r="C201" s="391"/>
      <c r="D201" s="391"/>
      <c r="E201" s="391"/>
      <c r="F201" s="391"/>
    </row>
    <row r="202" spans="1:6" s="1" customFormat="1">
      <c r="A202" s="391"/>
      <c r="B202" s="391"/>
      <c r="C202" s="391"/>
      <c r="D202" s="391"/>
      <c r="E202" s="391"/>
      <c r="F202" s="391"/>
    </row>
    <row r="203" spans="1:6" s="1" customFormat="1">
      <c r="A203" s="391"/>
      <c r="B203" s="391"/>
      <c r="C203" s="391"/>
      <c r="D203" s="391"/>
      <c r="E203" s="391"/>
      <c r="F203" s="391"/>
    </row>
    <row r="204" spans="1:6" s="1" customFormat="1">
      <c r="A204" s="391"/>
      <c r="B204" s="391"/>
      <c r="C204" s="391"/>
      <c r="D204" s="391"/>
      <c r="E204" s="391"/>
      <c r="F204" s="391"/>
    </row>
    <row r="205" spans="1:6" s="1" customFormat="1">
      <c r="A205" s="391"/>
      <c r="B205" s="391"/>
      <c r="C205" s="391"/>
      <c r="D205" s="391"/>
      <c r="E205" s="391"/>
      <c r="F205" s="391"/>
    </row>
    <row r="206" spans="1:6" s="1" customFormat="1">
      <c r="A206" s="391"/>
      <c r="B206" s="391"/>
      <c r="C206" s="391"/>
      <c r="D206" s="391"/>
      <c r="E206" s="391"/>
      <c r="F206" s="391"/>
    </row>
    <row r="207" spans="1:6" s="1" customFormat="1">
      <c r="A207" s="391"/>
      <c r="B207" s="391"/>
      <c r="C207" s="391"/>
      <c r="D207" s="391"/>
      <c r="E207" s="391"/>
      <c r="F207" s="391"/>
    </row>
    <row r="208" spans="1:6" s="1" customFormat="1">
      <c r="A208" s="391"/>
      <c r="B208" s="391"/>
      <c r="C208" s="391"/>
      <c r="D208" s="391"/>
      <c r="E208" s="391"/>
      <c r="F208" s="391"/>
    </row>
    <row r="209" spans="1:6" s="1" customFormat="1">
      <c r="A209" s="391"/>
      <c r="B209" s="391"/>
      <c r="C209" s="391"/>
      <c r="D209" s="391"/>
      <c r="E209" s="391"/>
      <c r="F209" s="391"/>
    </row>
    <row r="210" spans="1:6" s="1" customFormat="1">
      <c r="A210" s="391"/>
      <c r="B210" s="391"/>
      <c r="C210" s="391"/>
      <c r="D210" s="391"/>
      <c r="E210" s="391"/>
      <c r="F210" s="391"/>
    </row>
    <row r="211" spans="1:6" s="1" customFormat="1">
      <c r="A211" s="391"/>
      <c r="B211" s="391"/>
      <c r="C211" s="391"/>
      <c r="D211" s="391"/>
      <c r="E211" s="391"/>
      <c r="F211" s="391"/>
    </row>
    <row r="212" spans="1:6" s="1" customFormat="1">
      <c r="A212" s="391"/>
      <c r="B212" s="391"/>
      <c r="C212" s="391"/>
      <c r="D212" s="391"/>
      <c r="E212" s="391"/>
      <c r="F212" s="391"/>
    </row>
    <row r="213" spans="1:6" s="1" customFormat="1">
      <c r="A213" s="391"/>
      <c r="B213" s="391"/>
      <c r="C213" s="391"/>
      <c r="D213" s="391"/>
      <c r="E213" s="391"/>
      <c r="F213" s="391"/>
    </row>
    <row r="214" spans="1:6" s="1" customFormat="1">
      <c r="A214" s="391"/>
      <c r="B214" s="391"/>
      <c r="C214" s="391"/>
      <c r="D214" s="391"/>
      <c r="E214" s="391"/>
      <c r="F214" s="391"/>
    </row>
    <row r="215" spans="1:6" s="1" customFormat="1">
      <c r="A215" s="391"/>
      <c r="B215" s="391"/>
      <c r="C215" s="391"/>
      <c r="D215" s="391"/>
      <c r="E215" s="391"/>
      <c r="F215" s="391"/>
    </row>
    <row r="216" spans="1:6" s="1" customFormat="1">
      <c r="A216" s="391"/>
      <c r="B216" s="391"/>
      <c r="C216" s="391"/>
      <c r="D216" s="391"/>
      <c r="E216" s="391"/>
      <c r="F216" s="391"/>
    </row>
    <row r="217" spans="1:6" s="1" customFormat="1">
      <c r="A217" s="391"/>
      <c r="B217" s="391"/>
      <c r="C217" s="391"/>
      <c r="D217" s="391"/>
      <c r="E217" s="391"/>
      <c r="F217" s="391"/>
    </row>
    <row r="218" spans="1:6" s="1" customFormat="1">
      <c r="A218" s="391"/>
      <c r="B218" s="391"/>
      <c r="C218" s="391"/>
      <c r="D218" s="391"/>
      <c r="E218" s="391"/>
      <c r="F218" s="391"/>
    </row>
    <row r="219" spans="1:6" s="1" customFormat="1">
      <c r="A219" s="391"/>
      <c r="B219" s="391"/>
      <c r="C219" s="391"/>
      <c r="D219" s="391"/>
      <c r="E219" s="391"/>
      <c r="F219" s="391"/>
    </row>
    <row r="220" spans="1:6" s="1" customFormat="1">
      <c r="A220" s="391"/>
      <c r="B220" s="391"/>
      <c r="C220" s="391"/>
      <c r="D220" s="391"/>
      <c r="E220" s="391"/>
      <c r="F220" s="391"/>
    </row>
    <row r="221" spans="1:6" s="1" customFormat="1">
      <c r="A221" s="391"/>
      <c r="B221" s="391"/>
      <c r="C221" s="391"/>
      <c r="D221" s="391"/>
      <c r="E221" s="391"/>
      <c r="F221" s="391"/>
    </row>
    <row r="222" spans="1:6" s="1" customFormat="1">
      <c r="A222" s="391"/>
      <c r="B222" s="391"/>
      <c r="C222" s="391"/>
      <c r="D222" s="391"/>
      <c r="E222" s="391"/>
      <c r="F222" s="391"/>
    </row>
    <row r="223" spans="1:6" s="1" customFormat="1">
      <c r="A223" s="391"/>
      <c r="B223" s="391"/>
      <c r="C223" s="391"/>
      <c r="D223" s="391"/>
      <c r="E223" s="391"/>
      <c r="F223" s="391"/>
    </row>
    <row r="224" spans="1:6" s="1" customFormat="1">
      <c r="A224" s="391"/>
      <c r="B224" s="391"/>
      <c r="C224" s="391"/>
      <c r="D224" s="391"/>
      <c r="E224" s="391"/>
      <c r="F224" s="391"/>
    </row>
    <row r="225" spans="1:6" s="1" customFormat="1">
      <c r="A225" s="391"/>
      <c r="B225" s="391"/>
      <c r="C225" s="391"/>
      <c r="D225" s="391"/>
      <c r="E225" s="391"/>
      <c r="F225" s="391"/>
    </row>
    <row r="226" spans="1:6" s="1" customFormat="1">
      <c r="A226" s="391"/>
      <c r="B226" s="391"/>
      <c r="C226" s="391"/>
      <c r="D226" s="391"/>
      <c r="E226" s="391"/>
      <c r="F226" s="391"/>
    </row>
    <row r="227" spans="1:6" s="1" customFormat="1">
      <c r="A227" s="391"/>
      <c r="B227" s="391"/>
      <c r="C227" s="391"/>
      <c r="D227" s="391"/>
      <c r="E227" s="391"/>
      <c r="F227" s="391"/>
    </row>
    <row r="228" spans="1:6" s="1" customFormat="1">
      <c r="A228" s="391"/>
      <c r="B228" s="391"/>
      <c r="C228" s="391"/>
      <c r="D228" s="391"/>
      <c r="E228" s="391"/>
      <c r="F228" s="391"/>
    </row>
    <row r="229" spans="1:6" s="1" customFormat="1">
      <c r="A229" s="391"/>
      <c r="B229" s="391"/>
      <c r="C229" s="391"/>
      <c r="D229" s="391"/>
      <c r="E229" s="391"/>
      <c r="F229" s="391"/>
    </row>
    <row r="230" spans="1:6" s="1" customFormat="1">
      <c r="A230" s="391"/>
      <c r="B230" s="391"/>
      <c r="C230" s="391"/>
      <c r="D230" s="391"/>
      <c r="E230" s="391"/>
      <c r="F230" s="391"/>
    </row>
    <row r="231" spans="1:6" s="1" customFormat="1">
      <c r="A231" s="391"/>
      <c r="B231" s="391"/>
      <c r="C231" s="391"/>
      <c r="D231" s="391"/>
      <c r="E231" s="391"/>
      <c r="F231" s="391"/>
    </row>
    <row r="232" spans="1:6" s="1" customFormat="1">
      <c r="A232" s="391"/>
      <c r="B232" s="391"/>
      <c r="C232" s="391"/>
      <c r="D232" s="391"/>
      <c r="E232" s="391"/>
      <c r="F232" s="391"/>
    </row>
    <row r="233" spans="1:6" s="1" customFormat="1">
      <c r="A233" s="391"/>
      <c r="B233" s="391"/>
      <c r="C233" s="391"/>
      <c r="D233" s="391"/>
      <c r="E233" s="391"/>
      <c r="F233" s="391"/>
    </row>
    <row r="234" spans="1:6" s="1" customFormat="1">
      <c r="A234" s="391"/>
      <c r="B234" s="391"/>
      <c r="C234" s="391"/>
      <c r="D234" s="391"/>
      <c r="E234" s="391"/>
      <c r="F234" s="391"/>
    </row>
    <row r="235" spans="1:6" s="1" customFormat="1">
      <c r="A235" s="391"/>
      <c r="B235" s="391"/>
      <c r="C235" s="391"/>
      <c r="D235" s="391"/>
      <c r="E235" s="391"/>
      <c r="F235" s="391"/>
    </row>
    <row r="236" spans="1:6" s="1" customFormat="1">
      <c r="A236" s="391"/>
      <c r="B236" s="391"/>
      <c r="C236" s="391"/>
      <c r="D236" s="391"/>
      <c r="E236" s="391"/>
      <c r="F236" s="391"/>
    </row>
    <row r="237" spans="1:6" s="1" customFormat="1">
      <c r="A237" s="391"/>
      <c r="B237" s="391"/>
      <c r="C237" s="391"/>
      <c r="D237" s="391"/>
      <c r="E237" s="391"/>
      <c r="F237" s="391"/>
    </row>
    <row r="238" spans="1:6" s="1" customFormat="1">
      <c r="A238" s="391"/>
      <c r="B238" s="391"/>
      <c r="C238" s="391"/>
      <c r="D238" s="391"/>
      <c r="E238" s="391"/>
      <c r="F238" s="391"/>
    </row>
    <row r="239" spans="1:6" s="1" customFormat="1">
      <c r="A239" s="391"/>
      <c r="B239" s="391"/>
      <c r="C239" s="391"/>
      <c r="D239" s="391"/>
      <c r="E239" s="391"/>
      <c r="F239" s="391"/>
    </row>
    <row r="240" spans="1:6" s="1" customFormat="1">
      <c r="A240" s="391"/>
      <c r="B240" s="391"/>
      <c r="C240" s="391"/>
      <c r="D240" s="391"/>
      <c r="E240" s="391"/>
      <c r="F240" s="391"/>
    </row>
    <row r="241" spans="1:6" s="1" customFormat="1">
      <c r="A241" s="391"/>
      <c r="B241" s="391"/>
      <c r="C241" s="391"/>
      <c r="D241" s="391"/>
      <c r="E241" s="391"/>
      <c r="F241" s="391"/>
    </row>
    <row r="242" spans="1:6" s="1" customFormat="1">
      <c r="A242" s="391"/>
      <c r="B242" s="391"/>
      <c r="C242" s="391"/>
      <c r="D242" s="391"/>
      <c r="E242" s="391"/>
      <c r="F242" s="391"/>
    </row>
    <row r="243" spans="1:6" s="1" customFormat="1">
      <c r="A243" s="391"/>
      <c r="B243" s="391"/>
      <c r="C243" s="391"/>
      <c r="D243" s="391"/>
      <c r="E243" s="391"/>
      <c r="F243" s="391"/>
    </row>
    <row r="244" spans="1:6" s="1" customFormat="1">
      <c r="A244" s="391"/>
      <c r="B244" s="391"/>
      <c r="C244" s="391"/>
      <c r="D244" s="391"/>
      <c r="E244" s="391"/>
      <c r="F244" s="391"/>
    </row>
    <row r="245" spans="1:6" s="1" customFormat="1">
      <c r="A245" s="391"/>
      <c r="B245" s="391"/>
      <c r="C245" s="391"/>
      <c r="D245" s="391"/>
      <c r="E245" s="391"/>
      <c r="F245" s="391"/>
    </row>
    <row r="246" spans="1:6" s="1" customFormat="1">
      <c r="A246" s="391"/>
      <c r="B246" s="391"/>
      <c r="C246" s="391"/>
      <c r="D246" s="391"/>
      <c r="E246" s="391"/>
      <c r="F246" s="391"/>
    </row>
    <row r="247" spans="1:6" s="1" customFormat="1">
      <c r="A247" s="391"/>
      <c r="B247" s="391"/>
      <c r="C247" s="391"/>
      <c r="D247" s="391"/>
      <c r="E247" s="391"/>
      <c r="F247" s="391"/>
    </row>
    <row r="248" spans="1:6" s="1" customFormat="1">
      <c r="A248" s="391"/>
      <c r="B248" s="391"/>
      <c r="C248" s="391"/>
      <c r="D248" s="391"/>
      <c r="E248" s="391"/>
      <c r="F248" s="391"/>
    </row>
    <row r="249" spans="1:6" s="1" customFormat="1">
      <c r="A249" s="391"/>
      <c r="B249" s="391"/>
      <c r="C249" s="391"/>
      <c r="D249" s="391"/>
      <c r="E249" s="391"/>
      <c r="F249" s="391"/>
    </row>
    <row r="250" spans="1:6" s="1" customFormat="1">
      <c r="A250" s="391"/>
      <c r="B250" s="391"/>
      <c r="C250" s="391"/>
      <c r="D250" s="391"/>
      <c r="E250" s="391"/>
      <c r="F250" s="391"/>
    </row>
    <row r="251" spans="1:6" s="1" customFormat="1">
      <c r="A251" s="391"/>
      <c r="B251" s="391"/>
      <c r="C251" s="391"/>
      <c r="D251" s="391"/>
      <c r="E251" s="391"/>
      <c r="F251" s="391"/>
    </row>
    <row r="252" spans="1:6" s="1" customFormat="1">
      <c r="A252" s="391"/>
      <c r="B252" s="391"/>
      <c r="C252" s="391"/>
      <c r="D252" s="391"/>
      <c r="E252" s="391"/>
      <c r="F252" s="391"/>
    </row>
    <row r="253" spans="1:6" s="1" customFormat="1">
      <c r="A253" s="391"/>
      <c r="B253" s="391"/>
      <c r="C253" s="391"/>
      <c r="D253" s="391"/>
      <c r="E253" s="391"/>
      <c r="F253" s="391"/>
    </row>
    <row r="254" spans="1:6" s="1" customFormat="1">
      <c r="A254" s="391"/>
      <c r="B254" s="391"/>
      <c r="C254" s="391"/>
      <c r="D254" s="391"/>
      <c r="E254" s="391"/>
      <c r="F254" s="391"/>
    </row>
    <row r="255" spans="1:6" s="1" customFormat="1">
      <c r="A255" s="391"/>
      <c r="B255" s="391"/>
      <c r="C255" s="391"/>
      <c r="D255" s="391"/>
      <c r="E255" s="391"/>
      <c r="F255" s="391"/>
    </row>
    <row r="256" spans="1:6" s="1" customFormat="1">
      <c r="A256" s="391"/>
      <c r="B256" s="391"/>
      <c r="C256" s="391"/>
      <c r="D256" s="391"/>
      <c r="E256" s="391"/>
      <c r="F256" s="391"/>
    </row>
    <row r="257" spans="1:6" s="1" customFormat="1">
      <c r="A257" s="391"/>
      <c r="B257" s="391"/>
      <c r="C257" s="391"/>
      <c r="D257" s="391"/>
      <c r="E257" s="391"/>
      <c r="F257" s="391"/>
    </row>
    <row r="258" spans="1:6" s="1" customFormat="1">
      <c r="A258" s="391"/>
      <c r="B258" s="391"/>
      <c r="C258" s="391"/>
      <c r="D258" s="391"/>
      <c r="E258" s="391"/>
      <c r="F258" s="391"/>
    </row>
    <row r="259" spans="1:6" s="1" customFormat="1">
      <c r="A259" s="391"/>
      <c r="B259" s="391"/>
      <c r="C259" s="391"/>
      <c r="D259" s="391"/>
      <c r="E259" s="391"/>
      <c r="F259" s="391"/>
    </row>
    <row r="260" spans="1:6" s="1" customFormat="1">
      <c r="A260" s="391"/>
      <c r="B260" s="391"/>
      <c r="C260" s="391"/>
      <c r="D260" s="391"/>
      <c r="E260" s="391"/>
      <c r="F260" s="391"/>
    </row>
    <row r="261" spans="1:6" s="1" customFormat="1">
      <c r="A261" s="391"/>
      <c r="B261" s="391"/>
      <c r="C261" s="391"/>
      <c r="D261" s="391"/>
      <c r="E261" s="391"/>
      <c r="F261" s="391"/>
    </row>
    <row r="262" spans="1:6" s="1" customFormat="1">
      <c r="A262" s="391"/>
      <c r="B262" s="391"/>
      <c r="C262" s="391"/>
      <c r="D262" s="391"/>
      <c r="E262" s="391"/>
      <c r="F262" s="391"/>
    </row>
    <row r="263" spans="1:6" s="1" customFormat="1">
      <c r="A263" s="391"/>
      <c r="B263" s="391"/>
      <c r="C263" s="391"/>
      <c r="D263" s="391"/>
      <c r="E263" s="391"/>
      <c r="F263" s="391"/>
    </row>
    <row r="264" spans="1:6" s="1" customFormat="1">
      <c r="A264" s="391"/>
      <c r="B264" s="391"/>
      <c r="C264" s="391"/>
      <c r="D264" s="391"/>
      <c r="E264" s="391"/>
      <c r="F264" s="391"/>
    </row>
    <row r="265" spans="1:6" s="1" customFormat="1">
      <c r="A265" s="391"/>
      <c r="B265" s="391"/>
      <c r="C265" s="391"/>
      <c r="D265" s="391"/>
      <c r="E265" s="391"/>
      <c r="F265" s="391"/>
    </row>
    <row r="266" spans="1:6" s="1" customFormat="1">
      <c r="A266" s="391"/>
      <c r="B266" s="391"/>
      <c r="C266" s="391"/>
      <c r="D266" s="391"/>
      <c r="E266" s="391"/>
      <c r="F266" s="391"/>
    </row>
    <row r="267" spans="1:6" s="1" customFormat="1">
      <c r="A267" s="391"/>
      <c r="B267" s="391"/>
      <c r="C267" s="391"/>
      <c r="D267" s="391"/>
      <c r="E267" s="391"/>
      <c r="F267" s="391"/>
    </row>
    <row r="268" spans="1:6" s="1" customFormat="1">
      <c r="A268" s="391"/>
      <c r="B268" s="391"/>
      <c r="C268" s="391"/>
      <c r="D268" s="391"/>
      <c r="E268" s="391"/>
      <c r="F268" s="391"/>
    </row>
    <row r="269" spans="1:6" s="1" customFormat="1">
      <c r="A269" s="391"/>
      <c r="B269" s="391"/>
      <c r="C269" s="391"/>
      <c r="D269" s="391"/>
      <c r="E269" s="391"/>
      <c r="F269" s="391"/>
    </row>
    <row r="270" spans="1:6" s="1" customFormat="1">
      <c r="A270" s="391"/>
      <c r="B270" s="391"/>
      <c r="C270" s="391"/>
      <c r="D270" s="391"/>
      <c r="E270" s="391"/>
      <c r="F270" s="391"/>
    </row>
    <row r="271" spans="1:6" s="1" customFormat="1">
      <c r="A271" s="391"/>
      <c r="B271" s="391"/>
      <c r="C271" s="391"/>
      <c r="D271" s="391"/>
      <c r="E271" s="391"/>
      <c r="F271" s="391"/>
    </row>
    <row r="272" spans="1:6" s="1" customFormat="1">
      <c r="A272" s="391"/>
      <c r="B272" s="391"/>
      <c r="C272" s="391"/>
      <c r="D272" s="391"/>
      <c r="E272" s="391"/>
      <c r="F272" s="391"/>
    </row>
    <row r="273" spans="1:6" s="1" customFormat="1">
      <c r="A273" s="391"/>
      <c r="B273" s="391"/>
      <c r="C273" s="391"/>
      <c r="D273" s="391"/>
      <c r="E273" s="391"/>
      <c r="F273" s="391"/>
    </row>
    <row r="274" spans="1:6" s="1" customFormat="1">
      <c r="A274" s="391"/>
      <c r="B274" s="391"/>
      <c r="C274" s="391"/>
      <c r="D274" s="391"/>
      <c r="E274" s="391"/>
      <c r="F274" s="391"/>
    </row>
    <row r="275" spans="1:6" s="1" customFormat="1">
      <c r="A275" s="391"/>
      <c r="B275" s="391"/>
      <c r="C275" s="391"/>
      <c r="D275" s="391"/>
      <c r="E275" s="391"/>
      <c r="F275" s="391"/>
    </row>
    <row r="276" spans="1:6" s="1" customFormat="1">
      <c r="A276" s="391"/>
      <c r="B276" s="391"/>
      <c r="C276" s="391"/>
      <c r="D276" s="391"/>
      <c r="E276" s="391"/>
      <c r="F276" s="391"/>
    </row>
    <row r="277" spans="1:6" s="1" customFormat="1">
      <c r="A277" s="391"/>
      <c r="B277" s="391"/>
      <c r="C277" s="391"/>
      <c r="D277" s="391"/>
      <c r="E277" s="391"/>
      <c r="F277" s="391"/>
    </row>
    <row r="278" spans="1:6" s="1" customFormat="1">
      <c r="A278" s="391"/>
      <c r="B278" s="391"/>
      <c r="C278" s="391"/>
      <c r="D278" s="391"/>
      <c r="E278" s="391"/>
      <c r="F278" s="391"/>
    </row>
    <row r="279" spans="1:6" s="1" customFormat="1">
      <c r="A279" s="391"/>
      <c r="B279" s="391"/>
      <c r="C279" s="391"/>
      <c r="D279" s="391"/>
      <c r="E279" s="391"/>
      <c r="F279" s="391"/>
    </row>
    <row r="280" spans="1:6" s="1" customFormat="1">
      <c r="A280" s="391"/>
      <c r="B280" s="391"/>
      <c r="C280" s="391"/>
      <c r="D280" s="391"/>
      <c r="E280" s="391"/>
      <c r="F280" s="391"/>
    </row>
    <row r="281" spans="1:6" s="1" customFormat="1">
      <c r="A281" s="391"/>
      <c r="B281" s="391"/>
      <c r="C281" s="391"/>
      <c r="D281" s="391"/>
      <c r="E281" s="391"/>
      <c r="F281" s="391"/>
    </row>
    <row r="282" spans="1:6" s="1" customFormat="1">
      <c r="A282" s="391"/>
      <c r="B282" s="391"/>
      <c r="C282" s="391"/>
      <c r="D282" s="391"/>
      <c r="E282" s="391"/>
      <c r="F282" s="391"/>
    </row>
    <row r="283" spans="1:6" s="1" customFormat="1">
      <c r="A283" s="391"/>
      <c r="B283" s="391"/>
      <c r="C283" s="391"/>
      <c r="D283" s="391"/>
      <c r="E283" s="391"/>
      <c r="F283" s="391"/>
    </row>
    <row r="284" spans="1:6" s="1" customFormat="1">
      <c r="A284" s="391"/>
      <c r="B284" s="391"/>
      <c r="C284" s="391"/>
      <c r="D284" s="391"/>
      <c r="E284" s="391"/>
      <c r="F284" s="391"/>
    </row>
    <row r="285" spans="1:6" s="1" customFormat="1">
      <c r="A285" s="391"/>
      <c r="B285" s="391"/>
      <c r="C285" s="391"/>
      <c r="D285" s="391"/>
      <c r="E285" s="391"/>
      <c r="F285" s="391"/>
    </row>
    <row r="286" spans="1:6" s="1" customFormat="1">
      <c r="A286" s="391"/>
      <c r="B286" s="391"/>
      <c r="C286" s="391"/>
      <c r="D286" s="391"/>
      <c r="E286" s="391"/>
      <c r="F286" s="391"/>
    </row>
    <row r="287" spans="1:6" s="1" customFormat="1">
      <c r="A287" s="391"/>
      <c r="B287" s="391"/>
      <c r="C287" s="391"/>
      <c r="D287" s="391"/>
      <c r="E287" s="391"/>
      <c r="F287" s="391"/>
    </row>
    <row r="288" spans="1:6" s="1" customFormat="1">
      <c r="A288" s="391"/>
      <c r="B288" s="391"/>
      <c r="C288" s="391"/>
      <c r="D288" s="391"/>
      <c r="E288" s="391"/>
      <c r="F288" s="391"/>
    </row>
    <row r="289" spans="1:6" s="1" customFormat="1">
      <c r="A289" s="391"/>
      <c r="B289" s="391"/>
      <c r="C289" s="391"/>
      <c r="D289" s="391"/>
      <c r="E289" s="391"/>
      <c r="F289" s="391"/>
    </row>
    <row r="290" spans="1:6" s="1" customFormat="1">
      <c r="A290" s="391"/>
      <c r="B290" s="391"/>
      <c r="C290" s="391"/>
      <c r="D290" s="391"/>
      <c r="E290" s="391"/>
      <c r="F290" s="391"/>
    </row>
    <row r="291" spans="1:6" s="1" customFormat="1">
      <c r="A291" s="391"/>
      <c r="B291" s="391"/>
      <c r="C291" s="391"/>
      <c r="D291" s="391"/>
      <c r="E291" s="391"/>
      <c r="F291" s="391"/>
    </row>
    <row r="292" spans="1:6" s="1" customFormat="1">
      <c r="A292" s="391"/>
      <c r="B292" s="391"/>
      <c r="C292" s="391"/>
      <c r="D292" s="391"/>
      <c r="E292" s="391"/>
      <c r="F292" s="391"/>
    </row>
    <row r="293" spans="1:6" s="1" customFormat="1">
      <c r="A293" s="391"/>
      <c r="B293" s="391"/>
      <c r="C293" s="391"/>
      <c r="D293" s="391"/>
      <c r="E293" s="391"/>
      <c r="F293" s="391"/>
    </row>
    <row r="294" spans="1:6" s="1" customFormat="1">
      <c r="A294" s="391"/>
      <c r="B294" s="391"/>
      <c r="C294" s="391"/>
      <c r="D294" s="391"/>
      <c r="E294" s="391"/>
      <c r="F294" s="391"/>
    </row>
    <row r="295" spans="1:6" s="1" customFormat="1">
      <c r="A295" s="391"/>
      <c r="B295" s="391"/>
      <c r="C295" s="391"/>
      <c r="D295" s="391"/>
      <c r="E295" s="391"/>
      <c r="F295" s="391"/>
    </row>
    <row r="296" spans="1:6" s="1" customFormat="1">
      <c r="A296" s="391"/>
      <c r="B296" s="391"/>
      <c r="C296" s="391"/>
      <c r="D296" s="391"/>
      <c r="E296" s="391"/>
      <c r="F296" s="391"/>
    </row>
    <row r="297" spans="1:6" s="1" customFormat="1">
      <c r="A297" s="391"/>
      <c r="B297" s="391"/>
      <c r="C297" s="391"/>
      <c r="D297" s="391"/>
      <c r="E297" s="391"/>
      <c r="F297" s="391"/>
    </row>
    <row r="298" spans="1:6" s="1" customFormat="1">
      <c r="A298" s="391"/>
      <c r="B298" s="391"/>
      <c r="C298" s="391"/>
      <c r="D298" s="391"/>
      <c r="E298" s="391"/>
      <c r="F298" s="391"/>
    </row>
    <row r="299" spans="1:6" s="1" customFormat="1">
      <c r="A299" s="391"/>
      <c r="B299" s="391"/>
      <c r="C299" s="391"/>
      <c r="D299" s="391"/>
      <c r="E299" s="391"/>
      <c r="F299" s="391"/>
    </row>
    <row r="300" spans="1:6" s="1" customFormat="1">
      <c r="A300" s="391"/>
      <c r="B300" s="391"/>
      <c r="C300" s="391"/>
      <c r="D300" s="391"/>
      <c r="E300" s="391"/>
      <c r="F300" s="391"/>
    </row>
    <row r="301" spans="1:6" s="1" customFormat="1">
      <c r="A301" s="391"/>
      <c r="B301" s="391"/>
      <c r="C301" s="391"/>
      <c r="D301" s="391"/>
      <c r="E301" s="391"/>
      <c r="F301" s="391"/>
    </row>
    <row r="302" spans="1:6" s="1" customFormat="1">
      <c r="A302" s="391"/>
      <c r="B302" s="391"/>
      <c r="C302" s="391"/>
      <c r="D302" s="391"/>
      <c r="E302" s="391"/>
      <c r="F302" s="391"/>
    </row>
    <row r="303" spans="1:6" s="1" customFormat="1">
      <c r="A303" s="391"/>
      <c r="B303" s="391"/>
      <c r="C303" s="391"/>
      <c r="D303" s="391"/>
      <c r="E303" s="391"/>
      <c r="F303" s="391"/>
    </row>
    <row r="304" spans="1:6" s="1" customFormat="1">
      <c r="A304" s="391"/>
      <c r="B304" s="391"/>
      <c r="C304" s="391"/>
      <c r="D304" s="391"/>
      <c r="E304" s="391"/>
      <c r="F304" s="391"/>
    </row>
    <row r="305" spans="1:6" s="1" customFormat="1">
      <c r="A305" s="391"/>
      <c r="B305" s="391"/>
      <c r="C305" s="391"/>
      <c r="D305" s="391"/>
      <c r="E305" s="391"/>
      <c r="F305" s="391"/>
    </row>
    <row r="306" spans="1:6" s="1" customFormat="1">
      <c r="A306" s="391"/>
      <c r="B306" s="391"/>
      <c r="C306" s="391"/>
      <c r="D306" s="391"/>
      <c r="E306" s="391"/>
      <c r="F306" s="391"/>
    </row>
    <row r="307" spans="1:6" s="1" customFormat="1">
      <c r="A307" s="391"/>
      <c r="B307" s="391"/>
      <c r="C307" s="391"/>
      <c r="D307" s="391"/>
      <c r="E307" s="391"/>
      <c r="F307" s="391"/>
    </row>
    <row r="308" spans="1:6" s="1" customFormat="1">
      <c r="A308" s="391"/>
      <c r="B308" s="391"/>
      <c r="C308" s="391"/>
      <c r="D308" s="391"/>
      <c r="E308" s="391"/>
      <c r="F308" s="391"/>
    </row>
    <row r="309" spans="1:6" s="1" customFormat="1">
      <c r="A309" s="391"/>
      <c r="B309" s="391"/>
      <c r="C309" s="391"/>
      <c r="D309" s="391"/>
      <c r="E309" s="391"/>
      <c r="F309" s="391"/>
    </row>
    <row r="310" spans="1:6" s="1" customFormat="1">
      <c r="A310" s="391"/>
      <c r="B310" s="391"/>
      <c r="C310" s="391"/>
      <c r="D310" s="391"/>
      <c r="E310" s="391"/>
      <c r="F310" s="391"/>
    </row>
    <row r="311" spans="1:6" s="1" customFormat="1">
      <c r="A311" s="391"/>
      <c r="B311" s="391"/>
      <c r="C311" s="391"/>
      <c r="D311" s="391"/>
      <c r="E311" s="391"/>
      <c r="F311" s="391"/>
    </row>
    <row r="312" spans="1:6" s="1" customFormat="1">
      <c r="A312" s="391"/>
      <c r="B312" s="391"/>
      <c r="C312" s="391"/>
      <c r="D312" s="391"/>
      <c r="E312" s="391"/>
      <c r="F312" s="391"/>
    </row>
    <row r="313" spans="1:6" s="1" customFormat="1">
      <c r="A313" s="391"/>
      <c r="B313" s="391"/>
      <c r="C313" s="391"/>
      <c r="D313" s="391"/>
      <c r="E313" s="391"/>
      <c r="F313" s="391"/>
    </row>
    <row r="314" spans="1:6" s="1" customFormat="1">
      <c r="A314" s="391"/>
      <c r="B314" s="391"/>
      <c r="C314" s="391"/>
      <c r="D314" s="391"/>
      <c r="E314" s="391"/>
      <c r="F314" s="391"/>
    </row>
    <row r="315" spans="1:6" s="1" customFormat="1">
      <c r="A315" s="391"/>
      <c r="B315" s="391"/>
      <c r="C315" s="391"/>
      <c r="D315" s="391"/>
      <c r="E315" s="391"/>
      <c r="F315" s="391"/>
    </row>
    <row r="316" spans="1:6" s="1" customFormat="1">
      <c r="A316" s="391"/>
      <c r="B316" s="391"/>
      <c r="C316" s="391"/>
      <c r="D316" s="391"/>
      <c r="E316" s="391"/>
      <c r="F316" s="391"/>
    </row>
    <row r="317" spans="1:6" s="1" customFormat="1">
      <c r="A317" s="391"/>
      <c r="B317" s="391"/>
      <c r="C317" s="391"/>
      <c r="D317" s="391"/>
      <c r="E317" s="391"/>
      <c r="F317" s="391"/>
    </row>
    <row r="318" spans="1:6" s="1" customFormat="1">
      <c r="A318" s="391"/>
      <c r="B318" s="391"/>
      <c r="C318" s="391"/>
      <c r="D318" s="391"/>
      <c r="E318" s="391"/>
      <c r="F318" s="391"/>
    </row>
  </sheetData>
  <sortState xmlns:xlrd2="http://schemas.microsoft.com/office/spreadsheetml/2017/richdata2" ref="A31:E34">
    <sortCondition ref="A31"/>
  </sortState>
  <mergeCells count="2">
    <mergeCell ref="B1:F1"/>
    <mergeCell ref="A1:A2"/>
  </mergeCells>
  <pageMargins left="0.511811024" right="0.511811024" top="0.78740157499999996" bottom="0.78740157499999996" header="0.31496062000000002" footer="0.31496062000000002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FF00"/>
  </sheetPr>
  <dimension ref="A1:AR240"/>
  <sheetViews>
    <sheetView workbookViewId="0"/>
  </sheetViews>
  <sheetFormatPr defaultColWidth="8.85546875" defaultRowHeight="15"/>
  <cols>
    <col min="1" max="1" width="23" style="358" customWidth="1"/>
    <col min="2" max="5" width="11.140625" style="395" bestFit="1" customWidth="1"/>
    <col min="6" max="44" width="8.85546875" style="1"/>
  </cols>
  <sheetData>
    <row r="1" spans="1:6">
      <c r="A1" s="1040" t="s">
        <v>44</v>
      </c>
      <c r="B1" s="1042" t="s">
        <v>45</v>
      </c>
      <c r="C1" s="1043"/>
      <c r="D1" s="1043"/>
      <c r="E1" s="1043"/>
      <c r="F1" s="1044"/>
    </row>
    <row r="2" spans="1:6" ht="15.75" thickBot="1">
      <c r="A2" s="1041"/>
      <c r="B2" s="602">
        <v>2004</v>
      </c>
      <c r="C2" s="599">
        <v>2005</v>
      </c>
      <c r="D2" s="599">
        <v>2006</v>
      </c>
      <c r="E2" s="599">
        <v>2007</v>
      </c>
      <c r="F2" s="603">
        <v>2008</v>
      </c>
    </row>
    <row r="3" spans="1:6" ht="15.75" thickBot="1">
      <c r="A3" s="593" t="s">
        <v>11</v>
      </c>
      <c r="B3" s="604">
        <f>100000*MOR!AZ3/POP!B3</f>
        <v>19.335595332686847</v>
      </c>
      <c r="C3" s="600">
        <f>100000*MOR!BA3/POP!C3</f>
        <v>22.135631116514574</v>
      </c>
      <c r="D3" s="600" t="e">
        <f>100000*MOR!BB3/POP!D3</f>
        <v>#DIV/0!</v>
      </c>
      <c r="E3" s="600" t="e">
        <f>100000*MOR!BC3/POP!E3</f>
        <v>#DIV/0!</v>
      </c>
      <c r="F3" s="605" t="e">
        <f>100000*MOR!BD3/POP!F3</f>
        <v>#DIV/0!</v>
      </c>
    </row>
    <row r="4" spans="1:6" ht="15.75" thickBot="1">
      <c r="A4" s="594" t="s">
        <v>46</v>
      </c>
      <c r="B4" s="604">
        <f>100000*MOR!AZ4/POP!B4</f>
        <v>17.350661424792044</v>
      </c>
      <c r="C4" s="600">
        <f>100000*MOR!BA4/POP!C4</f>
        <v>21.002928937863224</v>
      </c>
      <c r="D4" s="600" t="e">
        <f>100000*MOR!BB4/POP!D4</f>
        <v>#DIV/0!</v>
      </c>
      <c r="E4" s="600" t="e">
        <f>100000*MOR!BC4/POP!E4</f>
        <v>#DIV/0!</v>
      </c>
      <c r="F4" s="605" t="e">
        <f>100000*MOR!BD4/POP!F4</f>
        <v>#DIV/0!</v>
      </c>
    </row>
    <row r="5" spans="1:6">
      <c r="A5" s="595" t="s">
        <v>47</v>
      </c>
      <c r="B5" s="606">
        <f>100000*MOR!AZ5/POP!B5</f>
        <v>17.217207368964754</v>
      </c>
      <c r="C5" s="601">
        <f>100000*MOR!BA5/POP!C5</f>
        <v>18.812392731872965</v>
      </c>
      <c r="D5" s="601" t="e">
        <f>100000*MOR!BB5/POP!D5</f>
        <v>#DIV/0!</v>
      </c>
      <c r="E5" s="601" t="e">
        <f>100000*MOR!BC5/POP!E5</f>
        <v>#DIV/0!</v>
      </c>
      <c r="F5" s="609" t="e">
        <f>100000*MOR!BD5/POP!F5</f>
        <v>#DIV/0!</v>
      </c>
    </row>
    <row r="6" spans="1:6">
      <c r="A6" s="596" t="s">
        <v>48</v>
      </c>
      <c r="B6" s="606">
        <f>100000*MOR!AZ6/POP!B6</f>
        <v>17.07609394724285</v>
      </c>
      <c r="C6" s="601">
        <f>100000*MOR!BA6/POP!C6</f>
        <v>18.072487102816023</v>
      </c>
      <c r="D6" s="601" t="e">
        <f>100000*MOR!BB6/POP!D6</f>
        <v>#DIV/0!</v>
      </c>
      <c r="E6" s="601" t="e">
        <f>100000*MOR!BC6/POP!E6</f>
        <v>#DIV/0!</v>
      </c>
      <c r="F6" s="609" t="e">
        <f>100000*MOR!BD6/POP!F6</f>
        <v>#DIV/0!</v>
      </c>
    </row>
    <row r="7" spans="1:6">
      <c r="A7" s="596" t="s">
        <v>49</v>
      </c>
      <c r="B7" s="606">
        <f>100000*MOR!AZ7/POP!B7</f>
        <v>10.75631004931105</v>
      </c>
      <c r="C7" s="601">
        <f>100000*MOR!BA7/POP!C7</f>
        <v>13.40419089060372</v>
      </c>
      <c r="D7" s="601" t="e">
        <f>100000*MOR!BB7/POP!D7</f>
        <v>#DIV/0!</v>
      </c>
      <c r="E7" s="601" t="e">
        <f>100000*MOR!BC7/POP!E7</f>
        <v>#DIV/0!</v>
      </c>
      <c r="F7" s="609" t="e">
        <f>100000*MOR!BD7/POP!F7</f>
        <v>#DIV/0!</v>
      </c>
    </row>
    <row r="8" spans="1:6">
      <c r="A8" s="596" t="s">
        <v>50</v>
      </c>
      <c r="B8" s="606">
        <f>100000*MOR!AZ8/POP!B8</f>
        <v>13.59163541151233</v>
      </c>
      <c r="C8" s="601">
        <f>100000*MOR!BA8/POP!C8</f>
        <v>17.688840241280531</v>
      </c>
      <c r="D8" s="601" t="e">
        <f>100000*MOR!BB8/POP!D8</f>
        <v>#DIV/0!</v>
      </c>
      <c r="E8" s="601" t="e">
        <f>100000*MOR!BC8/POP!E8</f>
        <v>#DIV/0!</v>
      </c>
      <c r="F8" s="609" t="e">
        <f>100000*MOR!BD8/POP!F8</f>
        <v>#DIV/0!</v>
      </c>
    </row>
    <row r="9" spans="1:6">
      <c r="A9" s="596" t="s">
        <v>51</v>
      </c>
      <c r="B9" s="606">
        <f>100000*MOR!AZ9/POP!B9</f>
        <v>32.448728681417983</v>
      </c>
      <c r="C9" s="601">
        <f>100000*MOR!BA9/POP!C9</f>
        <v>38.210225363525169</v>
      </c>
      <c r="D9" s="601" t="e">
        <f>100000*MOR!BB9/POP!D9</f>
        <v>#DIV/0!</v>
      </c>
      <c r="E9" s="601" t="e">
        <f>100000*MOR!BC9/POP!E9</f>
        <v>#DIV/0!</v>
      </c>
      <c r="F9" s="609" t="e">
        <f>100000*MOR!BD9/POP!F9</f>
        <v>#DIV/0!</v>
      </c>
    </row>
    <row r="10" spans="1:6">
      <c r="A10" s="596" t="s">
        <v>52</v>
      </c>
      <c r="B10" s="606">
        <f>100000*MOR!AZ10/POP!B10</f>
        <v>29.893451198940916</v>
      </c>
      <c r="C10" s="601">
        <f>100000*MOR!BA10/POP!C10</f>
        <v>32.187959927099818</v>
      </c>
      <c r="D10" s="601" t="e">
        <f>100000*MOR!BB10/POP!D10</f>
        <v>#DIV/0!</v>
      </c>
      <c r="E10" s="601" t="e">
        <f>100000*MOR!BC10/POP!E10</f>
        <v>#DIV/0!</v>
      </c>
      <c r="F10" s="609" t="e">
        <f>100000*MOR!BD10/POP!F10</f>
        <v>#DIV/0!</v>
      </c>
    </row>
    <row r="11" spans="1:6" ht="15.75" thickBot="1">
      <c r="A11" s="597" t="s">
        <v>53</v>
      </c>
      <c r="B11" s="606">
        <f>100000*MOR!AZ11/POP!B11</f>
        <v>34.828023091753266</v>
      </c>
      <c r="C11" s="601">
        <f>100000*MOR!BA11/POP!C11</f>
        <v>37.804177253161491</v>
      </c>
      <c r="D11" s="601" t="e">
        <f>100000*MOR!BB11/POP!D11</f>
        <v>#DIV/0!</v>
      </c>
      <c r="E11" s="601" t="e">
        <f>100000*MOR!BC11/POP!E11</f>
        <v>#DIV/0!</v>
      </c>
      <c r="F11" s="609" t="e">
        <f>100000*MOR!BD11/POP!F11</f>
        <v>#DIV/0!</v>
      </c>
    </row>
    <row r="12" spans="1:6" ht="15.75" thickBot="1">
      <c r="A12" s="594" t="s">
        <v>54</v>
      </c>
      <c r="B12" s="604">
        <f>100000*MOR!AZ12/POP!B12</f>
        <v>17.849912538973911</v>
      </c>
      <c r="C12" s="600">
        <f>100000*MOR!BA12/POP!C12</f>
        <v>22.158191249567885</v>
      </c>
      <c r="D12" s="600" t="e">
        <f>100000*MOR!BB12/POP!D12</f>
        <v>#DIV/0!</v>
      </c>
      <c r="E12" s="600" t="e">
        <f>100000*MOR!BC12/POP!E12</f>
        <v>#DIV/0!</v>
      </c>
      <c r="F12" s="605" t="e">
        <f>100000*MOR!BD12/POP!F12</f>
        <v>#DIV/0!</v>
      </c>
    </row>
    <row r="13" spans="1:6">
      <c r="A13" s="595" t="s">
        <v>55</v>
      </c>
      <c r="B13" s="606">
        <f>100000*MOR!AZ13/POP!B13</f>
        <v>20.880193631319148</v>
      </c>
      <c r="C13" s="601">
        <f>100000*MOR!BA13/POP!C13</f>
        <v>25.092180917508575</v>
      </c>
      <c r="D13" s="601" t="e">
        <f>100000*MOR!BB13/POP!D13</f>
        <v>#DIV/0!</v>
      </c>
      <c r="E13" s="601" t="e">
        <f>100000*MOR!BC13/POP!E13</f>
        <v>#DIV/0!</v>
      </c>
      <c r="F13" s="609" t="e">
        <f>100000*MOR!BD13/POP!F13</f>
        <v>#DIV/0!</v>
      </c>
    </row>
    <row r="14" spans="1:6">
      <c r="A14" s="596" t="s">
        <v>56</v>
      </c>
      <c r="B14" s="606">
        <f>100000*MOR!AZ14/POP!B14</f>
        <v>12.508966695132365</v>
      </c>
      <c r="C14" s="601">
        <f>100000*MOR!BA14/POP!C14</f>
        <v>18.556163535661863</v>
      </c>
      <c r="D14" s="601" t="e">
        <f>100000*MOR!BB14/POP!D14</f>
        <v>#DIV/0!</v>
      </c>
      <c r="E14" s="601" t="e">
        <f>100000*MOR!BC14/POP!E14</f>
        <v>#DIV/0!</v>
      </c>
      <c r="F14" s="609" t="e">
        <f>100000*MOR!BD14/POP!F14</f>
        <v>#DIV/0!</v>
      </c>
    </row>
    <row r="15" spans="1:6">
      <c r="A15" s="596" t="s">
        <v>57</v>
      </c>
      <c r="B15" s="606">
        <f>100000*MOR!AZ15/POP!B15</f>
        <v>17.723962446257786</v>
      </c>
      <c r="C15" s="601">
        <f>100000*MOR!BA15/POP!C15</f>
        <v>23.839436485411625</v>
      </c>
      <c r="D15" s="601" t="e">
        <f>100000*MOR!BB15/POP!D15</f>
        <v>#DIV/0!</v>
      </c>
      <c r="E15" s="601" t="e">
        <f>100000*MOR!BC15/POP!E15</f>
        <v>#DIV/0!</v>
      </c>
      <c r="F15" s="609" t="e">
        <f>100000*MOR!BD15/POP!F15</f>
        <v>#DIV/0!</v>
      </c>
    </row>
    <row r="16" spans="1:6">
      <c r="A16" s="596" t="s">
        <v>58</v>
      </c>
      <c r="B16" s="606">
        <f>100000*MOR!AZ16/POP!B16</f>
        <v>17.417632580930345</v>
      </c>
      <c r="C16" s="601">
        <f>100000*MOR!BA16/POP!C16</f>
        <v>19.392257302857931</v>
      </c>
      <c r="D16" s="601" t="e">
        <f>100000*MOR!BB16/POP!D16</f>
        <v>#DIV/0!</v>
      </c>
      <c r="E16" s="601" t="e">
        <f>100000*MOR!BC16/POP!E16</f>
        <v>#DIV/0!</v>
      </c>
      <c r="F16" s="609" t="e">
        <f>100000*MOR!BD16/POP!F16</f>
        <v>#DIV/0!</v>
      </c>
    </row>
    <row r="17" spans="1:6">
      <c r="A17" s="596" t="s">
        <v>59</v>
      </c>
      <c r="B17" s="606">
        <f>100000*MOR!AZ17/POP!B17</f>
        <v>20.530754486659518</v>
      </c>
      <c r="C17" s="601">
        <f>100000*MOR!BA17/POP!C17</f>
        <v>22.009659824644871</v>
      </c>
      <c r="D17" s="601" t="e">
        <f>100000*MOR!BB17/POP!D17</f>
        <v>#DIV/0!</v>
      </c>
      <c r="E17" s="601" t="e">
        <f>100000*MOR!BC17/POP!E17</f>
        <v>#DIV/0!</v>
      </c>
      <c r="F17" s="609" t="e">
        <f>100000*MOR!BD17/POP!F17</f>
        <v>#DIV/0!</v>
      </c>
    </row>
    <row r="18" spans="1:6">
      <c r="A18" s="596" t="s">
        <v>60</v>
      </c>
      <c r="B18" s="606">
        <f>100000*MOR!AZ18/POP!B18</f>
        <v>19.749570900846031</v>
      </c>
      <c r="C18" s="601">
        <f>100000*MOR!BA18/POP!C18</f>
        <v>22.042988260716143</v>
      </c>
      <c r="D18" s="601" t="e">
        <f>100000*MOR!BB18/POP!D18</f>
        <v>#DIV/0!</v>
      </c>
      <c r="E18" s="601" t="e">
        <f>100000*MOR!BC18/POP!E18</f>
        <v>#DIV/0!</v>
      </c>
      <c r="F18" s="609" t="e">
        <f>100000*MOR!BD18/POP!F18</f>
        <v>#DIV/0!</v>
      </c>
    </row>
    <row r="19" spans="1:6">
      <c r="A19" s="596" t="s">
        <v>61</v>
      </c>
      <c r="B19" s="606">
        <f>100000*MOR!AZ19/POP!B19</f>
        <v>28.71074449535859</v>
      </c>
      <c r="C19" s="601">
        <f>100000*MOR!BA19/POP!C19</f>
        <v>33.479136469169688</v>
      </c>
      <c r="D19" s="601" t="e">
        <f>100000*MOR!BB19/POP!D19</f>
        <v>#DIV/0!</v>
      </c>
      <c r="E19" s="601" t="e">
        <f>100000*MOR!BC19/POP!E19</f>
        <v>#DIV/0!</v>
      </c>
      <c r="F19" s="609" t="e">
        <f>100000*MOR!BD19/POP!F19</f>
        <v>#DIV/0!</v>
      </c>
    </row>
    <row r="20" spans="1:6">
      <c r="A20" s="596" t="s">
        <v>62</v>
      </c>
      <c r="B20" s="606">
        <f>100000*MOR!AZ20/POP!B20</f>
        <v>15.967384465934016</v>
      </c>
      <c r="C20" s="601">
        <f>100000*MOR!BA20/POP!C20</f>
        <v>20.485936515061265</v>
      </c>
      <c r="D20" s="601" t="e">
        <f>100000*MOR!BB20/POP!D20</f>
        <v>#DIV/0!</v>
      </c>
      <c r="E20" s="601" t="e">
        <f>100000*MOR!BC20/POP!E20</f>
        <v>#DIV/0!</v>
      </c>
      <c r="F20" s="609" t="e">
        <f>100000*MOR!BD20/POP!F20</f>
        <v>#DIV/0!</v>
      </c>
    </row>
    <row r="21" spans="1:6" ht="15.75" thickBot="1">
      <c r="A21" s="597" t="s">
        <v>63</v>
      </c>
      <c r="B21" s="606">
        <f>100000*MOR!AZ21/POP!B21</f>
        <v>26.438850256590527</v>
      </c>
      <c r="C21" s="601">
        <f>100000*MOR!BA21/POP!C21</f>
        <v>30.318899699567268</v>
      </c>
      <c r="D21" s="601" t="e">
        <f>100000*MOR!BB21/POP!D21</f>
        <v>#DIV/0!</v>
      </c>
      <c r="E21" s="601" t="e">
        <f>100000*MOR!BC21/POP!E21</f>
        <v>#DIV/0!</v>
      </c>
      <c r="F21" s="609" t="e">
        <f>100000*MOR!BD21/POP!F21</f>
        <v>#DIV/0!</v>
      </c>
    </row>
    <row r="22" spans="1:6" ht="15.75" thickBot="1">
      <c r="A22" s="594" t="s">
        <v>64</v>
      </c>
      <c r="B22" s="604">
        <f>100000*MOR!AZ22/POP!B22</f>
        <v>17.133894651289712</v>
      </c>
      <c r="C22" s="600">
        <f>100000*MOR!BA22/POP!C22</f>
        <v>19.022101947864734</v>
      </c>
      <c r="D22" s="600" t="e">
        <f>100000*MOR!BB22/POP!D22</f>
        <v>#DIV/0!</v>
      </c>
      <c r="E22" s="600" t="e">
        <f>100000*MOR!BC22/POP!E22</f>
        <v>#DIV/0!</v>
      </c>
      <c r="F22" s="605" t="e">
        <f>100000*MOR!BD22/POP!F22</f>
        <v>#DIV/0!</v>
      </c>
    </row>
    <row r="23" spans="1:6">
      <c r="A23" s="595" t="s">
        <v>65</v>
      </c>
      <c r="B23" s="606">
        <f>100000*MOR!AZ23/POP!B23</f>
        <v>27.472732309481763</v>
      </c>
      <c r="C23" s="601">
        <f>100000*MOR!BA23/POP!C23</f>
        <v>32.518224999943101</v>
      </c>
      <c r="D23" s="601" t="e">
        <f>100000*MOR!BB23/POP!D23</f>
        <v>#DIV/0!</v>
      </c>
      <c r="E23" s="601" t="e">
        <f>100000*MOR!BC23/POP!E23</f>
        <v>#DIV/0!</v>
      </c>
      <c r="F23" s="609" t="e">
        <f>100000*MOR!BD23/POP!F23</f>
        <v>#DIV/0!</v>
      </c>
    </row>
    <row r="24" spans="1:6">
      <c r="A24" s="596" t="s">
        <v>66</v>
      </c>
      <c r="B24" s="606">
        <f>100000*MOR!AZ24/POP!B24</f>
        <v>19.282154777551916</v>
      </c>
      <c r="C24" s="601">
        <f>100000*MOR!BA24/POP!C24</f>
        <v>21.870326212805519</v>
      </c>
      <c r="D24" s="601" t="e">
        <f>100000*MOR!BB24/POP!D24</f>
        <v>#DIV/0!</v>
      </c>
      <c r="E24" s="601" t="e">
        <f>100000*MOR!BC24/POP!E24</f>
        <v>#DIV/0!</v>
      </c>
      <c r="F24" s="609" t="e">
        <f>100000*MOR!BD24/POP!F24</f>
        <v>#DIV/0!</v>
      </c>
    </row>
    <row r="25" spans="1:6">
      <c r="A25" s="596" t="s">
        <v>67</v>
      </c>
      <c r="B25" s="606">
        <f>100000*MOR!AZ25/POP!B25</f>
        <v>14.265739751683688</v>
      </c>
      <c r="C25" s="601">
        <f>100000*MOR!BA25/POP!C25</f>
        <v>17.692386251371097</v>
      </c>
      <c r="D25" s="601" t="e">
        <f>100000*MOR!BB25/POP!D25</f>
        <v>#DIV/0!</v>
      </c>
      <c r="E25" s="601" t="e">
        <f>100000*MOR!BC25/POP!E25</f>
        <v>#DIV/0!</v>
      </c>
      <c r="F25" s="609" t="e">
        <f>100000*MOR!BD25/POP!F25</f>
        <v>#DIV/0!</v>
      </c>
    </row>
    <row r="26" spans="1:6" ht="15.75" thickBot="1">
      <c r="A26" s="597" t="s">
        <v>68</v>
      </c>
      <c r="B26" s="606">
        <f>100000*MOR!AZ26/POP!B26</f>
        <v>16.33236387056871</v>
      </c>
      <c r="C26" s="601">
        <f>100000*MOR!BA26/POP!C26</f>
        <v>17.034962193847207</v>
      </c>
      <c r="D26" s="601" t="e">
        <f>100000*MOR!BB26/POP!D26</f>
        <v>#DIV/0!</v>
      </c>
      <c r="E26" s="601" t="e">
        <f>100000*MOR!BC26/POP!E26</f>
        <v>#DIV/0!</v>
      </c>
      <c r="F26" s="609" t="e">
        <f>100000*MOR!BD26/POP!F26</f>
        <v>#DIV/0!</v>
      </c>
    </row>
    <row r="27" spans="1:6" ht="15.75" thickBot="1">
      <c r="A27" s="594" t="s">
        <v>69</v>
      </c>
      <c r="B27" s="604">
        <f>100000*MOR!AZ27/POP!B27</f>
        <v>24.784446565653152</v>
      </c>
      <c r="C27" s="600">
        <f>100000*MOR!BA27/POP!C27</f>
        <v>27.034832102701984</v>
      </c>
      <c r="D27" s="600" t="e">
        <f>100000*MOR!BB27/POP!D27</f>
        <v>#DIV/0!</v>
      </c>
      <c r="E27" s="600" t="e">
        <f>100000*MOR!BC27/POP!E27</f>
        <v>#DIV/0!</v>
      </c>
      <c r="F27" s="605" t="e">
        <f>100000*MOR!BD27/POP!F27</f>
        <v>#DIV/0!</v>
      </c>
    </row>
    <row r="28" spans="1:6">
      <c r="A28" s="595" t="s">
        <v>70</v>
      </c>
      <c r="B28" s="606">
        <f>100000*MOR!AZ28/POP!B28</f>
        <v>28.812785952161978</v>
      </c>
      <c r="C28" s="601">
        <f>100000*MOR!BA28/POP!C28</f>
        <v>32.438044579524238</v>
      </c>
      <c r="D28" s="601" t="e">
        <f>100000*MOR!BB28/POP!D28</f>
        <v>#DIV/0!</v>
      </c>
      <c r="E28" s="601" t="e">
        <f>100000*MOR!BC28/POP!E28</f>
        <v>#DIV/0!</v>
      </c>
      <c r="F28" s="609" t="e">
        <f>100000*MOR!BD28/POP!F28</f>
        <v>#DIV/0!</v>
      </c>
    </row>
    <row r="29" spans="1:6">
      <c r="A29" s="596" t="s">
        <v>71</v>
      </c>
      <c r="B29" s="606">
        <f>100000*MOR!AZ29/POP!B29</f>
        <v>18.132603851075523</v>
      </c>
      <c r="C29" s="601">
        <f>100000*MOR!BA29/POP!C29</f>
        <v>20.39474920770467</v>
      </c>
      <c r="D29" s="601" t="e">
        <f>100000*MOR!BB29/POP!D29</f>
        <v>#DIV/0!</v>
      </c>
      <c r="E29" s="601" t="e">
        <f>100000*MOR!BC29/POP!E29</f>
        <v>#DIV/0!</v>
      </c>
      <c r="F29" s="609" t="e">
        <f>100000*MOR!BD29/POP!F29</f>
        <v>#DIV/0!</v>
      </c>
    </row>
    <row r="30" spans="1:6" ht="15.75" thickBot="1">
      <c r="A30" s="597" t="s">
        <v>72</v>
      </c>
      <c r="B30" s="606">
        <f>100000*MOR!AZ30/POP!B30</f>
        <v>29.614003043443514</v>
      </c>
      <c r="C30" s="601">
        <f>100000*MOR!BA30/POP!C30</f>
        <v>29.367348885385077</v>
      </c>
      <c r="D30" s="601" t="e">
        <f>100000*MOR!BB30/POP!D30</f>
        <v>#DIV/0!</v>
      </c>
      <c r="E30" s="601" t="e">
        <f>100000*MOR!BC30/POP!E30</f>
        <v>#DIV/0!</v>
      </c>
      <c r="F30" s="609" t="e">
        <f>100000*MOR!BD30/POP!F30</f>
        <v>#DIV/0!</v>
      </c>
    </row>
    <row r="31" spans="1:6" ht="15.75" thickBot="1">
      <c r="A31" s="594" t="s">
        <v>73</v>
      </c>
      <c r="B31" s="604">
        <f>100000*MOR!AZ31/POP!B31</f>
        <v>29.21096498591951</v>
      </c>
      <c r="C31" s="600">
        <f>100000*MOR!BA31/POP!C31</f>
        <v>31.583228850226782</v>
      </c>
      <c r="D31" s="600" t="e">
        <f>100000*MOR!BB31/POP!D31</f>
        <v>#DIV/0!</v>
      </c>
      <c r="E31" s="600" t="e">
        <f>100000*MOR!BC31/POP!E31</f>
        <v>#DIV/0!</v>
      </c>
      <c r="F31" s="605" t="e">
        <f>100000*MOR!BD31/POP!F31</f>
        <v>#DIV/0!</v>
      </c>
    </row>
    <row r="32" spans="1:6">
      <c r="A32" s="595" t="s">
        <v>74</v>
      </c>
      <c r="B32" s="606">
        <f>100000*MOR!AZ32/POP!B32</f>
        <v>22.095344480230036</v>
      </c>
      <c r="C32" s="601">
        <f>100000*MOR!BA32/POP!C32</f>
        <v>24.745541133625924</v>
      </c>
      <c r="D32" s="601" t="e">
        <f>100000*MOR!BB32/POP!D32</f>
        <v>#DIV/0!</v>
      </c>
      <c r="E32" s="601" t="e">
        <f>100000*MOR!BC32/POP!E32</f>
        <v>#DIV/0!</v>
      </c>
      <c r="F32" s="609" t="e">
        <f>100000*MOR!BD32/POP!F32</f>
        <v>#DIV/0!</v>
      </c>
    </row>
    <row r="33" spans="1:6">
      <c r="A33" s="596" t="s">
        <v>75</v>
      </c>
      <c r="B33" s="606">
        <f>100000*MOR!AZ33/POP!B33</f>
        <v>28.297550515430519</v>
      </c>
      <c r="C33" s="601">
        <f>100000*MOR!BA33/POP!C33</f>
        <v>32.029778533152736</v>
      </c>
      <c r="D33" s="601" t="e">
        <f>100000*MOR!BB33/POP!D33</f>
        <v>#DIV/0!</v>
      </c>
      <c r="E33" s="601" t="e">
        <f>100000*MOR!BC33/POP!E33</f>
        <v>#DIV/0!</v>
      </c>
      <c r="F33" s="609" t="e">
        <f>100000*MOR!BD33/POP!F33</f>
        <v>#DIV/0!</v>
      </c>
    </row>
    <row r="34" spans="1:6">
      <c r="A34" s="596" t="s">
        <v>76</v>
      </c>
      <c r="B34" s="606">
        <f>100000*MOR!AZ34/POP!B34</f>
        <v>36.812166337689163</v>
      </c>
      <c r="C34" s="601">
        <f>100000*MOR!BA34/POP!C34</f>
        <v>36.341208030517386</v>
      </c>
      <c r="D34" s="601" t="e">
        <f>100000*MOR!BB34/POP!D34</f>
        <v>#DIV/0!</v>
      </c>
      <c r="E34" s="601" t="e">
        <f>100000*MOR!BC34/POP!E34</f>
        <v>#DIV/0!</v>
      </c>
      <c r="F34" s="609" t="e">
        <f>100000*MOR!BD34/POP!F34</f>
        <v>#DIV/0!</v>
      </c>
    </row>
    <row r="35" spans="1:6" ht="15.75" thickBot="1">
      <c r="A35" s="598" t="s">
        <v>77</v>
      </c>
      <c r="B35" s="607">
        <f>100000*MOR!AZ35/POP!B35</f>
        <v>29.696469043231449</v>
      </c>
      <c r="C35" s="608">
        <f>100000*MOR!BA35/POP!C35</f>
        <v>31.767757278001358</v>
      </c>
      <c r="D35" s="608" t="e">
        <f>100000*MOR!BB35/POP!D35</f>
        <v>#DIV/0!</v>
      </c>
      <c r="E35" s="608" t="e">
        <f>100000*MOR!BC35/POP!E35</f>
        <v>#DIV/0!</v>
      </c>
      <c r="F35" s="610" t="e">
        <f>100000*MOR!BD35/POP!F35</f>
        <v>#DIV/0!</v>
      </c>
    </row>
    <row r="36" spans="1:6" s="1" customFormat="1">
      <c r="A36" s="3"/>
      <c r="B36" s="45"/>
      <c r="C36" s="45"/>
      <c r="D36" s="45"/>
      <c r="E36" s="45"/>
    </row>
    <row r="37" spans="1:6" s="1" customFormat="1">
      <c r="A37" s="3"/>
      <c r="B37" s="45"/>
      <c r="C37" s="45"/>
      <c r="D37" s="45"/>
      <c r="E37" s="45"/>
    </row>
    <row r="38" spans="1:6" s="1" customFormat="1">
      <c r="A38" s="3"/>
      <c r="B38" s="45"/>
      <c r="C38" s="45"/>
      <c r="D38" s="45"/>
      <c r="E38" s="45"/>
    </row>
    <row r="39" spans="1:6" s="1" customFormat="1">
      <c r="A39" s="3"/>
      <c r="B39" s="45"/>
      <c r="C39" s="45"/>
      <c r="D39" s="45"/>
      <c r="E39" s="45"/>
    </row>
    <row r="40" spans="1:6" s="1" customFormat="1">
      <c r="A40" s="3"/>
      <c r="B40" s="45"/>
      <c r="C40" s="45"/>
      <c r="D40" s="45"/>
      <c r="E40" s="45"/>
    </row>
    <row r="41" spans="1:6" s="1" customFormat="1">
      <c r="A41" s="3"/>
      <c r="B41" s="45"/>
      <c r="C41" s="45"/>
      <c r="D41" s="45"/>
      <c r="E41" s="45"/>
    </row>
    <row r="42" spans="1:6" s="1" customFormat="1">
      <c r="A42" s="3"/>
      <c r="B42" s="45"/>
      <c r="C42" s="45"/>
      <c r="D42" s="45"/>
      <c r="E42" s="45"/>
    </row>
    <row r="43" spans="1:6" s="1" customFormat="1">
      <c r="A43" s="3"/>
      <c r="B43" s="45"/>
      <c r="C43" s="45"/>
      <c r="D43" s="45"/>
      <c r="E43" s="45"/>
    </row>
    <row r="44" spans="1:6" s="1" customFormat="1">
      <c r="A44" s="3"/>
      <c r="B44" s="45"/>
      <c r="C44" s="45"/>
      <c r="D44" s="45"/>
      <c r="E44" s="45"/>
    </row>
    <row r="45" spans="1:6" s="1" customFormat="1">
      <c r="A45" s="3"/>
      <c r="B45" s="45"/>
      <c r="C45" s="45"/>
      <c r="D45" s="45"/>
      <c r="E45" s="45"/>
    </row>
    <row r="46" spans="1:6" s="1" customFormat="1">
      <c r="A46" s="3"/>
      <c r="B46" s="45"/>
      <c r="C46" s="45"/>
      <c r="D46" s="45"/>
      <c r="E46" s="45"/>
    </row>
    <row r="47" spans="1:6" s="1" customFormat="1">
      <c r="A47" s="3"/>
      <c r="B47" s="45"/>
      <c r="C47" s="45"/>
      <c r="D47" s="45"/>
      <c r="E47" s="45"/>
    </row>
    <row r="48" spans="1:6" s="1" customFormat="1">
      <c r="A48" s="3"/>
      <c r="B48" s="45"/>
      <c r="C48" s="45"/>
      <c r="D48" s="45"/>
      <c r="E48" s="45"/>
    </row>
    <row r="49" spans="1:5" s="1" customFormat="1">
      <c r="A49" s="3"/>
      <c r="B49" s="45"/>
      <c r="C49" s="45"/>
      <c r="D49" s="45"/>
      <c r="E49" s="45"/>
    </row>
    <row r="50" spans="1:5" s="1" customFormat="1">
      <c r="A50" s="3"/>
      <c r="B50" s="45"/>
      <c r="C50" s="45"/>
      <c r="D50" s="45"/>
      <c r="E50" s="45"/>
    </row>
    <row r="51" spans="1:5" s="1" customFormat="1">
      <c r="A51" s="3"/>
      <c r="B51" s="45"/>
      <c r="C51" s="45"/>
      <c r="D51" s="45"/>
      <c r="E51" s="45"/>
    </row>
    <row r="52" spans="1:5" s="1" customFormat="1">
      <c r="A52" s="3"/>
      <c r="B52" s="45"/>
      <c r="C52" s="45"/>
      <c r="D52" s="45"/>
      <c r="E52" s="45"/>
    </row>
    <row r="53" spans="1:5" s="1" customFormat="1">
      <c r="A53" s="3"/>
      <c r="B53" s="45"/>
      <c r="C53" s="45"/>
      <c r="D53" s="45"/>
      <c r="E53" s="45"/>
    </row>
    <row r="54" spans="1:5" s="1" customFormat="1">
      <c r="A54" s="3"/>
      <c r="B54" s="45"/>
      <c r="C54" s="45"/>
      <c r="D54" s="45"/>
      <c r="E54" s="45"/>
    </row>
    <row r="55" spans="1:5" s="1" customFormat="1">
      <c r="A55" s="3"/>
      <c r="B55" s="45"/>
      <c r="C55" s="45"/>
      <c r="D55" s="45"/>
      <c r="E55" s="45"/>
    </row>
    <row r="56" spans="1:5" s="1" customFormat="1">
      <c r="A56" s="3"/>
      <c r="B56" s="45"/>
      <c r="C56" s="45"/>
      <c r="D56" s="45"/>
      <c r="E56" s="45"/>
    </row>
    <row r="57" spans="1:5" s="1" customFormat="1">
      <c r="A57" s="3"/>
      <c r="B57" s="45"/>
      <c r="C57" s="45"/>
      <c r="D57" s="45"/>
      <c r="E57" s="45"/>
    </row>
    <row r="58" spans="1:5" s="1" customFormat="1">
      <c r="A58" s="3"/>
      <c r="B58" s="45"/>
      <c r="C58" s="45"/>
      <c r="D58" s="45"/>
      <c r="E58" s="45"/>
    </row>
    <row r="59" spans="1:5" s="1" customFormat="1">
      <c r="A59" s="3"/>
      <c r="B59" s="45"/>
      <c r="C59" s="45"/>
      <c r="D59" s="45"/>
      <c r="E59" s="45"/>
    </row>
    <row r="60" spans="1:5" s="1" customFormat="1">
      <c r="A60" s="3"/>
      <c r="B60" s="45"/>
      <c r="C60" s="45"/>
      <c r="D60" s="45"/>
      <c r="E60" s="45"/>
    </row>
    <row r="61" spans="1:5" s="1" customFormat="1">
      <c r="A61" s="3"/>
      <c r="B61" s="45"/>
      <c r="C61" s="45"/>
      <c r="D61" s="45"/>
      <c r="E61" s="45"/>
    </row>
    <row r="62" spans="1:5" s="1" customFormat="1">
      <c r="A62" s="3"/>
      <c r="B62" s="45"/>
      <c r="C62" s="45"/>
      <c r="D62" s="45"/>
      <c r="E62" s="45"/>
    </row>
    <row r="63" spans="1:5" s="1" customFormat="1">
      <c r="A63" s="3"/>
      <c r="B63" s="45"/>
      <c r="C63" s="45"/>
      <c r="D63" s="45"/>
      <c r="E63" s="45"/>
    </row>
    <row r="64" spans="1:5" s="1" customFormat="1">
      <c r="A64" s="3"/>
      <c r="B64" s="45"/>
      <c r="C64" s="45"/>
      <c r="D64" s="45"/>
      <c r="E64" s="45"/>
    </row>
    <row r="65" spans="1:5" s="1" customFormat="1">
      <c r="A65" s="3"/>
      <c r="B65" s="45"/>
      <c r="C65" s="45"/>
      <c r="D65" s="45"/>
      <c r="E65" s="45"/>
    </row>
    <row r="66" spans="1:5" s="1" customFormat="1">
      <c r="A66" s="3"/>
      <c r="B66" s="45"/>
      <c r="C66" s="45"/>
      <c r="D66" s="45"/>
      <c r="E66" s="45"/>
    </row>
    <row r="67" spans="1:5" s="1" customFormat="1">
      <c r="A67" s="3"/>
      <c r="B67" s="45"/>
      <c r="C67" s="45"/>
      <c r="D67" s="45"/>
      <c r="E67" s="45"/>
    </row>
    <row r="68" spans="1:5" s="1" customFormat="1">
      <c r="A68" s="3"/>
      <c r="B68" s="45"/>
      <c r="C68" s="45"/>
      <c r="D68" s="45"/>
      <c r="E68" s="45"/>
    </row>
    <row r="69" spans="1:5" s="1" customFormat="1">
      <c r="A69" s="3"/>
      <c r="B69" s="45"/>
      <c r="C69" s="45"/>
      <c r="D69" s="45"/>
      <c r="E69" s="45"/>
    </row>
    <row r="70" spans="1:5" s="1" customFormat="1">
      <c r="A70" s="3"/>
      <c r="B70" s="45"/>
      <c r="C70" s="45"/>
      <c r="D70" s="45"/>
      <c r="E70" s="45"/>
    </row>
    <row r="71" spans="1:5" s="1" customFormat="1">
      <c r="A71" s="3"/>
      <c r="B71" s="45"/>
      <c r="C71" s="45"/>
      <c r="D71" s="45"/>
      <c r="E71" s="45"/>
    </row>
    <row r="72" spans="1:5" s="1" customFormat="1">
      <c r="A72" s="3"/>
      <c r="B72" s="45"/>
      <c r="C72" s="45"/>
      <c r="D72" s="45"/>
      <c r="E72" s="45"/>
    </row>
    <row r="73" spans="1:5" s="1" customFormat="1">
      <c r="A73" s="3"/>
      <c r="B73" s="45"/>
      <c r="C73" s="45"/>
      <c r="D73" s="45"/>
      <c r="E73" s="45"/>
    </row>
    <row r="74" spans="1:5" s="1" customFormat="1">
      <c r="A74" s="3"/>
      <c r="B74" s="45"/>
      <c r="C74" s="45"/>
      <c r="D74" s="45"/>
      <c r="E74" s="45"/>
    </row>
    <row r="75" spans="1:5" s="1" customFormat="1">
      <c r="A75" s="3"/>
      <c r="B75" s="45"/>
      <c r="C75" s="45"/>
      <c r="D75" s="45"/>
      <c r="E75" s="45"/>
    </row>
    <row r="76" spans="1:5" s="1" customFormat="1">
      <c r="A76" s="3"/>
      <c r="B76" s="45"/>
      <c r="C76" s="45"/>
      <c r="D76" s="45"/>
      <c r="E76" s="45"/>
    </row>
    <row r="77" spans="1:5" s="1" customFormat="1">
      <c r="A77" s="3"/>
      <c r="B77" s="45"/>
      <c r="C77" s="45"/>
      <c r="D77" s="45"/>
      <c r="E77" s="45"/>
    </row>
    <row r="78" spans="1:5" s="1" customFormat="1">
      <c r="A78" s="3"/>
      <c r="B78" s="45"/>
      <c r="C78" s="45"/>
      <c r="D78" s="45"/>
      <c r="E78" s="45"/>
    </row>
    <row r="79" spans="1:5" s="1" customFormat="1">
      <c r="A79" s="3"/>
      <c r="B79" s="45"/>
      <c r="C79" s="45"/>
      <c r="D79" s="45"/>
      <c r="E79" s="45"/>
    </row>
    <row r="80" spans="1:5" s="1" customFormat="1">
      <c r="A80" s="3"/>
      <c r="B80" s="45"/>
      <c r="C80" s="45"/>
      <c r="D80" s="45"/>
      <c r="E80" s="45"/>
    </row>
    <row r="81" spans="1:5" s="1" customFormat="1">
      <c r="A81" s="3"/>
      <c r="B81" s="45"/>
      <c r="C81" s="45"/>
      <c r="D81" s="45"/>
      <c r="E81" s="45"/>
    </row>
    <row r="82" spans="1:5" s="1" customFormat="1">
      <c r="A82" s="3"/>
      <c r="B82" s="45"/>
      <c r="C82" s="45"/>
      <c r="D82" s="45"/>
      <c r="E82" s="45"/>
    </row>
    <row r="83" spans="1:5" s="1" customFormat="1">
      <c r="A83" s="3"/>
      <c r="B83" s="45"/>
      <c r="C83" s="45"/>
      <c r="D83" s="45"/>
      <c r="E83" s="45"/>
    </row>
    <row r="84" spans="1:5" s="1" customFormat="1">
      <c r="A84" s="3"/>
      <c r="B84" s="45"/>
      <c r="C84" s="45"/>
      <c r="D84" s="45"/>
      <c r="E84" s="45"/>
    </row>
    <row r="85" spans="1:5" s="1" customFormat="1">
      <c r="A85" s="3"/>
      <c r="B85" s="45"/>
      <c r="C85" s="45"/>
      <c r="D85" s="45"/>
      <c r="E85" s="45"/>
    </row>
    <row r="86" spans="1:5" s="1" customFormat="1">
      <c r="A86" s="3"/>
      <c r="B86" s="45"/>
      <c r="C86" s="45"/>
      <c r="D86" s="45"/>
      <c r="E86" s="45"/>
    </row>
    <row r="87" spans="1:5" s="1" customFormat="1">
      <c r="A87" s="3"/>
      <c r="B87" s="45"/>
      <c r="C87" s="45"/>
      <c r="D87" s="45"/>
      <c r="E87" s="45"/>
    </row>
    <row r="88" spans="1:5" s="1" customFormat="1">
      <c r="A88" s="3"/>
      <c r="B88" s="45"/>
      <c r="C88" s="45"/>
      <c r="D88" s="45"/>
      <c r="E88" s="45"/>
    </row>
    <row r="89" spans="1:5" s="1" customFormat="1">
      <c r="A89" s="3"/>
      <c r="B89" s="45"/>
      <c r="C89" s="45"/>
      <c r="D89" s="45"/>
      <c r="E89" s="45"/>
    </row>
    <row r="90" spans="1:5" s="1" customFormat="1">
      <c r="A90" s="3"/>
      <c r="B90" s="45"/>
      <c r="C90" s="45"/>
      <c r="D90" s="45"/>
      <c r="E90" s="45"/>
    </row>
    <row r="91" spans="1:5" s="1" customFormat="1">
      <c r="A91" s="3"/>
      <c r="B91" s="45"/>
      <c r="C91" s="45"/>
      <c r="D91" s="45"/>
      <c r="E91" s="45"/>
    </row>
    <row r="92" spans="1:5" s="1" customFormat="1">
      <c r="A92" s="3"/>
      <c r="B92" s="45"/>
      <c r="C92" s="45"/>
      <c r="D92" s="45"/>
      <c r="E92" s="45"/>
    </row>
    <row r="93" spans="1:5" s="1" customFormat="1">
      <c r="A93" s="3"/>
      <c r="B93" s="45"/>
      <c r="C93" s="45"/>
      <c r="D93" s="45"/>
      <c r="E93" s="45"/>
    </row>
    <row r="94" spans="1:5" s="1" customFormat="1">
      <c r="A94" s="3"/>
      <c r="B94" s="45"/>
      <c r="C94" s="45"/>
      <c r="D94" s="45"/>
      <c r="E94" s="45"/>
    </row>
    <row r="95" spans="1:5" s="1" customFormat="1">
      <c r="A95" s="3"/>
      <c r="B95" s="45"/>
      <c r="C95" s="45"/>
      <c r="D95" s="45"/>
      <c r="E95" s="45"/>
    </row>
    <row r="96" spans="1:5" s="1" customFormat="1">
      <c r="A96" s="3"/>
      <c r="B96" s="45"/>
      <c r="C96" s="45"/>
      <c r="D96" s="45"/>
      <c r="E96" s="45"/>
    </row>
    <row r="97" spans="1:5" s="1" customFormat="1">
      <c r="A97" s="3"/>
      <c r="B97" s="45"/>
      <c r="C97" s="45"/>
      <c r="D97" s="45"/>
      <c r="E97" s="45"/>
    </row>
    <row r="98" spans="1:5" s="1" customFormat="1">
      <c r="A98" s="3"/>
      <c r="B98" s="45"/>
      <c r="C98" s="45"/>
      <c r="D98" s="45"/>
      <c r="E98" s="45"/>
    </row>
    <row r="99" spans="1:5" s="1" customFormat="1">
      <c r="A99" s="3"/>
      <c r="B99" s="45"/>
      <c r="C99" s="45"/>
      <c r="D99" s="45"/>
      <c r="E99" s="45"/>
    </row>
    <row r="100" spans="1:5" s="1" customFormat="1">
      <c r="A100" s="3"/>
      <c r="B100" s="45"/>
      <c r="C100" s="45"/>
      <c r="D100" s="45"/>
      <c r="E100" s="45"/>
    </row>
    <row r="101" spans="1:5" s="1" customFormat="1">
      <c r="A101" s="3"/>
      <c r="B101" s="45"/>
      <c r="C101" s="45"/>
      <c r="D101" s="45"/>
      <c r="E101" s="45"/>
    </row>
    <row r="102" spans="1:5" s="1" customFormat="1">
      <c r="A102" s="3"/>
      <c r="B102" s="45"/>
      <c r="C102" s="45"/>
      <c r="D102" s="45"/>
      <c r="E102" s="45"/>
    </row>
    <row r="103" spans="1:5" s="1" customFormat="1">
      <c r="A103" s="3"/>
      <c r="B103" s="45"/>
      <c r="C103" s="45"/>
      <c r="D103" s="45"/>
      <c r="E103" s="45"/>
    </row>
    <row r="104" spans="1:5" s="1" customFormat="1">
      <c r="A104" s="3"/>
      <c r="B104" s="45"/>
      <c r="C104" s="45"/>
      <c r="D104" s="45"/>
      <c r="E104" s="45"/>
    </row>
    <row r="105" spans="1:5" s="1" customFormat="1">
      <c r="A105" s="3"/>
      <c r="B105" s="45"/>
      <c r="C105" s="45"/>
      <c r="D105" s="45"/>
      <c r="E105" s="45"/>
    </row>
    <row r="106" spans="1:5" s="1" customFormat="1">
      <c r="A106" s="3"/>
      <c r="B106" s="45"/>
      <c r="C106" s="45"/>
      <c r="D106" s="45"/>
      <c r="E106" s="45"/>
    </row>
    <row r="107" spans="1:5" s="1" customFormat="1">
      <c r="A107" s="3"/>
      <c r="B107" s="45"/>
      <c r="C107" s="45"/>
      <c r="D107" s="45"/>
      <c r="E107" s="45"/>
    </row>
    <row r="108" spans="1:5" s="1" customFormat="1">
      <c r="A108" s="3"/>
      <c r="B108" s="45"/>
      <c r="C108" s="45"/>
      <c r="D108" s="45"/>
      <c r="E108" s="45"/>
    </row>
    <row r="109" spans="1:5" s="1" customFormat="1">
      <c r="A109" s="3"/>
      <c r="B109" s="45"/>
      <c r="C109" s="45"/>
      <c r="D109" s="45"/>
      <c r="E109" s="45"/>
    </row>
    <row r="110" spans="1:5" s="1" customFormat="1">
      <c r="A110" s="3"/>
      <c r="B110" s="45"/>
      <c r="C110" s="45"/>
      <c r="D110" s="45"/>
      <c r="E110" s="45"/>
    </row>
    <row r="111" spans="1:5" s="1" customFormat="1">
      <c r="A111" s="3"/>
      <c r="B111" s="45"/>
      <c r="C111" s="45"/>
      <c r="D111" s="45"/>
      <c r="E111" s="45"/>
    </row>
    <row r="112" spans="1:5" s="1" customFormat="1">
      <c r="A112" s="3"/>
      <c r="B112" s="45"/>
      <c r="C112" s="45"/>
      <c r="D112" s="45"/>
      <c r="E112" s="45"/>
    </row>
    <row r="113" spans="1:5" s="1" customFormat="1">
      <c r="A113" s="3"/>
      <c r="B113" s="45"/>
      <c r="C113" s="45"/>
      <c r="D113" s="45"/>
      <c r="E113" s="45"/>
    </row>
    <row r="114" spans="1:5" s="1" customFormat="1">
      <c r="A114" s="3"/>
      <c r="B114" s="45"/>
      <c r="C114" s="45"/>
      <c r="D114" s="45"/>
      <c r="E114" s="45"/>
    </row>
    <row r="115" spans="1:5" s="1" customFormat="1">
      <c r="A115" s="3"/>
      <c r="B115" s="45"/>
      <c r="C115" s="45"/>
      <c r="D115" s="45"/>
      <c r="E115" s="45"/>
    </row>
    <row r="116" spans="1:5" s="1" customFormat="1">
      <c r="A116" s="3"/>
      <c r="B116" s="45"/>
      <c r="C116" s="45"/>
      <c r="D116" s="45"/>
      <c r="E116" s="45"/>
    </row>
    <row r="117" spans="1:5" s="1" customFormat="1">
      <c r="A117" s="3"/>
      <c r="B117" s="45"/>
      <c r="C117" s="45"/>
      <c r="D117" s="45"/>
      <c r="E117" s="45"/>
    </row>
    <row r="118" spans="1:5" s="1" customFormat="1">
      <c r="A118" s="3"/>
      <c r="B118" s="45"/>
      <c r="C118" s="45"/>
      <c r="D118" s="45"/>
      <c r="E118" s="45"/>
    </row>
    <row r="119" spans="1:5" s="1" customFormat="1">
      <c r="A119" s="3"/>
      <c r="B119" s="45"/>
      <c r="C119" s="45"/>
      <c r="D119" s="45"/>
      <c r="E119" s="45"/>
    </row>
    <row r="120" spans="1:5" s="1" customFormat="1">
      <c r="A120" s="3"/>
      <c r="B120" s="45"/>
      <c r="C120" s="45"/>
      <c r="D120" s="45"/>
      <c r="E120" s="45"/>
    </row>
    <row r="121" spans="1:5" s="1" customFormat="1">
      <c r="A121" s="3"/>
      <c r="B121" s="45"/>
      <c r="C121" s="45"/>
      <c r="D121" s="45"/>
      <c r="E121" s="45"/>
    </row>
    <row r="122" spans="1:5" s="1" customFormat="1">
      <c r="A122" s="3"/>
      <c r="B122" s="45"/>
      <c r="C122" s="45"/>
      <c r="D122" s="45"/>
      <c r="E122" s="45"/>
    </row>
    <row r="123" spans="1:5" s="1" customFormat="1">
      <c r="A123" s="3"/>
      <c r="B123" s="45"/>
      <c r="C123" s="45"/>
      <c r="D123" s="45"/>
      <c r="E123" s="45"/>
    </row>
    <row r="124" spans="1:5" s="1" customFormat="1">
      <c r="A124" s="3"/>
      <c r="B124" s="45"/>
      <c r="C124" s="45"/>
      <c r="D124" s="45"/>
      <c r="E124" s="45"/>
    </row>
    <row r="125" spans="1:5" s="1" customFormat="1">
      <c r="A125" s="3"/>
      <c r="B125" s="45"/>
      <c r="C125" s="45"/>
      <c r="D125" s="45"/>
      <c r="E125" s="45"/>
    </row>
    <row r="126" spans="1:5" s="1" customFormat="1">
      <c r="A126" s="3"/>
      <c r="B126" s="45"/>
      <c r="C126" s="45"/>
      <c r="D126" s="45"/>
      <c r="E126" s="45"/>
    </row>
    <row r="127" spans="1:5" s="1" customFormat="1">
      <c r="A127" s="3"/>
      <c r="B127" s="45"/>
      <c r="C127" s="45"/>
      <c r="D127" s="45"/>
      <c r="E127" s="45"/>
    </row>
    <row r="128" spans="1:5" s="1" customFormat="1">
      <c r="A128" s="3"/>
      <c r="B128" s="45"/>
      <c r="C128" s="45"/>
      <c r="D128" s="45"/>
      <c r="E128" s="45"/>
    </row>
    <row r="129" spans="1:5" s="1" customFormat="1">
      <c r="A129" s="3"/>
      <c r="B129" s="45"/>
      <c r="C129" s="45"/>
      <c r="D129" s="45"/>
      <c r="E129" s="45"/>
    </row>
    <row r="130" spans="1:5" s="1" customFormat="1">
      <c r="A130" s="3"/>
      <c r="B130" s="45"/>
      <c r="C130" s="45"/>
      <c r="D130" s="45"/>
      <c r="E130" s="45"/>
    </row>
    <row r="131" spans="1:5" s="1" customFormat="1">
      <c r="A131" s="3"/>
      <c r="B131" s="45"/>
      <c r="C131" s="45"/>
      <c r="D131" s="45"/>
      <c r="E131" s="45"/>
    </row>
    <row r="132" spans="1:5" s="1" customFormat="1">
      <c r="A132" s="3"/>
      <c r="B132" s="45"/>
      <c r="C132" s="45"/>
      <c r="D132" s="45"/>
      <c r="E132" s="45"/>
    </row>
    <row r="133" spans="1:5" s="1" customFormat="1">
      <c r="A133" s="3"/>
      <c r="B133" s="45"/>
      <c r="C133" s="45"/>
      <c r="D133" s="45"/>
      <c r="E133" s="45"/>
    </row>
    <row r="134" spans="1:5" s="1" customFormat="1">
      <c r="A134" s="3"/>
      <c r="B134" s="45"/>
      <c r="C134" s="45"/>
      <c r="D134" s="45"/>
      <c r="E134" s="45"/>
    </row>
    <row r="135" spans="1:5" s="1" customFormat="1">
      <c r="A135" s="3"/>
      <c r="B135" s="45"/>
      <c r="C135" s="45"/>
      <c r="D135" s="45"/>
      <c r="E135" s="45"/>
    </row>
    <row r="136" spans="1:5" s="1" customFormat="1">
      <c r="A136" s="3"/>
      <c r="B136" s="45"/>
      <c r="C136" s="45"/>
      <c r="D136" s="45"/>
      <c r="E136" s="45"/>
    </row>
    <row r="137" spans="1:5" s="1" customFormat="1">
      <c r="A137" s="3"/>
      <c r="B137" s="45"/>
      <c r="C137" s="45"/>
      <c r="D137" s="45"/>
      <c r="E137" s="45"/>
    </row>
    <row r="138" spans="1:5" s="1" customFormat="1">
      <c r="A138" s="3"/>
      <c r="B138" s="45"/>
      <c r="C138" s="45"/>
      <c r="D138" s="45"/>
      <c r="E138" s="45"/>
    </row>
    <row r="139" spans="1:5" s="1" customFormat="1">
      <c r="A139" s="3"/>
      <c r="B139" s="45"/>
      <c r="C139" s="45"/>
      <c r="D139" s="45"/>
      <c r="E139" s="45"/>
    </row>
    <row r="140" spans="1:5" s="1" customFormat="1">
      <c r="A140" s="3"/>
      <c r="B140" s="45"/>
      <c r="C140" s="45"/>
      <c r="D140" s="45"/>
      <c r="E140" s="45"/>
    </row>
    <row r="141" spans="1:5" s="1" customFormat="1">
      <c r="A141" s="3"/>
      <c r="B141" s="45"/>
      <c r="C141" s="45"/>
      <c r="D141" s="45"/>
      <c r="E141" s="45"/>
    </row>
    <row r="142" spans="1:5" s="1" customFormat="1">
      <c r="A142" s="3"/>
      <c r="B142" s="45"/>
      <c r="C142" s="45"/>
      <c r="D142" s="45"/>
      <c r="E142" s="45"/>
    </row>
    <row r="143" spans="1:5" s="1" customFormat="1">
      <c r="A143" s="3"/>
      <c r="B143" s="45"/>
      <c r="C143" s="45"/>
      <c r="D143" s="45"/>
      <c r="E143" s="45"/>
    </row>
    <row r="144" spans="1:5" s="1" customFormat="1">
      <c r="A144" s="3"/>
      <c r="B144" s="45"/>
      <c r="C144" s="45"/>
      <c r="D144" s="45"/>
      <c r="E144" s="45"/>
    </row>
    <row r="145" spans="1:5" s="1" customFormat="1">
      <c r="A145" s="3"/>
      <c r="B145" s="45"/>
      <c r="C145" s="45"/>
      <c r="D145" s="45"/>
      <c r="E145" s="45"/>
    </row>
    <row r="146" spans="1:5" s="1" customFormat="1">
      <c r="A146" s="3"/>
      <c r="B146" s="45"/>
      <c r="C146" s="45"/>
      <c r="D146" s="45"/>
      <c r="E146" s="45"/>
    </row>
    <row r="147" spans="1:5" s="1" customFormat="1">
      <c r="A147" s="3"/>
      <c r="B147" s="45"/>
      <c r="C147" s="45"/>
      <c r="D147" s="45"/>
      <c r="E147" s="45"/>
    </row>
    <row r="148" spans="1:5" s="1" customFormat="1">
      <c r="A148" s="3"/>
      <c r="B148" s="45"/>
      <c r="C148" s="45"/>
      <c r="D148" s="45"/>
      <c r="E148" s="45"/>
    </row>
    <row r="149" spans="1:5" s="1" customFormat="1">
      <c r="A149" s="3"/>
      <c r="B149" s="45"/>
      <c r="C149" s="45"/>
      <c r="D149" s="45"/>
      <c r="E149" s="45"/>
    </row>
    <row r="150" spans="1:5" s="1" customFormat="1">
      <c r="A150" s="3"/>
      <c r="B150" s="45"/>
      <c r="C150" s="45"/>
      <c r="D150" s="45"/>
      <c r="E150" s="45"/>
    </row>
    <row r="151" spans="1:5" s="1" customFormat="1">
      <c r="A151" s="3"/>
      <c r="B151" s="45"/>
      <c r="C151" s="45"/>
      <c r="D151" s="45"/>
      <c r="E151" s="45"/>
    </row>
    <row r="152" spans="1:5" s="1" customFormat="1">
      <c r="A152" s="3"/>
      <c r="B152" s="45"/>
      <c r="C152" s="45"/>
      <c r="D152" s="45"/>
      <c r="E152" s="45"/>
    </row>
    <row r="153" spans="1:5" s="1" customFormat="1">
      <c r="A153" s="3"/>
      <c r="B153" s="45"/>
      <c r="C153" s="45"/>
      <c r="D153" s="45"/>
      <c r="E153" s="45"/>
    </row>
    <row r="154" spans="1:5" s="1" customFormat="1">
      <c r="A154" s="3"/>
      <c r="B154" s="45"/>
      <c r="C154" s="45"/>
      <c r="D154" s="45"/>
      <c r="E154" s="45"/>
    </row>
    <row r="155" spans="1:5" s="1" customFormat="1">
      <c r="A155" s="3"/>
      <c r="B155" s="45"/>
      <c r="C155" s="45"/>
      <c r="D155" s="45"/>
      <c r="E155" s="45"/>
    </row>
    <row r="156" spans="1:5" s="1" customFormat="1">
      <c r="A156" s="3"/>
      <c r="B156" s="45"/>
      <c r="C156" s="45"/>
      <c r="D156" s="45"/>
      <c r="E156" s="45"/>
    </row>
    <row r="157" spans="1:5" s="1" customFormat="1">
      <c r="A157" s="3"/>
      <c r="B157" s="45"/>
      <c r="C157" s="45"/>
      <c r="D157" s="45"/>
      <c r="E157" s="45"/>
    </row>
    <row r="158" spans="1:5" s="1" customFormat="1">
      <c r="A158" s="3"/>
      <c r="B158" s="45"/>
      <c r="C158" s="45"/>
      <c r="D158" s="45"/>
      <c r="E158" s="45"/>
    </row>
    <row r="159" spans="1:5" s="1" customFormat="1">
      <c r="A159" s="3"/>
      <c r="B159" s="45"/>
      <c r="C159" s="45"/>
      <c r="D159" s="45"/>
      <c r="E159" s="45"/>
    </row>
    <row r="160" spans="1:5" s="1" customFormat="1">
      <c r="A160" s="3"/>
      <c r="B160" s="45"/>
      <c r="C160" s="45"/>
      <c r="D160" s="45"/>
      <c r="E160" s="45"/>
    </row>
    <row r="161" spans="1:5" s="1" customFormat="1">
      <c r="A161" s="3"/>
      <c r="B161" s="45"/>
      <c r="C161" s="45"/>
      <c r="D161" s="45"/>
      <c r="E161" s="45"/>
    </row>
    <row r="162" spans="1:5" s="1" customFormat="1">
      <c r="A162" s="3"/>
      <c r="B162" s="45"/>
      <c r="C162" s="45"/>
      <c r="D162" s="45"/>
      <c r="E162" s="45"/>
    </row>
    <row r="163" spans="1:5" s="1" customFormat="1">
      <c r="A163" s="3"/>
      <c r="B163" s="45"/>
      <c r="C163" s="45"/>
      <c r="D163" s="45"/>
      <c r="E163" s="45"/>
    </row>
    <row r="164" spans="1:5" s="1" customFormat="1">
      <c r="A164" s="3"/>
      <c r="B164" s="45"/>
      <c r="C164" s="45"/>
      <c r="D164" s="45"/>
      <c r="E164" s="45"/>
    </row>
    <row r="165" spans="1:5" s="1" customFormat="1">
      <c r="A165" s="3"/>
      <c r="B165" s="45"/>
      <c r="C165" s="45"/>
      <c r="D165" s="45"/>
      <c r="E165" s="45"/>
    </row>
    <row r="166" spans="1:5" s="1" customFormat="1">
      <c r="A166" s="3"/>
      <c r="B166" s="45"/>
      <c r="C166" s="45"/>
      <c r="D166" s="45"/>
      <c r="E166" s="45"/>
    </row>
    <row r="167" spans="1:5" s="1" customFormat="1">
      <c r="A167" s="3"/>
      <c r="B167" s="45"/>
      <c r="C167" s="45"/>
      <c r="D167" s="45"/>
      <c r="E167" s="45"/>
    </row>
    <row r="168" spans="1:5" s="1" customFormat="1">
      <c r="A168" s="3"/>
      <c r="B168" s="45"/>
      <c r="C168" s="45"/>
      <c r="D168" s="45"/>
      <c r="E168" s="45"/>
    </row>
    <row r="169" spans="1:5" s="1" customFormat="1">
      <c r="A169" s="3"/>
      <c r="B169" s="45"/>
      <c r="C169" s="45"/>
      <c r="D169" s="45"/>
      <c r="E169" s="45"/>
    </row>
    <row r="170" spans="1:5" s="1" customFormat="1">
      <c r="A170" s="3"/>
      <c r="B170" s="45"/>
      <c r="C170" s="45"/>
      <c r="D170" s="45"/>
      <c r="E170" s="45"/>
    </row>
    <row r="171" spans="1:5" s="1" customFormat="1">
      <c r="A171" s="3"/>
      <c r="B171" s="45"/>
      <c r="C171" s="45"/>
      <c r="D171" s="45"/>
      <c r="E171" s="45"/>
    </row>
    <row r="172" spans="1:5" s="1" customFormat="1">
      <c r="A172" s="3"/>
      <c r="B172" s="45"/>
      <c r="C172" s="45"/>
      <c r="D172" s="45"/>
      <c r="E172" s="45"/>
    </row>
    <row r="173" spans="1:5" s="1" customFormat="1">
      <c r="A173" s="3"/>
      <c r="B173" s="45"/>
      <c r="C173" s="45"/>
      <c r="D173" s="45"/>
      <c r="E173" s="45"/>
    </row>
    <row r="174" spans="1:5" s="1" customFormat="1">
      <c r="A174" s="3"/>
      <c r="B174" s="45"/>
      <c r="C174" s="45"/>
      <c r="D174" s="45"/>
      <c r="E174" s="45"/>
    </row>
    <row r="175" spans="1:5" s="1" customFormat="1">
      <c r="A175" s="3"/>
      <c r="B175" s="45"/>
      <c r="C175" s="45"/>
      <c r="D175" s="45"/>
      <c r="E175" s="45"/>
    </row>
    <row r="176" spans="1:5" s="1" customFormat="1">
      <c r="A176" s="3"/>
      <c r="B176" s="45"/>
      <c r="C176" s="45"/>
      <c r="D176" s="45"/>
      <c r="E176" s="45"/>
    </row>
    <row r="177" spans="1:5" s="1" customFormat="1">
      <c r="A177" s="3"/>
      <c r="B177" s="45"/>
      <c r="C177" s="45"/>
      <c r="D177" s="45"/>
      <c r="E177" s="45"/>
    </row>
    <row r="178" spans="1:5" s="1" customFormat="1">
      <c r="A178" s="3"/>
      <c r="B178" s="45"/>
      <c r="C178" s="45"/>
      <c r="D178" s="45"/>
      <c r="E178" s="45"/>
    </row>
    <row r="179" spans="1:5" s="1" customFormat="1">
      <c r="A179" s="3"/>
      <c r="B179" s="45"/>
      <c r="C179" s="45"/>
      <c r="D179" s="45"/>
      <c r="E179" s="45"/>
    </row>
    <row r="180" spans="1:5" s="1" customFormat="1">
      <c r="A180" s="3"/>
      <c r="B180" s="45"/>
      <c r="C180" s="45"/>
      <c r="D180" s="45"/>
      <c r="E180" s="45"/>
    </row>
    <row r="181" spans="1:5" s="1" customFormat="1">
      <c r="A181" s="3"/>
      <c r="B181" s="45"/>
      <c r="C181" s="45"/>
      <c r="D181" s="45"/>
      <c r="E181" s="45"/>
    </row>
    <row r="182" spans="1:5" s="1" customFormat="1">
      <c r="A182" s="3"/>
      <c r="B182" s="45"/>
      <c r="C182" s="45"/>
      <c r="D182" s="45"/>
      <c r="E182" s="45"/>
    </row>
    <row r="183" spans="1:5" s="1" customFormat="1">
      <c r="A183" s="3"/>
      <c r="B183" s="45"/>
      <c r="C183" s="45"/>
      <c r="D183" s="45"/>
      <c r="E183" s="45"/>
    </row>
    <row r="184" spans="1:5" s="1" customFormat="1">
      <c r="A184" s="3"/>
      <c r="B184" s="45"/>
      <c r="C184" s="45"/>
      <c r="D184" s="45"/>
      <c r="E184" s="45"/>
    </row>
    <row r="185" spans="1:5" s="1" customFormat="1">
      <c r="A185" s="3"/>
      <c r="B185" s="45"/>
      <c r="C185" s="45"/>
      <c r="D185" s="45"/>
      <c r="E185" s="45"/>
    </row>
    <row r="186" spans="1:5" s="1" customFormat="1">
      <c r="A186" s="3"/>
      <c r="B186" s="45"/>
      <c r="C186" s="45"/>
      <c r="D186" s="45"/>
      <c r="E186" s="45"/>
    </row>
    <row r="187" spans="1:5" s="1" customFormat="1">
      <c r="A187" s="3"/>
      <c r="B187" s="45"/>
      <c r="C187" s="45"/>
      <c r="D187" s="45"/>
      <c r="E187" s="45"/>
    </row>
    <row r="188" spans="1:5" s="1" customFormat="1">
      <c r="A188" s="3"/>
      <c r="B188" s="45"/>
      <c r="C188" s="45"/>
      <c r="D188" s="45"/>
      <c r="E188" s="45"/>
    </row>
    <row r="189" spans="1:5" s="1" customFormat="1">
      <c r="A189" s="3"/>
      <c r="B189" s="45"/>
      <c r="C189" s="45"/>
      <c r="D189" s="45"/>
      <c r="E189" s="45"/>
    </row>
    <row r="190" spans="1:5" s="1" customFormat="1">
      <c r="A190" s="3"/>
      <c r="B190" s="45"/>
      <c r="C190" s="45"/>
      <c r="D190" s="45"/>
      <c r="E190" s="45"/>
    </row>
    <row r="191" spans="1:5" s="1" customFormat="1">
      <c r="A191" s="3"/>
      <c r="B191" s="45"/>
      <c r="C191" s="45"/>
      <c r="D191" s="45"/>
      <c r="E191" s="45"/>
    </row>
    <row r="192" spans="1:5" s="1" customFormat="1">
      <c r="A192" s="3"/>
      <c r="B192" s="45"/>
      <c r="C192" s="45"/>
      <c r="D192" s="45"/>
      <c r="E192" s="45"/>
    </row>
    <row r="193" spans="1:5" s="1" customFormat="1">
      <c r="A193" s="3"/>
      <c r="B193" s="45"/>
      <c r="C193" s="45"/>
      <c r="D193" s="45"/>
      <c r="E193" s="45"/>
    </row>
    <row r="194" spans="1:5" s="1" customFormat="1">
      <c r="A194" s="3"/>
      <c r="B194" s="45"/>
      <c r="C194" s="45"/>
      <c r="D194" s="45"/>
      <c r="E194" s="45"/>
    </row>
    <row r="195" spans="1:5" s="1" customFormat="1">
      <c r="A195" s="3"/>
      <c r="B195" s="45"/>
      <c r="C195" s="45"/>
      <c r="D195" s="45"/>
      <c r="E195" s="45"/>
    </row>
    <row r="196" spans="1:5" s="1" customFormat="1">
      <c r="A196" s="3"/>
      <c r="B196" s="45"/>
      <c r="C196" s="45"/>
      <c r="D196" s="45"/>
      <c r="E196" s="45"/>
    </row>
    <row r="197" spans="1:5" s="1" customFormat="1">
      <c r="A197" s="3"/>
      <c r="B197" s="45"/>
      <c r="C197" s="45"/>
      <c r="D197" s="45"/>
      <c r="E197" s="45"/>
    </row>
    <row r="198" spans="1:5" s="1" customFormat="1">
      <c r="A198" s="3"/>
      <c r="B198" s="45"/>
      <c r="C198" s="45"/>
      <c r="D198" s="45"/>
      <c r="E198" s="45"/>
    </row>
    <row r="199" spans="1:5" s="1" customFormat="1">
      <c r="A199" s="3"/>
      <c r="B199" s="45"/>
      <c r="C199" s="45"/>
      <c r="D199" s="45"/>
      <c r="E199" s="45"/>
    </row>
    <row r="200" spans="1:5" s="1" customFormat="1">
      <c r="A200" s="3"/>
      <c r="B200" s="45"/>
      <c r="C200" s="45"/>
      <c r="D200" s="45"/>
      <c r="E200" s="45"/>
    </row>
    <row r="201" spans="1:5" s="1" customFormat="1">
      <c r="A201" s="3"/>
      <c r="B201" s="45"/>
      <c r="C201" s="45"/>
      <c r="D201" s="45"/>
      <c r="E201" s="45"/>
    </row>
    <row r="202" spans="1:5" s="1" customFormat="1">
      <c r="A202" s="3"/>
      <c r="B202" s="45"/>
      <c r="C202" s="45"/>
      <c r="D202" s="45"/>
      <c r="E202" s="45"/>
    </row>
    <row r="203" spans="1:5" s="1" customFormat="1">
      <c r="A203" s="3"/>
      <c r="B203" s="45"/>
      <c r="C203" s="45"/>
      <c r="D203" s="45"/>
      <c r="E203" s="45"/>
    </row>
    <row r="204" spans="1:5" s="1" customFormat="1">
      <c r="A204" s="3"/>
      <c r="B204" s="45"/>
      <c r="C204" s="45"/>
      <c r="D204" s="45"/>
      <c r="E204" s="45"/>
    </row>
    <row r="205" spans="1:5" s="1" customFormat="1">
      <c r="A205" s="3"/>
      <c r="B205" s="45"/>
      <c r="C205" s="45"/>
      <c r="D205" s="45"/>
      <c r="E205" s="45"/>
    </row>
    <row r="206" spans="1:5" s="1" customFormat="1">
      <c r="A206" s="3"/>
      <c r="B206" s="45"/>
      <c r="C206" s="45"/>
      <c r="D206" s="45"/>
      <c r="E206" s="45"/>
    </row>
    <row r="207" spans="1:5" s="1" customFormat="1">
      <c r="A207" s="3"/>
      <c r="B207" s="45"/>
      <c r="C207" s="45"/>
      <c r="D207" s="45"/>
      <c r="E207" s="45"/>
    </row>
    <row r="208" spans="1:5" s="1" customFormat="1">
      <c r="A208" s="3"/>
      <c r="B208" s="45"/>
      <c r="C208" s="45"/>
      <c r="D208" s="45"/>
      <c r="E208" s="45"/>
    </row>
    <row r="209" spans="1:5" s="1" customFormat="1">
      <c r="A209" s="3"/>
      <c r="B209" s="45"/>
      <c r="C209" s="45"/>
      <c r="D209" s="45"/>
      <c r="E209" s="45"/>
    </row>
    <row r="210" spans="1:5" s="1" customFormat="1">
      <c r="A210" s="3"/>
      <c r="B210" s="45"/>
      <c r="C210" s="45"/>
      <c r="D210" s="45"/>
      <c r="E210" s="45"/>
    </row>
    <row r="211" spans="1:5" s="1" customFormat="1">
      <c r="A211" s="3"/>
      <c r="B211" s="45"/>
      <c r="C211" s="45"/>
      <c r="D211" s="45"/>
      <c r="E211" s="45"/>
    </row>
    <row r="212" spans="1:5" s="1" customFormat="1">
      <c r="A212" s="3"/>
      <c r="B212" s="45"/>
      <c r="C212" s="45"/>
      <c r="D212" s="45"/>
      <c r="E212" s="45"/>
    </row>
    <row r="213" spans="1:5" s="1" customFormat="1">
      <c r="A213" s="3"/>
      <c r="B213" s="45"/>
      <c r="C213" s="45"/>
      <c r="D213" s="45"/>
      <c r="E213" s="45"/>
    </row>
    <row r="214" spans="1:5" s="1" customFormat="1">
      <c r="A214" s="3"/>
      <c r="B214" s="45"/>
      <c r="C214" s="45"/>
      <c r="D214" s="45"/>
      <c r="E214" s="45"/>
    </row>
    <row r="215" spans="1:5" s="1" customFormat="1">
      <c r="A215" s="3"/>
      <c r="B215" s="45"/>
      <c r="C215" s="45"/>
      <c r="D215" s="45"/>
      <c r="E215" s="45"/>
    </row>
    <row r="216" spans="1:5" s="1" customFormat="1">
      <c r="A216" s="3"/>
      <c r="B216" s="45"/>
      <c r="C216" s="45"/>
      <c r="D216" s="45"/>
      <c r="E216" s="45"/>
    </row>
    <row r="217" spans="1:5" s="1" customFormat="1">
      <c r="A217" s="3"/>
      <c r="B217" s="45"/>
      <c r="C217" s="45"/>
      <c r="D217" s="45"/>
      <c r="E217" s="45"/>
    </row>
    <row r="218" spans="1:5" s="1" customFormat="1">
      <c r="A218" s="3"/>
      <c r="B218" s="45"/>
      <c r="C218" s="45"/>
      <c r="D218" s="45"/>
      <c r="E218" s="45"/>
    </row>
    <row r="219" spans="1:5" s="1" customFormat="1">
      <c r="A219" s="3"/>
      <c r="B219" s="45"/>
      <c r="C219" s="45"/>
      <c r="D219" s="45"/>
      <c r="E219" s="45"/>
    </row>
    <row r="220" spans="1:5" s="1" customFormat="1">
      <c r="A220" s="3"/>
      <c r="B220" s="45"/>
      <c r="C220" s="45"/>
      <c r="D220" s="45"/>
      <c r="E220" s="45"/>
    </row>
    <row r="221" spans="1:5" s="1" customFormat="1">
      <c r="A221" s="3"/>
      <c r="B221" s="45"/>
      <c r="C221" s="45"/>
      <c r="D221" s="45"/>
      <c r="E221" s="45"/>
    </row>
    <row r="222" spans="1:5" s="1" customFormat="1">
      <c r="A222" s="3"/>
      <c r="B222" s="45"/>
      <c r="C222" s="45"/>
      <c r="D222" s="45"/>
      <c r="E222" s="45"/>
    </row>
    <row r="223" spans="1:5" s="1" customFormat="1">
      <c r="A223" s="3"/>
      <c r="B223" s="45"/>
      <c r="C223" s="45"/>
      <c r="D223" s="45"/>
      <c r="E223" s="45"/>
    </row>
    <row r="224" spans="1:5" s="1" customFormat="1">
      <c r="A224" s="3"/>
      <c r="B224" s="45"/>
      <c r="C224" s="45"/>
      <c r="D224" s="45"/>
      <c r="E224" s="45"/>
    </row>
    <row r="225" spans="1:5" s="1" customFormat="1">
      <c r="A225" s="3"/>
      <c r="B225" s="45"/>
      <c r="C225" s="45"/>
      <c r="D225" s="45"/>
      <c r="E225" s="45"/>
    </row>
    <row r="226" spans="1:5" s="1" customFormat="1">
      <c r="A226" s="3"/>
      <c r="B226" s="45"/>
      <c r="C226" s="45"/>
      <c r="D226" s="45"/>
      <c r="E226" s="45"/>
    </row>
    <row r="227" spans="1:5" s="1" customFormat="1">
      <c r="A227" s="3"/>
      <c r="B227" s="45"/>
      <c r="C227" s="45"/>
      <c r="D227" s="45"/>
      <c r="E227" s="45"/>
    </row>
    <row r="228" spans="1:5" s="1" customFormat="1">
      <c r="A228" s="3"/>
      <c r="B228" s="45"/>
      <c r="C228" s="45"/>
      <c r="D228" s="45"/>
      <c r="E228" s="45"/>
    </row>
    <row r="229" spans="1:5" s="1" customFormat="1">
      <c r="A229" s="3"/>
      <c r="B229" s="45"/>
      <c r="C229" s="45"/>
      <c r="D229" s="45"/>
      <c r="E229" s="45"/>
    </row>
    <row r="230" spans="1:5" s="1" customFormat="1">
      <c r="A230" s="3"/>
      <c r="B230" s="45"/>
      <c r="C230" s="45"/>
      <c r="D230" s="45"/>
      <c r="E230" s="45"/>
    </row>
    <row r="231" spans="1:5" s="1" customFormat="1">
      <c r="A231" s="3"/>
      <c r="B231" s="45"/>
      <c r="C231" s="45"/>
      <c r="D231" s="45"/>
      <c r="E231" s="45"/>
    </row>
    <row r="232" spans="1:5" s="1" customFormat="1">
      <c r="A232" s="3"/>
      <c r="B232" s="45"/>
      <c r="C232" s="45"/>
      <c r="D232" s="45"/>
      <c r="E232" s="45"/>
    </row>
    <row r="233" spans="1:5" s="1" customFormat="1">
      <c r="A233" s="3"/>
      <c r="B233" s="45"/>
      <c r="C233" s="45"/>
      <c r="D233" s="45"/>
      <c r="E233" s="45"/>
    </row>
    <row r="234" spans="1:5" s="1" customFormat="1">
      <c r="A234" s="3"/>
      <c r="B234" s="45"/>
      <c r="C234" s="45"/>
      <c r="D234" s="45"/>
      <c r="E234" s="45"/>
    </row>
    <row r="235" spans="1:5" s="1" customFormat="1">
      <c r="A235" s="3"/>
      <c r="B235" s="45"/>
      <c r="C235" s="45"/>
      <c r="D235" s="45"/>
      <c r="E235" s="45"/>
    </row>
    <row r="236" spans="1:5" s="1" customFormat="1">
      <c r="A236" s="3"/>
      <c r="B236" s="45"/>
      <c r="C236" s="45"/>
      <c r="D236" s="45"/>
      <c r="E236" s="45"/>
    </row>
    <row r="237" spans="1:5" s="1" customFormat="1">
      <c r="A237" s="3"/>
      <c r="B237" s="45"/>
      <c r="C237" s="45"/>
      <c r="D237" s="45"/>
      <c r="E237" s="45"/>
    </row>
    <row r="238" spans="1:5" s="1" customFormat="1">
      <c r="A238" s="3"/>
      <c r="B238" s="45"/>
      <c r="C238" s="45"/>
      <c r="D238" s="45"/>
      <c r="E238" s="45"/>
    </row>
    <row r="239" spans="1:5" s="1" customFormat="1">
      <c r="A239" s="3"/>
      <c r="B239" s="45"/>
      <c r="C239" s="45"/>
      <c r="D239" s="45"/>
      <c r="E239" s="45"/>
    </row>
    <row r="240" spans="1:5" s="1" customFormat="1">
      <c r="A240" s="3"/>
      <c r="B240" s="45"/>
      <c r="C240" s="45"/>
      <c r="D240" s="45"/>
      <c r="E240" s="45"/>
    </row>
  </sheetData>
  <mergeCells count="2">
    <mergeCell ref="A1:A2"/>
    <mergeCell ref="B1:F1"/>
  </mergeCells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CC00FF"/>
  </sheetPr>
  <dimension ref="A1:AP240"/>
  <sheetViews>
    <sheetView workbookViewId="0">
      <selection activeCell="I3" sqref="I3"/>
    </sheetView>
  </sheetViews>
  <sheetFormatPr defaultColWidth="8.85546875" defaultRowHeight="15"/>
  <cols>
    <col min="1" max="1" width="23" style="358" customWidth="1"/>
    <col min="2" max="5" width="12.7109375" style="395" bestFit="1" customWidth="1"/>
    <col min="6" max="6" width="12.7109375" style="1" bestFit="1" customWidth="1"/>
    <col min="7" max="7" width="23" style="358" customWidth="1"/>
    <col min="8" max="11" width="11.140625" style="395" bestFit="1" customWidth="1"/>
    <col min="12" max="42" width="8.85546875" style="1"/>
  </cols>
  <sheetData>
    <row r="1" spans="1:12">
      <c r="A1" s="1040" t="s">
        <v>44</v>
      </c>
      <c r="B1" s="1042" t="s">
        <v>493</v>
      </c>
      <c r="C1" s="1043"/>
      <c r="D1" s="1043"/>
      <c r="E1" s="1043"/>
      <c r="F1" s="1044"/>
      <c r="G1" s="1040" t="s">
        <v>44</v>
      </c>
      <c r="H1" s="1042" t="s">
        <v>494</v>
      </c>
      <c r="I1" s="1043"/>
      <c r="J1" s="1043"/>
      <c r="K1" s="1043"/>
      <c r="L1" s="1044"/>
    </row>
    <row r="2" spans="1:12" ht="15.75" thickBot="1">
      <c r="A2" s="1041"/>
      <c r="B2" s="602">
        <v>2004</v>
      </c>
      <c r="C2" s="599">
        <v>2005</v>
      </c>
      <c r="D2" s="599">
        <v>2006</v>
      </c>
      <c r="E2" s="599">
        <v>2007</v>
      </c>
      <c r="F2" s="603">
        <v>2008</v>
      </c>
      <c r="G2" s="1041"/>
      <c r="H2" s="602">
        <v>2004</v>
      </c>
      <c r="I2" s="599">
        <v>2005</v>
      </c>
      <c r="J2" s="599">
        <v>2006</v>
      </c>
      <c r="K2" s="599">
        <v>2007</v>
      </c>
      <c r="L2" s="603">
        <v>2008</v>
      </c>
    </row>
    <row r="3" spans="1:12" ht="15.75" thickBot="1">
      <c r="A3" s="593" t="s">
        <v>11</v>
      </c>
      <c r="B3" s="604">
        <f>DEN!B3</f>
        <v>55425491</v>
      </c>
      <c r="C3" s="600">
        <f>DEN!B39</f>
        <v>60353707</v>
      </c>
      <c r="D3" s="600">
        <f>DEN!B75</f>
        <v>65926956</v>
      </c>
      <c r="E3" s="600">
        <f>DEN!B111</f>
        <v>71395538</v>
      </c>
      <c r="F3" s="605">
        <f>DEN!B147</f>
        <v>81600729</v>
      </c>
      <c r="G3" s="593" t="s">
        <v>11</v>
      </c>
      <c r="H3" s="799">
        <f>B3/POP!B3</f>
        <v>0.28945680236913268</v>
      </c>
      <c r="I3" s="799">
        <f>C3/POP!C3</f>
        <v>0.31639251501863908</v>
      </c>
      <c r="J3" s="604" t="e">
        <f>D3/POP!D3</f>
        <v>#DIV/0!</v>
      </c>
      <c r="K3" s="604" t="e">
        <f>E3/POP!E3</f>
        <v>#DIV/0!</v>
      </c>
      <c r="L3" s="604" t="e">
        <f>F3/POP!F3</f>
        <v>#DIV/0!</v>
      </c>
    </row>
    <row r="4" spans="1:12" ht="15.75" thickBot="1">
      <c r="A4" s="594" t="s">
        <v>46</v>
      </c>
      <c r="B4" s="604">
        <f>DEN!B4</f>
        <v>2287336</v>
      </c>
      <c r="C4" s="600">
        <f>DEN!B40</f>
        <v>2595088</v>
      </c>
      <c r="D4" s="600">
        <f>DEN!B76</f>
        <v>2949022</v>
      </c>
      <c r="E4" s="600">
        <f>DEN!B112</f>
        <v>3299153</v>
      </c>
      <c r="F4" s="605">
        <f>DEN!B148</f>
        <v>3938475</v>
      </c>
      <c r="G4" s="594" t="s">
        <v>46</v>
      </c>
      <c r="H4" s="604">
        <f>B4/POP!B4</f>
        <v>0.14891854596899864</v>
      </c>
      <c r="I4" s="604">
        <f>C4/POP!C4</f>
        <v>0.1635787780657311</v>
      </c>
      <c r="J4" s="604" t="e">
        <f>D4/POP!D4</f>
        <v>#DIV/0!</v>
      </c>
      <c r="K4" s="604" t="e">
        <f>E4/POP!E4</f>
        <v>#DIV/0!</v>
      </c>
      <c r="L4" s="604" t="e">
        <f>F4/POP!F4</f>
        <v>#DIV/0!</v>
      </c>
    </row>
    <row r="5" spans="1:12">
      <c r="A5" s="595" t="s">
        <v>47</v>
      </c>
      <c r="B5" s="606">
        <f>DEN!B5</f>
        <v>117531</v>
      </c>
      <c r="C5" s="601">
        <f>DEN!B41</f>
        <v>137635</v>
      </c>
      <c r="D5" s="601">
        <f>DEN!B77</f>
        <v>158276</v>
      </c>
      <c r="E5" s="601">
        <f>DEN!B113</f>
        <v>176510</v>
      </c>
      <c r="F5" s="609">
        <f>DEN!B149</f>
        <v>205777</v>
      </c>
      <c r="G5" s="595" t="s">
        <v>47</v>
      </c>
      <c r="H5" s="606">
        <f>B5/POP!B5</f>
        <v>0.170046689015277</v>
      </c>
      <c r="I5" s="606">
        <f>C5/POP!C5</f>
        <v>0.18762635316314025</v>
      </c>
      <c r="J5" s="606" t="e">
        <f>D5/POP!D5</f>
        <v>#DIV/0!</v>
      </c>
      <c r="K5" s="606" t="e">
        <f>E5/POP!E5</f>
        <v>#DIV/0!</v>
      </c>
      <c r="L5" s="606" t="e">
        <f>F5/POP!F5</f>
        <v>#DIV/0!</v>
      </c>
    </row>
    <row r="6" spans="1:12">
      <c r="A6" s="596" t="s">
        <v>48</v>
      </c>
      <c r="B6" s="606">
        <f>DEN!B6</f>
        <v>91919</v>
      </c>
      <c r="C6" s="601">
        <f>DEN!B42</f>
        <v>105185</v>
      </c>
      <c r="D6" s="601">
        <f>DEN!B78</f>
        <v>121371</v>
      </c>
      <c r="E6" s="601">
        <f>DEN!B114</f>
        <v>133565</v>
      </c>
      <c r="F6" s="609">
        <f>DEN!B150</f>
        <v>152634</v>
      </c>
      <c r="G6" s="596" t="s">
        <v>48</v>
      </c>
      <c r="H6" s="606">
        <f>B6/POP!B6</f>
        <v>0.14669322238659957</v>
      </c>
      <c r="I6" s="606">
        <f>C6/POP!C6</f>
        <v>0.15710368230658706</v>
      </c>
      <c r="J6" s="606" t="e">
        <f>D6/POP!D6</f>
        <v>#DIV/0!</v>
      </c>
      <c r="K6" s="606" t="e">
        <f>E6/POP!E6</f>
        <v>#DIV/0!</v>
      </c>
      <c r="L6" s="606" t="e">
        <f>F6/POP!F6</f>
        <v>#DIV/0!</v>
      </c>
    </row>
    <row r="7" spans="1:12">
      <c r="A7" s="596" t="s">
        <v>49</v>
      </c>
      <c r="B7" s="606">
        <f>DEN!B7</f>
        <v>436549</v>
      </c>
      <c r="C7" s="601">
        <f>DEN!B43</f>
        <v>487742</v>
      </c>
      <c r="D7" s="601">
        <f>DEN!B79</f>
        <v>545843</v>
      </c>
      <c r="E7" s="601">
        <f>DEN!B115</f>
        <v>599957</v>
      </c>
      <c r="F7" s="609">
        <f>DEN!B151</f>
        <v>700849</v>
      </c>
      <c r="G7" s="596" t="s">
        <v>49</v>
      </c>
      <c r="H7" s="606">
        <f>B7/POP!B7</f>
        <v>0.12864812043059426</v>
      </c>
      <c r="I7" s="606">
        <f>C7/POP!C7</f>
        <v>0.13999543626048908</v>
      </c>
      <c r="J7" s="606" t="e">
        <f>D7/POP!D7</f>
        <v>#DIV/0!</v>
      </c>
      <c r="K7" s="606" t="e">
        <f>E7/POP!E7</f>
        <v>#DIV/0!</v>
      </c>
      <c r="L7" s="606" t="e">
        <f>F7/POP!F7</f>
        <v>#DIV/0!</v>
      </c>
    </row>
    <row r="8" spans="1:12">
      <c r="A8" s="596" t="s">
        <v>50</v>
      </c>
      <c r="B8" s="606">
        <f>DEN!B8</f>
        <v>771424</v>
      </c>
      <c r="C8" s="601">
        <f>DEN!B44</f>
        <v>881340</v>
      </c>
      <c r="D8" s="601">
        <f>DEN!B80</f>
        <v>1011463</v>
      </c>
      <c r="E8" s="601">
        <f>DEN!B116</f>
        <v>1155780</v>
      </c>
      <c r="F8" s="609">
        <f>DEN!B152</f>
        <v>1428355</v>
      </c>
      <c r="G8" s="596" t="s">
        <v>50</v>
      </c>
      <c r="H8" s="606">
        <f>B8/POP!B8</f>
        <v>0.10381102728406424</v>
      </c>
      <c r="I8" s="606">
        <f>C8/POP!C8</f>
        <v>0.11625564845824148</v>
      </c>
      <c r="J8" s="606" t="e">
        <f>D8/POP!D8</f>
        <v>#DIV/0!</v>
      </c>
      <c r="K8" s="606" t="e">
        <f>E8/POP!E8</f>
        <v>#DIV/0!</v>
      </c>
      <c r="L8" s="606" t="e">
        <f>F8/POP!F8</f>
        <v>#DIV/0!</v>
      </c>
    </row>
    <row r="9" spans="1:12">
      <c r="A9" s="596" t="s">
        <v>51</v>
      </c>
      <c r="B9" s="606">
        <f>DEN!B9</f>
        <v>445852</v>
      </c>
      <c r="C9" s="601">
        <f>DEN!B45</f>
        <v>509685</v>
      </c>
      <c r="D9" s="601">
        <f>DEN!B81</f>
        <v>582483</v>
      </c>
      <c r="E9" s="601">
        <f>DEN!B117</f>
        <v>649058</v>
      </c>
      <c r="F9" s="609">
        <f>DEN!B153</f>
        <v>758308</v>
      </c>
      <c r="G9" s="596" t="s">
        <v>51</v>
      </c>
      <c r="H9" s="606">
        <f>B9/POP!B9</f>
        <v>0.29646169221449942</v>
      </c>
      <c r="I9" s="606">
        <f>C9/POP!C9</f>
        <v>0.32621739890131202</v>
      </c>
      <c r="J9" s="606" t="e">
        <f>D9/POP!D9</f>
        <v>#DIV/0!</v>
      </c>
      <c r="K9" s="606" t="e">
        <f>E9/POP!E9</f>
        <v>#DIV/0!</v>
      </c>
      <c r="L9" s="606" t="e">
        <f>F9/POP!F9</f>
        <v>#DIV/0!</v>
      </c>
    </row>
    <row r="10" spans="1:12">
      <c r="A10" s="596" t="s">
        <v>52</v>
      </c>
      <c r="B10" s="606">
        <f>DEN!B10</f>
        <v>101415</v>
      </c>
      <c r="C10" s="601">
        <f>DEN!B46</f>
        <v>115157</v>
      </c>
      <c r="D10" s="601">
        <f>DEN!B82</f>
        <v>129828</v>
      </c>
      <c r="E10" s="601">
        <f>DEN!B118</f>
        <v>143344</v>
      </c>
      <c r="F10" s="609">
        <f>DEN!B154</f>
        <v>165339</v>
      </c>
      <c r="G10" s="596" t="s">
        <v>52</v>
      </c>
      <c r="H10" s="606">
        <f>B10/POP!B10</f>
        <v>0.24060669470957088</v>
      </c>
      <c r="I10" s="606">
        <f>C10/POP!C10</f>
        <v>0.25563233802241614</v>
      </c>
      <c r="J10" s="606" t="e">
        <f>D10/POP!D10</f>
        <v>#DIV/0!</v>
      </c>
      <c r="K10" s="606" t="e">
        <f>E10/POP!E10</f>
        <v>#DIV/0!</v>
      </c>
      <c r="L10" s="606" t="e">
        <f>F10/POP!F10</f>
        <v>#DIV/0!</v>
      </c>
    </row>
    <row r="11" spans="1:12" ht="15.75" thickBot="1">
      <c r="A11" s="597" t="s">
        <v>53</v>
      </c>
      <c r="B11" s="606">
        <f>DEN!B11</f>
        <v>322646</v>
      </c>
      <c r="C11" s="601">
        <f>DEN!B47</f>
        <v>358344</v>
      </c>
      <c r="D11" s="601">
        <f>DEN!B83</f>
        <v>399758</v>
      </c>
      <c r="E11" s="601">
        <f>DEN!B119</f>
        <v>440939</v>
      </c>
      <c r="F11" s="609">
        <f>DEN!B155</f>
        <v>527213</v>
      </c>
      <c r="G11" s="597" t="s">
        <v>53</v>
      </c>
      <c r="H11" s="606">
        <f>B11/POP!B11</f>
        <v>0.2497138297435961</v>
      </c>
      <c r="I11" s="606">
        <f>C11/POP!C11</f>
        <v>0.25902294634047612</v>
      </c>
      <c r="J11" s="606" t="e">
        <f>D11/POP!D11</f>
        <v>#DIV/0!</v>
      </c>
      <c r="K11" s="606" t="e">
        <f>E11/POP!E11</f>
        <v>#DIV/0!</v>
      </c>
      <c r="L11" s="606" t="e">
        <f>F11/POP!F11</f>
        <v>#DIV/0!</v>
      </c>
    </row>
    <row r="12" spans="1:12" ht="15.75" thickBot="1">
      <c r="A12" s="594" t="s">
        <v>54</v>
      </c>
      <c r="B12" s="604">
        <f>DEN!B12</f>
        <v>7642072</v>
      </c>
      <c r="C12" s="600">
        <f>DEN!B48</f>
        <v>8678624</v>
      </c>
      <c r="D12" s="600">
        <f>DEN!B84</f>
        <v>9896812</v>
      </c>
      <c r="E12" s="600">
        <f>DEN!B120</f>
        <v>11102987</v>
      </c>
      <c r="F12" s="605">
        <f>DEN!B156</f>
        <v>13126842</v>
      </c>
      <c r="G12" s="594" t="s">
        <v>54</v>
      </c>
      <c r="H12" s="604">
        <f>B12/POP!B12</f>
        <v>0.14259911856213822</v>
      </c>
      <c r="I12" s="604">
        <f>C12/POP!C12</f>
        <v>0.16349482262803081</v>
      </c>
      <c r="J12" s="604" t="e">
        <f>D12/POP!D12</f>
        <v>#DIV/0!</v>
      </c>
      <c r="K12" s="604" t="e">
        <f>E12/POP!E12</f>
        <v>#DIV/0!</v>
      </c>
      <c r="L12" s="604" t="e">
        <f>F12/POP!F12</f>
        <v>#DIV/0!</v>
      </c>
    </row>
    <row r="13" spans="1:12">
      <c r="A13" s="595" t="s">
        <v>55</v>
      </c>
      <c r="B13" s="606">
        <f>DEN!B13</f>
        <v>354528</v>
      </c>
      <c r="C13" s="601">
        <f>DEN!B49</f>
        <v>399517</v>
      </c>
      <c r="D13" s="601">
        <f>DEN!B85</f>
        <v>452417</v>
      </c>
      <c r="E13" s="601">
        <f>DEN!B121</f>
        <v>510128</v>
      </c>
      <c r="F13" s="609">
        <f>DEN!B157</f>
        <v>614566</v>
      </c>
      <c r="G13" s="595" t="s">
        <v>55</v>
      </c>
      <c r="H13" s="606">
        <f>B13/POP!B13</f>
        <v>0.11233100588352528</v>
      </c>
      <c r="I13" s="606">
        <f>C13/POP!C13</f>
        <v>0.12803004908838153</v>
      </c>
      <c r="J13" s="606" t="e">
        <f>D13/POP!D13</f>
        <v>#DIV/0!</v>
      </c>
      <c r="K13" s="606" t="e">
        <f>E13/POP!E13</f>
        <v>#DIV/0!</v>
      </c>
      <c r="L13" s="606" t="e">
        <f>F13/POP!F13</f>
        <v>#DIV/0!</v>
      </c>
    </row>
    <row r="14" spans="1:12">
      <c r="A14" s="596" t="s">
        <v>56</v>
      </c>
      <c r="B14" s="606">
        <f>DEN!B14</f>
        <v>1874803</v>
      </c>
      <c r="C14" s="601">
        <f>DEN!B50</f>
        <v>2123894</v>
      </c>
      <c r="D14" s="601">
        <f>DEN!B86</f>
        <v>2401032</v>
      </c>
      <c r="E14" s="601">
        <f>DEN!B122</f>
        <v>2668587</v>
      </c>
      <c r="F14" s="609">
        <f>DEN!B158</f>
        <v>3158326</v>
      </c>
      <c r="G14" s="596" t="s">
        <v>56</v>
      </c>
      <c r="H14" s="606">
        <f>B14/POP!B14</f>
        <v>0.12808218616567038</v>
      </c>
      <c r="I14" s="606">
        <f>C14/POP!C14</f>
        <v>0.15152373854829304</v>
      </c>
      <c r="J14" s="606" t="e">
        <f>D14/POP!D14</f>
        <v>#DIV/0!</v>
      </c>
      <c r="K14" s="606" t="e">
        <f>E14/POP!E14</f>
        <v>#DIV/0!</v>
      </c>
      <c r="L14" s="606" t="e">
        <f>F14/POP!F14</f>
        <v>#DIV/0!</v>
      </c>
    </row>
    <row r="15" spans="1:12">
      <c r="A15" s="596" t="s">
        <v>57</v>
      </c>
      <c r="B15" s="606">
        <f>DEN!B15</f>
        <v>1375834</v>
      </c>
      <c r="C15" s="601">
        <f>DEN!B51</f>
        <v>1564284</v>
      </c>
      <c r="D15" s="601">
        <f>DEN!B87</f>
        <v>1789913</v>
      </c>
      <c r="E15" s="601">
        <f>DEN!B123</f>
        <v>2012105</v>
      </c>
      <c r="F15" s="609">
        <f>DEN!B159</f>
        <v>2384395</v>
      </c>
      <c r="G15" s="596" t="s">
        <v>57</v>
      </c>
      <c r="H15" s="606">
        <f>B15/POP!B15</f>
        <v>0.16095861484016261</v>
      </c>
      <c r="I15" s="606">
        <f>C15/POP!C15</f>
        <v>0.18507021867566073</v>
      </c>
      <c r="J15" s="606" t="e">
        <f>D15/POP!D15</f>
        <v>#DIV/0!</v>
      </c>
      <c r="K15" s="606" t="e">
        <f>E15/POP!E15</f>
        <v>#DIV/0!</v>
      </c>
      <c r="L15" s="606" t="e">
        <f>F15/POP!F15</f>
        <v>#DIV/0!</v>
      </c>
    </row>
    <row r="16" spans="1:12">
      <c r="A16" s="596" t="s">
        <v>58</v>
      </c>
      <c r="B16" s="606">
        <f>DEN!B16</f>
        <v>600314</v>
      </c>
      <c r="C16" s="601">
        <f>DEN!B52</f>
        <v>710028</v>
      </c>
      <c r="D16" s="601">
        <f>DEN!B88</f>
        <v>856050</v>
      </c>
      <c r="E16" s="601">
        <f>DEN!B124</f>
        <v>993834</v>
      </c>
      <c r="F16" s="609">
        <f>DEN!B160</f>
        <v>1215478</v>
      </c>
      <c r="G16" s="596" t="s">
        <v>58</v>
      </c>
      <c r="H16" s="606">
        <f>B16/POP!B16</f>
        <v>9.4283576962927149E-2</v>
      </c>
      <c r="I16" s="606">
        <f>C16/POP!C16</f>
        <v>0.1079925150449695</v>
      </c>
      <c r="J16" s="606" t="e">
        <f>D16/POP!D16</f>
        <v>#DIV/0!</v>
      </c>
      <c r="K16" s="606" t="e">
        <f>E16/POP!E16</f>
        <v>#DIV/0!</v>
      </c>
      <c r="L16" s="606" t="e">
        <f>F16/POP!F16</f>
        <v>#DIV/0!</v>
      </c>
    </row>
    <row r="17" spans="1:12">
      <c r="A17" s="596" t="s">
        <v>59</v>
      </c>
      <c r="B17" s="606">
        <f>DEN!B17</f>
        <v>571161</v>
      </c>
      <c r="C17" s="601">
        <f>DEN!B53</f>
        <v>646689</v>
      </c>
      <c r="D17" s="601">
        <f>DEN!B89</f>
        <v>738358</v>
      </c>
      <c r="E17" s="601">
        <f>DEN!B125</f>
        <v>830028</v>
      </c>
      <c r="F17" s="609">
        <f>DEN!B161</f>
        <v>959085</v>
      </c>
      <c r="G17" s="596" t="s">
        <v>59</v>
      </c>
      <c r="H17" s="606">
        <f>B17/POP!B17</f>
        <v>0.15150344009502503</v>
      </c>
      <c r="I17" s="606">
        <f>C17/POP!C17</f>
        <v>0.17169366589070889</v>
      </c>
      <c r="J17" s="606" t="e">
        <f>D17/POP!D17</f>
        <v>#DIV/0!</v>
      </c>
      <c r="K17" s="606" t="e">
        <f>E17/POP!E17</f>
        <v>#DIV/0!</v>
      </c>
      <c r="L17" s="606" t="e">
        <f>F17/POP!F17</f>
        <v>#DIV/0!</v>
      </c>
    </row>
    <row r="18" spans="1:12">
      <c r="A18" s="596" t="s">
        <v>60</v>
      </c>
      <c r="B18" s="606">
        <f>DEN!B18</f>
        <v>1452102</v>
      </c>
      <c r="C18" s="601">
        <f>DEN!B54</f>
        <v>1632189</v>
      </c>
      <c r="D18" s="601">
        <f>DEN!B90</f>
        <v>1845035</v>
      </c>
      <c r="E18" s="601">
        <f>DEN!B126</f>
        <v>2057925</v>
      </c>
      <c r="F18" s="609">
        <f>DEN!B162</f>
        <v>2396738</v>
      </c>
      <c r="G18" s="596" t="s">
        <v>60</v>
      </c>
      <c r="H18" s="606">
        <f>B18/POP!B18</f>
        <v>0.16481834140379495</v>
      </c>
      <c r="I18" s="606">
        <f>C18/POP!C18</f>
        <v>0.18555091782501301</v>
      </c>
      <c r="J18" s="606" t="e">
        <f>D18/POP!D18</f>
        <v>#DIV/0!</v>
      </c>
      <c r="K18" s="606" t="e">
        <f>E18/POP!E18</f>
        <v>#DIV/0!</v>
      </c>
      <c r="L18" s="606" t="e">
        <f>F18/POP!F18</f>
        <v>#DIV/0!</v>
      </c>
    </row>
    <row r="19" spans="1:12">
      <c r="A19" s="596" t="s">
        <v>61</v>
      </c>
      <c r="B19" s="606">
        <f>DEN!B19</f>
        <v>461525</v>
      </c>
      <c r="C19" s="601">
        <f>DEN!B55</f>
        <v>533109</v>
      </c>
      <c r="D19" s="601">
        <f>DEN!B91</f>
        <v>616176</v>
      </c>
      <c r="E19" s="601">
        <f>DEN!B127</f>
        <v>705529</v>
      </c>
      <c r="F19" s="609">
        <f>DEN!B163</f>
        <v>855445</v>
      </c>
      <c r="G19" s="596" t="s">
        <v>61</v>
      </c>
      <c r="H19" s="606">
        <f>B19/POP!B19</f>
        <v>0.14674115562813259</v>
      </c>
      <c r="I19" s="606">
        <f>C19/POP!C19</f>
        <v>0.17095813183853051</v>
      </c>
      <c r="J19" s="606" t="e">
        <f>D19/POP!D19</f>
        <v>#DIV/0!</v>
      </c>
      <c r="K19" s="606" t="e">
        <f>E19/POP!E19</f>
        <v>#DIV/0!</v>
      </c>
      <c r="L19" s="606" t="e">
        <f>F19/POP!F19</f>
        <v>#DIV/0!</v>
      </c>
    </row>
    <row r="20" spans="1:12">
      <c r="A20" s="596" t="s">
        <v>62</v>
      </c>
      <c r="B20" s="606">
        <f>DEN!B20</f>
        <v>608622</v>
      </c>
      <c r="C20" s="601">
        <f>DEN!B56</f>
        <v>679382</v>
      </c>
      <c r="D20" s="601">
        <f>DEN!B92</f>
        <v>755824</v>
      </c>
      <c r="E20" s="601">
        <f>DEN!B128</f>
        <v>833409</v>
      </c>
      <c r="F20" s="609">
        <f>DEN!B164</f>
        <v>967299</v>
      </c>
      <c r="G20" s="596" t="s">
        <v>62</v>
      </c>
      <c r="H20" s="606">
        <f>B20/POP!B20</f>
        <v>0.19397408120610166</v>
      </c>
      <c r="I20" s="606">
        <f>C20/POP!C20</f>
        <v>0.21444956119376507</v>
      </c>
      <c r="J20" s="606" t="e">
        <f>D20/POP!D20</f>
        <v>#DIV/0!</v>
      </c>
      <c r="K20" s="606" t="e">
        <f>E20/POP!E20</f>
        <v>#DIV/0!</v>
      </c>
      <c r="L20" s="606" t="e">
        <f>F20/POP!F20</f>
        <v>#DIV/0!</v>
      </c>
    </row>
    <row r="21" spans="1:12" ht="15.75" thickBot="1">
      <c r="A21" s="597" t="s">
        <v>63</v>
      </c>
      <c r="B21" s="606">
        <f>DEN!B21</f>
        <v>343183</v>
      </c>
      <c r="C21" s="601">
        <f>DEN!B57</f>
        <v>389532</v>
      </c>
      <c r="D21" s="601">
        <f>DEN!B93</f>
        <v>442007</v>
      </c>
      <c r="E21" s="601">
        <f>DEN!B129</f>
        <v>491442</v>
      </c>
      <c r="F21" s="609">
        <f>DEN!B165</f>
        <v>575510</v>
      </c>
      <c r="G21" s="597" t="s">
        <v>63</v>
      </c>
      <c r="H21" s="606">
        <f>B21/POP!B21</f>
        <v>0.16991318253946641</v>
      </c>
      <c r="I21" s="606">
        <f>C21/POP!C21</f>
        <v>0.18836015371246947</v>
      </c>
      <c r="J21" s="606" t="e">
        <f>D21/POP!D21</f>
        <v>#DIV/0!</v>
      </c>
      <c r="K21" s="606" t="e">
        <f>E21/POP!E21</f>
        <v>#DIV/0!</v>
      </c>
      <c r="L21" s="606" t="e">
        <f>F21/POP!F21</f>
        <v>#DIV/0!</v>
      </c>
    </row>
    <row r="22" spans="1:12" ht="15.75" thickBot="1">
      <c r="A22" s="594" t="s">
        <v>64</v>
      </c>
      <c r="B22" s="604">
        <f>DEN!B22</f>
        <v>29070325</v>
      </c>
      <c r="C22" s="600">
        <f>DEN!B58</f>
        <v>31326166</v>
      </c>
      <c r="D22" s="600">
        <f>DEN!B94</f>
        <v>33817101</v>
      </c>
      <c r="E22" s="600">
        <f>DEN!B130</f>
        <v>36251587</v>
      </c>
      <c r="F22" s="605">
        <f>DEN!B166</f>
        <v>40598455</v>
      </c>
      <c r="G22" s="594" t="s">
        <v>64</v>
      </c>
      <c r="H22" s="604">
        <f>B22/POP!B22</f>
        <v>0.35926708455622736</v>
      </c>
      <c r="I22" s="604">
        <f>C22/POP!C22</f>
        <v>0.38980148053099622</v>
      </c>
      <c r="J22" s="604" t="e">
        <f>D22/POP!D22</f>
        <v>#DIV/0!</v>
      </c>
      <c r="K22" s="604" t="e">
        <f>E22/POP!E22</f>
        <v>#DIV/0!</v>
      </c>
      <c r="L22" s="604" t="e">
        <f>F22/POP!F22</f>
        <v>#DIV/0!</v>
      </c>
    </row>
    <row r="23" spans="1:12">
      <c r="A23" s="595" t="s">
        <v>65</v>
      </c>
      <c r="B23" s="606">
        <f>DEN!B23</f>
        <v>1072390</v>
      </c>
      <c r="C23" s="601">
        <f>DEN!B59</f>
        <v>1173245</v>
      </c>
      <c r="D23" s="601">
        <f>DEN!B95</f>
        <v>1273000</v>
      </c>
      <c r="E23" s="601">
        <f>DEN!B131</f>
        <v>1378433</v>
      </c>
      <c r="F23" s="609">
        <f>DEN!B167</f>
        <v>1585076</v>
      </c>
      <c r="G23" s="595" t="s">
        <v>65</v>
      </c>
      <c r="H23" s="606">
        <f>B23/POP!B23</f>
        <v>0.3075311419766717</v>
      </c>
      <c r="I23" s="606">
        <f>C23/POP!C23</f>
        <v>0.33378691942308175</v>
      </c>
      <c r="J23" s="606" t="e">
        <f>D23/POP!D23</f>
        <v>#DIV/0!</v>
      </c>
      <c r="K23" s="606" t="e">
        <f>E23/POP!E23</f>
        <v>#DIV/0!</v>
      </c>
      <c r="L23" s="606" t="e">
        <f>F23/POP!F23</f>
        <v>#DIV/0!</v>
      </c>
    </row>
    <row r="24" spans="1:12">
      <c r="A24" s="596" t="s">
        <v>66</v>
      </c>
      <c r="B24" s="606">
        <f>DEN!B24</f>
        <v>5943611</v>
      </c>
      <c r="C24" s="601">
        <f>DEN!B60</f>
        <v>6500188</v>
      </c>
      <c r="D24" s="601">
        <f>DEN!B96</f>
        <v>7148869</v>
      </c>
      <c r="E24" s="601">
        <f>DEN!B132</f>
        <v>7769384</v>
      </c>
      <c r="F24" s="609">
        <f>DEN!B168</f>
        <v>8884663</v>
      </c>
      <c r="G24" s="596" t="s">
        <v>66</v>
      </c>
      <c r="H24" s="606">
        <f>B24/POP!B24</f>
        <v>0.29667519347543392</v>
      </c>
      <c r="I24" s="606">
        <f>C24/POP!C24</f>
        <v>0.33168742884872582</v>
      </c>
      <c r="J24" s="606" t="e">
        <f>D24/POP!D24</f>
        <v>#DIV/0!</v>
      </c>
      <c r="K24" s="606" t="e">
        <f>E24/POP!E24</f>
        <v>#DIV/0!</v>
      </c>
      <c r="L24" s="606" t="e">
        <f>F24/POP!F24</f>
        <v>#DIV/0!</v>
      </c>
    </row>
    <row r="25" spans="1:12">
      <c r="A25" s="596" t="s">
        <v>67</v>
      </c>
      <c r="B25" s="606">
        <f>DEN!B25</f>
        <v>3968665</v>
      </c>
      <c r="C25" s="601">
        <f>DEN!B61</f>
        <v>4267732</v>
      </c>
      <c r="D25" s="601">
        <f>DEN!B97</f>
        <v>4606945</v>
      </c>
      <c r="E25" s="601">
        <f>DEN!B133</f>
        <v>4957310</v>
      </c>
      <c r="F25" s="609">
        <f>DEN!B169</f>
        <v>5568514</v>
      </c>
      <c r="G25" s="596" t="s">
        <v>67</v>
      </c>
      <c r="H25" s="606">
        <f>B25/POP!B25</f>
        <v>0.2478806569685453</v>
      </c>
      <c r="I25" s="606">
        <f>C25/POP!C25</f>
        <v>0.26690124765407025</v>
      </c>
      <c r="J25" s="606" t="e">
        <f>D25/POP!D25</f>
        <v>#DIV/0!</v>
      </c>
      <c r="K25" s="606" t="e">
        <f>E25/POP!E25</f>
        <v>#DIV/0!</v>
      </c>
      <c r="L25" s="606" t="e">
        <f>F25/POP!F25</f>
        <v>#DIV/0!</v>
      </c>
    </row>
    <row r="26" spans="1:12" ht="15.75" thickBot="1">
      <c r="A26" s="597" t="s">
        <v>68</v>
      </c>
      <c r="B26" s="606">
        <f>DEN!B26</f>
        <v>18085659</v>
      </c>
      <c r="C26" s="601">
        <f>DEN!B62</f>
        <v>19385001</v>
      </c>
      <c r="D26" s="601">
        <f>DEN!B98</f>
        <v>20788287</v>
      </c>
      <c r="E26" s="601">
        <f>DEN!B134</f>
        <v>22146460</v>
      </c>
      <c r="F26" s="609">
        <f>DEN!B170</f>
        <v>24560202</v>
      </c>
      <c r="G26" s="597" t="s">
        <v>68</v>
      </c>
      <c r="H26" s="606">
        <f>B26/POP!B26</f>
        <v>0.43701962365294544</v>
      </c>
      <c r="I26" s="606">
        <f>C26/POP!C26</f>
        <v>0.46980048251912121</v>
      </c>
      <c r="J26" s="606" t="e">
        <f>D26/POP!D26</f>
        <v>#DIV/0!</v>
      </c>
      <c r="K26" s="606" t="e">
        <f>E26/POP!E26</f>
        <v>#DIV/0!</v>
      </c>
      <c r="L26" s="606" t="e">
        <f>F26/POP!F26</f>
        <v>#DIV/0!</v>
      </c>
    </row>
    <row r="27" spans="1:12" ht="15.75" thickBot="1">
      <c r="A27" s="594" t="s">
        <v>69</v>
      </c>
      <c r="B27" s="604">
        <f>DEN!B27</f>
        <v>11575392</v>
      </c>
      <c r="C27" s="600">
        <f>DEN!B63</f>
        <v>12432914</v>
      </c>
      <c r="D27" s="600">
        <f>DEN!B99</f>
        <v>13394458</v>
      </c>
      <c r="E27" s="600">
        <f>DEN!B135</f>
        <v>14363427</v>
      </c>
      <c r="F27" s="605">
        <f>DEN!B171</f>
        <v>16437821</v>
      </c>
      <c r="G27" s="594" t="s">
        <v>69</v>
      </c>
      <c r="H27" s="604">
        <f>B27/POP!B27</f>
        <v>0.417597794032735</v>
      </c>
      <c r="I27" s="604">
        <f>C27/POP!C27</f>
        <v>0.45397318008824</v>
      </c>
      <c r="J27" s="604" t="e">
        <f>D27/POP!D27</f>
        <v>#DIV/0!</v>
      </c>
      <c r="K27" s="604" t="e">
        <f>E27/POP!E27</f>
        <v>#DIV/0!</v>
      </c>
      <c r="L27" s="604" t="e">
        <f>F27/POP!F27</f>
        <v>#DIV/0!</v>
      </c>
    </row>
    <row r="28" spans="1:12">
      <c r="A28" s="595" t="s">
        <v>70</v>
      </c>
      <c r="B28" s="606">
        <f>DEN!B28</f>
        <v>4452187</v>
      </c>
      <c r="C28" s="601">
        <f>DEN!B64</f>
        <v>4786984</v>
      </c>
      <c r="D28" s="601">
        <f>DEN!B100</f>
        <v>5168432</v>
      </c>
      <c r="E28" s="601">
        <f>DEN!B136</f>
        <v>5543851</v>
      </c>
      <c r="F28" s="609">
        <f>DEN!B172</f>
        <v>6351183</v>
      </c>
      <c r="G28" s="595" t="s">
        <v>70</v>
      </c>
      <c r="H28" s="606">
        <f>B28/POP!B28</f>
        <v>0.41662848668398239</v>
      </c>
      <c r="I28" s="606">
        <f>C28/POP!C28</f>
        <v>0.45832467648603681</v>
      </c>
      <c r="J28" s="606" t="e">
        <f>D28/POP!D28</f>
        <v>#DIV/0!</v>
      </c>
      <c r="K28" s="606" t="e">
        <f>E28/POP!E28</f>
        <v>#DIV/0!</v>
      </c>
      <c r="L28" s="606" t="e">
        <f>F28/POP!F28</f>
        <v>#DIV/0!</v>
      </c>
    </row>
    <row r="29" spans="1:12">
      <c r="A29" s="596" t="s">
        <v>71</v>
      </c>
      <c r="B29" s="606">
        <f>DEN!B29</f>
        <v>4190709</v>
      </c>
      <c r="C29" s="601">
        <f>DEN!B65</f>
        <v>4471754</v>
      </c>
      <c r="D29" s="601">
        <f>DEN!B101</f>
        <v>4787622</v>
      </c>
      <c r="E29" s="601">
        <f>DEN!B137</f>
        <v>5125578</v>
      </c>
      <c r="F29" s="609">
        <f>DEN!B173</f>
        <v>5885383</v>
      </c>
      <c r="G29" s="596" t="s">
        <v>71</v>
      </c>
      <c r="H29" s="606">
        <f>B29/POP!B29</f>
        <v>0.38397405837360715</v>
      </c>
      <c r="I29" s="606">
        <f>C29/POP!C29</f>
        <v>0.41815819050229341</v>
      </c>
      <c r="J29" s="606" t="e">
        <f>D29/POP!D29</f>
        <v>#DIV/0!</v>
      </c>
      <c r="K29" s="606" t="e">
        <f>E29/POP!E29</f>
        <v>#DIV/0!</v>
      </c>
      <c r="L29" s="606" t="e">
        <f>F29/POP!F29</f>
        <v>#DIV/0!</v>
      </c>
    </row>
    <row r="30" spans="1:12" ht="15.75" thickBot="1">
      <c r="A30" s="597" t="s">
        <v>72</v>
      </c>
      <c r="B30" s="606">
        <f>DEN!B30</f>
        <v>2932496</v>
      </c>
      <c r="C30" s="601">
        <f>DEN!B66</f>
        <v>3174176</v>
      </c>
      <c r="D30" s="601">
        <f>DEN!B102</f>
        <v>3438404</v>
      </c>
      <c r="E30" s="601">
        <f>DEN!B138</f>
        <v>3693998</v>
      </c>
      <c r="F30" s="609">
        <f>DEN!B174</f>
        <v>4201255</v>
      </c>
      <c r="G30" s="597" t="s">
        <v>72</v>
      </c>
      <c r="H30" s="606">
        <f>B30/POP!B30</f>
        <v>0.47926570347067288</v>
      </c>
      <c r="I30" s="606">
        <f>C30/POP!C30</f>
        <v>0.50799528073905209</v>
      </c>
      <c r="J30" s="606" t="e">
        <f>D30/POP!D30</f>
        <v>#DIV/0!</v>
      </c>
      <c r="K30" s="606" t="e">
        <f>E30/POP!E30</f>
        <v>#DIV/0!</v>
      </c>
      <c r="L30" s="606" t="e">
        <f>F30/POP!F30</f>
        <v>#DIV/0!</v>
      </c>
    </row>
    <row r="31" spans="1:12" ht="15.75" thickBot="1">
      <c r="A31" s="594" t="s">
        <v>73</v>
      </c>
      <c r="B31" s="604">
        <f>DEN!B31</f>
        <v>4850366</v>
      </c>
      <c r="C31" s="600">
        <f>DEN!B67</f>
        <v>5320915</v>
      </c>
      <c r="D31" s="600">
        <f>DEN!B103</f>
        <v>5869563</v>
      </c>
      <c r="E31" s="600">
        <f>DEN!B139</f>
        <v>6378384</v>
      </c>
      <c r="F31" s="605">
        <f>DEN!B175</f>
        <v>7499136</v>
      </c>
      <c r="G31" s="594" t="s">
        <v>73</v>
      </c>
      <c r="H31" s="604">
        <f>B31/POP!B31</f>
        <v>0.34906102831952318</v>
      </c>
      <c r="I31" s="604">
        <f>C31/POP!C31</f>
        <v>0.37849476607568566</v>
      </c>
      <c r="J31" s="604" t="e">
        <f>D31/POP!D31</f>
        <v>#DIV/0!</v>
      </c>
      <c r="K31" s="604" t="e">
        <f>E31/POP!E31</f>
        <v>#DIV/0!</v>
      </c>
      <c r="L31" s="604" t="e">
        <f>F31/POP!F31</f>
        <v>#DIV/0!</v>
      </c>
    </row>
    <row r="32" spans="1:12">
      <c r="A32" s="595" t="s">
        <v>74</v>
      </c>
      <c r="B32" s="606">
        <f>DEN!B32</f>
        <v>1086748</v>
      </c>
      <c r="C32" s="601">
        <f>DEN!B68</f>
        <v>1174175</v>
      </c>
      <c r="D32" s="601">
        <f>DEN!B104</f>
        <v>1273234</v>
      </c>
      <c r="E32" s="601">
        <f>DEN!B140</f>
        <v>1353984</v>
      </c>
      <c r="F32" s="609">
        <f>DEN!B176</f>
        <v>1511110</v>
      </c>
      <c r="G32" s="595" t="s">
        <v>74</v>
      </c>
      <c r="H32" s="606">
        <f>B32/POP!B32</f>
        <v>0.41687623998612905</v>
      </c>
      <c r="I32" s="606">
        <f>C32/POP!C32</f>
        <v>0.4568489899461512</v>
      </c>
      <c r="J32" s="606" t="e">
        <f>D32/POP!D32</f>
        <v>#DIV/0!</v>
      </c>
      <c r="K32" s="606" t="e">
        <f>E32/POP!E32</f>
        <v>#DIV/0!</v>
      </c>
      <c r="L32" s="606" t="e">
        <f>F32/POP!F32</f>
        <v>#DIV/0!</v>
      </c>
    </row>
    <row r="33" spans="1:12">
      <c r="A33" s="596" t="s">
        <v>75</v>
      </c>
      <c r="B33" s="606">
        <f>DEN!B33</f>
        <v>2001383</v>
      </c>
      <c r="C33" s="601">
        <f>DEN!B69</f>
        <v>2197732</v>
      </c>
      <c r="D33" s="601">
        <f>DEN!B105</f>
        <v>2431941</v>
      </c>
      <c r="E33" s="601">
        <f>DEN!B141</f>
        <v>2652930</v>
      </c>
      <c r="F33" s="609">
        <f>DEN!B177</f>
        <v>3169088</v>
      </c>
      <c r="G33" s="596" t="s">
        <v>75</v>
      </c>
      <c r="H33" s="606">
        <f>B33/POP!B33</f>
        <v>0.3377116072941197</v>
      </c>
      <c r="I33" s="606">
        <f>C33/POP!C33</f>
        <v>0.36605756232565173</v>
      </c>
      <c r="J33" s="606" t="e">
        <f>D33/POP!D33</f>
        <v>#DIV/0!</v>
      </c>
      <c r="K33" s="606" t="e">
        <f>E33/POP!E33</f>
        <v>#DIV/0!</v>
      </c>
      <c r="L33" s="606" t="e">
        <f>F33/POP!F33</f>
        <v>#DIV/0!</v>
      </c>
    </row>
    <row r="34" spans="1:12">
      <c r="A34" s="596" t="s">
        <v>76</v>
      </c>
      <c r="B34" s="606">
        <f>DEN!B34</f>
        <v>949260</v>
      </c>
      <c r="C34" s="601">
        <f>DEN!B70</f>
        <v>1058794</v>
      </c>
      <c r="D34" s="601">
        <f>DEN!B106</f>
        <v>1183445</v>
      </c>
      <c r="E34" s="601">
        <f>DEN!B142</f>
        <v>1302758</v>
      </c>
      <c r="F34" s="609">
        <f>DEN!B178</f>
        <v>1565739</v>
      </c>
      <c r="G34" s="596" t="s">
        <v>76</v>
      </c>
      <c r="H34" s="606">
        <f>B34/POP!B34</f>
        <v>0.31623816305624264</v>
      </c>
      <c r="I34" s="606">
        <f>C34/POP!C34</f>
        <v>0.34884726215288875</v>
      </c>
      <c r="J34" s="606" t="e">
        <f>D34/POP!D34</f>
        <v>#DIV/0!</v>
      </c>
      <c r="K34" s="606" t="e">
        <f>E34/POP!E34</f>
        <v>#DIV/0!</v>
      </c>
      <c r="L34" s="606" t="e">
        <f>F34/POP!F34</f>
        <v>#DIV/0!</v>
      </c>
    </row>
    <row r="35" spans="1:12" ht="15.75" thickBot="1">
      <c r="A35" s="598" t="s">
        <v>77</v>
      </c>
      <c r="B35" s="607">
        <f>DEN!B35</f>
        <v>812975</v>
      </c>
      <c r="C35" s="608">
        <f>DEN!B71</f>
        <v>890214</v>
      </c>
      <c r="D35" s="608">
        <f>DEN!B107</f>
        <v>980943</v>
      </c>
      <c r="E35" s="608">
        <f>DEN!B143</f>
        <v>1068712</v>
      </c>
      <c r="F35" s="610">
        <f>DEN!B179</f>
        <v>1253199</v>
      </c>
      <c r="G35" s="598" t="s">
        <v>77</v>
      </c>
      <c r="H35" s="606">
        <f>B35/POP!B35</f>
        <v>0.3444006693355362</v>
      </c>
      <c r="I35" s="606">
        <f>C35/POP!C35</f>
        <v>0.36349745857941779</v>
      </c>
      <c r="J35" s="606" t="e">
        <f>D35/POP!D35</f>
        <v>#DIV/0!</v>
      </c>
      <c r="K35" s="606" t="e">
        <f>E35/POP!E35</f>
        <v>#DIV/0!</v>
      </c>
      <c r="L35" s="606" t="e">
        <f>F35/POP!F35</f>
        <v>#DIV/0!</v>
      </c>
    </row>
    <row r="36" spans="1:12">
      <c r="A36" s="3"/>
      <c r="B36" s="45"/>
      <c r="C36" s="45"/>
      <c r="D36" s="45"/>
      <c r="E36" s="45"/>
      <c r="G36" s="3"/>
      <c r="H36" s="45"/>
      <c r="I36" s="45"/>
      <c r="J36" s="45"/>
      <c r="K36" s="45"/>
    </row>
    <row r="37" spans="1:12">
      <c r="A37" s="3"/>
      <c r="B37" s="45"/>
      <c r="C37" s="45"/>
      <c r="D37" s="45"/>
      <c r="E37" s="45"/>
      <c r="G37" s="3"/>
      <c r="H37" s="45"/>
      <c r="I37" s="45"/>
      <c r="J37" s="45"/>
      <c r="K37" s="45"/>
    </row>
    <row r="38" spans="1:12">
      <c r="A38" s="3"/>
      <c r="B38" s="45"/>
      <c r="C38" s="45"/>
      <c r="D38" s="45"/>
      <c r="E38" s="45"/>
      <c r="G38" s="3"/>
      <c r="H38" s="45"/>
      <c r="I38" s="45"/>
      <c r="J38" s="45"/>
      <c r="K38" s="45"/>
    </row>
    <row r="39" spans="1:12">
      <c r="A39" s="3"/>
      <c r="B39" s="45"/>
      <c r="C39" s="45"/>
      <c r="D39" s="45"/>
      <c r="E39" s="45"/>
      <c r="G39" s="3"/>
      <c r="H39" s="45"/>
      <c r="I39" s="45"/>
      <c r="J39" s="45"/>
      <c r="K39" s="45"/>
    </row>
    <row r="40" spans="1:12">
      <c r="A40" s="3"/>
      <c r="B40" s="45"/>
      <c r="C40" s="45"/>
      <c r="D40" s="45"/>
      <c r="E40" s="45"/>
      <c r="G40" s="3"/>
      <c r="H40" s="45"/>
      <c r="I40" s="45"/>
      <c r="J40" s="45"/>
      <c r="K40" s="45"/>
    </row>
    <row r="41" spans="1:12">
      <c r="A41" s="3"/>
      <c r="B41" s="45"/>
      <c r="C41" s="45"/>
      <c r="D41" s="45"/>
      <c r="E41" s="45"/>
      <c r="G41" s="3"/>
      <c r="H41" s="45"/>
      <c r="I41" s="45"/>
      <c r="J41" s="45"/>
      <c r="K41" s="45"/>
    </row>
    <row r="42" spans="1:12">
      <c r="A42" s="3"/>
      <c r="B42" s="45"/>
      <c r="C42" s="45"/>
      <c r="D42" s="45"/>
      <c r="E42" s="45"/>
      <c r="G42" s="3"/>
      <c r="H42" s="45"/>
      <c r="I42" s="45"/>
      <c r="J42" s="45"/>
      <c r="K42" s="45"/>
    </row>
    <row r="43" spans="1:12">
      <c r="A43" s="3"/>
      <c r="B43" s="45"/>
      <c r="C43" s="45"/>
      <c r="D43" s="45"/>
      <c r="E43" s="45"/>
      <c r="G43" s="3"/>
      <c r="H43" s="45"/>
      <c r="I43" s="45"/>
      <c r="J43" s="45"/>
      <c r="K43" s="45"/>
    </row>
    <row r="44" spans="1:12">
      <c r="A44" s="3"/>
      <c r="B44" s="45"/>
      <c r="C44" s="45"/>
      <c r="D44" s="45"/>
      <c r="E44" s="45"/>
      <c r="G44" s="3"/>
      <c r="H44" s="45"/>
      <c r="I44" s="45"/>
      <c r="J44" s="45"/>
      <c r="K44" s="45"/>
    </row>
    <row r="45" spans="1:12">
      <c r="A45" s="3"/>
      <c r="B45" s="45"/>
      <c r="C45" s="45"/>
      <c r="D45" s="45"/>
      <c r="E45" s="45"/>
      <c r="G45" s="3"/>
      <c r="H45" s="45"/>
      <c r="I45" s="45"/>
      <c r="J45" s="45"/>
      <c r="K45" s="45"/>
    </row>
    <row r="46" spans="1:12">
      <c r="A46" s="3"/>
      <c r="B46" s="45"/>
      <c r="C46" s="45"/>
      <c r="D46" s="45"/>
      <c r="E46" s="45"/>
      <c r="G46" s="3"/>
      <c r="H46" s="45"/>
      <c r="I46" s="45"/>
      <c r="J46" s="45"/>
      <c r="K46" s="45"/>
    </row>
    <row r="47" spans="1:12">
      <c r="A47" s="3"/>
      <c r="B47" s="45"/>
      <c r="C47" s="45"/>
      <c r="D47" s="45"/>
      <c r="E47" s="45"/>
      <c r="G47" s="3"/>
      <c r="H47" s="45"/>
      <c r="I47" s="45"/>
      <c r="J47" s="45"/>
      <c r="K47" s="45"/>
    </row>
    <row r="48" spans="1:12">
      <c r="A48" s="3"/>
      <c r="B48" s="45"/>
      <c r="C48" s="45"/>
      <c r="D48" s="45"/>
      <c r="E48" s="45"/>
      <c r="G48" s="3"/>
      <c r="H48" s="45"/>
      <c r="I48" s="45"/>
      <c r="J48" s="45"/>
      <c r="K48" s="45"/>
    </row>
    <row r="49" spans="1:11">
      <c r="A49" s="3"/>
      <c r="B49" s="45"/>
      <c r="C49" s="45"/>
      <c r="D49" s="45"/>
      <c r="E49" s="45"/>
      <c r="G49" s="3"/>
      <c r="H49" s="45"/>
      <c r="I49" s="45"/>
      <c r="J49" s="45"/>
      <c r="K49" s="45"/>
    </row>
    <row r="50" spans="1:11">
      <c r="A50" s="3"/>
      <c r="B50" s="45"/>
      <c r="C50" s="45"/>
      <c r="D50" s="45"/>
      <c r="E50" s="45"/>
      <c r="G50" s="3"/>
      <c r="H50" s="45"/>
      <c r="I50" s="45"/>
      <c r="J50" s="45"/>
      <c r="K50" s="45"/>
    </row>
    <row r="51" spans="1:11">
      <c r="A51" s="3"/>
      <c r="B51" s="45"/>
      <c r="C51" s="45"/>
      <c r="D51" s="45"/>
      <c r="E51" s="45"/>
      <c r="G51" s="3"/>
      <c r="H51" s="45"/>
      <c r="I51" s="45"/>
      <c r="J51" s="45"/>
      <c r="K51" s="45"/>
    </row>
    <row r="52" spans="1:11">
      <c r="A52" s="3"/>
      <c r="B52" s="45"/>
      <c r="C52" s="45"/>
      <c r="D52" s="45"/>
      <c r="E52" s="45"/>
      <c r="G52" s="3"/>
      <c r="H52" s="45"/>
      <c r="I52" s="45"/>
      <c r="J52" s="45"/>
      <c r="K52" s="45"/>
    </row>
    <row r="53" spans="1:11">
      <c r="A53" s="3"/>
      <c r="B53" s="45"/>
      <c r="C53" s="45"/>
      <c r="D53" s="45"/>
      <c r="E53" s="45"/>
      <c r="G53" s="3"/>
      <c r="H53" s="45"/>
      <c r="I53" s="45"/>
      <c r="J53" s="45"/>
      <c r="K53" s="45"/>
    </row>
    <row r="54" spans="1:11">
      <c r="A54" s="3"/>
      <c r="B54" s="45"/>
      <c r="C54" s="45"/>
      <c r="D54" s="45"/>
      <c r="E54" s="45"/>
      <c r="G54" s="3"/>
      <c r="H54" s="45"/>
      <c r="I54" s="45"/>
      <c r="J54" s="45"/>
      <c r="K54" s="45"/>
    </row>
    <row r="55" spans="1:11">
      <c r="A55" s="3"/>
      <c r="B55" s="45"/>
      <c r="C55" s="45"/>
      <c r="D55" s="45"/>
      <c r="E55" s="45"/>
      <c r="G55" s="3"/>
      <c r="H55" s="45"/>
      <c r="I55" s="45"/>
      <c r="J55" s="45"/>
      <c r="K55" s="45"/>
    </row>
    <row r="56" spans="1:11">
      <c r="A56" s="3"/>
      <c r="B56" s="45"/>
      <c r="C56" s="45"/>
      <c r="D56" s="45"/>
      <c r="E56" s="45"/>
      <c r="G56" s="3"/>
      <c r="H56" s="45"/>
      <c r="I56" s="45"/>
      <c r="J56" s="45"/>
      <c r="K56" s="45"/>
    </row>
    <row r="57" spans="1:11">
      <c r="A57" s="3"/>
      <c r="B57" s="45"/>
      <c r="C57" s="45"/>
      <c r="D57" s="45"/>
      <c r="E57" s="45"/>
      <c r="G57" s="3"/>
      <c r="H57" s="45"/>
      <c r="I57" s="45"/>
      <c r="J57" s="45"/>
      <c r="K57" s="45"/>
    </row>
    <row r="58" spans="1:11">
      <c r="A58" s="3"/>
      <c r="B58" s="45"/>
      <c r="C58" s="45"/>
      <c r="D58" s="45"/>
      <c r="E58" s="45"/>
      <c r="G58" s="3"/>
      <c r="H58" s="45"/>
      <c r="I58" s="45"/>
      <c r="J58" s="45"/>
      <c r="K58" s="45"/>
    </row>
    <row r="59" spans="1:11">
      <c r="A59" s="3"/>
      <c r="B59" s="45"/>
      <c r="C59" s="45"/>
      <c r="D59" s="45"/>
      <c r="E59" s="45"/>
      <c r="G59" s="3"/>
      <c r="H59" s="45"/>
      <c r="I59" s="45"/>
      <c r="J59" s="45"/>
      <c r="K59" s="45"/>
    </row>
    <row r="60" spans="1:11">
      <c r="A60" s="3"/>
      <c r="B60" s="45"/>
      <c r="C60" s="45"/>
      <c r="D60" s="45"/>
      <c r="E60" s="45"/>
      <c r="G60" s="3"/>
      <c r="H60" s="45"/>
      <c r="I60" s="45"/>
      <c r="J60" s="45"/>
      <c r="K60" s="45"/>
    </row>
    <row r="61" spans="1:11">
      <c r="A61" s="3"/>
      <c r="B61" s="45"/>
      <c r="C61" s="45"/>
      <c r="D61" s="45"/>
      <c r="E61" s="45"/>
      <c r="G61" s="3"/>
      <c r="H61" s="45"/>
      <c r="I61" s="45"/>
      <c r="J61" s="45"/>
      <c r="K61" s="45"/>
    </row>
    <row r="62" spans="1:11">
      <c r="A62" s="3"/>
      <c r="B62" s="45"/>
      <c r="C62" s="45"/>
      <c r="D62" s="45"/>
      <c r="E62" s="45"/>
      <c r="G62" s="3"/>
      <c r="H62" s="45"/>
      <c r="I62" s="45"/>
      <c r="J62" s="45"/>
      <c r="K62" s="45"/>
    </row>
    <row r="63" spans="1:11">
      <c r="A63" s="3"/>
      <c r="B63" s="45"/>
      <c r="C63" s="45"/>
      <c r="D63" s="45"/>
      <c r="E63" s="45"/>
      <c r="G63" s="3"/>
      <c r="H63" s="45"/>
      <c r="I63" s="45"/>
      <c r="J63" s="45"/>
      <c r="K63" s="45"/>
    </row>
    <row r="64" spans="1:11">
      <c r="A64" s="3"/>
      <c r="B64" s="45"/>
      <c r="C64" s="45"/>
      <c r="D64" s="45"/>
      <c r="E64" s="45"/>
      <c r="G64" s="3"/>
      <c r="H64" s="45"/>
      <c r="I64" s="45"/>
      <c r="J64" s="45"/>
      <c r="K64" s="45"/>
    </row>
    <row r="65" spans="1:11">
      <c r="A65" s="3"/>
      <c r="B65" s="45"/>
      <c r="C65" s="45"/>
      <c r="D65" s="45"/>
      <c r="E65" s="45"/>
      <c r="G65" s="3"/>
      <c r="H65" s="45"/>
      <c r="I65" s="45"/>
      <c r="J65" s="45"/>
      <c r="K65" s="45"/>
    </row>
    <row r="66" spans="1:11">
      <c r="A66" s="3"/>
      <c r="B66" s="45"/>
      <c r="C66" s="45"/>
      <c r="D66" s="45"/>
      <c r="E66" s="45"/>
      <c r="G66" s="3"/>
      <c r="H66" s="45"/>
      <c r="I66" s="45"/>
      <c r="J66" s="45"/>
      <c r="K66" s="45"/>
    </row>
    <row r="67" spans="1:11">
      <c r="A67" s="3"/>
      <c r="B67" s="45"/>
      <c r="C67" s="45"/>
      <c r="D67" s="45"/>
      <c r="E67" s="45"/>
      <c r="G67" s="3"/>
      <c r="H67" s="45"/>
      <c r="I67" s="45"/>
      <c r="J67" s="45"/>
      <c r="K67" s="45"/>
    </row>
    <row r="68" spans="1:11">
      <c r="A68" s="3"/>
      <c r="B68" s="45"/>
      <c r="C68" s="45"/>
      <c r="D68" s="45"/>
      <c r="E68" s="45"/>
      <c r="G68" s="3"/>
      <c r="H68" s="45"/>
      <c r="I68" s="45"/>
      <c r="J68" s="45"/>
      <c r="K68" s="45"/>
    </row>
    <row r="69" spans="1:11">
      <c r="A69" s="3"/>
      <c r="B69" s="45"/>
      <c r="C69" s="45"/>
      <c r="D69" s="45"/>
      <c r="E69" s="45"/>
      <c r="G69" s="3"/>
      <c r="H69" s="45"/>
      <c r="I69" s="45"/>
      <c r="J69" s="45"/>
      <c r="K69" s="45"/>
    </row>
    <row r="70" spans="1:11">
      <c r="A70" s="3"/>
      <c r="B70" s="45"/>
      <c r="C70" s="45"/>
      <c r="D70" s="45"/>
      <c r="E70" s="45"/>
      <c r="G70" s="3"/>
      <c r="H70" s="45"/>
      <c r="I70" s="45"/>
      <c r="J70" s="45"/>
      <c r="K70" s="45"/>
    </row>
    <row r="71" spans="1:11">
      <c r="A71" s="3"/>
      <c r="B71" s="45"/>
      <c r="C71" s="45"/>
      <c r="D71" s="45"/>
      <c r="E71" s="45"/>
      <c r="G71" s="3"/>
      <c r="H71" s="45"/>
      <c r="I71" s="45"/>
      <c r="J71" s="45"/>
      <c r="K71" s="45"/>
    </row>
    <row r="72" spans="1:11">
      <c r="A72" s="3"/>
      <c r="B72" s="45"/>
      <c r="C72" s="45"/>
      <c r="D72" s="45"/>
      <c r="E72" s="45"/>
      <c r="G72" s="3"/>
      <c r="H72" s="45"/>
      <c r="I72" s="45"/>
      <c r="J72" s="45"/>
      <c r="K72" s="45"/>
    </row>
    <row r="73" spans="1:11">
      <c r="A73" s="3"/>
      <c r="B73" s="45"/>
      <c r="C73" s="45"/>
      <c r="D73" s="45"/>
      <c r="E73" s="45"/>
      <c r="G73" s="3"/>
      <c r="H73" s="45"/>
      <c r="I73" s="45"/>
      <c r="J73" s="45"/>
      <c r="K73" s="45"/>
    </row>
    <row r="74" spans="1:11">
      <c r="A74" s="3"/>
      <c r="B74" s="45"/>
      <c r="C74" s="45"/>
      <c r="D74" s="45"/>
      <c r="E74" s="45"/>
      <c r="G74" s="3"/>
      <c r="H74" s="45"/>
      <c r="I74" s="45"/>
      <c r="J74" s="45"/>
      <c r="K74" s="45"/>
    </row>
    <row r="75" spans="1:11">
      <c r="A75" s="3"/>
      <c r="B75" s="45"/>
      <c r="C75" s="45"/>
      <c r="D75" s="45"/>
      <c r="E75" s="45"/>
      <c r="G75" s="3"/>
      <c r="H75" s="45"/>
      <c r="I75" s="45"/>
      <c r="J75" s="45"/>
      <c r="K75" s="45"/>
    </row>
    <row r="76" spans="1:11">
      <c r="A76" s="3"/>
      <c r="B76" s="45"/>
      <c r="C76" s="45"/>
      <c r="D76" s="45"/>
      <c r="E76" s="45"/>
      <c r="G76" s="3"/>
      <c r="H76" s="45"/>
      <c r="I76" s="45"/>
      <c r="J76" s="45"/>
      <c r="K76" s="45"/>
    </row>
    <row r="77" spans="1:11">
      <c r="A77" s="3"/>
      <c r="B77" s="45"/>
      <c r="C77" s="45"/>
      <c r="D77" s="45"/>
      <c r="E77" s="45"/>
      <c r="G77" s="3"/>
      <c r="H77" s="45"/>
      <c r="I77" s="45"/>
      <c r="J77" s="45"/>
      <c r="K77" s="45"/>
    </row>
    <row r="78" spans="1:11">
      <c r="A78" s="3"/>
      <c r="B78" s="45"/>
      <c r="C78" s="45"/>
      <c r="D78" s="45"/>
      <c r="E78" s="45"/>
      <c r="G78" s="3"/>
      <c r="H78" s="45"/>
      <c r="I78" s="45"/>
      <c r="J78" s="45"/>
      <c r="K78" s="45"/>
    </row>
    <row r="79" spans="1:11">
      <c r="A79" s="3"/>
      <c r="B79" s="45"/>
      <c r="C79" s="45"/>
      <c r="D79" s="45"/>
      <c r="E79" s="45"/>
      <c r="G79" s="3"/>
      <c r="H79" s="45"/>
      <c r="I79" s="45"/>
      <c r="J79" s="45"/>
      <c r="K79" s="45"/>
    </row>
    <row r="80" spans="1:11">
      <c r="A80" s="3"/>
      <c r="B80" s="45"/>
      <c r="C80" s="45"/>
      <c r="D80" s="45"/>
      <c r="E80" s="45"/>
      <c r="G80" s="3"/>
      <c r="H80" s="45"/>
      <c r="I80" s="45"/>
      <c r="J80" s="45"/>
      <c r="K80" s="45"/>
    </row>
    <row r="81" spans="1:11">
      <c r="A81" s="3"/>
      <c r="B81" s="45"/>
      <c r="C81" s="45"/>
      <c r="D81" s="45"/>
      <c r="E81" s="45"/>
      <c r="G81" s="3"/>
      <c r="H81" s="45"/>
      <c r="I81" s="45"/>
      <c r="J81" s="45"/>
      <c r="K81" s="45"/>
    </row>
    <row r="82" spans="1:11">
      <c r="A82" s="3"/>
      <c r="B82" s="45"/>
      <c r="C82" s="45"/>
      <c r="D82" s="45"/>
      <c r="E82" s="45"/>
      <c r="G82" s="3"/>
      <c r="H82" s="45"/>
      <c r="I82" s="45"/>
      <c r="J82" s="45"/>
      <c r="K82" s="45"/>
    </row>
    <row r="83" spans="1:11">
      <c r="A83" s="3"/>
      <c r="B83" s="45"/>
      <c r="C83" s="45"/>
      <c r="D83" s="45"/>
      <c r="E83" s="45"/>
      <c r="G83" s="3"/>
      <c r="H83" s="45"/>
      <c r="I83" s="45"/>
      <c r="J83" s="45"/>
      <c r="K83" s="45"/>
    </row>
    <row r="84" spans="1:11">
      <c r="A84" s="3"/>
      <c r="B84" s="45"/>
      <c r="C84" s="45"/>
      <c r="D84" s="45"/>
      <c r="E84" s="45"/>
      <c r="G84" s="3"/>
      <c r="H84" s="45"/>
      <c r="I84" s="45"/>
      <c r="J84" s="45"/>
      <c r="K84" s="45"/>
    </row>
    <row r="85" spans="1:11">
      <c r="A85" s="3"/>
      <c r="B85" s="45"/>
      <c r="C85" s="45"/>
      <c r="D85" s="45"/>
      <c r="E85" s="45"/>
      <c r="G85" s="3"/>
      <c r="H85" s="45"/>
      <c r="I85" s="45"/>
      <c r="J85" s="45"/>
      <c r="K85" s="45"/>
    </row>
    <row r="86" spans="1:11">
      <c r="A86" s="3"/>
      <c r="B86" s="45"/>
      <c r="C86" s="45"/>
      <c r="D86" s="45"/>
      <c r="E86" s="45"/>
      <c r="G86" s="3"/>
      <c r="H86" s="45"/>
      <c r="I86" s="45"/>
      <c r="J86" s="45"/>
      <c r="K86" s="45"/>
    </row>
    <row r="87" spans="1:11">
      <c r="A87" s="3"/>
      <c r="B87" s="45"/>
      <c r="C87" s="45"/>
      <c r="D87" s="45"/>
      <c r="E87" s="45"/>
      <c r="G87" s="3"/>
      <c r="H87" s="45"/>
      <c r="I87" s="45"/>
      <c r="J87" s="45"/>
      <c r="K87" s="45"/>
    </row>
    <row r="88" spans="1:11">
      <c r="A88" s="3"/>
      <c r="B88" s="45"/>
      <c r="C88" s="45"/>
      <c r="D88" s="45"/>
      <c r="E88" s="45"/>
      <c r="G88" s="3"/>
      <c r="H88" s="45"/>
      <c r="I88" s="45"/>
      <c r="J88" s="45"/>
      <c r="K88" s="45"/>
    </row>
    <row r="89" spans="1:11">
      <c r="A89" s="3"/>
      <c r="B89" s="45"/>
      <c r="C89" s="45"/>
      <c r="D89" s="45"/>
      <c r="E89" s="45"/>
      <c r="G89" s="3"/>
      <c r="H89" s="45"/>
      <c r="I89" s="45"/>
      <c r="J89" s="45"/>
      <c r="K89" s="45"/>
    </row>
    <row r="90" spans="1:11">
      <c r="A90" s="3"/>
      <c r="B90" s="45"/>
      <c r="C90" s="45"/>
      <c r="D90" s="45"/>
      <c r="E90" s="45"/>
      <c r="G90" s="3"/>
      <c r="H90" s="45"/>
      <c r="I90" s="45"/>
      <c r="J90" s="45"/>
      <c r="K90" s="45"/>
    </row>
    <row r="91" spans="1:11">
      <c r="A91" s="3"/>
      <c r="B91" s="45"/>
      <c r="C91" s="45"/>
      <c r="D91" s="45"/>
      <c r="E91" s="45"/>
      <c r="G91" s="3"/>
      <c r="H91" s="45"/>
      <c r="I91" s="45"/>
      <c r="J91" s="45"/>
      <c r="K91" s="45"/>
    </row>
    <row r="92" spans="1:11">
      <c r="A92" s="3"/>
      <c r="B92" s="45"/>
      <c r="C92" s="45"/>
      <c r="D92" s="45"/>
      <c r="E92" s="45"/>
      <c r="G92" s="3"/>
      <c r="H92" s="45"/>
      <c r="I92" s="45"/>
      <c r="J92" s="45"/>
      <c r="K92" s="45"/>
    </row>
    <row r="93" spans="1:11">
      <c r="A93" s="3"/>
      <c r="B93" s="45"/>
      <c r="C93" s="45"/>
      <c r="D93" s="45"/>
      <c r="E93" s="45"/>
      <c r="G93" s="3"/>
      <c r="H93" s="45"/>
      <c r="I93" s="45"/>
      <c r="J93" s="45"/>
      <c r="K93" s="45"/>
    </row>
    <row r="94" spans="1:11">
      <c r="A94" s="3"/>
      <c r="B94" s="45"/>
      <c r="C94" s="45"/>
      <c r="D94" s="45"/>
      <c r="E94" s="45"/>
      <c r="G94" s="3"/>
      <c r="H94" s="45"/>
      <c r="I94" s="45"/>
      <c r="J94" s="45"/>
      <c r="K94" s="45"/>
    </row>
    <row r="95" spans="1:11">
      <c r="A95" s="3"/>
      <c r="B95" s="45"/>
      <c r="C95" s="45"/>
      <c r="D95" s="45"/>
      <c r="E95" s="45"/>
      <c r="G95" s="3"/>
      <c r="H95" s="45"/>
      <c r="I95" s="45"/>
      <c r="J95" s="45"/>
      <c r="K95" s="45"/>
    </row>
    <row r="96" spans="1:11">
      <c r="A96" s="3"/>
      <c r="B96" s="45"/>
      <c r="C96" s="45"/>
      <c r="D96" s="45"/>
      <c r="E96" s="45"/>
      <c r="G96" s="3"/>
      <c r="H96" s="45"/>
      <c r="I96" s="45"/>
      <c r="J96" s="45"/>
      <c r="K96" s="45"/>
    </row>
    <row r="97" spans="1:11">
      <c r="A97" s="3"/>
      <c r="B97" s="45"/>
      <c r="C97" s="45"/>
      <c r="D97" s="45"/>
      <c r="E97" s="45"/>
      <c r="G97" s="3"/>
      <c r="H97" s="45"/>
      <c r="I97" s="45"/>
      <c r="J97" s="45"/>
      <c r="K97" s="45"/>
    </row>
    <row r="98" spans="1:11">
      <c r="A98" s="3"/>
      <c r="B98" s="45"/>
      <c r="C98" s="45"/>
      <c r="D98" s="45"/>
      <c r="E98" s="45"/>
      <c r="G98" s="3"/>
      <c r="H98" s="45"/>
      <c r="I98" s="45"/>
      <c r="J98" s="45"/>
      <c r="K98" s="45"/>
    </row>
    <row r="99" spans="1:11">
      <c r="A99" s="3"/>
      <c r="B99" s="45"/>
      <c r="C99" s="45"/>
      <c r="D99" s="45"/>
      <c r="E99" s="45"/>
      <c r="G99" s="3"/>
      <c r="H99" s="45"/>
      <c r="I99" s="45"/>
      <c r="J99" s="45"/>
      <c r="K99" s="45"/>
    </row>
    <row r="100" spans="1:11">
      <c r="A100" s="3"/>
      <c r="B100" s="45"/>
      <c r="C100" s="45"/>
      <c r="D100" s="45"/>
      <c r="E100" s="45"/>
      <c r="G100" s="3"/>
      <c r="H100" s="45"/>
      <c r="I100" s="45"/>
      <c r="J100" s="45"/>
      <c r="K100" s="45"/>
    </row>
    <row r="101" spans="1:11">
      <c r="A101" s="3"/>
      <c r="B101" s="45"/>
      <c r="C101" s="45"/>
      <c r="D101" s="45"/>
      <c r="E101" s="45"/>
      <c r="G101" s="3"/>
      <c r="H101" s="45"/>
      <c r="I101" s="45"/>
      <c r="J101" s="45"/>
      <c r="K101" s="45"/>
    </row>
    <row r="102" spans="1:11">
      <c r="A102" s="3"/>
      <c r="B102" s="45"/>
      <c r="C102" s="45"/>
      <c r="D102" s="45"/>
      <c r="E102" s="45"/>
      <c r="G102" s="3"/>
      <c r="H102" s="45"/>
      <c r="I102" s="45"/>
      <c r="J102" s="45"/>
      <c r="K102" s="45"/>
    </row>
    <row r="103" spans="1:11">
      <c r="A103" s="3"/>
      <c r="B103" s="45"/>
      <c r="C103" s="45"/>
      <c r="D103" s="45"/>
      <c r="E103" s="45"/>
      <c r="G103" s="3"/>
      <c r="H103" s="45"/>
      <c r="I103" s="45"/>
      <c r="J103" s="45"/>
      <c r="K103" s="45"/>
    </row>
    <row r="104" spans="1:11">
      <c r="A104" s="3"/>
      <c r="B104" s="45"/>
      <c r="C104" s="45"/>
      <c r="D104" s="45"/>
      <c r="E104" s="45"/>
      <c r="G104" s="3"/>
      <c r="H104" s="45"/>
      <c r="I104" s="45"/>
      <c r="J104" s="45"/>
      <c r="K104" s="45"/>
    </row>
    <row r="105" spans="1:11">
      <c r="A105" s="3"/>
      <c r="B105" s="45"/>
      <c r="C105" s="45"/>
      <c r="D105" s="45"/>
      <c r="E105" s="45"/>
      <c r="G105" s="3"/>
      <c r="H105" s="45"/>
      <c r="I105" s="45"/>
      <c r="J105" s="45"/>
      <c r="K105" s="45"/>
    </row>
    <row r="106" spans="1:11">
      <c r="A106" s="3"/>
      <c r="B106" s="45"/>
      <c r="C106" s="45"/>
      <c r="D106" s="45"/>
      <c r="E106" s="45"/>
      <c r="G106" s="3"/>
      <c r="H106" s="45"/>
      <c r="I106" s="45"/>
      <c r="J106" s="45"/>
      <c r="K106" s="45"/>
    </row>
    <row r="107" spans="1:11">
      <c r="A107" s="3"/>
      <c r="B107" s="45"/>
      <c r="C107" s="45"/>
      <c r="D107" s="45"/>
      <c r="E107" s="45"/>
      <c r="G107" s="3"/>
      <c r="H107" s="45"/>
      <c r="I107" s="45"/>
      <c r="J107" s="45"/>
      <c r="K107" s="45"/>
    </row>
    <row r="108" spans="1:11">
      <c r="A108" s="3"/>
      <c r="B108" s="45"/>
      <c r="C108" s="45"/>
      <c r="D108" s="45"/>
      <c r="E108" s="45"/>
      <c r="G108" s="3"/>
      <c r="H108" s="45"/>
      <c r="I108" s="45"/>
      <c r="J108" s="45"/>
      <c r="K108" s="45"/>
    </row>
    <row r="109" spans="1:11">
      <c r="A109" s="3"/>
      <c r="B109" s="45"/>
      <c r="C109" s="45"/>
      <c r="D109" s="45"/>
      <c r="E109" s="45"/>
      <c r="G109" s="3"/>
      <c r="H109" s="45"/>
      <c r="I109" s="45"/>
      <c r="J109" s="45"/>
      <c r="K109" s="45"/>
    </row>
    <row r="110" spans="1:11">
      <c r="A110" s="3"/>
      <c r="B110" s="45"/>
      <c r="C110" s="45"/>
      <c r="D110" s="45"/>
      <c r="E110" s="45"/>
      <c r="G110" s="3"/>
      <c r="H110" s="45"/>
      <c r="I110" s="45"/>
      <c r="J110" s="45"/>
      <c r="K110" s="45"/>
    </row>
    <row r="111" spans="1:11">
      <c r="A111" s="3"/>
      <c r="B111" s="45"/>
      <c r="C111" s="45"/>
      <c r="D111" s="45"/>
      <c r="E111" s="45"/>
      <c r="G111" s="3"/>
      <c r="H111" s="45"/>
      <c r="I111" s="45"/>
      <c r="J111" s="45"/>
      <c r="K111" s="45"/>
    </row>
    <row r="112" spans="1:11">
      <c r="A112" s="3"/>
      <c r="B112" s="45"/>
      <c r="C112" s="45"/>
      <c r="D112" s="45"/>
      <c r="E112" s="45"/>
      <c r="G112" s="3"/>
      <c r="H112" s="45"/>
      <c r="I112" s="45"/>
      <c r="J112" s="45"/>
      <c r="K112" s="45"/>
    </row>
    <row r="113" spans="1:11">
      <c r="A113" s="3"/>
      <c r="B113" s="45"/>
      <c r="C113" s="45"/>
      <c r="D113" s="45"/>
      <c r="E113" s="45"/>
      <c r="G113" s="3"/>
      <c r="H113" s="45"/>
      <c r="I113" s="45"/>
      <c r="J113" s="45"/>
      <c r="K113" s="45"/>
    </row>
    <row r="114" spans="1:11">
      <c r="A114" s="3"/>
      <c r="B114" s="45"/>
      <c r="C114" s="45"/>
      <c r="D114" s="45"/>
      <c r="E114" s="45"/>
      <c r="G114" s="3"/>
      <c r="H114" s="45"/>
      <c r="I114" s="45"/>
      <c r="J114" s="45"/>
      <c r="K114" s="45"/>
    </row>
    <row r="115" spans="1:11">
      <c r="A115" s="3"/>
      <c r="B115" s="45"/>
      <c r="C115" s="45"/>
      <c r="D115" s="45"/>
      <c r="E115" s="45"/>
      <c r="G115" s="3"/>
      <c r="H115" s="45"/>
      <c r="I115" s="45"/>
      <c r="J115" s="45"/>
      <c r="K115" s="45"/>
    </row>
    <row r="116" spans="1:11">
      <c r="A116" s="3"/>
      <c r="B116" s="45"/>
      <c r="C116" s="45"/>
      <c r="D116" s="45"/>
      <c r="E116" s="45"/>
      <c r="G116" s="3"/>
      <c r="H116" s="45"/>
      <c r="I116" s="45"/>
      <c r="J116" s="45"/>
      <c r="K116" s="45"/>
    </row>
    <row r="117" spans="1:11">
      <c r="A117" s="3"/>
      <c r="B117" s="45"/>
      <c r="C117" s="45"/>
      <c r="D117" s="45"/>
      <c r="E117" s="45"/>
      <c r="G117" s="3"/>
      <c r="H117" s="45"/>
      <c r="I117" s="45"/>
      <c r="J117" s="45"/>
      <c r="K117" s="45"/>
    </row>
    <row r="118" spans="1:11">
      <c r="A118" s="3"/>
      <c r="B118" s="45"/>
      <c r="C118" s="45"/>
      <c r="D118" s="45"/>
      <c r="E118" s="45"/>
      <c r="G118" s="3"/>
      <c r="H118" s="45"/>
      <c r="I118" s="45"/>
      <c r="J118" s="45"/>
      <c r="K118" s="45"/>
    </row>
    <row r="119" spans="1:11">
      <c r="A119" s="3"/>
      <c r="B119" s="45"/>
      <c r="C119" s="45"/>
      <c r="D119" s="45"/>
      <c r="E119" s="45"/>
      <c r="G119" s="3"/>
      <c r="H119" s="45"/>
      <c r="I119" s="45"/>
      <c r="J119" s="45"/>
      <c r="K119" s="45"/>
    </row>
    <row r="120" spans="1:11">
      <c r="A120" s="3"/>
      <c r="B120" s="45"/>
      <c r="C120" s="45"/>
      <c r="D120" s="45"/>
      <c r="E120" s="45"/>
      <c r="G120" s="3"/>
      <c r="H120" s="45"/>
      <c r="I120" s="45"/>
      <c r="J120" s="45"/>
      <c r="K120" s="45"/>
    </row>
    <row r="121" spans="1:11">
      <c r="A121" s="3"/>
      <c r="B121" s="45"/>
      <c r="C121" s="45"/>
      <c r="D121" s="45"/>
      <c r="E121" s="45"/>
      <c r="G121" s="3"/>
      <c r="H121" s="45"/>
      <c r="I121" s="45"/>
      <c r="J121" s="45"/>
      <c r="K121" s="45"/>
    </row>
    <row r="122" spans="1:11">
      <c r="A122" s="3"/>
      <c r="B122" s="45"/>
      <c r="C122" s="45"/>
      <c r="D122" s="45"/>
      <c r="E122" s="45"/>
      <c r="G122" s="3"/>
      <c r="H122" s="45"/>
      <c r="I122" s="45"/>
      <c r="J122" s="45"/>
      <c r="K122" s="45"/>
    </row>
    <row r="123" spans="1:11">
      <c r="A123" s="3"/>
      <c r="B123" s="45"/>
      <c r="C123" s="45"/>
      <c r="D123" s="45"/>
      <c r="E123" s="45"/>
      <c r="G123" s="3"/>
      <c r="H123" s="45"/>
      <c r="I123" s="45"/>
      <c r="J123" s="45"/>
      <c r="K123" s="45"/>
    </row>
    <row r="124" spans="1:11">
      <c r="A124" s="3"/>
      <c r="B124" s="45"/>
      <c r="C124" s="45"/>
      <c r="D124" s="45"/>
      <c r="E124" s="45"/>
      <c r="G124" s="3"/>
      <c r="H124" s="45"/>
      <c r="I124" s="45"/>
      <c r="J124" s="45"/>
      <c r="K124" s="45"/>
    </row>
    <row r="125" spans="1:11">
      <c r="A125" s="3"/>
      <c r="B125" s="45"/>
      <c r="C125" s="45"/>
      <c r="D125" s="45"/>
      <c r="E125" s="45"/>
      <c r="G125" s="3"/>
      <c r="H125" s="45"/>
      <c r="I125" s="45"/>
      <c r="J125" s="45"/>
      <c r="K125" s="45"/>
    </row>
    <row r="126" spans="1:11">
      <c r="A126" s="3"/>
      <c r="B126" s="45"/>
      <c r="C126" s="45"/>
      <c r="D126" s="45"/>
      <c r="E126" s="45"/>
      <c r="G126" s="3"/>
      <c r="H126" s="45"/>
      <c r="I126" s="45"/>
      <c r="J126" s="45"/>
      <c r="K126" s="45"/>
    </row>
    <row r="127" spans="1:11">
      <c r="A127" s="3"/>
      <c r="B127" s="45"/>
      <c r="C127" s="45"/>
      <c r="D127" s="45"/>
      <c r="E127" s="45"/>
      <c r="G127" s="3"/>
      <c r="H127" s="45"/>
      <c r="I127" s="45"/>
      <c r="J127" s="45"/>
      <c r="K127" s="45"/>
    </row>
    <row r="128" spans="1:11">
      <c r="A128" s="3"/>
      <c r="B128" s="45"/>
      <c r="C128" s="45"/>
      <c r="D128" s="45"/>
      <c r="E128" s="45"/>
      <c r="G128" s="3"/>
      <c r="H128" s="45"/>
      <c r="I128" s="45"/>
      <c r="J128" s="45"/>
      <c r="K128" s="45"/>
    </row>
    <row r="129" spans="1:11">
      <c r="A129" s="3"/>
      <c r="B129" s="45"/>
      <c r="C129" s="45"/>
      <c r="D129" s="45"/>
      <c r="E129" s="45"/>
      <c r="G129" s="3"/>
      <c r="H129" s="45"/>
      <c r="I129" s="45"/>
      <c r="J129" s="45"/>
      <c r="K129" s="45"/>
    </row>
    <row r="130" spans="1:11">
      <c r="A130" s="3"/>
      <c r="B130" s="45"/>
      <c r="C130" s="45"/>
      <c r="D130" s="45"/>
      <c r="E130" s="45"/>
      <c r="G130" s="3"/>
      <c r="H130" s="45"/>
      <c r="I130" s="45"/>
      <c r="J130" s="45"/>
      <c r="K130" s="45"/>
    </row>
    <row r="131" spans="1:11">
      <c r="A131" s="3"/>
      <c r="B131" s="45"/>
      <c r="C131" s="45"/>
      <c r="D131" s="45"/>
      <c r="E131" s="45"/>
      <c r="G131" s="3"/>
      <c r="H131" s="45"/>
      <c r="I131" s="45"/>
      <c r="J131" s="45"/>
      <c r="K131" s="45"/>
    </row>
    <row r="132" spans="1:11">
      <c r="A132" s="3"/>
      <c r="B132" s="45"/>
      <c r="C132" s="45"/>
      <c r="D132" s="45"/>
      <c r="E132" s="45"/>
      <c r="G132" s="3"/>
      <c r="H132" s="45"/>
      <c r="I132" s="45"/>
      <c r="J132" s="45"/>
      <c r="K132" s="45"/>
    </row>
    <row r="133" spans="1:11">
      <c r="A133" s="3"/>
      <c r="B133" s="45"/>
      <c r="C133" s="45"/>
      <c r="D133" s="45"/>
      <c r="E133" s="45"/>
      <c r="G133" s="3"/>
      <c r="H133" s="45"/>
      <c r="I133" s="45"/>
      <c r="J133" s="45"/>
      <c r="K133" s="45"/>
    </row>
    <row r="134" spans="1:11">
      <c r="A134" s="3"/>
      <c r="B134" s="45"/>
      <c r="C134" s="45"/>
      <c r="D134" s="45"/>
      <c r="E134" s="45"/>
      <c r="G134" s="3"/>
      <c r="H134" s="45"/>
      <c r="I134" s="45"/>
      <c r="J134" s="45"/>
      <c r="K134" s="45"/>
    </row>
    <row r="135" spans="1:11">
      <c r="A135" s="3"/>
      <c r="B135" s="45"/>
      <c r="C135" s="45"/>
      <c r="D135" s="45"/>
      <c r="E135" s="45"/>
      <c r="G135" s="3"/>
      <c r="H135" s="45"/>
      <c r="I135" s="45"/>
      <c r="J135" s="45"/>
      <c r="K135" s="45"/>
    </row>
    <row r="136" spans="1:11">
      <c r="A136" s="3"/>
      <c r="B136" s="45"/>
      <c r="C136" s="45"/>
      <c r="D136" s="45"/>
      <c r="E136" s="45"/>
      <c r="G136" s="3"/>
      <c r="H136" s="45"/>
      <c r="I136" s="45"/>
      <c r="J136" s="45"/>
      <c r="K136" s="45"/>
    </row>
    <row r="137" spans="1:11">
      <c r="A137" s="3"/>
      <c r="B137" s="45"/>
      <c r="C137" s="45"/>
      <c r="D137" s="45"/>
      <c r="E137" s="45"/>
      <c r="G137" s="3"/>
      <c r="H137" s="45"/>
      <c r="I137" s="45"/>
      <c r="J137" s="45"/>
      <c r="K137" s="45"/>
    </row>
    <row r="138" spans="1:11">
      <c r="A138" s="3"/>
      <c r="B138" s="45"/>
      <c r="C138" s="45"/>
      <c r="D138" s="45"/>
      <c r="E138" s="45"/>
      <c r="G138" s="3"/>
      <c r="H138" s="45"/>
      <c r="I138" s="45"/>
      <c r="J138" s="45"/>
      <c r="K138" s="45"/>
    </row>
    <row r="139" spans="1:11">
      <c r="A139" s="3"/>
      <c r="B139" s="45"/>
      <c r="C139" s="45"/>
      <c r="D139" s="45"/>
      <c r="E139" s="45"/>
      <c r="G139" s="3"/>
      <c r="H139" s="45"/>
      <c r="I139" s="45"/>
      <c r="J139" s="45"/>
      <c r="K139" s="45"/>
    </row>
    <row r="140" spans="1:11">
      <c r="A140" s="3"/>
      <c r="B140" s="45"/>
      <c r="C140" s="45"/>
      <c r="D140" s="45"/>
      <c r="E140" s="45"/>
      <c r="G140" s="3"/>
      <c r="H140" s="45"/>
      <c r="I140" s="45"/>
      <c r="J140" s="45"/>
      <c r="K140" s="45"/>
    </row>
    <row r="141" spans="1:11">
      <c r="A141" s="3"/>
      <c r="B141" s="45"/>
      <c r="C141" s="45"/>
      <c r="D141" s="45"/>
      <c r="E141" s="45"/>
      <c r="G141" s="3"/>
      <c r="H141" s="45"/>
      <c r="I141" s="45"/>
      <c r="J141" s="45"/>
      <c r="K141" s="45"/>
    </row>
    <row r="142" spans="1:11">
      <c r="A142" s="3"/>
      <c r="B142" s="45"/>
      <c r="C142" s="45"/>
      <c r="D142" s="45"/>
      <c r="E142" s="45"/>
      <c r="G142" s="3"/>
      <c r="H142" s="45"/>
      <c r="I142" s="45"/>
      <c r="J142" s="45"/>
      <c r="K142" s="45"/>
    </row>
    <row r="143" spans="1:11">
      <c r="A143" s="3"/>
      <c r="B143" s="45"/>
      <c r="C143" s="45"/>
      <c r="D143" s="45"/>
      <c r="E143" s="45"/>
      <c r="G143" s="3"/>
      <c r="H143" s="45"/>
      <c r="I143" s="45"/>
      <c r="J143" s="45"/>
      <c r="K143" s="45"/>
    </row>
    <row r="144" spans="1:11">
      <c r="A144" s="3"/>
      <c r="B144" s="45"/>
      <c r="C144" s="45"/>
      <c r="D144" s="45"/>
      <c r="E144" s="45"/>
      <c r="G144" s="3"/>
      <c r="H144" s="45"/>
      <c r="I144" s="45"/>
      <c r="J144" s="45"/>
      <c r="K144" s="45"/>
    </row>
    <row r="145" spans="1:11">
      <c r="A145" s="3"/>
      <c r="B145" s="45"/>
      <c r="C145" s="45"/>
      <c r="D145" s="45"/>
      <c r="E145" s="45"/>
      <c r="G145" s="3"/>
      <c r="H145" s="45"/>
      <c r="I145" s="45"/>
      <c r="J145" s="45"/>
      <c r="K145" s="45"/>
    </row>
    <row r="146" spans="1:11">
      <c r="A146" s="3"/>
      <c r="B146" s="45"/>
      <c r="C146" s="45"/>
      <c r="D146" s="45"/>
      <c r="E146" s="45"/>
      <c r="G146" s="3"/>
      <c r="H146" s="45"/>
      <c r="I146" s="45"/>
      <c r="J146" s="45"/>
      <c r="K146" s="45"/>
    </row>
    <row r="147" spans="1:11">
      <c r="A147" s="3"/>
      <c r="B147" s="45"/>
      <c r="C147" s="45"/>
      <c r="D147" s="45"/>
      <c r="E147" s="45"/>
      <c r="G147" s="3"/>
      <c r="H147" s="45"/>
      <c r="I147" s="45"/>
      <c r="J147" s="45"/>
      <c r="K147" s="45"/>
    </row>
    <row r="148" spans="1:11">
      <c r="A148" s="3"/>
      <c r="B148" s="45"/>
      <c r="C148" s="45"/>
      <c r="D148" s="45"/>
      <c r="E148" s="45"/>
      <c r="G148" s="3"/>
      <c r="H148" s="45"/>
      <c r="I148" s="45"/>
      <c r="J148" s="45"/>
      <c r="K148" s="45"/>
    </row>
    <row r="149" spans="1:11">
      <c r="A149" s="3"/>
      <c r="B149" s="45"/>
      <c r="C149" s="45"/>
      <c r="D149" s="45"/>
      <c r="E149" s="45"/>
      <c r="G149" s="3"/>
      <c r="H149" s="45"/>
      <c r="I149" s="45"/>
      <c r="J149" s="45"/>
      <c r="K149" s="45"/>
    </row>
    <row r="150" spans="1:11">
      <c r="A150" s="3"/>
      <c r="B150" s="45"/>
      <c r="C150" s="45"/>
      <c r="D150" s="45"/>
      <c r="E150" s="45"/>
      <c r="G150" s="3"/>
      <c r="H150" s="45"/>
      <c r="I150" s="45"/>
      <c r="J150" s="45"/>
      <c r="K150" s="45"/>
    </row>
    <row r="151" spans="1:11">
      <c r="A151" s="3"/>
      <c r="B151" s="45"/>
      <c r="C151" s="45"/>
      <c r="D151" s="45"/>
      <c r="E151" s="45"/>
      <c r="G151" s="3"/>
      <c r="H151" s="45"/>
      <c r="I151" s="45"/>
      <c r="J151" s="45"/>
      <c r="K151" s="45"/>
    </row>
    <row r="152" spans="1:11">
      <c r="A152" s="3"/>
      <c r="B152" s="45"/>
      <c r="C152" s="45"/>
      <c r="D152" s="45"/>
      <c r="E152" s="45"/>
      <c r="G152" s="3"/>
      <c r="H152" s="45"/>
      <c r="I152" s="45"/>
      <c r="J152" s="45"/>
      <c r="K152" s="45"/>
    </row>
    <row r="153" spans="1:11">
      <c r="A153" s="3"/>
      <c r="B153" s="45"/>
      <c r="C153" s="45"/>
      <c r="D153" s="45"/>
      <c r="E153" s="45"/>
      <c r="G153" s="3"/>
      <c r="H153" s="45"/>
      <c r="I153" s="45"/>
      <c r="J153" s="45"/>
      <c r="K153" s="45"/>
    </row>
    <row r="154" spans="1:11">
      <c r="A154" s="3"/>
      <c r="B154" s="45"/>
      <c r="C154" s="45"/>
      <c r="D154" s="45"/>
      <c r="E154" s="45"/>
      <c r="G154" s="3"/>
      <c r="H154" s="45"/>
      <c r="I154" s="45"/>
      <c r="J154" s="45"/>
      <c r="K154" s="45"/>
    </row>
    <row r="155" spans="1:11">
      <c r="A155" s="3"/>
      <c r="B155" s="45"/>
      <c r="C155" s="45"/>
      <c r="D155" s="45"/>
      <c r="E155" s="45"/>
      <c r="G155" s="3"/>
      <c r="H155" s="45"/>
      <c r="I155" s="45"/>
      <c r="J155" s="45"/>
      <c r="K155" s="45"/>
    </row>
    <row r="156" spans="1:11">
      <c r="A156" s="3"/>
      <c r="B156" s="45"/>
      <c r="C156" s="45"/>
      <c r="D156" s="45"/>
      <c r="E156" s="45"/>
      <c r="G156" s="3"/>
      <c r="H156" s="45"/>
      <c r="I156" s="45"/>
      <c r="J156" s="45"/>
      <c r="K156" s="45"/>
    </row>
    <row r="157" spans="1:11">
      <c r="A157" s="3"/>
      <c r="B157" s="45"/>
      <c r="C157" s="45"/>
      <c r="D157" s="45"/>
      <c r="E157" s="45"/>
      <c r="G157" s="3"/>
      <c r="H157" s="45"/>
      <c r="I157" s="45"/>
      <c r="J157" s="45"/>
      <c r="K157" s="45"/>
    </row>
    <row r="158" spans="1:11">
      <c r="A158" s="3"/>
      <c r="B158" s="45"/>
      <c r="C158" s="45"/>
      <c r="D158" s="45"/>
      <c r="E158" s="45"/>
      <c r="G158" s="3"/>
      <c r="H158" s="45"/>
      <c r="I158" s="45"/>
      <c r="J158" s="45"/>
      <c r="K158" s="45"/>
    </row>
    <row r="159" spans="1:11">
      <c r="A159" s="3"/>
      <c r="B159" s="45"/>
      <c r="C159" s="45"/>
      <c r="D159" s="45"/>
      <c r="E159" s="45"/>
      <c r="G159" s="3"/>
      <c r="H159" s="45"/>
      <c r="I159" s="45"/>
      <c r="J159" s="45"/>
      <c r="K159" s="45"/>
    </row>
    <row r="160" spans="1:11">
      <c r="A160" s="3"/>
      <c r="B160" s="45"/>
      <c r="C160" s="45"/>
      <c r="D160" s="45"/>
      <c r="E160" s="45"/>
      <c r="G160" s="3"/>
      <c r="H160" s="45"/>
      <c r="I160" s="45"/>
      <c r="J160" s="45"/>
      <c r="K160" s="45"/>
    </row>
    <row r="161" spans="1:11">
      <c r="A161" s="3"/>
      <c r="B161" s="45"/>
      <c r="C161" s="45"/>
      <c r="D161" s="45"/>
      <c r="E161" s="45"/>
      <c r="G161" s="3"/>
      <c r="H161" s="45"/>
      <c r="I161" s="45"/>
      <c r="J161" s="45"/>
      <c r="K161" s="45"/>
    </row>
    <row r="162" spans="1:11">
      <c r="A162" s="3"/>
      <c r="B162" s="45"/>
      <c r="C162" s="45"/>
      <c r="D162" s="45"/>
      <c r="E162" s="45"/>
      <c r="G162" s="3"/>
      <c r="H162" s="45"/>
      <c r="I162" s="45"/>
      <c r="J162" s="45"/>
      <c r="K162" s="45"/>
    </row>
    <row r="163" spans="1:11">
      <c r="A163" s="3"/>
      <c r="B163" s="45"/>
      <c r="C163" s="45"/>
      <c r="D163" s="45"/>
      <c r="E163" s="45"/>
      <c r="G163" s="3"/>
      <c r="H163" s="45"/>
      <c r="I163" s="45"/>
      <c r="J163" s="45"/>
      <c r="K163" s="45"/>
    </row>
    <row r="164" spans="1:11">
      <c r="A164" s="3"/>
      <c r="B164" s="45"/>
      <c r="C164" s="45"/>
      <c r="D164" s="45"/>
      <c r="E164" s="45"/>
      <c r="G164" s="3"/>
      <c r="H164" s="45"/>
      <c r="I164" s="45"/>
      <c r="J164" s="45"/>
      <c r="K164" s="45"/>
    </row>
    <row r="165" spans="1:11">
      <c r="A165" s="3"/>
      <c r="B165" s="45"/>
      <c r="C165" s="45"/>
      <c r="D165" s="45"/>
      <c r="E165" s="45"/>
      <c r="G165" s="3"/>
      <c r="H165" s="45"/>
      <c r="I165" s="45"/>
      <c r="J165" s="45"/>
      <c r="K165" s="45"/>
    </row>
    <row r="166" spans="1:11">
      <c r="A166" s="3"/>
      <c r="B166" s="45"/>
      <c r="C166" s="45"/>
      <c r="D166" s="45"/>
      <c r="E166" s="45"/>
      <c r="G166" s="3"/>
      <c r="H166" s="45"/>
      <c r="I166" s="45"/>
      <c r="J166" s="45"/>
      <c r="K166" s="45"/>
    </row>
    <row r="167" spans="1:11">
      <c r="A167" s="3"/>
      <c r="B167" s="45"/>
      <c r="C167" s="45"/>
      <c r="D167" s="45"/>
      <c r="E167" s="45"/>
      <c r="G167" s="3"/>
      <c r="H167" s="45"/>
      <c r="I167" s="45"/>
      <c r="J167" s="45"/>
      <c r="K167" s="45"/>
    </row>
    <row r="168" spans="1:11">
      <c r="A168" s="3"/>
      <c r="B168" s="45"/>
      <c r="C168" s="45"/>
      <c r="D168" s="45"/>
      <c r="E168" s="45"/>
      <c r="G168" s="3"/>
      <c r="H168" s="45"/>
      <c r="I168" s="45"/>
      <c r="J168" s="45"/>
      <c r="K168" s="45"/>
    </row>
    <row r="169" spans="1:11">
      <c r="A169" s="3"/>
      <c r="B169" s="45"/>
      <c r="C169" s="45"/>
      <c r="D169" s="45"/>
      <c r="E169" s="45"/>
      <c r="G169" s="3"/>
      <c r="H169" s="45"/>
      <c r="I169" s="45"/>
      <c r="J169" s="45"/>
      <c r="K169" s="45"/>
    </row>
    <row r="170" spans="1:11">
      <c r="A170" s="3"/>
      <c r="B170" s="45"/>
      <c r="C170" s="45"/>
      <c r="D170" s="45"/>
      <c r="E170" s="45"/>
      <c r="G170" s="3"/>
      <c r="H170" s="45"/>
      <c r="I170" s="45"/>
      <c r="J170" s="45"/>
      <c r="K170" s="45"/>
    </row>
    <row r="171" spans="1:11">
      <c r="A171" s="3"/>
      <c r="B171" s="45"/>
      <c r="C171" s="45"/>
      <c r="D171" s="45"/>
      <c r="E171" s="45"/>
      <c r="G171" s="3"/>
      <c r="H171" s="45"/>
      <c r="I171" s="45"/>
      <c r="J171" s="45"/>
      <c r="K171" s="45"/>
    </row>
    <row r="172" spans="1:11">
      <c r="A172" s="3"/>
      <c r="B172" s="45"/>
      <c r="C172" s="45"/>
      <c r="D172" s="45"/>
      <c r="E172" s="45"/>
      <c r="G172" s="3"/>
      <c r="H172" s="45"/>
      <c r="I172" s="45"/>
      <c r="J172" s="45"/>
      <c r="K172" s="45"/>
    </row>
    <row r="173" spans="1:11">
      <c r="A173" s="3"/>
      <c r="B173" s="45"/>
      <c r="C173" s="45"/>
      <c r="D173" s="45"/>
      <c r="E173" s="45"/>
      <c r="G173" s="3"/>
      <c r="H173" s="45"/>
      <c r="I173" s="45"/>
      <c r="J173" s="45"/>
      <c r="K173" s="45"/>
    </row>
    <row r="174" spans="1:11">
      <c r="A174" s="3"/>
      <c r="B174" s="45"/>
      <c r="C174" s="45"/>
      <c r="D174" s="45"/>
      <c r="E174" s="45"/>
      <c r="G174" s="3"/>
      <c r="H174" s="45"/>
      <c r="I174" s="45"/>
      <c r="J174" s="45"/>
      <c r="K174" s="45"/>
    </row>
    <row r="175" spans="1:11">
      <c r="A175" s="3"/>
      <c r="B175" s="45"/>
      <c r="C175" s="45"/>
      <c r="D175" s="45"/>
      <c r="E175" s="45"/>
      <c r="G175" s="3"/>
      <c r="H175" s="45"/>
      <c r="I175" s="45"/>
      <c r="J175" s="45"/>
      <c r="K175" s="45"/>
    </row>
    <row r="176" spans="1:11">
      <c r="A176" s="3"/>
      <c r="B176" s="45"/>
      <c r="C176" s="45"/>
      <c r="D176" s="45"/>
      <c r="E176" s="45"/>
      <c r="G176" s="3"/>
      <c r="H176" s="45"/>
      <c r="I176" s="45"/>
      <c r="J176" s="45"/>
      <c r="K176" s="45"/>
    </row>
    <row r="177" spans="1:11">
      <c r="A177" s="3"/>
      <c r="B177" s="45"/>
      <c r="C177" s="45"/>
      <c r="D177" s="45"/>
      <c r="E177" s="45"/>
      <c r="G177" s="3"/>
      <c r="H177" s="45"/>
      <c r="I177" s="45"/>
      <c r="J177" s="45"/>
      <c r="K177" s="45"/>
    </row>
    <row r="178" spans="1:11">
      <c r="A178" s="3"/>
      <c r="B178" s="45"/>
      <c r="C178" s="45"/>
      <c r="D178" s="45"/>
      <c r="E178" s="45"/>
      <c r="G178" s="3"/>
      <c r="H178" s="45"/>
      <c r="I178" s="45"/>
      <c r="J178" s="45"/>
      <c r="K178" s="45"/>
    </row>
    <row r="179" spans="1:11">
      <c r="A179" s="3"/>
      <c r="B179" s="45"/>
      <c r="C179" s="45"/>
      <c r="D179" s="45"/>
      <c r="E179" s="45"/>
      <c r="G179" s="3"/>
      <c r="H179" s="45"/>
      <c r="I179" s="45"/>
      <c r="J179" s="45"/>
      <c r="K179" s="45"/>
    </row>
    <row r="180" spans="1:11">
      <c r="A180" s="3"/>
      <c r="B180" s="45"/>
      <c r="C180" s="45"/>
      <c r="D180" s="45"/>
      <c r="E180" s="45"/>
      <c r="G180" s="3"/>
      <c r="H180" s="45"/>
      <c r="I180" s="45"/>
      <c r="J180" s="45"/>
      <c r="K180" s="45"/>
    </row>
    <row r="181" spans="1:11">
      <c r="A181" s="3"/>
      <c r="B181" s="45"/>
      <c r="C181" s="45"/>
      <c r="D181" s="45"/>
      <c r="E181" s="45"/>
      <c r="G181" s="3"/>
      <c r="H181" s="45"/>
      <c r="I181" s="45"/>
      <c r="J181" s="45"/>
      <c r="K181" s="45"/>
    </row>
    <row r="182" spans="1:11">
      <c r="A182" s="3"/>
      <c r="B182" s="45"/>
      <c r="C182" s="45"/>
      <c r="D182" s="45"/>
      <c r="E182" s="45"/>
      <c r="G182" s="3"/>
      <c r="H182" s="45"/>
      <c r="I182" s="45"/>
      <c r="J182" s="45"/>
      <c r="K182" s="45"/>
    </row>
    <row r="183" spans="1:11">
      <c r="A183" s="3"/>
      <c r="B183" s="45"/>
      <c r="C183" s="45"/>
      <c r="D183" s="45"/>
      <c r="E183" s="45"/>
      <c r="G183" s="3"/>
      <c r="H183" s="45"/>
      <c r="I183" s="45"/>
      <c r="J183" s="45"/>
      <c r="K183" s="45"/>
    </row>
    <row r="184" spans="1:11">
      <c r="A184" s="3"/>
      <c r="B184" s="45"/>
      <c r="C184" s="45"/>
      <c r="D184" s="45"/>
      <c r="E184" s="45"/>
      <c r="G184" s="3"/>
      <c r="H184" s="45"/>
      <c r="I184" s="45"/>
      <c r="J184" s="45"/>
      <c r="K184" s="45"/>
    </row>
    <row r="185" spans="1:11">
      <c r="A185" s="3"/>
      <c r="B185" s="45"/>
      <c r="C185" s="45"/>
      <c r="D185" s="45"/>
      <c r="E185" s="45"/>
      <c r="G185" s="3"/>
      <c r="H185" s="45"/>
      <c r="I185" s="45"/>
      <c r="J185" s="45"/>
      <c r="K185" s="45"/>
    </row>
    <row r="186" spans="1:11">
      <c r="A186" s="3"/>
      <c r="B186" s="45"/>
      <c r="C186" s="45"/>
      <c r="D186" s="45"/>
      <c r="E186" s="45"/>
      <c r="G186" s="3"/>
      <c r="H186" s="45"/>
      <c r="I186" s="45"/>
      <c r="J186" s="45"/>
      <c r="K186" s="45"/>
    </row>
    <row r="187" spans="1:11">
      <c r="A187" s="3"/>
      <c r="B187" s="45"/>
      <c r="C187" s="45"/>
      <c r="D187" s="45"/>
      <c r="E187" s="45"/>
      <c r="G187" s="3"/>
      <c r="H187" s="45"/>
      <c r="I187" s="45"/>
      <c r="J187" s="45"/>
      <c r="K187" s="45"/>
    </row>
    <row r="188" spans="1:11">
      <c r="A188" s="3"/>
      <c r="B188" s="45"/>
      <c r="C188" s="45"/>
      <c r="D188" s="45"/>
      <c r="E188" s="45"/>
      <c r="G188" s="3"/>
      <c r="H188" s="45"/>
      <c r="I188" s="45"/>
      <c r="J188" s="45"/>
      <c r="K188" s="45"/>
    </row>
    <row r="189" spans="1:11">
      <c r="A189" s="3"/>
      <c r="B189" s="45"/>
      <c r="C189" s="45"/>
      <c r="D189" s="45"/>
      <c r="E189" s="45"/>
      <c r="G189" s="3"/>
      <c r="H189" s="45"/>
      <c r="I189" s="45"/>
      <c r="J189" s="45"/>
      <c r="K189" s="45"/>
    </row>
    <row r="190" spans="1:11">
      <c r="A190" s="3"/>
      <c r="B190" s="45"/>
      <c r="C190" s="45"/>
      <c r="D190" s="45"/>
      <c r="E190" s="45"/>
      <c r="G190" s="3"/>
      <c r="H190" s="45"/>
      <c r="I190" s="45"/>
      <c r="J190" s="45"/>
      <c r="K190" s="45"/>
    </row>
    <row r="191" spans="1:11">
      <c r="A191" s="3"/>
      <c r="B191" s="45"/>
      <c r="C191" s="45"/>
      <c r="D191" s="45"/>
      <c r="E191" s="45"/>
      <c r="G191" s="3"/>
      <c r="H191" s="45"/>
      <c r="I191" s="45"/>
      <c r="J191" s="45"/>
      <c r="K191" s="45"/>
    </row>
    <row r="192" spans="1:11">
      <c r="A192" s="3"/>
      <c r="B192" s="45"/>
      <c r="C192" s="45"/>
      <c r="D192" s="45"/>
      <c r="E192" s="45"/>
      <c r="G192" s="3"/>
      <c r="H192" s="45"/>
      <c r="I192" s="45"/>
      <c r="J192" s="45"/>
      <c r="K192" s="45"/>
    </row>
    <row r="193" spans="1:11">
      <c r="A193" s="3"/>
      <c r="B193" s="45"/>
      <c r="C193" s="45"/>
      <c r="D193" s="45"/>
      <c r="E193" s="45"/>
      <c r="G193" s="3"/>
      <c r="H193" s="45"/>
      <c r="I193" s="45"/>
      <c r="J193" s="45"/>
      <c r="K193" s="45"/>
    </row>
    <row r="194" spans="1:11">
      <c r="A194" s="3"/>
      <c r="B194" s="45"/>
      <c r="C194" s="45"/>
      <c r="D194" s="45"/>
      <c r="E194" s="45"/>
      <c r="G194" s="3"/>
      <c r="H194" s="45"/>
      <c r="I194" s="45"/>
      <c r="J194" s="45"/>
      <c r="K194" s="45"/>
    </row>
    <row r="195" spans="1:11">
      <c r="A195" s="3"/>
      <c r="B195" s="45"/>
      <c r="C195" s="45"/>
      <c r="D195" s="45"/>
      <c r="E195" s="45"/>
      <c r="G195" s="3"/>
      <c r="H195" s="45"/>
      <c r="I195" s="45"/>
      <c r="J195" s="45"/>
      <c r="K195" s="45"/>
    </row>
    <row r="196" spans="1:11">
      <c r="A196" s="3"/>
      <c r="B196" s="45"/>
      <c r="C196" s="45"/>
      <c r="D196" s="45"/>
      <c r="E196" s="45"/>
      <c r="G196" s="3"/>
      <c r="H196" s="45"/>
      <c r="I196" s="45"/>
      <c r="J196" s="45"/>
      <c r="K196" s="45"/>
    </row>
    <row r="197" spans="1:11">
      <c r="A197" s="3"/>
      <c r="B197" s="45"/>
      <c r="C197" s="45"/>
      <c r="D197" s="45"/>
      <c r="E197" s="45"/>
      <c r="G197" s="3"/>
      <c r="H197" s="45"/>
      <c r="I197" s="45"/>
      <c r="J197" s="45"/>
      <c r="K197" s="45"/>
    </row>
    <row r="198" spans="1:11">
      <c r="A198" s="3"/>
      <c r="B198" s="45"/>
      <c r="C198" s="45"/>
      <c r="D198" s="45"/>
      <c r="E198" s="45"/>
      <c r="G198" s="3"/>
      <c r="H198" s="45"/>
      <c r="I198" s="45"/>
      <c r="J198" s="45"/>
      <c r="K198" s="45"/>
    </row>
    <row r="199" spans="1:11">
      <c r="A199" s="3"/>
      <c r="B199" s="45"/>
      <c r="C199" s="45"/>
      <c r="D199" s="45"/>
      <c r="E199" s="45"/>
      <c r="G199" s="3"/>
      <c r="H199" s="45"/>
      <c r="I199" s="45"/>
      <c r="J199" s="45"/>
      <c r="K199" s="45"/>
    </row>
    <row r="200" spans="1:11">
      <c r="A200" s="3"/>
      <c r="B200" s="45"/>
      <c r="C200" s="45"/>
      <c r="D200" s="45"/>
      <c r="E200" s="45"/>
      <c r="G200" s="3"/>
      <c r="H200" s="45"/>
      <c r="I200" s="45"/>
      <c r="J200" s="45"/>
      <c r="K200" s="45"/>
    </row>
    <row r="201" spans="1:11">
      <c r="A201" s="3"/>
      <c r="B201" s="45"/>
      <c r="C201" s="45"/>
      <c r="D201" s="45"/>
      <c r="E201" s="45"/>
      <c r="G201" s="3"/>
      <c r="H201" s="45"/>
      <c r="I201" s="45"/>
      <c r="J201" s="45"/>
      <c r="K201" s="45"/>
    </row>
    <row r="202" spans="1:11">
      <c r="A202" s="3"/>
      <c r="B202" s="45"/>
      <c r="C202" s="45"/>
      <c r="D202" s="45"/>
      <c r="E202" s="45"/>
      <c r="G202" s="3"/>
      <c r="H202" s="45"/>
      <c r="I202" s="45"/>
      <c r="J202" s="45"/>
      <c r="K202" s="45"/>
    </row>
    <row r="203" spans="1:11">
      <c r="A203" s="3"/>
      <c r="B203" s="45"/>
      <c r="C203" s="45"/>
      <c r="D203" s="45"/>
      <c r="E203" s="45"/>
      <c r="G203" s="3"/>
      <c r="H203" s="45"/>
      <c r="I203" s="45"/>
      <c r="J203" s="45"/>
      <c r="K203" s="45"/>
    </row>
    <row r="204" spans="1:11">
      <c r="A204" s="3"/>
      <c r="B204" s="45"/>
      <c r="C204" s="45"/>
      <c r="D204" s="45"/>
      <c r="E204" s="45"/>
      <c r="G204" s="3"/>
      <c r="H204" s="45"/>
      <c r="I204" s="45"/>
      <c r="J204" s="45"/>
      <c r="K204" s="45"/>
    </row>
    <row r="205" spans="1:11">
      <c r="A205" s="3"/>
      <c r="B205" s="45"/>
      <c r="C205" s="45"/>
      <c r="D205" s="45"/>
      <c r="E205" s="45"/>
      <c r="G205" s="3"/>
      <c r="H205" s="45"/>
      <c r="I205" s="45"/>
      <c r="J205" s="45"/>
      <c r="K205" s="45"/>
    </row>
    <row r="206" spans="1:11">
      <c r="A206" s="3"/>
      <c r="B206" s="45"/>
      <c r="C206" s="45"/>
      <c r="D206" s="45"/>
      <c r="E206" s="45"/>
      <c r="G206" s="3"/>
      <c r="H206" s="45"/>
      <c r="I206" s="45"/>
      <c r="J206" s="45"/>
      <c r="K206" s="45"/>
    </row>
    <row r="207" spans="1:11">
      <c r="A207" s="3"/>
      <c r="B207" s="45"/>
      <c r="C207" s="45"/>
      <c r="D207" s="45"/>
      <c r="E207" s="45"/>
      <c r="G207" s="3"/>
      <c r="H207" s="45"/>
      <c r="I207" s="45"/>
      <c r="J207" s="45"/>
      <c r="K207" s="45"/>
    </row>
    <row r="208" spans="1:11">
      <c r="A208" s="3"/>
      <c r="B208" s="45"/>
      <c r="C208" s="45"/>
      <c r="D208" s="45"/>
      <c r="E208" s="45"/>
      <c r="G208" s="3"/>
      <c r="H208" s="45"/>
      <c r="I208" s="45"/>
      <c r="J208" s="45"/>
      <c r="K208" s="45"/>
    </row>
    <row r="209" spans="1:11">
      <c r="A209" s="3"/>
      <c r="B209" s="45"/>
      <c r="C209" s="45"/>
      <c r="D209" s="45"/>
      <c r="E209" s="45"/>
      <c r="G209" s="3"/>
      <c r="H209" s="45"/>
      <c r="I209" s="45"/>
      <c r="J209" s="45"/>
      <c r="K209" s="45"/>
    </row>
    <row r="210" spans="1:11">
      <c r="A210" s="3"/>
      <c r="B210" s="45"/>
      <c r="C210" s="45"/>
      <c r="D210" s="45"/>
      <c r="E210" s="45"/>
      <c r="G210" s="3"/>
      <c r="H210" s="45"/>
      <c r="I210" s="45"/>
      <c r="J210" s="45"/>
      <c r="K210" s="45"/>
    </row>
    <row r="211" spans="1:11">
      <c r="A211" s="3"/>
      <c r="B211" s="45"/>
      <c r="C211" s="45"/>
      <c r="D211" s="45"/>
      <c r="E211" s="45"/>
      <c r="G211" s="3"/>
      <c r="H211" s="45"/>
      <c r="I211" s="45"/>
      <c r="J211" s="45"/>
      <c r="K211" s="45"/>
    </row>
    <row r="212" spans="1:11">
      <c r="A212" s="3"/>
      <c r="B212" s="45"/>
      <c r="C212" s="45"/>
      <c r="D212" s="45"/>
      <c r="E212" s="45"/>
      <c r="G212" s="3"/>
      <c r="H212" s="45"/>
      <c r="I212" s="45"/>
      <c r="J212" s="45"/>
      <c r="K212" s="45"/>
    </row>
    <row r="213" spans="1:11">
      <c r="A213" s="3"/>
      <c r="B213" s="45"/>
      <c r="C213" s="45"/>
      <c r="D213" s="45"/>
      <c r="E213" s="45"/>
      <c r="G213" s="3"/>
      <c r="H213" s="45"/>
      <c r="I213" s="45"/>
      <c r="J213" s="45"/>
      <c r="K213" s="45"/>
    </row>
    <row r="214" spans="1:11">
      <c r="A214" s="3"/>
      <c r="B214" s="45"/>
      <c r="C214" s="45"/>
      <c r="D214" s="45"/>
      <c r="E214" s="45"/>
      <c r="G214" s="3"/>
      <c r="H214" s="45"/>
      <c r="I214" s="45"/>
      <c r="J214" s="45"/>
      <c r="K214" s="45"/>
    </row>
    <row r="215" spans="1:11">
      <c r="A215" s="3"/>
      <c r="B215" s="45"/>
      <c r="C215" s="45"/>
      <c r="D215" s="45"/>
      <c r="E215" s="45"/>
      <c r="G215" s="3"/>
      <c r="H215" s="45"/>
      <c r="I215" s="45"/>
      <c r="J215" s="45"/>
      <c r="K215" s="45"/>
    </row>
    <row r="216" spans="1:11">
      <c r="A216" s="3"/>
      <c r="B216" s="45"/>
      <c r="C216" s="45"/>
      <c r="D216" s="45"/>
      <c r="E216" s="45"/>
      <c r="G216" s="3"/>
      <c r="H216" s="45"/>
      <c r="I216" s="45"/>
      <c r="J216" s="45"/>
      <c r="K216" s="45"/>
    </row>
    <row r="217" spans="1:11">
      <c r="A217" s="3"/>
      <c r="B217" s="45"/>
      <c r="C217" s="45"/>
      <c r="D217" s="45"/>
      <c r="E217" s="45"/>
      <c r="G217" s="3"/>
      <c r="H217" s="45"/>
      <c r="I217" s="45"/>
      <c r="J217" s="45"/>
      <c r="K217" s="45"/>
    </row>
    <row r="218" spans="1:11">
      <c r="A218" s="3"/>
      <c r="B218" s="45"/>
      <c r="C218" s="45"/>
      <c r="D218" s="45"/>
      <c r="E218" s="45"/>
      <c r="G218" s="3"/>
      <c r="H218" s="45"/>
      <c r="I218" s="45"/>
      <c r="J218" s="45"/>
      <c r="K218" s="45"/>
    </row>
    <row r="219" spans="1:11">
      <c r="A219" s="3"/>
      <c r="B219" s="45"/>
      <c r="C219" s="45"/>
      <c r="D219" s="45"/>
      <c r="E219" s="45"/>
      <c r="G219" s="3"/>
      <c r="H219" s="45"/>
      <c r="I219" s="45"/>
      <c r="J219" s="45"/>
      <c r="K219" s="45"/>
    </row>
    <row r="220" spans="1:11">
      <c r="A220" s="3"/>
      <c r="B220" s="45"/>
      <c r="C220" s="45"/>
      <c r="D220" s="45"/>
      <c r="E220" s="45"/>
      <c r="G220" s="3"/>
      <c r="H220" s="45"/>
      <c r="I220" s="45"/>
      <c r="J220" s="45"/>
      <c r="K220" s="45"/>
    </row>
    <row r="221" spans="1:11">
      <c r="A221" s="3"/>
      <c r="B221" s="45"/>
      <c r="C221" s="45"/>
      <c r="D221" s="45"/>
      <c r="E221" s="45"/>
      <c r="G221" s="3"/>
      <c r="H221" s="45"/>
      <c r="I221" s="45"/>
      <c r="J221" s="45"/>
      <c r="K221" s="45"/>
    </row>
    <row r="222" spans="1:11">
      <c r="A222" s="3"/>
      <c r="B222" s="45"/>
      <c r="C222" s="45"/>
      <c r="D222" s="45"/>
      <c r="E222" s="45"/>
      <c r="G222" s="3"/>
      <c r="H222" s="45"/>
      <c r="I222" s="45"/>
      <c r="J222" s="45"/>
      <c r="K222" s="45"/>
    </row>
    <row r="223" spans="1:11">
      <c r="A223" s="3"/>
      <c r="B223" s="45"/>
      <c r="C223" s="45"/>
      <c r="D223" s="45"/>
      <c r="E223" s="45"/>
      <c r="G223" s="3"/>
      <c r="H223" s="45"/>
      <c r="I223" s="45"/>
      <c r="J223" s="45"/>
      <c r="K223" s="45"/>
    </row>
    <row r="224" spans="1:11">
      <c r="A224" s="3"/>
      <c r="B224" s="45"/>
      <c r="C224" s="45"/>
      <c r="D224" s="45"/>
      <c r="E224" s="45"/>
      <c r="G224" s="3"/>
      <c r="H224" s="45"/>
      <c r="I224" s="45"/>
      <c r="J224" s="45"/>
      <c r="K224" s="45"/>
    </row>
    <row r="225" spans="1:11">
      <c r="A225" s="3"/>
      <c r="B225" s="45"/>
      <c r="C225" s="45"/>
      <c r="D225" s="45"/>
      <c r="E225" s="45"/>
      <c r="G225" s="3"/>
      <c r="H225" s="45"/>
      <c r="I225" s="45"/>
      <c r="J225" s="45"/>
      <c r="K225" s="45"/>
    </row>
    <row r="226" spans="1:11">
      <c r="A226" s="3"/>
      <c r="B226" s="45"/>
      <c r="C226" s="45"/>
      <c r="D226" s="45"/>
      <c r="E226" s="45"/>
      <c r="G226" s="3"/>
      <c r="H226" s="45"/>
      <c r="I226" s="45"/>
      <c r="J226" s="45"/>
      <c r="K226" s="45"/>
    </row>
    <row r="227" spans="1:11">
      <c r="A227" s="3"/>
      <c r="B227" s="45"/>
      <c r="C227" s="45"/>
      <c r="D227" s="45"/>
      <c r="E227" s="45"/>
      <c r="G227" s="3"/>
      <c r="H227" s="45"/>
      <c r="I227" s="45"/>
      <c r="J227" s="45"/>
      <c r="K227" s="45"/>
    </row>
    <row r="228" spans="1:11">
      <c r="A228" s="3"/>
      <c r="B228" s="45"/>
      <c r="C228" s="45"/>
      <c r="D228" s="45"/>
      <c r="E228" s="45"/>
      <c r="G228" s="3"/>
      <c r="H228" s="45"/>
      <c r="I228" s="45"/>
      <c r="J228" s="45"/>
      <c r="K228" s="45"/>
    </row>
    <row r="229" spans="1:11">
      <c r="A229" s="3"/>
      <c r="B229" s="45"/>
      <c r="C229" s="45"/>
      <c r="D229" s="45"/>
      <c r="E229" s="45"/>
      <c r="G229" s="3"/>
      <c r="H229" s="45"/>
      <c r="I229" s="45"/>
      <c r="J229" s="45"/>
      <c r="K229" s="45"/>
    </row>
    <row r="230" spans="1:11">
      <c r="A230" s="3"/>
      <c r="B230" s="45"/>
      <c r="C230" s="45"/>
      <c r="D230" s="45"/>
      <c r="E230" s="45"/>
      <c r="G230" s="3"/>
      <c r="H230" s="45"/>
      <c r="I230" s="45"/>
      <c r="J230" s="45"/>
      <c r="K230" s="45"/>
    </row>
    <row r="231" spans="1:11">
      <c r="A231" s="3"/>
      <c r="B231" s="45"/>
      <c r="C231" s="45"/>
      <c r="D231" s="45"/>
      <c r="E231" s="45"/>
      <c r="G231" s="3"/>
      <c r="H231" s="45"/>
      <c r="I231" s="45"/>
      <c r="J231" s="45"/>
      <c r="K231" s="45"/>
    </row>
    <row r="232" spans="1:11">
      <c r="A232" s="3"/>
      <c r="B232" s="45"/>
      <c r="C232" s="45"/>
      <c r="D232" s="45"/>
      <c r="E232" s="45"/>
      <c r="G232" s="3"/>
      <c r="H232" s="45"/>
      <c r="I232" s="45"/>
      <c r="J232" s="45"/>
      <c r="K232" s="45"/>
    </row>
    <row r="233" spans="1:11">
      <c r="A233" s="3"/>
      <c r="B233" s="45"/>
      <c r="C233" s="45"/>
      <c r="D233" s="45"/>
      <c r="E233" s="45"/>
      <c r="G233" s="3"/>
      <c r="H233" s="45"/>
      <c r="I233" s="45"/>
      <c r="J233" s="45"/>
      <c r="K233" s="45"/>
    </row>
    <row r="234" spans="1:11">
      <c r="A234" s="3"/>
      <c r="B234" s="45"/>
      <c r="C234" s="45"/>
      <c r="D234" s="45"/>
      <c r="E234" s="45"/>
      <c r="G234" s="3"/>
      <c r="H234" s="45"/>
      <c r="I234" s="45"/>
      <c r="J234" s="45"/>
      <c r="K234" s="45"/>
    </row>
    <row r="235" spans="1:11">
      <c r="A235" s="3"/>
      <c r="B235" s="45"/>
      <c r="C235" s="45"/>
      <c r="D235" s="45"/>
      <c r="E235" s="45"/>
      <c r="G235" s="3"/>
      <c r="H235" s="45"/>
      <c r="I235" s="45"/>
      <c r="J235" s="45"/>
      <c r="K235" s="45"/>
    </row>
    <row r="236" spans="1:11">
      <c r="A236" s="3"/>
      <c r="B236" s="45"/>
      <c r="C236" s="45"/>
      <c r="D236" s="45"/>
      <c r="E236" s="45"/>
      <c r="G236" s="3"/>
      <c r="H236" s="45"/>
      <c r="I236" s="45"/>
      <c r="J236" s="45"/>
      <c r="K236" s="45"/>
    </row>
    <row r="237" spans="1:11">
      <c r="A237" s="3"/>
      <c r="B237" s="45"/>
      <c r="C237" s="45"/>
      <c r="D237" s="45"/>
      <c r="E237" s="45"/>
      <c r="G237" s="3"/>
      <c r="H237" s="45"/>
      <c r="I237" s="45"/>
      <c r="J237" s="45"/>
      <c r="K237" s="45"/>
    </row>
    <row r="238" spans="1:11">
      <c r="A238" s="3"/>
      <c r="B238" s="45"/>
      <c r="C238" s="45"/>
      <c r="D238" s="45"/>
      <c r="E238" s="45"/>
      <c r="G238" s="3"/>
      <c r="H238" s="45"/>
      <c r="I238" s="45"/>
      <c r="J238" s="45"/>
      <c r="K238" s="45"/>
    </row>
    <row r="239" spans="1:11">
      <c r="A239" s="3"/>
      <c r="B239" s="45"/>
      <c r="C239" s="45"/>
      <c r="D239" s="45"/>
      <c r="E239" s="45"/>
      <c r="G239" s="3"/>
      <c r="H239" s="45"/>
      <c r="I239" s="45"/>
      <c r="J239" s="45"/>
      <c r="K239" s="45"/>
    </row>
    <row r="240" spans="1:11">
      <c r="A240" s="3"/>
      <c r="B240" s="45"/>
      <c r="C240" s="45"/>
      <c r="D240" s="45"/>
      <c r="E240" s="45"/>
      <c r="G240" s="3"/>
      <c r="H240" s="45"/>
      <c r="I240" s="45"/>
      <c r="J240" s="45"/>
      <c r="K240" s="45"/>
    </row>
  </sheetData>
  <mergeCells count="4">
    <mergeCell ref="G1:G2"/>
    <mergeCell ref="H1:L1"/>
    <mergeCell ref="A1:A2"/>
    <mergeCell ref="B1:F1"/>
  </mergeCells>
  <pageMargins left="0.511811024" right="0.511811024" top="0.78740157499999996" bottom="0.78740157499999996" header="0.31496062000000002" footer="0.31496062000000002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CC9900"/>
  </sheetPr>
  <dimension ref="A1:AP240"/>
  <sheetViews>
    <sheetView workbookViewId="0">
      <selection activeCell="B9" sqref="B9"/>
    </sheetView>
  </sheetViews>
  <sheetFormatPr defaultColWidth="8.85546875" defaultRowHeight="15"/>
  <cols>
    <col min="1" max="1" width="20.7109375" style="358" customWidth="1"/>
    <col min="2" max="5" width="11.140625" style="395" bestFit="1" customWidth="1"/>
    <col min="6" max="42" width="8.85546875" style="1"/>
  </cols>
  <sheetData>
    <row r="1" spans="1:6">
      <c r="A1" s="1040" t="s">
        <v>44</v>
      </c>
      <c r="B1" s="1042" t="s">
        <v>495</v>
      </c>
      <c r="C1" s="1043"/>
      <c r="D1" s="1043"/>
      <c r="E1" s="1043"/>
      <c r="F1" s="1044"/>
    </row>
    <row r="2" spans="1:6" ht="15.75" thickBot="1">
      <c r="A2" s="1041"/>
      <c r="B2" s="611">
        <v>2004</v>
      </c>
      <c r="C2" s="612">
        <v>2005</v>
      </c>
      <c r="D2" s="612">
        <v>2006</v>
      </c>
      <c r="E2" s="612">
        <v>2007</v>
      </c>
      <c r="F2" s="613">
        <v>2008</v>
      </c>
    </row>
    <row r="3" spans="1:6" ht="15.75" thickBot="1">
      <c r="A3" s="593" t="s">
        <v>11</v>
      </c>
      <c r="B3" s="614">
        <f>100000*MOR!AZ3/DEN!$B3</f>
        <v>66.799588658583104</v>
      </c>
      <c r="C3" s="615">
        <f>100000*MOR!BA3/DEN!$B39</f>
        <v>69.96256253157739</v>
      </c>
      <c r="D3" s="615">
        <f>100000*MOR!BB3/DEN!$B75</f>
        <v>64.761066778208288</v>
      </c>
      <c r="E3" s="615">
        <f>100000*MOR!BC3/DEN!$B111</f>
        <v>62.071105900203456</v>
      </c>
      <c r="F3" s="616">
        <f>100000*MOR!BD3/DEN!$B147</f>
        <v>51.130670658591789</v>
      </c>
    </row>
    <row r="4" spans="1:6" ht="15.75" thickBot="1">
      <c r="A4" s="594" t="s">
        <v>46</v>
      </c>
      <c r="B4" s="614">
        <f>100000*MOR!AZ4/DEN!$B4</f>
        <v>116.5110853849194</v>
      </c>
      <c r="C4" s="615">
        <f>100000*MOR!BA4/DEN!$B40</f>
        <v>128.39641661477376</v>
      </c>
      <c r="D4" s="615">
        <f>100000*MOR!BB4/DEN!$B76</f>
        <v>115.6654646862587</v>
      </c>
      <c r="E4" s="615">
        <f>100000*MOR!BC4/DEN!$B112</f>
        <v>109.20984870965366</v>
      </c>
      <c r="F4" s="616">
        <f>100000*MOR!BD4/DEN!$B148</f>
        <v>86.91181231314151</v>
      </c>
    </row>
    <row r="5" spans="1:6">
      <c r="A5" s="595" t="s">
        <v>47</v>
      </c>
      <c r="B5" s="617">
        <f>100000*MOR!AZ5/DEN!$B5</f>
        <v>101.24988300958896</v>
      </c>
      <c r="C5" s="618">
        <f>100000*MOR!BA5/DEN!$B41</f>
        <v>100.26519417299379</v>
      </c>
      <c r="D5" s="618">
        <f>100000*MOR!BB5/DEN!$B77</f>
        <v>102.98465970835755</v>
      </c>
      <c r="E5" s="618">
        <f>100000*MOR!BC5/DEN!$B113</f>
        <v>88.946801880913256</v>
      </c>
      <c r="F5" s="619">
        <f>100000*MOR!BD5/DEN!$B149</f>
        <v>62.203258867609108</v>
      </c>
    </row>
    <row r="6" spans="1:6">
      <c r="A6" s="596" t="s">
        <v>48</v>
      </c>
      <c r="B6" s="606">
        <f>100000*MOR!AZ6/DEN!$B6</f>
        <v>116.40683645383436</v>
      </c>
      <c r="C6" s="601">
        <f>100000*MOR!BA6/DEN!$B42</f>
        <v>115.0354137947426</v>
      </c>
      <c r="D6" s="601">
        <f>100000*MOR!BB6/DEN!$B78</f>
        <v>123.58800701979879</v>
      </c>
      <c r="E6" s="601">
        <f>100000*MOR!BC6/DEN!$B114</f>
        <v>91.34129450080485</v>
      </c>
      <c r="F6" s="609">
        <f>100000*MOR!BD6/DEN!$B150</f>
        <v>74.688470458744447</v>
      </c>
    </row>
    <row r="7" spans="1:6">
      <c r="A7" s="596" t="s">
        <v>49</v>
      </c>
      <c r="B7" s="606">
        <f>100000*MOR!AZ7/DEN!$B7</f>
        <v>83.610316367692974</v>
      </c>
      <c r="C7" s="601">
        <f>100000*MOR!BA7/DEN!$B43</f>
        <v>95.747341832362196</v>
      </c>
      <c r="D7" s="601">
        <f>100000*MOR!BB7/DEN!$B79</f>
        <v>92.700648354929896</v>
      </c>
      <c r="E7" s="601">
        <f>100000*MOR!BC7/DEN!$B115</f>
        <v>76.172125669006277</v>
      </c>
      <c r="F7" s="609">
        <f>100000*MOR!BD7/DEN!$B151</f>
        <v>64.635891611459812</v>
      </c>
    </row>
    <row r="8" spans="1:6">
      <c r="A8" s="596" t="s">
        <v>50</v>
      </c>
      <c r="B8" s="606">
        <f>100000*MOR!AZ8/DEN!$B8</f>
        <v>130.92670178786244</v>
      </c>
      <c r="C8" s="601">
        <f>100000*MOR!BA8/DEN!$B44</f>
        <v>152.15467356525292</v>
      </c>
      <c r="D8" s="601">
        <f>100000*MOR!BB8/DEN!$B80</f>
        <v>133.37116632046846</v>
      </c>
      <c r="E8" s="601">
        <f>100000*MOR!BC8/DEN!$B116</f>
        <v>130.82074443233142</v>
      </c>
      <c r="F8" s="609">
        <f>100000*MOR!BD8/DEN!$B152</f>
        <v>108.23639781426886</v>
      </c>
    </row>
    <row r="9" spans="1:6">
      <c r="A9" s="596" t="s">
        <v>51</v>
      </c>
      <c r="B9" s="606">
        <f>100000*MOR!AZ9/DEN!$B9</f>
        <v>109.45336120506356</v>
      </c>
      <c r="C9" s="601">
        <f>100000*MOR!BA9/DEN!$B45</f>
        <v>117.13116925159657</v>
      </c>
      <c r="D9" s="601">
        <f>100000*MOR!BB9/DEN!$B81</f>
        <v>99.745400294944233</v>
      </c>
      <c r="E9" s="601">
        <f>100000*MOR!BC9/DEN!$B117</f>
        <v>102.14803607689913</v>
      </c>
      <c r="F9" s="609">
        <f>100000*MOR!BD9/DEN!$B153</f>
        <v>70.551807444995958</v>
      </c>
    </row>
    <row r="10" spans="1:6">
      <c r="A10" s="596" t="s">
        <v>52</v>
      </c>
      <c r="B10" s="606">
        <f>100000*MOR!AZ10/DEN!$B10</f>
        <v>124.24197603904747</v>
      </c>
      <c r="C10" s="601">
        <f>100000*MOR!BA10/DEN!$B46</f>
        <v>125.91505509869135</v>
      </c>
      <c r="D10" s="601">
        <f>100000*MOR!BB10/DEN!$B82</f>
        <v>103.21348245370798</v>
      </c>
      <c r="E10" s="601">
        <f>100000*MOR!BC10/DEN!$B118</f>
        <v>103.24813037169326</v>
      </c>
      <c r="F10" s="609">
        <f>100000*MOR!BD10/DEN!$B154</f>
        <v>91.32751498436545</v>
      </c>
    </row>
    <row r="11" spans="1:6" ht="15.75" thickBot="1">
      <c r="A11" s="597" t="s">
        <v>53</v>
      </c>
      <c r="B11" s="620">
        <f>100000*MOR!AZ11/DEN!$B11</f>
        <v>139.47174302486317</v>
      </c>
      <c r="C11" s="621">
        <f>100000*MOR!BA11/DEN!$B47</f>
        <v>145.94914383943919</v>
      </c>
      <c r="D11" s="621">
        <f>100000*MOR!BB11/DEN!$B83</f>
        <v>132.07990834454844</v>
      </c>
      <c r="E11" s="621">
        <f>100000*MOR!BC11/DEN!$B119</f>
        <v>123.37307428011584</v>
      </c>
      <c r="F11" s="622">
        <f>100000*MOR!BD11/DEN!$B155</f>
        <v>94.079622467579512</v>
      </c>
    </row>
    <row r="12" spans="1:6" ht="15.75" thickBot="1">
      <c r="A12" s="594" t="s">
        <v>54</v>
      </c>
      <c r="B12" s="614">
        <f>100000*MOR!AZ12/DEN!$B12</f>
        <v>125.17547597039128</v>
      </c>
      <c r="C12" s="615">
        <f>100000*MOR!BA12/DEN!$B48</f>
        <v>135.5283971283927</v>
      </c>
      <c r="D12" s="615">
        <f>100000*MOR!BB12/DEN!$B84</f>
        <v>120.98845567643399</v>
      </c>
      <c r="E12" s="615">
        <f>100000*MOR!BC12/DEN!$B120</f>
        <v>118.99500557822863</v>
      </c>
      <c r="F12" s="616">
        <f>100000*MOR!BD12/DEN!$B156</f>
        <v>96.276012158903114</v>
      </c>
    </row>
    <row r="13" spans="1:6">
      <c r="A13" s="595" t="s">
        <v>55</v>
      </c>
      <c r="B13" s="617">
        <f>100000*MOR!AZ13/DEN!$B13</f>
        <v>185.88094593374854</v>
      </c>
      <c r="C13" s="618">
        <f>100000*MOR!BA13/DEN!$B49</f>
        <v>195.98665388456561</v>
      </c>
      <c r="D13" s="618">
        <f>100000*MOR!BB13/DEN!$B85</f>
        <v>188.5428708470283</v>
      </c>
      <c r="E13" s="618">
        <f>100000*MOR!BC13/DEN!$B121</f>
        <v>164.66455477840856</v>
      </c>
      <c r="F13" s="619">
        <f>100000*MOR!BD13/DEN!$B157</f>
        <v>126.91883377863402</v>
      </c>
    </row>
    <row r="14" spans="1:6">
      <c r="A14" s="596" t="s">
        <v>56</v>
      </c>
      <c r="B14" s="606">
        <f>100000*MOR!AZ14/DEN!$B14</f>
        <v>97.663594521664407</v>
      </c>
      <c r="C14" s="601">
        <f>100000*MOR!BA14/DEN!$B50</f>
        <v>122.46373877415728</v>
      </c>
      <c r="D14" s="601">
        <f>100000*MOR!BB14/DEN!$B86</f>
        <v>109.11974517624088</v>
      </c>
      <c r="E14" s="601">
        <f>100000*MOR!BC14/DEN!$B122</f>
        <v>106.19852378805713</v>
      </c>
      <c r="F14" s="609">
        <f>100000*MOR!BD14/DEN!$B158</f>
        <v>84.22183143855321</v>
      </c>
    </row>
    <row r="15" spans="1:6">
      <c r="A15" s="596" t="s">
        <v>57</v>
      </c>
      <c r="B15" s="606">
        <f>100000*MOR!AZ15/DEN!$B15</f>
        <v>110.11502841185782</v>
      </c>
      <c r="C15" s="601">
        <f>100000*MOR!BA15/DEN!$B51</f>
        <v>128.81292655297887</v>
      </c>
      <c r="D15" s="601">
        <f>100000*MOR!BB15/DEN!$B87</f>
        <v>114.02788850631288</v>
      </c>
      <c r="E15" s="601">
        <f>100000*MOR!BC15/DEN!$B123</f>
        <v>120.42115098367132</v>
      </c>
      <c r="F15" s="609">
        <f>100000*MOR!BD15/DEN!$B159</f>
        <v>97.341254280435919</v>
      </c>
    </row>
    <row r="16" spans="1:6">
      <c r="A16" s="596" t="s">
        <v>58</v>
      </c>
      <c r="B16" s="606">
        <f>100000*MOR!AZ16/DEN!$B16</f>
        <v>184.73665448415329</v>
      </c>
      <c r="C16" s="601">
        <f>100000*MOR!BA16/DEN!$B52</f>
        <v>179.57038313981982</v>
      </c>
      <c r="D16" s="601">
        <f>100000*MOR!BB16/DEN!$B88</f>
        <v>170.90123240464925</v>
      </c>
      <c r="E16" s="601">
        <f>100000*MOR!BC16/DEN!$B124</f>
        <v>166.22494299852892</v>
      </c>
      <c r="F16" s="609">
        <f>100000*MOR!BD16/DEN!$B160</f>
        <v>128.26229680833384</v>
      </c>
    </row>
    <row r="17" spans="1:6">
      <c r="A17" s="596" t="s">
        <v>59</v>
      </c>
      <c r="B17" s="606">
        <f>100000*MOR!AZ17/DEN!$B17</f>
        <v>135.5134541749174</v>
      </c>
      <c r="C17" s="601">
        <f>100000*MOR!BA17/DEN!$B53</f>
        <v>128.19144905820264</v>
      </c>
      <c r="D17" s="601">
        <f>100000*MOR!BB17/DEN!$B89</f>
        <v>105.91068289366405</v>
      </c>
      <c r="E17" s="601">
        <f>100000*MOR!BC17/DEN!$B125</f>
        <v>116.86352749545799</v>
      </c>
      <c r="F17" s="609">
        <f>100000*MOR!BD17/DEN!$B161</f>
        <v>104.68310942200118</v>
      </c>
    </row>
    <row r="18" spans="1:6">
      <c r="A18" s="596" t="s">
        <v>60</v>
      </c>
      <c r="B18" s="606">
        <f>100000*MOR!AZ18/DEN!$B18</f>
        <v>119.82629319427974</v>
      </c>
      <c r="C18" s="601">
        <f>100000*MOR!BA18/DEN!$B54</f>
        <v>118.79751670915562</v>
      </c>
      <c r="D18" s="601">
        <f>100000*MOR!BB18/DEN!$B90</f>
        <v>105.68905196920383</v>
      </c>
      <c r="E18" s="601">
        <f>100000*MOR!BC18/DEN!$B126</f>
        <v>99.517718089823489</v>
      </c>
      <c r="F18" s="609">
        <f>100000*MOR!BD18/DEN!$B162</f>
        <v>77.355138525779623</v>
      </c>
    </row>
    <row r="19" spans="1:6">
      <c r="A19" s="596" t="s">
        <v>61</v>
      </c>
      <c r="B19" s="606">
        <f>100000*MOR!AZ19/DEN!$B19</f>
        <v>195.65570662477654</v>
      </c>
      <c r="C19" s="601">
        <f>100000*MOR!BA19/DEN!$B55</f>
        <v>195.8323719914689</v>
      </c>
      <c r="D19" s="601">
        <f>100000*MOR!BB19/DEN!$B91</f>
        <v>176.08605333541067</v>
      </c>
      <c r="E19" s="601">
        <f>100000*MOR!BC19/DEN!$B127</f>
        <v>169.37645369644622</v>
      </c>
      <c r="F19" s="609">
        <f>100000*MOR!BD19/DEN!$B163</f>
        <v>139.57647773965596</v>
      </c>
    </row>
    <row r="20" spans="1:6">
      <c r="A20" s="596" t="s">
        <v>62</v>
      </c>
      <c r="B20" s="606">
        <f>100000*MOR!AZ20/DEN!$B20</f>
        <v>82.317103226633279</v>
      </c>
      <c r="C20" s="601">
        <f>100000*MOR!BA20/DEN!$B56</f>
        <v>95.527994559761666</v>
      </c>
      <c r="D20" s="601">
        <f>100000*MOR!BB20/DEN!$B92</f>
        <v>78.060500857342447</v>
      </c>
      <c r="E20" s="601">
        <f>100000*MOR!BC20/DEN!$B128</f>
        <v>71.993462993560186</v>
      </c>
      <c r="F20" s="609">
        <f>100000*MOR!BD20/DEN!$B164</f>
        <v>62.235151695597743</v>
      </c>
    </row>
    <row r="21" spans="1:6" ht="15.75" thickBot="1">
      <c r="A21" s="597" t="s">
        <v>63</v>
      </c>
      <c r="B21" s="620">
        <f>100000*MOR!AZ21/DEN!$B21</f>
        <v>155.60211315828582</v>
      </c>
      <c r="C21" s="621">
        <f>100000*MOR!BA21/DEN!$B57</f>
        <v>160.96238563198915</v>
      </c>
      <c r="D21" s="621">
        <f>100000*MOR!BB21/DEN!$B93</f>
        <v>133.48204892682696</v>
      </c>
      <c r="E21" s="621">
        <f>100000*MOR!BC21/DEN!$B129</f>
        <v>132.26382767447635</v>
      </c>
      <c r="F21" s="622">
        <f>100000*MOR!BD21/DEN!$B165</f>
        <v>115.37592743827214</v>
      </c>
    </row>
    <row r="22" spans="1:6" ht="15.75" thickBot="1">
      <c r="A22" s="594" t="s">
        <v>64</v>
      </c>
      <c r="B22" s="614">
        <f>100000*MOR!AZ22/DEN!$B22</f>
        <v>47.691245281915492</v>
      </c>
      <c r="C22" s="615">
        <f>100000*MOR!BA22/DEN!$B58</f>
        <v>48.799460489355766</v>
      </c>
      <c r="D22" s="615">
        <f>100000*MOR!BB22/DEN!$B94</f>
        <v>46.154163244211858</v>
      </c>
      <c r="E22" s="615">
        <f>100000*MOR!BC22/DEN!$B130</f>
        <v>42.599514332986303</v>
      </c>
      <c r="F22" s="616">
        <f>100000*MOR!BD22/DEN!$B166</f>
        <v>35.341246360237108</v>
      </c>
    </row>
    <row r="23" spans="1:6">
      <c r="A23" s="595" t="s">
        <v>65</v>
      </c>
      <c r="B23" s="617">
        <f>100000*MOR!AZ23/DEN!$B23</f>
        <v>89.333171700593994</v>
      </c>
      <c r="C23" s="618">
        <f>100000*MOR!BA23/DEN!$B59</f>
        <v>97.422107062037341</v>
      </c>
      <c r="D23" s="618">
        <f>100000*MOR!BB23/DEN!$B95</f>
        <v>90.652003142183815</v>
      </c>
      <c r="E23" s="618">
        <f>100000*MOR!BC23/DEN!$B131</f>
        <v>85.749543140653188</v>
      </c>
      <c r="F23" s="619">
        <f>100000*MOR!BD23/DEN!$B167</f>
        <v>70.154364838026694</v>
      </c>
    </row>
    <row r="24" spans="1:6">
      <c r="A24" s="596" t="s">
        <v>66</v>
      </c>
      <c r="B24" s="606">
        <f>100000*MOR!AZ24/DEN!$B24</f>
        <v>64.994159274555486</v>
      </c>
      <c r="C24" s="601">
        <f>100000*MOR!BA24/DEN!$B60</f>
        <v>65.93655445042512</v>
      </c>
      <c r="D24" s="601">
        <f>100000*MOR!BB24/DEN!$B96</f>
        <v>62.793149517776868</v>
      </c>
      <c r="E24" s="601">
        <f>100000*MOR!BC24/DEN!$B132</f>
        <v>56.555320215862672</v>
      </c>
      <c r="F24" s="609">
        <f>100000*MOR!BD24/DEN!$B168</f>
        <v>46.799749185759772</v>
      </c>
    </row>
    <row r="25" spans="1:6">
      <c r="A25" s="596" t="s">
        <v>67</v>
      </c>
      <c r="B25" s="606">
        <f>100000*MOR!AZ25/DEN!$B25</f>
        <v>57.550838884108387</v>
      </c>
      <c r="C25" s="601">
        <f>100000*MOR!BA25/DEN!$B61</f>
        <v>66.288136180997313</v>
      </c>
      <c r="D25" s="601">
        <f>100000*MOR!BB25/DEN!$B97</f>
        <v>58.693993524993246</v>
      </c>
      <c r="E25" s="601">
        <f>100000*MOR!BC25/DEN!$B133</f>
        <v>60.355313668098219</v>
      </c>
      <c r="F25" s="609">
        <f>100000*MOR!BD25/DEN!$B169</f>
        <v>47.032296228401329</v>
      </c>
    </row>
    <row r="26" spans="1:6" ht="15.75" thickBot="1">
      <c r="A26" s="597" t="s">
        <v>68</v>
      </c>
      <c r="B26" s="620">
        <f>100000*MOR!AZ26/DEN!$B26</f>
        <v>37.372152156578871</v>
      </c>
      <c r="C26" s="621">
        <f>100000*MOR!BA26/DEN!$B62</f>
        <v>36.259992970854114</v>
      </c>
      <c r="D26" s="621">
        <f>100000*MOR!BB26/DEN!$B98</f>
        <v>34.928322857963238</v>
      </c>
      <c r="E26" s="621">
        <f>100000*MOR!BC26/DEN!$B134</f>
        <v>31.043336045580197</v>
      </c>
      <c r="F26" s="622">
        <f>100000*MOR!BD26/DEN!$B170</f>
        <v>26.298643634934272</v>
      </c>
    </row>
    <row r="27" spans="1:6" ht="15.75" thickBot="1">
      <c r="A27" s="594" t="s">
        <v>69</v>
      </c>
      <c r="B27" s="614">
        <f>100000*MOR!AZ27/DEN!$B27</f>
        <v>59.350041881950951</v>
      </c>
      <c r="C27" s="615">
        <f>100000*MOR!BA27/DEN!$B63</f>
        <v>59.551606324953262</v>
      </c>
      <c r="D27" s="615">
        <f>100000*MOR!BB27/DEN!$B99</f>
        <v>54.671865035524391</v>
      </c>
      <c r="E27" s="615">
        <f>100000*MOR!BC27/DEN!$B135</f>
        <v>52.452663281541376</v>
      </c>
      <c r="F27" s="616">
        <f>100000*MOR!BD27/DEN!$B171</f>
        <v>41.185507495184432</v>
      </c>
    </row>
    <row r="28" spans="1:6">
      <c r="A28" s="595" t="s">
        <v>70</v>
      </c>
      <c r="B28" s="617">
        <f>100000*MOR!AZ28/DEN!$B28</f>
        <v>69.157023278671801</v>
      </c>
      <c r="C28" s="618">
        <f>100000*MOR!BA28/DEN!$B64</f>
        <v>70.775252225618473</v>
      </c>
      <c r="D28" s="618">
        <f>100000*MOR!BB28/DEN!$B100</f>
        <v>64.100678890619051</v>
      </c>
      <c r="E28" s="618">
        <f>100000*MOR!BC28/DEN!$B136</f>
        <v>64.648202125201422</v>
      </c>
      <c r="F28" s="619">
        <f>100000*MOR!BD28/DEN!$B172</f>
        <v>49.061725980813335</v>
      </c>
    </row>
    <row r="29" spans="1:6">
      <c r="A29" s="596" t="s">
        <v>71</v>
      </c>
      <c r="B29" s="606">
        <f>100000*MOR!AZ29/DEN!$B29</f>
        <v>47.22351277552319</v>
      </c>
      <c r="C29" s="601">
        <f>100000*MOR!BA29/DEN!$B65</f>
        <v>48.772808164313155</v>
      </c>
      <c r="D29" s="601">
        <f>100000*MOR!BB29/DEN!$B101</f>
        <v>42.505444247687059</v>
      </c>
      <c r="E29" s="601">
        <f>100000*MOR!BC29/DEN!$B137</f>
        <v>40.1905892369602</v>
      </c>
      <c r="F29" s="609">
        <f>100000*MOR!BD29/DEN!$B173</f>
        <v>33.77860030519679</v>
      </c>
    </row>
    <row r="30" spans="1:6" ht="15.75" thickBot="1">
      <c r="A30" s="597" t="s">
        <v>72</v>
      </c>
      <c r="B30" s="620">
        <f>100000*MOR!AZ30/DEN!$B30</f>
        <v>61.790365613456935</v>
      </c>
      <c r="C30" s="621">
        <f>100000*MOR!BA30/DEN!$B66</f>
        <v>57.810278951135665</v>
      </c>
      <c r="D30" s="621">
        <f>100000*MOR!BB30/DEN!$B102</f>
        <v>57.439439926198318</v>
      </c>
      <c r="E30" s="621">
        <f>100000*MOR!BC30/DEN!$B138</f>
        <v>51.164077511682464</v>
      </c>
      <c r="F30" s="622">
        <f>100000*MOR!BD30/DEN!$B174</f>
        <v>39.654817429553788</v>
      </c>
    </row>
    <row r="31" spans="1:6" ht="15.75" thickBot="1">
      <c r="A31" s="594" t="s">
        <v>73</v>
      </c>
      <c r="B31" s="614">
        <f>100000*MOR!AZ31/DEN!$B31</f>
        <v>83.684406496334503</v>
      </c>
      <c r="C31" s="615">
        <f>100000*MOR!BA31/DEN!$B67</f>
        <v>83.44429482523212</v>
      </c>
      <c r="D31" s="615">
        <f>100000*MOR!BB31/DEN!$B103</f>
        <v>74.605213369376898</v>
      </c>
      <c r="E31" s="615">
        <f>100000*MOR!BC31/DEN!$B139</f>
        <v>70.927056132086122</v>
      </c>
      <c r="F31" s="616">
        <f>100000*MOR!BD31/DEN!$B175</f>
        <v>60.593647054807377</v>
      </c>
    </row>
    <row r="32" spans="1:6">
      <c r="A32" s="595" t="s">
        <v>74</v>
      </c>
      <c r="B32" s="617">
        <f>100000*MOR!AZ32/DEN!$B32</f>
        <v>53.002167935896821</v>
      </c>
      <c r="C32" s="618">
        <f>100000*MOR!BA32/DEN!$B68</f>
        <v>54.165690804181658</v>
      </c>
      <c r="D32" s="618">
        <f>100000*MOR!BB32/DEN!$B104</f>
        <v>50.344241514128591</v>
      </c>
      <c r="E32" s="618">
        <f>100000*MOR!BC32/DEN!$B140</f>
        <v>40.620864057477782</v>
      </c>
      <c r="F32" s="619">
        <f>100000*MOR!BD32/DEN!$B176</f>
        <v>35.470614316628172</v>
      </c>
    </row>
    <row r="33" spans="1:6">
      <c r="A33" s="596" t="s">
        <v>75</v>
      </c>
      <c r="B33" s="606">
        <f>100000*MOR!AZ33/DEN!$B33</f>
        <v>83.7920577920368</v>
      </c>
      <c r="C33" s="601">
        <f>100000*MOR!BA33/DEN!$B69</f>
        <v>87.499294727473597</v>
      </c>
      <c r="D33" s="601">
        <f>100000*MOR!BB33/DEN!$B105</f>
        <v>74.919580697064603</v>
      </c>
      <c r="E33" s="601">
        <f>100000*MOR!BC33/DEN!$B141</f>
        <v>76.330698510703257</v>
      </c>
      <c r="F33" s="609">
        <f>100000*MOR!BD33/DEN!$B177</f>
        <v>62.730981279156651</v>
      </c>
    </row>
    <row r="34" spans="1:6">
      <c r="A34" s="596" t="s">
        <v>76</v>
      </c>
      <c r="B34" s="606">
        <f>100000*MOR!AZ34/DEN!$B34</f>
        <v>116.40646398247056</v>
      </c>
      <c r="C34" s="601">
        <f>100000*MOR!BA34/DEN!$B70</f>
        <v>104.17512755077948</v>
      </c>
      <c r="D34" s="601">
        <f>100000*MOR!BB34/DEN!$B106</f>
        <v>90.498502254012649</v>
      </c>
      <c r="E34" s="601">
        <f>100000*MOR!BC34/DEN!$B142</f>
        <v>87.736939631151756</v>
      </c>
      <c r="F34" s="609">
        <f>100000*MOR!BD34/DEN!$B178</f>
        <v>76.130185171347208</v>
      </c>
    </row>
    <row r="35" spans="1:6" ht="15.75" thickBot="1">
      <c r="A35" s="598" t="s">
        <v>77</v>
      </c>
      <c r="B35" s="607">
        <f>100000*MOR!AZ35/DEN!$B35</f>
        <v>86.226513730434519</v>
      </c>
      <c r="C35" s="608">
        <f>100000*MOR!BA35/DEN!$B71</f>
        <v>87.394716326636072</v>
      </c>
      <c r="D35" s="608">
        <f>100000*MOR!BB35/DEN!$B107</f>
        <v>86.141600480354114</v>
      </c>
      <c r="E35" s="608">
        <f>100000*MOR!BC35/DEN!$B143</f>
        <v>75.417886203205356</v>
      </c>
      <c r="F35" s="610">
        <f>100000*MOR!BD35/DEN!$B179</f>
        <v>66.07091132374029</v>
      </c>
    </row>
    <row r="36" spans="1:6">
      <c r="A36" s="3"/>
      <c r="B36" s="45"/>
      <c r="C36" s="45"/>
      <c r="D36" s="45"/>
      <c r="E36" s="45"/>
    </row>
    <row r="37" spans="1:6">
      <c r="A37" s="3"/>
      <c r="B37" s="45"/>
      <c r="C37" s="45"/>
      <c r="D37" s="45"/>
      <c r="E37" s="45"/>
    </row>
    <row r="38" spans="1:6">
      <c r="A38" s="3"/>
      <c r="B38" s="45"/>
      <c r="C38" s="45"/>
      <c r="D38" s="45"/>
      <c r="E38" s="45"/>
    </row>
    <row r="39" spans="1:6">
      <c r="A39" s="3"/>
      <c r="B39" s="45"/>
      <c r="C39" s="45"/>
      <c r="D39" s="45"/>
      <c r="E39" s="45"/>
    </row>
    <row r="40" spans="1:6">
      <c r="A40" s="3"/>
      <c r="B40" s="45"/>
      <c r="C40" s="45"/>
      <c r="D40" s="45"/>
      <c r="E40" s="45"/>
    </row>
    <row r="41" spans="1:6">
      <c r="A41" s="3"/>
      <c r="B41" s="45"/>
      <c r="C41" s="45"/>
      <c r="D41" s="45"/>
      <c r="E41" s="45"/>
    </row>
    <row r="42" spans="1:6">
      <c r="A42" s="3"/>
      <c r="B42" s="45"/>
      <c r="C42" s="45"/>
      <c r="D42" s="45"/>
      <c r="E42" s="45"/>
    </row>
    <row r="43" spans="1:6">
      <c r="A43" s="3"/>
      <c r="B43" s="45"/>
      <c r="C43" s="45"/>
      <c r="D43" s="45"/>
      <c r="E43" s="45"/>
    </row>
    <row r="44" spans="1:6">
      <c r="A44" s="3"/>
      <c r="B44" s="45"/>
      <c r="C44" s="45"/>
      <c r="D44" s="45"/>
      <c r="E44" s="45"/>
    </row>
    <row r="45" spans="1:6">
      <c r="A45" s="3"/>
      <c r="B45" s="45"/>
      <c r="C45" s="45"/>
      <c r="D45" s="45"/>
      <c r="E45" s="45"/>
    </row>
    <row r="46" spans="1:6">
      <c r="A46" s="3"/>
      <c r="B46" s="45"/>
      <c r="C46" s="45"/>
      <c r="D46" s="45"/>
      <c r="E46" s="45"/>
    </row>
    <row r="47" spans="1:6">
      <c r="A47" s="3"/>
      <c r="B47" s="45"/>
      <c r="C47" s="45"/>
      <c r="D47" s="45"/>
      <c r="E47" s="45"/>
    </row>
    <row r="48" spans="1:6">
      <c r="A48" s="3"/>
      <c r="B48" s="45"/>
      <c r="C48" s="45"/>
      <c r="D48" s="45"/>
      <c r="E48" s="45"/>
    </row>
    <row r="49" spans="1:5">
      <c r="A49" s="3"/>
      <c r="B49" s="45"/>
      <c r="C49" s="45"/>
      <c r="D49" s="45"/>
      <c r="E49" s="45"/>
    </row>
    <row r="50" spans="1:5">
      <c r="A50" s="3"/>
      <c r="B50" s="45"/>
      <c r="C50" s="45"/>
      <c r="D50" s="45"/>
      <c r="E50" s="45"/>
    </row>
    <row r="51" spans="1:5">
      <c r="A51" s="3"/>
      <c r="B51" s="45"/>
      <c r="C51" s="45"/>
      <c r="D51" s="45"/>
      <c r="E51" s="45"/>
    </row>
    <row r="52" spans="1:5">
      <c r="A52" s="3"/>
      <c r="B52" s="45"/>
      <c r="C52" s="45"/>
      <c r="D52" s="45"/>
      <c r="E52" s="45"/>
    </row>
    <row r="53" spans="1:5">
      <c r="A53" s="3"/>
      <c r="B53" s="45"/>
      <c r="C53" s="45"/>
      <c r="D53" s="45"/>
      <c r="E53" s="45"/>
    </row>
    <row r="54" spans="1:5">
      <c r="A54" s="3"/>
      <c r="B54" s="45"/>
      <c r="C54" s="45"/>
      <c r="D54" s="45"/>
      <c r="E54" s="45"/>
    </row>
    <row r="55" spans="1:5">
      <c r="A55" s="3"/>
      <c r="B55" s="45"/>
      <c r="C55" s="45"/>
      <c r="D55" s="45"/>
      <c r="E55" s="45"/>
    </row>
    <row r="56" spans="1:5">
      <c r="A56" s="3"/>
      <c r="B56" s="45"/>
      <c r="C56" s="45"/>
      <c r="D56" s="45"/>
      <c r="E56" s="45"/>
    </row>
    <row r="57" spans="1:5">
      <c r="A57" s="3"/>
      <c r="B57" s="45"/>
      <c r="C57" s="45"/>
      <c r="D57" s="45"/>
      <c r="E57" s="45"/>
    </row>
    <row r="58" spans="1:5">
      <c r="A58" s="3"/>
      <c r="B58" s="45"/>
      <c r="C58" s="45"/>
      <c r="D58" s="45"/>
      <c r="E58" s="45"/>
    </row>
    <row r="59" spans="1:5">
      <c r="A59" s="3"/>
      <c r="B59" s="45"/>
      <c r="C59" s="45"/>
      <c r="D59" s="45"/>
      <c r="E59" s="45"/>
    </row>
    <row r="60" spans="1:5">
      <c r="A60" s="3"/>
      <c r="B60" s="45"/>
      <c r="C60" s="45"/>
      <c r="D60" s="45"/>
      <c r="E60" s="45"/>
    </row>
    <row r="61" spans="1:5">
      <c r="A61" s="3"/>
      <c r="B61" s="45"/>
      <c r="C61" s="45"/>
      <c r="D61" s="45"/>
      <c r="E61" s="45"/>
    </row>
    <row r="62" spans="1:5">
      <c r="A62" s="3"/>
      <c r="B62" s="45"/>
      <c r="C62" s="45"/>
      <c r="D62" s="45"/>
      <c r="E62" s="45"/>
    </row>
    <row r="63" spans="1:5">
      <c r="A63" s="3"/>
      <c r="B63" s="45"/>
      <c r="C63" s="45"/>
      <c r="D63" s="45"/>
      <c r="E63" s="45"/>
    </row>
    <row r="64" spans="1:5">
      <c r="A64" s="3"/>
      <c r="B64" s="45"/>
      <c r="C64" s="45"/>
      <c r="D64" s="45"/>
      <c r="E64" s="45"/>
    </row>
    <row r="65" spans="1:5">
      <c r="A65" s="3"/>
      <c r="B65" s="45"/>
      <c r="C65" s="45"/>
      <c r="D65" s="45"/>
      <c r="E65" s="45"/>
    </row>
    <row r="66" spans="1:5">
      <c r="A66" s="3"/>
      <c r="B66" s="45"/>
      <c r="C66" s="45"/>
      <c r="D66" s="45"/>
      <c r="E66" s="45"/>
    </row>
    <row r="67" spans="1:5">
      <c r="A67" s="3"/>
      <c r="B67" s="45"/>
      <c r="C67" s="45"/>
      <c r="D67" s="45"/>
      <c r="E67" s="45"/>
    </row>
    <row r="68" spans="1:5">
      <c r="A68" s="3"/>
      <c r="B68" s="45"/>
      <c r="C68" s="45"/>
      <c r="D68" s="45"/>
      <c r="E68" s="45"/>
    </row>
    <row r="69" spans="1:5">
      <c r="A69" s="3"/>
      <c r="B69" s="45"/>
      <c r="C69" s="45"/>
      <c r="D69" s="45"/>
      <c r="E69" s="45"/>
    </row>
    <row r="70" spans="1:5">
      <c r="A70" s="3"/>
      <c r="B70" s="45"/>
      <c r="C70" s="45"/>
      <c r="D70" s="45"/>
      <c r="E70" s="45"/>
    </row>
    <row r="71" spans="1:5">
      <c r="A71" s="3"/>
      <c r="B71" s="45"/>
      <c r="C71" s="45"/>
      <c r="D71" s="45"/>
      <c r="E71" s="45"/>
    </row>
    <row r="72" spans="1:5">
      <c r="A72" s="3"/>
      <c r="B72" s="45"/>
      <c r="C72" s="45"/>
      <c r="D72" s="45"/>
      <c r="E72" s="45"/>
    </row>
    <row r="73" spans="1:5">
      <c r="A73" s="3"/>
      <c r="B73" s="45"/>
      <c r="C73" s="45"/>
      <c r="D73" s="45"/>
      <c r="E73" s="45"/>
    </row>
    <row r="74" spans="1:5">
      <c r="A74" s="3"/>
      <c r="B74" s="45"/>
      <c r="C74" s="45"/>
      <c r="D74" s="45"/>
      <c r="E74" s="45"/>
    </row>
    <row r="75" spans="1:5">
      <c r="A75" s="3"/>
      <c r="B75" s="45"/>
      <c r="C75" s="45"/>
      <c r="D75" s="45"/>
      <c r="E75" s="45"/>
    </row>
    <row r="76" spans="1:5">
      <c r="A76" s="3"/>
      <c r="B76" s="45"/>
      <c r="C76" s="45"/>
      <c r="D76" s="45"/>
      <c r="E76" s="45"/>
    </row>
    <row r="77" spans="1:5">
      <c r="A77" s="3"/>
      <c r="B77" s="45"/>
      <c r="C77" s="45"/>
      <c r="D77" s="45"/>
      <c r="E77" s="45"/>
    </row>
    <row r="78" spans="1:5">
      <c r="A78" s="3"/>
      <c r="B78" s="45"/>
      <c r="C78" s="45"/>
      <c r="D78" s="45"/>
      <c r="E78" s="45"/>
    </row>
    <row r="79" spans="1:5">
      <c r="A79" s="3"/>
      <c r="B79" s="45"/>
      <c r="C79" s="45"/>
      <c r="D79" s="45"/>
      <c r="E79" s="45"/>
    </row>
    <row r="80" spans="1:5">
      <c r="A80" s="3"/>
      <c r="B80" s="45"/>
      <c r="C80" s="45"/>
      <c r="D80" s="45"/>
      <c r="E80" s="45"/>
    </row>
    <row r="81" spans="1:5">
      <c r="A81" s="3"/>
      <c r="B81" s="45"/>
      <c r="C81" s="45"/>
      <c r="D81" s="45"/>
      <c r="E81" s="45"/>
    </row>
    <row r="82" spans="1:5">
      <c r="A82" s="3"/>
      <c r="B82" s="45"/>
      <c r="C82" s="45"/>
      <c r="D82" s="45"/>
      <c r="E82" s="45"/>
    </row>
    <row r="83" spans="1:5">
      <c r="A83" s="3"/>
      <c r="B83" s="45"/>
      <c r="C83" s="45"/>
      <c r="D83" s="45"/>
      <c r="E83" s="45"/>
    </row>
    <row r="84" spans="1:5">
      <c r="A84" s="3"/>
      <c r="B84" s="45"/>
      <c r="C84" s="45"/>
      <c r="D84" s="45"/>
      <c r="E84" s="45"/>
    </row>
    <row r="85" spans="1:5">
      <c r="A85" s="3"/>
      <c r="B85" s="45"/>
      <c r="C85" s="45"/>
      <c r="D85" s="45"/>
      <c r="E85" s="45"/>
    </row>
    <row r="86" spans="1:5">
      <c r="A86" s="3"/>
      <c r="B86" s="45"/>
      <c r="C86" s="45"/>
      <c r="D86" s="45"/>
      <c r="E86" s="45"/>
    </row>
    <row r="87" spans="1:5">
      <c r="A87" s="3"/>
      <c r="B87" s="45"/>
      <c r="C87" s="45"/>
      <c r="D87" s="45"/>
      <c r="E87" s="45"/>
    </row>
    <row r="88" spans="1:5">
      <c r="A88" s="3"/>
      <c r="B88" s="45"/>
      <c r="C88" s="45"/>
      <c r="D88" s="45"/>
      <c r="E88" s="45"/>
    </row>
    <row r="89" spans="1:5">
      <c r="A89" s="3"/>
      <c r="B89" s="45"/>
      <c r="C89" s="45"/>
      <c r="D89" s="45"/>
      <c r="E89" s="45"/>
    </row>
    <row r="90" spans="1:5">
      <c r="A90" s="3"/>
      <c r="B90" s="45"/>
      <c r="C90" s="45"/>
      <c r="D90" s="45"/>
      <c r="E90" s="45"/>
    </row>
    <row r="91" spans="1:5">
      <c r="A91" s="3"/>
      <c r="B91" s="45"/>
      <c r="C91" s="45"/>
      <c r="D91" s="45"/>
      <c r="E91" s="45"/>
    </row>
    <row r="92" spans="1:5">
      <c r="A92" s="3"/>
      <c r="B92" s="45"/>
      <c r="C92" s="45"/>
      <c r="D92" s="45"/>
      <c r="E92" s="45"/>
    </row>
    <row r="93" spans="1:5">
      <c r="A93" s="3"/>
      <c r="B93" s="45"/>
      <c r="C93" s="45"/>
      <c r="D93" s="45"/>
      <c r="E93" s="45"/>
    </row>
    <row r="94" spans="1:5">
      <c r="A94" s="3"/>
      <c r="B94" s="45"/>
      <c r="C94" s="45"/>
      <c r="D94" s="45"/>
      <c r="E94" s="45"/>
    </row>
    <row r="95" spans="1:5">
      <c r="A95" s="3"/>
      <c r="B95" s="45"/>
      <c r="C95" s="45"/>
      <c r="D95" s="45"/>
      <c r="E95" s="45"/>
    </row>
    <row r="96" spans="1:5">
      <c r="A96" s="3"/>
      <c r="B96" s="45"/>
      <c r="C96" s="45"/>
      <c r="D96" s="45"/>
      <c r="E96" s="45"/>
    </row>
    <row r="97" spans="1:5">
      <c r="A97" s="3"/>
      <c r="B97" s="45"/>
      <c r="C97" s="45"/>
      <c r="D97" s="45"/>
      <c r="E97" s="45"/>
    </row>
    <row r="98" spans="1:5">
      <c r="A98" s="3"/>
      <c r="B98" s="45"/>
      <c r="C98" s="45"/>
      <c r="D98" s="45"/>
      <c r="E98" s="45"/>
    </row>
    <row r="99" spans="1:5">
      <c r="A99" s="3"/>
      <c r="B99" s="45"/>
      <c r="C99" s="45"/>
      <c r="D99" s="45"/>
      <c r="E99" s="45"/>
    </row>
    <row r="100" spans="1:5">
      <c r="A100" s="3"/>
      <c r="B100" s="45"/>
      <c r="C100" s="45"/>
      <c r="D100" s="45"/>
      <c r="E100" s="45"/>
    </row>
    <row r="101" spans="1:5">
      <c r="A101" s="3"/>
      <c r="B101" s="45"/>
      <c r="C101" s="45"/>
      <c r="D101" s="45"/>
      <c r="E101" s="45"/>
    </row>
    <row r="102" spans="1:5">
      <c r="A102" s="3"/>
      <c r="B102" s="45"/>
      <c r="C102" s="45"/>
      <c r="D102" s="45"/>
      <c r="E102" s="45"/>
    </row>
    <row r="103" spans="1:5">
      <c r="A103" s="3"/>
      <c r="B103" s="45"/>
      <c r="C103" s="45"/>
      <c r="D103" s="45"/>
      <c r="E103" s="45"/>
    </row>
    <row r="104" spans="1:5">
      <c r="A104" s="3"/>
      <c r="B104" s="45"/>
      <c r="C104" s="45"/>
      <c r="D104" s="45"/>
      <c r="E104" s="45"/>
    </row>
    <row r="105" spans="1:5">
      <c r="A105" s="3"/>
      <c r="B105" s="45"/>
      <c r="C105" s="45"/>
      <c r="D105" s="45"/>
      <c r="E105" s="45"/>
    </row>
    <row r="106" spans="1:5">
      <c r="A106" s="3"/>
      <c r="B106" s="45"/>
      <c r="C106" s="45"/>
      <c r="D106" s="45"/>
      <c r="E106" s="45"/>
    </row>
    <row r="107" spans="1:5">
      <c r="A107" s="3"/>
      <c r="B107" s="45"/>
      <c r="C107" s="45"/>
      <c r="D107" s="45"/>
      <c r="E107" s="45"/>
    </row>
    <row r="108" spans="1:5">
      <c r="A108" s="3"/>
      <c r="B108" s="45"/>
      <c r="C108" s="45"/>
      <c r="D108" s="45"/>
      <c r="E108" s="45"/>
    </row>
    <row r="109" spans="1:5">
      <c r="A109" s="3"/>
      <c r="B109" s="45"/>
      <c r="C109" s="45"/>
      <c r="D109" s="45"/>
      <c r="E109" s="45"/>
    </row>
    <row r="110" spans="1:5">
      <c r="A110" s="3"/>
      <c r="B110" s="45"/>
      <c r="C110" s="45"/>
      <c r="D110" s="45"/>
      <c r="E110" s="45"/>
    </row>
    <row r="111" spans="1:5">
      <c r="A111" s="3"/>
      <c r="B111" s="45"/>
      <c r="C111" s="45"/>
      <c r="D111" s="45"/>
      <c r="E111" s="45"/>
    </row>
    <row r="112" spans="1:5">
      <c r="A112" s="3"/>
      <c r="B112" s="45"/>
      <c r="C112" s="45"/>
      <c r="D112" s="45"/>
      <c r="E112" s="45"/>
    </row>
    <row r="113" spans="1:5">
      <c r="A113" s="3"/>
      <c r="B113" s="45"/>
      <c r="C113" s="45"/>
      <c r="D113" s="45"/>
      <c r="E113" s="45"/>
    </row>
    <row r="114" spans="1:5">
      <c r="A114" s="3"/>
      <c r="B114" s="45"/>
      <c r="C114" s="45"/>
      <c r="D114" s="45"/>
      <c r="E114" s="45"/>
    </row>
    <row r="115" spans="1:5">
      <c r="A115" s="3"/>
      <c r="B115" s="45"/>
      <c r="C115" s="45"/>
      <c r="D115" s="45"/>
      <c r="E115" s="45"/>
    </row>
    <row r="116" spans="1:5">
      <c r="A116" s="3"/>
      <c r="B116" s="45"/>
      <c r="C116" s="45"/>
      <c r="D116" s="45"/>
      <c r="E116" s="45"/>
    </row>
    <row r="117" spans="1:5">
      <c r="A117" s="3"/>
      <c r="B117" s="45"/>
      <c r="C117" s="45"/>
      <c r="D117" s="45"/>
      <c r="E117" s="45"/>
    </row>
    <row r="118" spans="1:5">
      <c r="A118" s="3"/>
      <c r="B118" s="45"/>
      <c r="C118" s="45"/>
      <c r="D118" s="45"/>
      <c r="E118" s="45"/>
    </row>
    <row r="119" spans="1:5">
      <c r="A119" s="3"/>
      <c r="B119" s="45"/>
      <c r="C119" s="45"/>
      <c r="D119" s="45"/>
      <c r="E119" s="45"/>
    </row>
    <row r="120" spans="1:5">
      <c r="A120" s="3"/>
      <c r="B120" s="45"/>
      <c r="C120" s="45"/>
      <c r="D120" s="45"/>
      <c r="E120" s="45"/>
    </row>
    <row r="121" spans="1:5">
      <c r="A121" s="3"/>
      <c r="B121" s="45"/>
      <c r="C121" s="45"/>
      <c r="D121" s="45"/>
      <c r="E121" s="45"/>
    </row>
    <row r="122" spans="1:5">
      <c r="A122" s="3"/>
      <c r="B122" s="45"/>
      <c r="C122" s="45"/>
      <c r="D122" s="45"/>
      <c r="E122" s="45"/>
    </row>
    <row r="123" spans="1:5">
      <c r="A123" s="3"/>
      <c r="B123" s="45"/>
      <c r="C123" s="45"/>
      <c r="D123" s="45"/>
      <c r="E123" s="45"/>
    </row>
    <row r="124" spans="1:5">
      <c r="A124" s="3"/>
      <c r="B124" s="45"/>
      <c r="C124" s="45"/>
      <c r="D124" s="45"/>
      <c r="E124" s="45"/>
    </row>
    <row r="125" spans="1:5">
      <c r="A125" s="3"/>
      <c r="B125" s="45"/>
      <c r="C125" s="45"/>
      <c r="D125" s="45"/>
      <c r="E125" s="45"/>
    </row>
    <row r="126" spans="1:5">
      <c r="A126" s="3"/>
      <c r="B126" s="45"/>
      <c r="C126" s="45"/>
      <c r="D126" s="45"/>
      <c r="E126" s="45"/>
    </row>
    <row r="127" spans="1:5">
      <c r="A127" s="3"/>
      <c r="B127" s="45"/>
      <c r="C127" s="45"/>
      <c r="D127" s="45"/>
      <c r="E127" s="45"/>
    </row>
    <row r="128" spans="1:5">
      <c r="A128" s="3"/>
      <c r="B128" s="45"/>
      <c r="C128" s="45"/>
      <c r="D128" s="45"/>
      <c r="E128" s="45"/>
    </row>
    <row r="129" spans="1:5">
      <c r="A129" s="3"/>
      <c r="B129" s="45"/>
      <c r="C129" s="45"/>
      <c r="D129" s="45"/>
      <c r="E129" s="45"/>
    </row>
    <row r="130" spans="1:5">
      <c r="A130" s="3"/>
      <c r="B130" s="45"/>
      <c r="C130" s="45"/>
      <c r="D130" s="45"/>
      <c r="E130" s="45"/>
    </row>
    <row r="131" spans="1:5">
      <c r="A131" s="3"/>
      <c r="B131" s="45"/>
      <c r="C131" s="45"/>
      <c r="D131" s="45"/>
      <c r="E131" s="45"/>
    </row>
    <row r="132" spans="1:5">
      <c r="A132" s="3"/>
      <c r="B132" s="45"/>
      <c r="C132" s="45"/>
      <c r="D132" s="45"/>
      <c r="E132" s="45"/>
    </row>
    <row r="133" spans="1:5">
      <c r="A133" s="3"/>
      <c r="B133" s="45"/>
      <c r="C133" s="45"/>
      <c r="D133" s="45"/>
      <c r="E133" s="45"/>
    </row>
    <row r="134" spans="1:5">
      <c r="A134" s="3"/>
      <c r="B134" s="45"/>
      <c r="C134" s="45"/>
      <c r="D134" s="45"/>
      <c r="E134" s="45"/>
    </row>
    <row r="135" spans="1:5">
      <c r="A135" s="3"/>
      <c r="B135" s="45"/>
      <c r="C135" s="45"/>
      <c r="D135" s="45"/>
      <c r="E135" s="45"/>
    </row>
    <row r="136" spans="1:5">
      <c r="A136" s="3"/>
      <c r="B136" s="45"/>
      <c r="C136" s="45"/>
      <c r="D136" s="45"/>
      <c r="E136" s="45"/>
    </row>
    <row r="137" spans="1:5">
      <c r="A137" s="3"/>
      <c r="B137" s="45"/>
      <c r="C137" s="45"/>
      <c r="D137" s="45"/>
      <c r="E137" s="45"/>
    </row>
    <row r="138" spans="1:5">
      <c r="A138" s="3"/>
      <c r="B138" s="45"/>
      <c r="C138" s="45"/>
      <c r="D138" s="45"/>
      <c r="E138" s="45"/>
    </row>
    <row r="139" spans="1:5">
      <c r="A139" s="3"/>
      <c r="B139" s="45"/>
      <c r="C139" s="45"/>
      <c r="D139" s="45"/>
      <c r="E139" s="45"/>
    </row>
    <row r="140" spans="1:5">
      <c r="A140" s="3"/>
      <c r="B140" s="45"/>
      <c r="C140" s="45"/>
      <c r="D140" s="45"/>
      <c r="E140" s="45"/>
    </row>
    <row r="141" spans="1:5">
      <c r="A141" s="3"/>
      <c r="B141" s="45"/>
      <c r="C141" s="45"/>
      <c r="D141" s="45"/>
      <c r="E141" s="45"/>
    </row>
    <row r="142" spans="1:5">
      <c r="A142" s="3"/>
      <c r="B142" s="45"/>
      <c r="C142" s="45"/>
      <c r="D142" s="45"/>
      <c r="E142" s="45"/>
    </row>
    <row r="143" spans="1:5">
      <c r="A143" s="3"/>
      <c r="B143" s="45"/>
      <c r="C143" s="45"/>
      <c r="D143" s="45"/>
      <c r="E143" s="45"/>
    </row>
    <row r="144" spans="1:5">
      <c r="A144" s="3"/>
      <c r="B144" s="45"/>
      <c r="C144" s="45"/>
      <c r="D144" s="45"/>
      <c r="E144" s="45"/>
    </row>
    <row r="145" spans="1:5">
      <c r="A145" s="3"/>
      <c r="B145" s="45"/>
      <c r="C145" s="45"/>
      <c r="D145" s="45"/>
      <c r="E145" s="45"/>
    </row>
    <row r="146" spans="1:5">
      <c r="A146" s="3"/>
      <c r="B146" s="45"/>
      <c r="C146" s="45"/>
      <c r="D146" s="45"/>
      <c r="E146" s="45"/>
    </row>
    <row r="147" spans="1:5">
      <c r="A147" s="3"/>
      <c r="B147" s="45"/>
      <c r="C147" s="45"/>
      <c r="D147" s="45"/>
      <c r="E147" s="45"/>
    </row>
    <row r="148" spans="1:5">
      <c r="A148" s="3"/>
      <c r="B148" s="45"/>
      <c r="C148" s="45"/>
      <c r="D148" s="45"/>
      <c r="E148" s="45"/>
    </row>
    <row r="149" spans="1:5">
      <c r="A149" s="3"/>
      <c r="B149" s="45"/>
      <c r="C149" s="45"/>
      <c r="D149" s="45"/>
      <c r="E149" s="45"/>
    </row>
    <row r="150" spans="1:5">
      <c r="A150" s="3"/>
      <c r="B150" s="45"/>
      <c r="C150" s="45"/>
      <c r="D150" s="45"/>
      <c r="E150" s="45"/>
    </row>
    <row r="151" spans="1:5">
      <c r="A151" s="3"/>
      <c r="B151" s="45"/>
      <c r="C151" s="45"/>
      <c r="D151" s="45"/>
      <c r="E151" s="45"/>
    </row>
    <row r="152" spans="1:5">
      <c r="A152" s="3"/>
      <c r="B152" s="45"/>
      <c r="C152" s="45"/>
      <c r="D152" s="45"/>
      <c r="E152" s="45"/>
    </row>
    <row r="153" spans="1:5">
      <c r="A153" s="3"/>
      <c r="B153" s="45"/>
      <c r="C153" s="45"/>
      <c r="D153" s="45"/>
      <c r="E153" s="45"/>
    </row>
    <row r="154" spans="1:5">
      <c r="A154" s="3"/>
      <c r="B154" s="45"/>
      <c r="C154" s="45"/>
      <c r="D154" s="45"/>
      <c r="E154" s="45"/>
    </row>
    <row r="155" spans="1:5">
      <c r="A155" s="3"/>
      <c r="B155" s="45"/>
      <c r="C155" s="45"/>
      <c r="D155" s="45"/>
      <c r="E155" s="45"/>
    </row>
    <row r="156" spans="1:5">
      <c r="A156" s="3"/>
      <c r="B156" s="45"/>
      <c r="C156" s="45"/>
      <c r="D156" s="45"/>
      <c r="E156" s="45"/>
    </row>
    <row r="157" spans="1:5">
      <c r="A157" s="3"/>
      <c r="B157" s="45"/>
      <c r="C157" s="45"/>
      <c r="D157" s="45"/>
      <c r="E157" s="45"/>
    </row>
    <row r="158" spans="1:5">
      <c r="A158" s="3"/>
      <c r="B158" s="45"/>
      <c r="C158" s="45"/>
      <c r="D158" s="45"/>
      <c r="E158" s="45"/>
    </row>
    <row r="159" spans="1:5">
      <c r="A159" s="3"/>
      <c r="B159" s="45"/>
      <c r="C159" s="45"/>
      <c r="D159" s="45"/>
      <c r="E159" s="45"/>
    </row>
    <row r="160" spans="1:5">
      <c r="A160" s="3"/>
      <c r="B160" s="45"/>
      <c r="C160" s="45"/>
      <c r="D160" s="45"/>
      <c r="E160" s="45"/>
    </row>
    <row r="161" spans="1:5">
      <c r="A161" s="3"/>
      <c r="B161" s="45"/>
      <c r="C161" s="45"/>
      <c r="D161" s="45"/>
      <c r="E161" s="45"/>
    </row>
    <row r="162" spans="1:5">
      <c r="A162" s="3"/>
      <c r="B162" s="45"/>
      <c r="C162" s="45"/>
      <c r="D162" s="45"/>
      <c r="E162" s="45"/>
    </row>
    <row r="163" spans="1:5">
      <c r="A163" s="3"/>
      <c r="B163" s="45"/>
      <c r="C163" s="45"/>
      <c r="D163" s="45"/>
      <c r="E163" s="45"/>
    </row>
    <row r="164" spans="1:5">
      <c r="A164" s="3"/>
      <c r="B164" s="45"/>
      <c r="C164" s="45"/>
      <c r="D164" s="45"/>
      <c r="E164" s="45"/>
    </row>
    <row r="165" spans="1:5">
      <c r="A165" s="3"/>
      <c r="B165" s="45"/>
      <c r="C165" s="45"/>
      <c r="D165" s="45"/>
      <c r="E165" s="45"/>
    </row>
    <row r="166" spans="1:5">
      <c r="A166" s="3"/>
      <c r="B166" s="45"/>
      <c r="C166" s="45"/>
      <c r="D166" s="45"/>
      <c r="E166" s="45"/>
    </row>
    <row r="167" spans="1:5">
      <c r="A167" s="3"/>
      <c r="B167" s="45"/>
      <c r="C167" s="45"/>
      <c r="D167" s="45"/>
      <c r="E167" s="45"/>
    </row>
    <row r="168" spans="1:5">
      <c r="A168" s="3"/>
      <c r="B168" s="45"/>
      <c r="C168" s="45"/>
      <c r="D168" s="45"/>
      <c r="E168" s="45"/>
    </row>
    <row r="169" spans="1:5">
      <c r="A169" s="3"/>
      <c r="B169" s="45"/>
      <c r="C169" s="45"/>
      <c r="D169" s="45"/>
      <c r="E169" s="45"/>
    </row>
    <row r="170" spans="1:5">
      <c r="A170" s="3"/>
      <c r="B170" s="45"/>
      <c r="C170" s="45"/>
      <c r="D170" s="45"/>
      <c r="E170" s="45"/>
    </row>
    <row r="171" spans="1:5">
      <c r="A171" s="3"/>
      <c r="B171" s="45"/>
      <c r="C171" s="45"/>
      <c r="D171" s="45"/>
      <c r="E171" s="45"/>
    </row>
    <row r="172" spans="1:5">
      <c r="A172" s="3"/>
      <c r="B172" s="45"/>
      <c r="C172" s="45"/>
      <c r="D172" s="45"/>
      <c r="E172" s="45"/>
    </row>
    <row r="173" spans="1:5">
      <c r="A173" s="3"/>
      <c r="B173" s="45"/>
      <c r="C173" s="45"/>
      <c r="D173" s="45"/>
      <c r="E173" s="45"/>
    </row>
    <row r="174" spans="1:5">
      <c r="A174" s="3"/>
      <c r="B174" s="45"/>
      <c r="C174" s="45"/>
      <c r="D174" s="45"/>
      <c r="E174" s="45"/>
    </row>
    <row r="175" spans="1:5">
      <c r="A175" s="3"/>
      <c r="B175" s="45"/>
      <c r="C175" s="45"/>
      <c r="D175" s="45"/>
      <c r="E175" s="45"/>
    </row>
    <row r="176" spans="1:5">
      <c r="A176" s="3"/>
      <c r="B176" s="45"/>
      <c r="C176" s="45"/>
      <c r="D176" s="45"/>
      <c r="E176" s="45"/>
    </row>
    <row r="177" spans="1:5">
      <c r="A177" s="3"/>
      <c r="B177" s="45"/>
      <c r="C177" s="45"/>
      <c r="D177" s="45"/>
      <c r="E177" s="45"/>
    </row>
    <row r="178" spans="1:5">
      <c r="A178" s="3"/>
      <c r="B178" s="45"/>
      <c r="C178" s="45"/>
      <c r="D178" s="45"/>
      <c r="E178" s="45"/>
    </row>
    <row r="179" spans="1:5">
      <c r="A179" s="3"/>
      <c r="B179" s="45"/>
      <c r="C179" s="45"/>
      <c r="D179" s="45"/>
      <c r="E179" s="45"/>
    </row>
    <row r="180" spans="1:5">
      <c r="A180" s="3"/>
      <c r="B180" s="45"/>
      <c r="C180" s="45"/>
      <c r="D180" s="45"/>
      <c r="E180" s="45"/>
    </row>
    <row r="181" spans="1:5">
      <c r="A181" s="3"/>
      <c r="B181" s="45"/>
      <c r="C181" s="45"/>
      <c r="D181" s="45"/>
      <c r="E181" s="45"/>
    </row>
    <row r="182" spans="1:5">
      <c r="A182" s="3"/>
      <c r="B182" s="45"/>
      <c r="C182" s="45"/>
      <c r="D182" s="45"/>
      <c r="E182" s="45"/>
    </row>
    <row r="183" spans="1:5">
      <c r="A183" s="3"/>
      <c r="B183" s="45"/>
      <c r="C183" s="45"/>
      <c r="D183" s="45"/>
      <c r="E183" s="45"/>
    </row>
    <row r="184" spans="1:5">
      <c r="A184" s="3"/>
      <c r="B184" s="45"/>
      <c r="C184" s="45"/>
      <c r="D184" s="45"/>
      <c r="E184" s="45"/>
    </row>
    <row r="185" spans="1:5">
      <c r="A185" s="3"/>
      <c r="B185" s="45"/>
      <c r="C185" s="45"/>
      <c r="D185" s="45"/>
      <c r="E185" s="45"/>
    </row>
    <row r="186" spans="1:5">
      <c r="A186" s="3"/>
      <c r="B186" s="45"/>
      <c r="C186" s="45"/>
      <c r="D186" s="45"/>
      <c r="E186" s="45"/>
    </row>
    <row r="187" spans="1:5">
      <c r="A187" s="3"/>
      <c r="B187" s="45"/>
      <c r="C187" s="45"/>
      <c r="D187" s="45"/>
      <c r="E187" s="45"/>
    </row>
    <row r="188" spans="1:5">
      <c r="A188" s="3"/>
      <c r="B188" s="45"/>
      <c r="C188" s="45"/>
      <c r="D188" s="45"/>
      <c r="E188" s="45"/>
    </row>
    <row r="189" spans="1:5">
      <c r="A189" s="3"/>
      <c r="B189" s="45"/>
      <c r="C189" s="45"/>
      <c r="D189" s="45"/>
      <c r="E189" s="45"/>
    </row>
    <row r="190" spans="1:5">
      <c r="A190" s="3"/>
      <c r="B190" s="45"/>
      <c r="C190" s="45"/>
      <c r="D190" s="45"/>
      <c r="E190" s="45"/>
    </row>
    <row r="191" spans="1:5">
      <c r="A191" s="3"/>
      <c r="B191" s="45"/>
      <c r="C191" s="45"/>
      <c r="D191" s="45"/>
      <c r="E191" s="45"/>
    </row>
    <row r="192" spans="1:5">
      <c r="A192" s="3"/>
      <c r="B192" s="45"/>
      <c r="C192" s="45"/>
      <c r="D192" s="45"/>
      <c r="E192" s="45"/>
    </row>
    <row r="193" spans="1:5">
      <c r="A193" s="3"/>
      <c r="B193" s="45"/>
      <c r="C193" s="45"/>
      <c r="D193" s="45"/>
      <c r="E193" s="45"/>
    </row>
    <row r="194" spans="1:5">
      <c r="A194" s="3"/>
      <c r="B194" s="45"/>
      <c r="C194" s="45"/>
      <c r="D194" s="45"/>
      <c r="E194" s="45"/>
    </row>
    <row r="195" spans="1:5">
      <c r="A195" s="3"/>
      <c r="B195" s="45"/>
      <c r="C195" s="45"/>
      <c r="D195" s="45"/>
      <c r="E195" s="45"/>
    </row>
    <row r="196" spans="1:5">
      <c r="A196" s="3"/>
      <c r="B196" s="45"/>
      <c r="C196" s="45"/>
      <c r="D196" s="45"/>
      <c r="E196" s="45"/>
    </row>
    <row r="197" spans="1:5">
      <c r="A197" s="3"/>
      <c r="B197" s="45"/>
      <c r="C197" s="45"/>
      <c r="D197" s="45"/>
      <c r="E197" s="45"/>
    </row>
    <row r="198" spans="1:5">
      <c r="A198" s="3"/>
      <c r="B198" s="45"/>
      <c r="C198" s="45"/>
      <c r="D198" s="45"/>
      <c r="E198" s="45"/>
    </row>
    <row r="199" spans="1:5">
      <c r="A199" s="3"/>
      <c r="B199" s="45"/>
      <c r="C199" s="45"/>
      <c r="D199" s="45"/>
      <c r="E199" s="45"/>
    </row>
    <row r="200" spans="1:5">
      <c r="A200" s="3"/>
      <c r="B200" s="45"/>
      <c r="C200" s="45"/>
      <c r="D200" s="45"/>
      <c r="E200" s="45"/>
    </row>
    <row r="201" spans="1:5">
      <c r="A201" s="3"/>
      <c r="B201" s="45"/>
      <c r="C201" s="45"/>
      <c r="D201" s="45"/>
      <c r="E201" s="45"/>
    </row>
    <row r="202" spans="1:5">
      <c r="A202" s="3"/>
      <c r="B202" s="45"/>
      <c r="C202" s="45"/>
      <c r="D202" s="45"/>
      <c r="E202" s="45"/>
    </row>
    <row r="203" spans="1:5">
      <c r="A203" s="3"/>
      <c r="B203" s="45"/>
      <c r="C203" s="45"/>
      <c r="D203" s="45"/>
      <c r="E203" s="45"/>
    </row>
    <row r="204" spans="1:5">
      <c r="A204" s="3"/>
      <c r="B204" s="45"/>
      <c r="C204" s="45"/>
      <c r="D204" s="45"/>
      <c r="E204" s="45"/>
    </row>
    <row r="205" spans="1:5">
      <c r="A205" s="3"/>
      <c r="B205" s="45"/>
      <c r="C205" s="45"/>
      <c r="D205" s="45"/>
      <c r="E205" s="45"/>
    </row>
    <row r="206" spans="1:5">
      <c r="A206" s="3"/>
      <c r="B206" s="45"/>
      <c r="C206" s="45"/>
      <c r="D206" s="45"/>
      <c r="E206" s="45"/>
    </row>
    <row r="207" spans="1:5">
      <c r="A207" s="3"/>
      <c r="B207" s="45"/>
      <c r="C207" s="45"/>
      <c r="D207" s="45"/>
      <c r="E207" s="45"/>
    </row>
    <row r="208" spans="1:5">
      <c r="A208" s="3"/>
      <c r="B208" s="45"/>
      <c r="C208" s="45"/>
      <c r="D208" s="45"/>
      <c r="E208" s="45"/>
    </row>
    <row r="209" spans="1:5">
      <c r="A209" s="3"/>
      <c r="B209" s="45"/>
      <c r="C209" s="45"/>
      <c r="D209" s="45"/>
      <c r="E209" s="45"/>
    </row>
    <row r="210" spans="1:5">
      <c r="A210" s="3"/>
      <c r="B210" s="45"/>
      <c r="C210" s="45"/>
      <c r="D210" s="45"/>
      <c r="E210" s="45"/>
    </row>
    <row r="211" spans="1:5">
      <c r="A211" s="3"/>
      <c r="B211" s="45"/>
      <c r="C211" s="45"/>
      <c r="D211" s="45"/>
      <c r="E211" s="45"/>
    </row>
    <row r="212" spans="1:5">
      <c r="A212" s="3"/>
      <c r="B212" s="45"/>
      <c r="C212" s="45"/>
      <c r="D212" s="45"/>
      <c r="E212" s="45"/>
    </row>
    <row r="213" spans="1:5">
      <c r="A213" s="3"/>
      <c r="B213" s="45"/>
      <c r="C213" s="45"/>
      <c r="D213" s="45"/>
      <c r="E213" s="45"/>
    </row>
    <row r="214" spans="1:5">
      <c r="A214" s="3"/>
      <c r="B214" s="45"/>
      <c r="C214" s="45"/>
      <c r="D214" s="45"/>
      <c r="E214" s="45"/>
    </row>
    <row r="215" spans="1:5">
      <c r="A215" s="3"/>
      <c r="B215" s="45"/>
      <c r="C215" s="45"/>
      <c r="D215" s="45"/>
      <c r="E215" s="45"/>
    </row>
    <row r="216" spans="1:5">
      <c r="A216" s="3"/>
      <c r="B216" s="45"/>
      <c r="C216" s="45"/>
      <c r="D216" s="45"/>
      <c r="E216" s="45"/>
    </row>
    <row r="217" spans="1:5">
      <c r="A217" s="3"/>
      <c r="B217" s="45"/>
      <c r="C217" s="45"/>
      <c r="D217" s="45"/>
      <c r="E217" s="45"/>
    </row>
    <row r="218" spans="1:5">
      <c r="A218" s="3"/>
      <c r="B218" s="45"/>
      <c r="C218" s="45"/>
      <c r="D218" s="45"/>
      <c r="E218" s="45"/>
    </row>
    <row r="219" spans="1:5">
      <c r="A219" s="3"/>
      <c r="B219" s="45"/>
      <c r="C219" s="45"/>
      <c r="D219" s="45"/>
      <c r="E219" s="45"/>
    </row>
    <row r="220" spans="1:5">
      <c r="A220" s="3"/>
      <c r="B220" s="45"/>
      <c r="C220" s="45"/>
      <c r="D220" s="45"/>
      <c r="E220" s="45"/>
    </row>
    <row r="221" spans="1:5">
      <c r="A221" s="3"/>
      <c r="B221" s="45"/>
      <c r="C221" s="45"/>
      <c r="D221" s="45"/>
      <c r="E221" s="45"/>
    </row>
    <row r="222" spans="1:5">
      <c r="A222" s="3"/>
      <c r="B222" s="45"/>
      <c r="C222" s="45"/>
      <c r="D222" s="45"/>
      <c r="E222" s="45"/>
    </row>
    <row r="223" spans="1:5">
      <c r="A223" s="3"/>
      <c r="B223" s="45"/>
      <c r="C223" s="45"/>
      <c r="D223" s="45"/>
      <c r="E223" s="45"/>
    </row>
    <row r="224" spans="1:5">
      <c r="A224" s="3"/>
      <c r="B224" s="45"/>
      <c r="C224" s="45"/>
      <c r="D224" s="45"/>
      <c r="E224" s="45"/>
    </row>
    <row r="225" spans="1:5">
      <c r="A225" s="3"/>
      <c r="B225" s="45"/>
      <c r="C225" s="45"/>
      <c r="D225" s="45"/>
      <c r="E225" s="45"/>
    </row>
    <row r="226" spans="1:5">
      <c r="A226" s="3"/>
      <c r="B226" s="45"/>
      <c r="C226" s="45"/>
      <c r="D226" s="45"/>
      <c r="E226" s="45"/>
    </row>
    <row r="227" spans="1:5">
      <c r="A227" s="3"/>
      <c r="B227" s="45"/>
      <c r="C227" s="45"/>
      <c r="D227" s="45"/>
      <c r="E227" s="45"/>
    </row>
    <row r="228" spans="1:5">
      <c r="A228" s="3"/>
      <c r="B228" s="45"/>
      <c r="C228" s="45"/>
      <c r="D228" s="45"/>
      <c r="E228" s="45"/>
    </row>
    <row r="229" spans="1:5">
      <c r="A229" s="3"/>
      <c r="B229" s="45"/>
      <c r="C229" s="45"/>
      <c r="D229" s="45"/>
      <c r="E229" s="45"/>
    </row>
    <row r="230" spans="1:5">
      <c r="A230" s="3"/>
      <c r="B230" s="45"/>
      <c r="C230" s="45"/>
      <c r="D230" s="45"/>
      <c r="E230" s="45"/>
    </row>
    <row r="231" spans="1:5">
      <c r="A231" s="3"/>
      <c r="B231" s="45"/>
      <c r="C231" s="45"/>
      <c r="D231" s="45"/>
      <c r="E231" s="45"/>
    </row>
    <row r="232" spans="1:5">
      <c r="A232" s="3"/>
      <c r="B232" s="45"/>
      <c r="C232" s="45"/>
      <c r="D232" s="45"/>
      <c r="E232" s="45"/>
    </row>
    <row r="233" spans="1:5">
      <c r="A233" s="3"/>
      <c r="B233" s="45"/>
      <c r="C233" s="45"/>
      <c r="D233" s="45"/>
      <c r="E233" s="45"/>
    </row>
    <row r="234" spans="1:5">
      <c r="A234" s="3"/>
      <c r="B234" s="45"/>
      <c r="C234" s="45"/>
      <c r="D234" s="45"/>
      <c r="E234" s="45"/>
    </row>
    <row r="235" spans="1:5">
      <c r="A235" s="3"/>
      <c r="B235" s="45"/>
      <c r="C235" s="45"/>
      <c r="D235" s="45"/>
      <c r="E235" s="45"/>
    </row>
    <row r="236" spans="1:5">
      <c r="A236" s="3"/>
      <c r="B236" s="45"/>
      <c r="C236" s="45"/>
      <c r="D236" s="45"/>
      <c r="E236" s="45"/>
    </row>
    <row r="237" spans="1:5">
      <c r="A237" s="3"/>
      <c r="B237" s="45"/>
      <c r="C237" s="45"/>
      <c r="D237" s="45"/>
      <c r="E237" s="45"/>
    </row>
    <row r="238" spans="1:5">
      <c r="A238" s="3"/>
      <c r="B238" s="45"/>
      <c r="C238" s="45"/>
      <c r="D238" s="45"/>
      <c r="E238" s="45"/>
    </row>
    <row r="239" spans="1:5">
      <c r="A239" s="3"/>
      <c r="B239" s="45"/>
      <c r="C239" s="45"/>
      <c r="D239" s="45"/>
      <c r="E239" s="45"/>
    </row>
    <row r="240" spans="1:5">
      <c r="A240" s="3"/>
      <c r="B240" s="45"/>
      <c r="C240" s="45"/>
      <c r="D240" s="45"/>
      <c r="E240" s="45"/>
    </row>
  </sheetData>
  <mergeCells count="2">
    <mergeCell ref="A1:A2"/>
    <mergeCell ref="B1:F1"/>
  </mergeCells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theme="0" tint="-0.499984740745262"/>
  </sheetPr>
  <dimension ref="A1:CJ35"/>
  <sheetViews>
    <sheetView topLeftCell="J29" zoomScale="70" zoomScaleNormal="70" zoomScalePageLayoutView="70" workbookViewId="0">
      <selection activeCell="J29" sqref="J29"/>
    </sheetView>
  </sheetViews>
  <sheetFormatPr defaultColWidth="8.85546875" defaultRowHeight="15"/>
  <cols>
    <col min="1" max="1" width="13.140625" style="3" bestFit="1" customWidth="1"/>
    <col min="2" max="2" width="10.140625" style="3" bestFit="1" customWidth="1"/>
    <col min="3" max="3" width="17.7109375" style="3" bestFit="1" customWidth="1"/>
    <col min="4" max="4" width="18" style="3" bestFit="1" customWidth="1"/>
    <col min="5" max="5" width="9" style="3" bestFit="1" customWidth="1"/>
    <col min="6" max="6" width="13.28515625" style="3" bestFit="1" customWidth="1"/>
    <col min="7" max="7" width="5" style="3" bestFit="1" customWidth="1"/>
    <col min="8" max="8" width="25.42578125" style="3" customWidth="1"/>
    <col min="9" max="15" width="8.85546875" style="3"/>
    <col min="16" max="16" width="23.42578125" style="3" customWidth="1"/>
    <col min="17" max="23" width="8.85546875" style="3"/>
    <col min="24" max="24" width="21.7109375" style="3" customWidth="1"/>
    <col min="25" max="31" width="8.85546875" style="3"/>
    <col min="32" max="32" width="21.28515625" style="3" customWidth="1"/>
    <col min="33" max="39" width="8.85546875" style="3"/>
    <col min="40" max="40" width="19.85546875" style="3" bestFit="1" customWidth="1"/>
    <col min="41" max="88" width="8.85546875" style="1"/>
  </cols>
  <sheetData>
    <row r="1" spans="1:88" s="624" customFormat="1">
      <c r="A1" s="625">
        <v>2004</v>
      </c>
      <c r="B1" s="626">
        <v>2004</v>
      </c>
      <c r="C1" s="626">
        <v>2004</v>
      </c>
      <c r="D1" s="626">
        <v>2004</v>
      </c>
      <c r="E1" s="626">
        <v>2004</v>
      </c>
      <c r="F1" s="626">
        <v>2004</v>
      </c>
      <c r="G1" s="626">
        <v>2004</v>
      </c>
      <c r="H1" s="627">
        <v>2004</v>
      </c>
      <c r="I1" s="627">
        <v>2005</v>
      </c>
      <c r="J1" s="627">
        <v>2005</v>
      </c>
      <c r="K1" s="627">
        <v>2005</v>
      </c>
      <c r="L1" s="627">
        <v>2005</v>
      </c>
      <c r="M1" s="627">
        <v>2005</v>
      </c>
      <c r="N1" s="627">
        <v>2005</v>
      </c>
      <c r="O1" s="627">
        <v>2005</v>
      </c>
      <c r="P1" s="627">
        <v>2005</v>
      </c>
      <c r="Q1" s="627">
        <v>2006</v>
      </c>
      <c r="R1" s="627">
        <v>2006</v>
      </c>
      <c r="S1" s="627">
        <v>2006</v>
      </c>
      <c r="T1" s="627">
        <v>2006</v>
      </c>
      <c r="U1" s="627">
        <v>2006</v>
      </c>
      <c r="V1" s="627">
        <v>2006</v>
      </c>
      <c r="W1" s="627">
        <v>2006</v>
      </c>
      <c r="X1" s="627">
        <v>2006</v>
      </c>
      <c r="Y1" s="627">
        <v>2007</v>
      </c>
      <c r="Z1" s="627">
        <v>2007</v>
      </c>
      <c r="AA1" s="627">
        <v>2007</v>
      </c>
      <c r="AB1" s="627">
        <v>2007</v>
      </c>
      <c r="AC1" s="627">
        <v>2007</v>
      </c>
      <c r="AD1" s="627">
        <v>2007</v>
      </c>
      <c r="AE1" s="627">
        <v>2007</v>
      </c>
      <c r="AF1" s="627">
        <v>2007</v>
      </c>
      <c r="AG1" s="625">
        <v>2008</v>
      </c>
      <c r="AH1" s="625">
        <v>2008</v>
      </c>
      <c r="AI1" s="625">
        <v>2008</v>
      </c>
      <c r="AJ1" s="625">
        <v>2008</v>
      </c>
      <c r="AK1" s="625">
        <v>2008</v>
      </c>
      <c r="AL1" s="625">
        <v>2008</v>
      </c>
      <c r="AM1" s="625">
        <v>2008</v>
      </c>
      <c r="AN1" s="625">
        <v>2008</v>
      </c>
      <c r="AO1" s="232"/>
      <c r="AP1" s="232"/>
      <c r="AQ1" s="232"/>
      <c r="AR1" s="232"/>
      <c r="AS1" s="232"/>
      <c r="AT1" s="232"/>
      <c r="AU1" s="232"/>
      <c r="AV1" s="232"/>
      <c r="AW1" s="232"/>
      <c r="AX1" s="232"/>
      <c r="AY1" s="232"/>
      <c r="AZ1" s="232"/>
      <c r="BA1" s="232"/>
      <c r="BB1" s="232"/>
      <c r="BC1" s="232"/>
      <c r="BD1" s="232"/>
      <c r="BE1" s="232"/>
      <c r="BF1" s="232"/>
      <c r="BG1" s="232"/>
      <c r="BH1" s="232"/>
      <c r="BI1" s="232"/>
      <c r="BJ1" s="232"/>
      <c r="BK1" s="232"/>
      <c r="BL1" s="232"/>
      <c r="BM1" s="232"/>
      <c r="BN1" s="232"/>
      <c r="BO1" s="232"/>
      <c r="BP1" s="232"/>
      <c r="BQ1" s="232"/>
      <c r="BR1" s="232"/>
      <c r="BS1" s="232"/>
      <c r="BT1" s="232"/>
      <c r="BU1" s="232"/>
      <c r="BV1" s="232"/>
      <c r="BW1" s="232"/>
      <c r="BX1" s="232"/>
      <c r="BY1" s="232"/>
      <c r="BZ1" s="232"/>
      <c r="CA1" s="232"/>
      <c r="CB1" s="232"/>
      <c r="CC1" s="232"/>
      <c r="CD1" s="232"/>
      <c r="CE1" s="232"/>
      <c r="CF1" s="232"/>
      <c r="CG1" s="232"/>
      <c r="CH1" s="232"/>
      <c r="CI1" s="232"/>
      <c r="CJ1" s="232"/>
    </row>
    <row r="2" spans="1:88" ht="15.75" thickBot="1">
      <c r="A2" s="628" t="s">
        <v>496</v>
      </c>
      <c r="B2" s="629" t="s">
        <v>497</v>
      </c>
      <c r="C2" s="629" t="s">
        <v>498</v>
      </c>
      <c r="D2" s="629" t="s">
        <v>499</v>
      </c>
      <c r="E2" s="629" t="s">
        <v>500</v>
      </c>
      <c r="F2" s="629" t="s">
        <v>501</v>
      </c>
      <c r="G2" s="629" t="s">
        <v>490</v>
      </c>
      <c r="H2" s="630" t="s">
        <v>502</v>
      </c>
      <c r="I2" s="628" t="s">
        <v>496</v>
      </c>
      <c r="J2" s="629" t="s">
        <v>497</v>
      </c>
      <c r="K2" s="629" t="s">
        <v>498</v>
      </c>
      <c r="L2" s="629" t="s">
        <v>499</v>
      </c>
      <c r="M2" s="629" t="s">
        <v>500</v>
      </c>
      <c r="N2" s="629" t="s">
        <v>501</v>
      </c>
      <c r="O2" s="629" t="s">
        <v>490</v>
      </c>
      <c r="P2" s="630" t="s">
        <v>502</v>
      </c>
      <c r="Q2" s="628" t="s">
        <v>496</v>
      </c>
      <c r="R2" s="629" t="s">
        <v>497</v>
      </c>
      <c r="S2" s="629" t="s">
        <v>498</v>
      </c>
      <c r="T2" s="629" t="s">
        <v>499</v>
      </c>
      <c r="U2" s="629" t="s">
        <v>500</v>
      </c>
      <c r="V2" s="629" t="s">
        <v>501</v>
      </c>
      <c r="W2" s="629" t="s">
        <v>490</v>
      </c>
      <c r="X2" s="630" t="s">
        <v>502</v>
      </c>
      <c r="Y2" s="628" t="s">
        <v>496</v>
      </c>
      <c r="Z2" s="629" t="s">
        <v>497</v>
      </c>
      <c r="AA2" s="629" t="s">
        <v>498</v>
      </c>
      <c r="AB2" s="629" t="s">
        <v>499</v>
      </c>
      <c r="AC2" s="629" t="s">
        <v>500</v>
      </c>
      <c r="AD2" s="629" t="s">
        <v>501</v>
      </c>
      <c r="AE2" s="629" t="s">
        <v>490</v>
      </c>
      <c r="AF2" s="630" t="s">
        <v>502</v>
      </c>
      <c r="AG2" s="628" t="s">
        <v>496</v>
      </c>
      <c r="AH2" s="629" t="s">
        <v>497</v>
      </c>
      <c r="AI2" s="629" t="s">
        <v>498</v>
      </c>
      <c r="AJ2" s="629" t="s">
        <v>499</v>
      </c>
      <c r="AK2" s="629" t="s">
        <v>500</v>
      </c>
      <c r="AL2" s="629" t="s">
        <v>501</v>
      </c>
      <c r="AM2" s="629" t="s">
        <v>490</v>
      </c>
      <c r="AN2" s="630" t="s">
        <v>502</v>
      </c>
    </row>
    <row r="3" spans="1:88" ht="15.75" thickBot="1">
      <c r="A3" s="563">
        <f>INDICE!B3</f>
        <v>53.840555458911041</v>
      </c>
      <c r="B3" s="631">
        <f>MOR!AZ3</f>
        <v>37024</v>
      </c>
      <c r="C3" s="623">
        <f>MOR_HAB!B3</f>
        <v>19.335595332686847</v>
      </c>
      <c r="D3" s="623">
        <f>MOR_VEIC!B3</f>
        <v>66.799588658583104</v>
      </c>
      <c r="E3" s="623">
        <f>IND_MOT!H3</f>
        <v>0.28945680236913268</v>
      </c>
      <c r="F3" s="623">
        <f>PIB!B3</f>
        <v>10692.187516246193</v>
      </c>
      <c r="G3" s="623">
        <f>IDH!B3</f>
        <v>0</v>
      </c>
      <c r="H3" s="347" t="s">
        <v>11</v>
      </c>
      <c r="I3" s="563">
        <f>INDICE!C3</f>
        <v>55.100913425152235</v>
      </c>
      <c r="J3" s="631">
        <f>MOR!BA3</f>
        <v>42225</v>
      </c>
      <c r="K3" s="623">
        <f>MOR_HAB!C3</f>
        <v>22.135631116514574</v>
      </c>
      <c r="L3" s="623">
        <f>MOR_VEIC!C3</f>
        <v>69.96256253157739</v>
      </c>
      <c r="M3" s="623">
        <f>IND_MOT!I3</f>
        <v>0.31639251501863908</v>
      </c>
      <c r="N3" s="623">
        <f>PIB!C3</f>
        <v>11658.103930094703</v>
      </c>
      <c r="O3" s="623">
        <f>IDH!C3</f>
        <v>0</v>
      </c>
      <c r="P3" s="347" t="s">
        <v>11</v>
      </c>
      <c r="Q3" s="563">
        <f>INDICE!D3</f>
        <v>51.403265036107854</v>
      </c>
      <c r="R3" s="631">
        <f>MOR!BB3</f>
        <v>42695</v>
      </c>
      <c r="S3" s="623" t="e">
        <f>MOR_HAB!D3</f>
        <v>#DIV/0!</v>
      </c>
      <c r="T3" s="623">
        <f>MOR_VEIC!D3</f>
        <v>64.761066778208288</v>
      </c>
      <c r="U3" s="623" t="e">
        <f>IND_MOT!J3</f>
        <v>#DIV/0!</v>
      </c>
      <c r="V3" s="623">
        <f>PIB!D3</f>
        <v>12686.600719095119</v>
      </c>
      <c r="W3" s="623">
        <f>IDH!D3</f>
        <v>0</v>
      </c>
      <c r="X3" s="347" t="s">
        <v>11</v>
      </c>
      <c r="Y3" s="563">
        <f>INDICE!E3</f>
        <v>49.286985356728458</v>
      </c>
      <c r="Z3" s="631">
        <f>MOR!BC3</f>
        <v>44316</v>
      </c>
      <c r="AA3" s="623" t="e">
        <f>MOR_HAB!E3</f>
        <v>#DIV/0!</v>
      </c>
      <c r="AB3" s="623">
        <f>MOR_VEIC!E3</f>
        <v>62.071105900203456</v>
      </c>
      <c r="AC3" s="623" t="e">
        <f>IND_MOT!K3</f>
        <v>#DIV/0!</v>
      </c>
      <c r="AD3" s="623">
        <f>PIB!E3</f>
        <v>14464.732986029017</v>
      </c>
      <c r="AE3" s="623">
        <f>IDH!E3</f>
        <v>0</v>
      </c>
      <c r="AF3" s="347" t="s">
        <v>11</v>
      </c>
      <c r="AG3" s="563" t="e">
        <f>INDICE!F3</f>
        <v>#DIV/0!</v>
      </c>
      <c r="AH3" s="631">
        <f>MOR!BD3</f>
        <v>41723</v>
      </c>
      <c r="AI3" s="623" t="e">
        <f>MOR_HAB!F3</f>
        <v>#DIV/0!</v>
      </c>
      <c r="AJ3" s="623">
        <f>MOR_VEIC!F3</f>
        <v>51.130670658591789</v>
      </c>
      <c r="AK3" s="623" t="e">
        <f>IND_MOT!L3</f>
        <v>#DIV/0!</v>
      </c>
      <c r="AL3" s="623">
        <f>PIB!F3</f>
        <v>16492.085231483452</v>
      </c>
      <c r="AM3" s="623">
        <f>IDH!F3</f>
        <v>0</v>
      </c>
      <c r="AN3" s="347" t="s">
        <v>11</v>
      </c>
    </row>
    <row r="4" spans="1:88">
      <c r="A4" s="563">
        <f>INDICE!B4</f>
        <v>60.185494454873677</v>
      </c>
      <c r="B4" s="631">
        <f>MOR!AZ4</f>
        <v>2665</v>
      </c>
      <c r="C4" s="623">
        <f>MOR_HAB!B4</f>
        <v>17.350661424792044</v>
      </c>
      <c r="D4" s="623">
        <f>MOR_VEIC!B4</f>
        <v>116.5110853849194</v>
      </c>
      <c r="E4" s="623">
        <f>IND_MOT!H4</f>
        <v>0.14891854596899864</v>
      </c>
      <c r="F4" s="623">
        <f>PIB!B4</f>
        <v>6679.9279024338966</v>
      </c>
      <c r="G4" s="623">
        <f>IDH!B4</f>
        <v>0</v>
      </c>
      <c r="H4" s="350" t="s">
        <v>12</v>
      </c>
      <c r="I4" s="563">
        <f>INDICE!C4</f>
        <v>66.700328197249164</v>
      </c>
      <c r="J4" s="631">
        <f>MOR!BA4</f>
        <v>3332</v>
      </c>
      <c r="K4" s="623">
        <f>MOR_HAB!C4</f>
        <v>21.002928937863224</v>
      </c>
      <c r="L4" s="623">
        <f>MOR_VEIC!C4</f>
        <v>128.39641661477376</v>
      </c>
      <c r="M4" s="623">
        <f>IND_MOT!I4</f>
        <v>0.1635787780657311</v>
      </c>
      <c r="N4" s="623">
        <f>PIB!C4</f>
        <v>7241.4853451728195</v>
      </c>
      <c r="O4" s="623">
        <f>IDH!C4</f>
        <v>0</v>
      </c>
      <c r="P4" s="350" t="s">
        <v>12</v>
      </c>
      <c r="Q4" s="563">
        <f>INDICE!D4</f>
        <v>62.19825893341806</v>
      </c>
      <c r="R4" s="631">
        <f>MOR!BB4</f>
        <v>3411</v>
      </c>
      <c r="S4" s="623" t="e">
        <f>MOR_HAB!D4</f>
        <v>#DIV/0!</v>
      </c>
      <c r="T4" s="623">
        <f>MOR_VEIC!D4</f>
        <v>115.6654646862587</v>
      </c>
      <c r="U4" s="623" t="e">
        <f>IND_MOT!J4</f>
        <v>#DIV/0!</v>
      </c>
      <c r="V4" s="623">
        <f>PIB!D4</f>
        <v>7987.8145247060766</v>
      </c>
      <c r="W4" s="623">
        <f>IDH!D4</f>
        <v>0</v>
      </c>
      <c r="X4" s="350" t="s">
        <v>12</v>
      </c>
      <c r="Y4" s="563">
        <f>INDICE!E4</f>
        <v>58.626650220005921</v>
      </c>
      <c r="Z4" s="631">
        <f>MOR!BC4</f>
        <v>3603</v>
      </c>
      <c r="AA4" s="623" t="e">
        <f>MOR_HAB!E4</f>
        <v>#DIV/0!</v>
      </c>
      <c r="AB4" s="623">
        <f>MOR_VEIC!E4</f>
        <v>109.20984870965366</v>
      </c>
      <c r="AC4" s="623" t="e">
        <f>IND_MOT!K4</f>
        <v>#DIV/0!</v>
      </c>
      <c r="AD4" s="623">
        <f>PIB!E4</f>
        <v>9134.616376171276</v>
      </c>
      <c r="AE4" s="623">
        <f>IDH!E4</f>
        <v>0</v>
      </c>
      <c r="AF4" s="350" t="s">
        <v>12</v>
      </c>
      <c r="AG4" s="563" t="e">
        <f>INDICE!F4</f>
        <v>#DIV/0!</v>
      </c>
      <c r="AH4" s="631">
        <f>MOR!BD4</f>
        <v>3423</v>
      </c>
      <c r="AI4" s="623" t="e">
        <f>MOR_HAB!F4</f>
        <v>#DIV/0!</v>
      </c>
      <c r="AJ4" s="623">
        <f>MOR_VEIC!F4</f>
        <v>86.91181231314151</v>
      </c>
      <c r="AK4" s="623" t="e">
        <f>IND_MOT!L4</f>
        <v>#DIV/0!</v>
      </c>
      <c r="AL4" s="623">
        <f>PIB!F4</f>
        <v>10446.063323295155</v>
      </c>
      <c r="AM4" s="623">
        <f>IDH!F4</f>
        <v>0</v>
      </c>
      <c r="AN4" s="350" t="s">
        <v>12</v>
      </c>
    </row>
    <row r="5" spans="1:88">
      <c r="A5" s="563">
        <f>INDICE!B5</f>
        <v>60.580812704081495</v>
      </c>
      <c r="B5" s="631">
        <f>MOR!AZ5</f>
        <v>119</v>
      </c>
      <c r="C5" s="623">
        <f>MOR_HAB!B5</f>
        <v>17.217207368964754</v>
      </c>
      <c r="D5" s="623">
        <f>MOR_VEIC!B5</f>
        <v>101.24988300958896</v>
      </c>
      <c r="E5" s="623">
        <f>IND_MOT!H5</f>
        <v>0.170046689015277</v>
      </c>
      <c r="F5" s="623">
        <f>PIB!B5</f>
        <v>6251.2143002923021</v>
      </c>
      <c r="G5" s="623">
        <f>IDH!B5</f>
        <v>0.69199999999999995</v>
      </c>
      <c r="H5" s="21" t="s">
        <v>13</v>
      </c>
      <c r="I5" s="563">
        <f>INDICE!C5</f>
        <v>57.145053874874257</v>
      </c>
      <c r="J5" s="631">
        <f>MOR!BA5</f>
        <v>138</v>
      </c>
      <c r="K5" s="623">
        <f>MOR_HAB!C5</f>
        <v>18.812392731872965</v>
      </c>
      <c r="L5" s="623">
        <f>MOR_VEIC!C5</f>
        <v>100.26519417299379</v>
      </c>
      <c r="M5" s="623">
        <f>IND_MOT!I5</f>
        <v>0.18762635316314025</v>
      </c>
      <c r="N5" s="623">
        <f>PIB!C5</f>
        <v>6693.5622062631255</v>
      </c>
      <c r="O5" s="623">
        <f>IDH!C5</f>
        <v>0.751</v>
      </c>
      <c r="P5" s="21" t="s">
        <v>13</v>
      </c>
      <c r="Q5" s="563">
        <f>INDICE!D5</f>
        <v>61.622473869153353</v>
      </c>
      <c r="R5" s="631">
        <f>MOR!BB5</f>
        <v>163</v>
      </c>
      <c r="S5" s="623" t="e">
        <f>MOR_HAB!D5</f>
        <v>#DIV/0!</v>
      </c>
      <c r="T5" s="623">
        <f>MOR_VEIC!D5</f>
        <v>102.98465970835755</v>
      </c>
      <c r="U5" s="623" t="e">
        <f>IND_MOT!J5</f>
        <v>#DIV/0!</v>
      </c>
      <c r="V5" s="623">
        <f>PIB!D5</f>
        <v>7040.859526540341</v>
      </c>
      <c r="W5" s="623">
        <f>IDH!D5</f>
        <v>0.76300000000000001</v>
      </c>
      <c r="X5" s="21" t="s">
        <v>13</v>
      </c>
      <c r="Y5" s="563">
        <f>INDICE!E5</f>
        <v>50.528436004315623</v>
      </c>
      <c r="Z5" s="631">
        <f>MOR!BC5</f>
        <v>157</v>
      </c>
      <c r="AA5" s="623" t="e">
        <f>MOR_HAB!E5</f>
        <v>#DIV/0!</v>
      </c>
      <c r="AB5" s="623">
        <f>MOR_VEIC!E5</f>
        <v>88.946801880913256</v>
      </c>
      <c r="AC5" s="623" t="e">
        <f>IND_MOT!K5</f>
        <v>#DIV/0!</v>
      </c>
      <c r="AD5" s="623">
        <f>PIB!E5</f>
        <v>8789.4917192419143</v>
      </c>
      <c r="AE5" s="623">
        <f>IDH!E5</f>
        <v>0.78</v>
      </c>
      <c r="AF5" s="21" t="s">
        <v>13</v>
      </c>
      <c r="AG5" s="563" t="e">
        <f>INDICE!F5</f>
        <v>#DIV/0!</v>
      </c>
      <c r="AH5" s="631">
        <f>MOR!BD5</f>
        <v>128</v>
      </c>
      <c r="AI5" s="623" t="e">
        <f>MOR_HAB!F5</f>
        <v>#DIV/0!</v>
      </c>
      <c r="AJ5" s="623">
        <f>MOR_VEIC!F5</f>
        <v>62.203258867609108</v>
      </c>
      <c r="AK5" s="623" t="e">
        <f>IND_MOT!L5</f>
        <v>#DIV/0!</v>
      </c>
      <c r="AL5" s="623">
        <f>PIB!F5</f>
        <v>10972.405342190226</v>
      </c>
      <c r="AM5" s="623">
        <f>IDH!F5</f>
        <v>0.79737876802096985</v>
      </c>
      <c r="AN5" s="21" t="s">
        <v>13</v>
      </c>
    </row>
    <row r="6" spans="1:88">
      <c r="A6" s="563">
        <f>INDICE!B6</f>
        <v>52.806405052168515</v>
      </c>
      <c r="B6" s="631">
        <f>MOR!AZ6</f>
        <v>107</v>
      </c>
      <c r="C6" s="623">
        <f>MOR_HAB!B6</f>
        <v>17.07609394724285</v>
      </c>
      <c r="D6" s="623">
        <f>MOR_VEIC!B6</f>
        <v>116.40683645383436</v>
      </c>
      <c r="E6" s="623">
        <f>IND_MOT!H6</f>
        <v>0.14669322238659957</v>
      </c>
      <c r="F6" s="623">
        <f>PIB!B6</f>
        <v>7026.1710838753215</v>
      </c>
      <c r="G6" s="623">
        <f>IDH!B6</f>
        <v>0.73199999999999998</v>
      </c>
      <c r="H6" s="21" t="s">
        <v>14</v>
      </c>
      <c r="I6" s="563">
        <f>INDICE!C6</f>
        <v>53.251059702799004</v>
      </c>
      <c r="J6" s="631">
        <f>MOR!BA6</f>
        <v>121</v>
      </c>
      <c r="K6" s="623">
        <f>MOR_HAB!C6</f>
        <v>18.072487102816023</v>
      </c>
      <c r="L6" s="623">
        <f>MOR_VEIC!C6</f>
        <v>115.0354137947426</v>
      </c>
      <c r="M6" s="623">
        <f>IND_MOT!I6</f>
        <v>0.15710368230658706</v>
      </c>
      <c r="N6" s="623">
        <f>PIB!C6</f>
        <v>7334.9321588002713</v>
      </c>
      <c r="O6" s="623">
        <f>IDH!C6</f>
        <v>0.78</v>
      </c>
      <c r="P6" s="21" t="s">
        <v>14</v>
      </c>
      <c r="Q6" s="563">
        <f>INDICE!D6</f>
        <v>58.911619379056383</v>
      </c>
      <c r="R6" s="631">
        <f>MOR!BB6</f>
        <v>150</v>
      </c>
      <c r="S6" s="623" t="e">
        <f>MOR_HAB!D6</f>
        <v>#DIV/0!</v>
      </c>
      <c r="T6" s="623">
        <f>MOR_VEIC!D6</f>
        <v>123.58800701979879</v>
      </c>
      <c r="U6" s="623" t="e">
        <f>IND_MOT!J6</f>
        <v>#DIV/0!</v>
      </c>
      <c r="V6" s="623">
        <f>PIB!D6</f>
        <v>8542.9410648245685</v>
      </c>
      <c r="W6" s="623">
        <f>IDH!D6</f>
        <v>0.78900000000000003</v>
      </c>
      <c r="X6" s="21" t="s">
        <v>14</v>
      </c>
      <c r="Y6" s="563">
        <f>INDICE!E6</f>
        <v>39.912310749223145</v>
      </c>
      <c r="Z6" s="631">
        <f>MOR!BC6</f>
        <v>122</v>
      </c>
      <c r="AA6" s="623" t="e">
        <f>MOR_HAB!E6</f>
        <v>#DIV/0!</v>
      </c>
      <c r="AB6" s="623">
        <f>MOR_VEIC!E6</f>
        <v>91.34129450080485</v>
      </c>
      <c r="AC6" s="623" t="e">
        <f>IND_MOT!K6</f>
        <v>#DIV/0!</v>
      </c>
      <c r="AD6" s="623">
        <f>PIB!E6</f>
        <v>10253.735274365346</v>
      </c>
      <c r="AE6" s="623">
        <f>IDH!E6</f>
        <v>0.8</v>
      </c>
      <c r="AF6" s="21" t="s">
        <v>14</v>
      </c>
      <c r="AG6" s="563" t="e">
        <f>INDICE!F6</f>
        <v>#DIV/0!</v>
      </c>
      <c r="AH6" s="631">
        <f>MOR!BD6</f>
        <v>114</v>
      </c>
      <c r="AI6" s="623" t="e">
        <f>MOR_HAB!F6</f>
        <v>#DIV/0!</v>
      </c>
      <c r="AJ6" s="623">
        <f>MOR_VEIC!F6</f>
        <v>74.688470458744447</v>
      </c>
      <c r="AK6" s="623" t="e">
        <f>IND_MOT!L6</f>
        <v>#DIV/0!</v>
      </c>
      <c r="AL6" s="623">
        <f>PIB!F6</f>
        <v>12307.130094771786</v>
      </c>
      <c r="AM6" s="623">
        <f>IDH!F6</f>
        <v>0.81115335868187588</v>
      </c>
      <c r="AN6" s="21" t="s">
        <v>14</v>
      </c>
    </row>
    <row r="7" spans="1:88">
      <c r="A7" s="563">
        <f>INDICE!B7</f>
        <v>40.45893557462017</v>
      </c>
      <c r="B7" s="631">
        <f>MOR!AZ7</f>
        <v>365</v>
      </c>
      <c r="C7" s="623">
        <f>MOR_HAB!B7</f>
        <v>10.75631004931105</v>
      </c>
      <c r="D7" s="623">
        <f>MOR_VEIC!B7</f>
        <v>83.610316367692974</v>
      </c>
      <c r="E7" s="623">
        <f>IND_MOT!H7</f>
        <v>0.12864812043059426</v>
      </c>
      <c r="F7" s="623">
        <f>PIB!B7</f>
        <v>9657.9742548466002</v>
      </c>
      <c r="G7" s="623">
        <f>IDH!B7</f>
        <v>0.71699999999999997</v>
      </c>
      <c r="H7" s="21" t="s">
        <v>15</v>
      </c>
      <c r="I7" s="563">
        <f>INDICE!C7</f>
        <v>50.246207503553158</v>
      </c>
      <c r="J7" s="631">
        <f>MOR!BA7</f>
        <v>467</v>
      </c>
      <c r="K7" s="623">
        <f>MOR_HAB!C7</f>
        <v>13.40419089060372</v>
      </c>
      <c r="L7" s="623">
        <f>MOR_VEIC!C7</f>
        <v>95.747341832362196</v>
      </c>
      <c r="M7" s="623">
        <f>IND_MOT!I7</f>
        <v>0.13999543626048908</v>
      </c>
      <c r="N7" s="623">
        <f>PIB!C7</f>
        <v>10318.295712704374</v>
      </c>
      <c r="O7" s="623">
        <f>IDH!C7</f>
        <v>0.78</v>
      </c>
      <c r="P7" s="21" t="s">
        <v>15</v>
      </c>
      <c r="Q7" s="563">
        <f>INDICE!D7</f>
        <v>48.416360821514147</v>
      </c>
      <c r="R7" s="631">
        <f>MOR!BB7</f>
        <v>506</v>
      </c>
      <c r="S7" s="623" t="e">
        <f>MOR_HAB!D7</f>
        <v>#DIV/0!</v>
      </c>
      <c r="T7" s="623">
        <f>MOR_VEIC!D7</f>
        <v>92.700648354929896</v>
      </c>
      <c r="U7" s="623" t="e">
        <f>IND_MOT!J7</f>
        <v>#DIV/0!</v>
      </c>
      <c r="V7" s="623">
        <f>PIB!D7</f>
        <v>11826.21404378744</v>
      </c>
      <c r="W7" s="623">
        <f>IDH!D7</f>
        <v>0.78400000000000003</v>
      </c>
      <c r="X7" s="21" t="s">
        <v>15</v>
      </c>
      <c r="Y7" s="563">
        <f>INDICE!E7</f>
        <v>41.04470859312552</v>
      </c>
      <c r="Z7" s="631">
        <f>MOR!BC7</f>
        <v>457</v>
      </c>
      <c r="AA7" s="623" t="e">
        <f>MOR_HAB!E7</f>
        <v>#DIV/0!</v>
      </c>
      <c r="AB7" s="623">
        <f>MOR_VEIC!E7</f>
        <v>76.172125669006277</v>
      </c>
      <c r="AC7" s="623" t="e">
        <f>IND_MOT!K7</f>
        <v>#DIV/0!</v>
      </c>
      <c r="AD7" s="623">
        <f>PIB!E7</f>
        <v>13042.830845316787</v>
      </c>
      <c r="AE7" s="623">
        <f>IDH!E7</f>
        <v>0.79600000000000004</v>
      </c>
      <c r="AF7" s="21" t="s">
        <v>15</v>
      </c>
      <c r="AG7" s="563" t="e">
        <f>INDICE!F7</f>
        <v>#DIV/0!</v>
      </c>
      <c r="AH7" s="631">
        <f>MOR!BD7</f>
        <v>453</v>
      </c>
      <c r="AI7" s="623" t="e">
        <f>MOR_HAB!F7</f>
        <v>#DIV/0!</v>
      </c>
      <c r="AJ7" s="623">
        <f>MOR_VEIC!F7</f>
        <v>64.635891611459812</v>
      </c>
      <c r="AK7" s="623" t="e">
        <f>IND_MOT!L7</f>
        <v>#DIV/0!</v>
      </c>
      <c r="AL7" s="623">
        <f>PIB!F7</f>
        <v>14384.606589199375</v>
      </c>
      <c r="AM7" s="623">
        <f>IDH!F7</f>
        <v>0.80818367346938791</v>
      </c>
      <c r="AN7" s="21" t="s">
        <v>15</v>
      </c>
    </row>
    <row r="8" spans="1:88">
      <c r="A8" s="563">
        <f>INDICE!B8</f>
        <v>64.895170641801073</v>
      </c>
      <c r="B8" s="631">
        <f>MOR!AZ8</f>
        <v>1010</v>
      </c>
      <c r="C8" s="623">
        <f>MOR_HAB!B8</f>
        <v>13.59163541151233</v>
      </c>
      <c r="D8" s="623">
        <f>MOR_VEIC!B8</f>
        <v>130.92670178786244</v>
      </c>
      <c r="E8" s="623">
        <f>IND_MOT!H8</f>
        <v>0.10381102728406424</v>
      </c>
      <c r="F8" s="623">
        <f>PIB!B8</f>
        <v>5191.519151869943</v>
      </c>
      <c r="G8" s="623">
        <f>IDH!B8</f>
        <v>0.72</v>
      </c>
      <c r="H8" s="21" t="s">
        <v>16</v>
      </c>
      <c r="I8" s="563">
        <f>INDICE!C8</f>
        <v>74.73655490008268</v>
      </c>
      <c r="J8" s="631">
        <f>MOR!BA8</f>
        <v>1341</v>
      </c>
      <c r="K8" s="623">
        <f>MOR_HAB!C8</f>
        <v>17.688840241280531</v>
      </c>
      <c r="L8" s="623">
        <f>MOR_VEIC!C8</f>
        <v>152.15467356525292</v>
      </c>
      <c r="M8" s="623">
        <f>IND_MOT!I8</f>
        <v>0.11625564845824148</v>
      </c>
      <c r="N8" s="623">
        <f>PIB!C8</f>
        <v>5612.3169799428497</v>
      </c>
      <c r="O8" s="623">
        <f>IDH!C8</f>
        <v>0.755</v>
      </c>
      <c r="P8" s="21" t="s">
        <v>16</v>
      </c>
      <c r="Q8" s="563">
        <f>INDICE!D8</f>
        <v>66.770543810762803</v>
      </c>
      <c r="R8" s="631">
        <f>MOR!BB8</f>
        <v>1349</v>
      </c>
      <c r="S8" s="623" t="e">
        <f>MOR_HAB!D8</f>
        <v>#DIV/0!</v>
      </c>
      <c r="T8" s="623">
        <f>MOR_VEIC!D8</f>
        <v>133.37116632046846</v>
      </c>
      <c r="U8" s="623" t="e">
        <f>IND_MOT!J8</f>
        <v>#DIV/0!</v>
      </c>
      <c r="V8" s="623">
        <f>PIB!D8</f>
        <v>6240.0525252185516</v>
      </c>
      <c r="W8" s="623">
        <f>IDH!D8</f>
        <v>0.76400000000000001</v>
      </c>
      <c r="X8" s="21" t="s">
        <v>16</v>
      </c>
      <c r="Y8" s="563">
        <f>INDICE!E8</f>
        <v>64.273818260982523</v>
      </c>
      <c r="Z8" s="631">
        <f>MOR!BC8</f>
        <v>1512</v>
      </c>
      <c r="AA8" s="623" t="e">
        <f>MOR_HAB!E8</f>
        <v>#DIV/0!</v>
      </c>
      <c r="AB8" s="623">
        <f>MOR_VEIC!E8</f>
        <v>130.82074443233142</v>
      </c>
      <c r="AC8" s="623" t="e">
        <f>IND_MOT!K8</f>
        <v>#DIV/0!</v>
      </c>
      <c r="AD8" s="623">
        <f>PIB!E8</f>
        <v>7006.8123235518033</v>
      </c>
      <c r="AE8" s="623">
        <f>IDH!E8</f>
        <v>0.78200000000000003</v>
      </c>
      <c r="AF8" s="21" t="s">
        <v>16</v>
      </c>
      <c r="AG8" s="563" t="e">
        <f>INDICE!F8</f>
        <v>#DIV/0!</v>
      </c>
      <c r="AH8" s="631">
        <f>MOR!BD8</f>
        <v>1546</v>
      </c>
      <c r="AI8" s="623" t="e">
        <f>MOR_HAB!F8</f>
        <v>#DIV/0!</v>
      </c>
      <c r="AJ8" s="623">
        <f>MOR_VEIC!F8</f>
        <v>108.23639781426886</v>
      </c>
      <c r="AK8" s="623" t="e">
        <f>IND_MOT!L8</f>
        <v>#DIV/0!</v>
      </c>
      <c r="AL8" s="623">
        <f>PIB!F8</f>
        <v>7867.7893718142859</v>
      </c>
      <c r="AM8" s="623">
        <f>IDH!F8</f>
        <v>0.80042408376963359</v>
      </c>
      <c r="AN8" s="21" t="s">
        <v>16</v>
      </c>
    </row>
    <row r="9" spans="1:88">
      <c r="A9" s="563">
        <f>INDICE!B9</f>
        <v>61.879304441709152</v>
      </c>
      <c r="B9" s="631">
        <f>MOR!AZ9</f>
        <v>488</v>
      </c>
      <c r="C9" s="623">
        <f>MOR_HAB!B9</f>
        <v>32.448728681417983</v>
      </c>
      <c r="D9" s="623">
        <f>MOR_VEIC!B9</f>
        <v>109.45336120506356</v>
      </c>
      <c r="E9" s="623">
        <f>IND_MOT!H9</f>
        <v>0.29646169221449942</v>
      </c>
      <c r="F9" s="623">
        <f>PIB!B9</f>
        <v>7208.585703859957</v>
      </c>
      <c r="G9" s="623">
        <f>IDH!B9</f>
        <v>0.72899999999999998</v>
      </c>
      <c r="H9" s="21" t="s">
        <v>17</v>
      </c>
      <c r="I9" s="563">
        <f>INDICE!C9</f>
        <v>67.090830837959714</v>
      </c>
      <c r="J9" s="631">
        <f>MOR!BA9</f>
        <v>597</v>
      </c>
      <c r="K9" s="623">
        <f>MOR_HAB!C9</f>
        <v>38.210225363525169</v>
      </c>
      <c r="L9" s="623">
        <f>MOR_VEIC!C9</f>
        <v>117.13116925159657</v>
      </c>
      <c r="M9" s="623">
        <f>IND_MOT!I9</f>
        <v>0.32621739890131202</v>
      </c>
      <c r="N9" s="623">
        <f>PIB!C9</f>
        <v>8395.7365320465706</v>
      </c>
      <c r="O9" s="623">
        <f>IDH!C9</f>
        <v>0.77600000000000002</v>
      </c>
      <c r="P9" s="21" t="s">
        <v>17</v>
      </c>
      <c r="Q9" s="563">
        <f>INDICE!D9</f>
        <v>61.441338634516249</v>
      </c>
      <c r="R9" s="631">
        <f>MOR!BB9</f>
        <v>581</v>
      </c>
      <c r="S9" s="623" t="e">
        <f>MOR_HAB!D9</f>
        <v>#DIV/0!</v>
      </c>
      <c r="T9" s="623">
        <f>MOR_VEIC!D9</f>
        <v>99.745400294944233</v>
      </c>
      <c r="U9" s="623" t="e">
        <f>IND_MOT!J9</f>
        <v>#DIV/0!</v>
      </c>
      <c r="V9" s="623">
        <f>PIB!D9</f>
        <v>8389.2080729590089</v>
      </c>
      <c r="W9" s="623">
        <f>IDH!D9</f>
        <v>0.77900000000000003</v>
      </c>
      <c r="X9" s="21" t="s">
        <v>17</v>
      </c>
      <c r="Y9" s="563">
        <f>INDICE!E9</f>
        <v>66.226425876853952</v>
      </c>
      <c r="Z9" s="631">
        <f>MOR!BC9</f>
        <v>663</v>
      </c>
      <c r="AA9" s="623" t="e">
        <f>MOR_HAB!E9</f>
        <v>#DIV/0!</v>
      </c>
      <c r="AB9" s="623">
        <f>MOR_VEIC!E9</f>
        <v>102.14803607689913</v>
      </c>
      <c r="AC9" s="623" t="e">
        <f>IND_MOT!K9</f>
        <v>#DIV/0!</v>
      </c>
      <c r="AD9" s="623">
        <f>PIB!E9</f>
        <v>10319.980859045867</v>
      </c>
      <c r="AE9" s="623">
        <f>IDH!E9</f>
        <v>0.78400000000000003</v>
      </c>
      <c r="AF9" s="21" t="s">
        <v>17</v>
      </c>
      <c r="AG9" s="563" t="e">
        <f>INDICE!F9</f>
        <v>#DIV/0!</v>
      </c>
      <c r="AH9" s="631">
        <f>MOR!BD9</f>
        <v>535</v>
      </c>
      <c r="AI9" s="623" t="e">
        <f>MOR_HAB!F9</f>
        <v>#DIV/0!</v>
      </c>
      <c r="AJ9" s="623">
        <f>MOR_VEIC!F9</f>
        <v>70.551807444995958</v>
      </c>
      <c r="AK9" s="623" t="e">
        <f>IND_MOT!L9</f>
        <v>#DIV/0!</v>
      </c>
      <c r="AL9" s="623">
        <f>PIB!F9</f>
        <v>12695.120207396179</v>
      </c>
      <c r="AM9" s="623">
        <f>IDH!F9</f>
        <v>0.78903209242618744</v>
      </c>
      <c r="AN9" s="21" t="s">
        <v>17</v>
      </c>
    </row>
    <row r="10" spans="1:88">
      <c r="A10" s="563">
        <f>INDICE!B10</f>
        <v>76.581625090385202</v>
      </c>
      <c r="B10" s="631">
        <f>MOR!AZ10</f>
        <v>126</v>
      </c>
      <c r="C10" s="623">
        <f>MOR_HAB!B10</f>
        <v>29.893451198940916</v>
      </c>
      <c r="D10" s="623">
        <f>MOR_VEIC!B10</f>
        <v>124.24197603904747</v>
      </c>
      <c r="E10" s="623">
        <f>IND_MOT!H10</f>
        <v>0.24060669470957088</v>
      </c>
      <c r="F10" s="623">
        <f>PIB!B10</f>
        <v>7360.8500722509125</v>
      </c>
      <c r="G10" s="623">
        <f>IDH!B10</f>
        <v>0.749</v>
      </c>
      <c r="H10" s="21" t="s">
        <v>18</v>
      </c>
      <c r="I10" s="563">
        <f>INDICE!C10</f>
        <v>70.133806089867534</v>
      </c>
      <c r="J10" s="631">
        <f>MOR!BA10</f>
        <v>145</v>
      </c>
      <c r="K10" s="623">
        <f>MOR_HAB!C10</f>
        <v>32.187959927099818</v>
      </c>
      <c r="L10" s="623">
        <f>MOR_VEIC!C10</f>
        <v>125.91505509869135</v>
      </c>
      <c r="M10" s="623">
        <f>IND_MOT!I10</f>
        <v>0.25563233802241614</v>
      </c>
      <c r="N10" s="623">
        <f>PIB!C10</f>
        <v>8124.5822097863684</v>
      </c>
      <c r="O10" s="623">
        <f>IDH!C10</f>
        <v>0.75</v>
      </c>
      <c r="P10" s="21" t="s">
        <v>18</v>
      </c>
      <c r="Q10" s="563">
        <f>INDICE!D10</f>
        <v>68.261468448644123</v>
      </c>
      <c r="R10" s="631">
        <f>MOR!BB10</f>
        <v>134</v>
      </c>
      <c r="S10" s="623" t="e">
        <f>MOR_HAB!D10</f>
        <v>#DIV/0!</v>
      </c>
      <c r="T10" s="623">
        <f>MOR_VEIC!D10</f>
        <v>103.21348245370798</v>
      </c>
      <c r="U10" s="623" t="e">
        <f>IND_MOT!J10</f>
        <v>#DIV/0!</v>
      </c>
      <c r="V10" s="623">
        <f>PIB!D10</f>
        <v>9074.3462149707557</v>
      </c>
      <c r="W10" s="623">
        <f>IDH!D10</f>
        <v>0.78400000000000003</v>
      </c>
      <c r="X10" s="21" t="s">
        <v>18</v>
      </c>
      <c r="Y10" s="563">
        <f>INDICE!E10</f>
        <v>69.357024764846102</v>
      </c>
      <c r="Z10" s="631">
        <f>MOR!BC10</f>
        <v>148</v>
      </c>
      <c r="AA10" s="623" t="e">
        <f>MOR_HAB!E10</f>
        <v>#DIV/0!</v>
      </c>
      <c r="AB10" s="623">
        <f>MOR_VEIC!E10</f>
        <v>103.24813037169326</v>
      </c>
      <c r="AC10" s="623" t="e">
        <f>IND_MOT!K10</f>
        <v>#DIV/0!</v>
      </c>
      <c r="AD10" s="623">
        <f>PIB!E10</f>
        <v>10534.079373995637</v>
      </c>
      <c r="AE10" s="623">
        <f>IDH!E10</f>
        <v>0.78200000000000003</v>
      </c>
      <c r="AF10" s="21" t="s">
        <v>18</v>
      </c>
      <c r="AG10" s="563" t="e">
        <f>INDICE!F10</f>
        <v>#DIV/0!</v>
      </c>
      <c r="AH10" s="631">
        <f>MOR!BD10</f>
        <v>151</v>
      </c>
      <c r="AI10" s="623" t="e">
        <f>MOR_HAB!F10</f>
        <v>#DIV/0!</v>
      </c>
      <c r="AJ10" s="623">
        <f>MOR_VEIC!F10</f>
        <v>91.32751498436545</v>
      </c>
      <c r="AK10" s="623" t="e">
        <f>IND_MOT!L10</f>
        <v>#DIV/0!</v>
      </c>
      <c r="AL10" s="623">
        <f>PIB!F10</f>
        <v>12228.630650500028</v>
      </c>
      <c r="AM10" s="623">
        <f>IDH!F10</f>
        <v>0.78000510204081641</v>
      </c>
      <c r="AN10" s="21" t="s">
        <v>18</v>
      </c>
    </row>
    <row r="11" spans="1:88">
      <c r="A11" s="563">
        <f>INDICE!B11</f>
        <v>74.916719274056945</v>
      </c>
      <c r="B11" s="631">
        <f>MOR!AZ11</f>
        <v>450</v>
      </c>
      <c r="C11" s="623">
        <f>MOR_HAB!B11</f>
        <v>34.828023091753266</v>
      </c>
      <c r="D11" s="623">
        <f>MOR_VEIC!B11</f>
        <v>139.47174302486317</v>
      </c>
      <c r="E11" s="623">
        <f>IND_MOT!H11</f>
        <v>0.2497138297435961</v>
      </c>
      <c r="F11" s="623">
        <f>PIB!B11</f>
        <v>6555.9377856698884</v>
      </c>
      <c r="G11" s="623">
        <f>IDH!B11</f>
        <v>0.72099999999999997</v>
      </c>
      <c r="H11" s="21" t="s">
        <v>19</v>
      </c>
      <c r="I11" s="563">
        <f>INDICE!C11</f>
        <v>75.006725529793059</v>
      </c>
      <c r="J11" s="631">
        <f>MOR!BA11</f>
        <v>523</v>
      </c>
      <c r="K11" s="623">
        <f>MOR_HAB!C11</f>
        <v>37.804177253161491</v>
      </c>
      <c r="L11" s="623">
        <f>MOR_VEIC!C11</f>
        <v>145.94914383943919</v>
      </c>
      <c r="M11" s="623">
        <f>IND_MOT!I11</f>
        <v>0.25902294634047612</v>
      </c>
      <c r="N11" s="623">
        <f>PIB!C11</f>
        <v>6939.3669653715579</v>
      </c>
      <c r="O11" s="623">
        <f>IDH!C11</f>
        <v>0.75600000000000001</v>
      </c>
      <c r="P11" s="21" t="s">
        <v>19</v>
      </c>
      <c r="Q11" s="563">
        <f>INDICE!D11</f>
        <v>71.257133699634267</v>
      </c>
      <c r="R11" s="631">
        <f>MOR!BB11</f>
        <v>528</v>
      </c>
      <c r="S11" s="623" t="e">
        <f>MOR_HAB!D11</f>
        <v>#DIV/0!</v>
      </c>
      <c r="T11" s="623">
        <f>MOR_VEIC!D11</f>
        <v>132.07990834454844</v>
      </c>
      <c r="U11" s="623" t="e">
        <f>IND_MOT!J11</f>
        <v>#DIV/0!</v>
      </c>
      <c r="V11" s="623">
        <f>PIB!D11</f>
        <v>7208.3418004449686</v>
      </c>
      <c r="W11" s="623">
        <f>IDH!D11</f>
        <v>0.76900000000000002</v>
      </c>
      <c r="X11" s="21" t="s">
        <v>19</v>
      </c>
      <c r="Y11" s="563">
        <f>INDICE!E11</f>
        <v>64.881143222824164</v>
      </c>
      <c r="Z11" s="631">
        <f>MOR!BC11</f>
        <v>544</v>
      </c>
      <c r="AA11" s="623" t="e">
        <f>MOR_HAB!E11</f>
        <v>#DIV/0!</v>
      </c>
      <c r="AB11" s="623">
        <f>MOR_VEIC!E11</f>
        <v>123.37307428011584</v>
      </c>
      <c r="AC11" s="623" t="e">
        <f>IND_MOT!K11</f>
        <v>#DIV/0!</v>
      </c>
      <c r="AD11" s="623">
        <f>PIB!E11</f>
        <v>8920.7321462893015</v>
      </c>
      <c r="AE11" s="623">
        <f>IDH!E11</f>
        <v>0.78400000000000003</v>
      </c>
      <c r="AF11" s="21" t="s">
        <v>19</v>
      </c>
      <c r="AG11" s="563" t="e">
        <f>INDICE!F11</f>
        <v>#DIV/0!</v>
      </c>
      <c r="AH11" s="631">
        <f>MOR!BD11</f>
        <v>496</v>
      </c>
      <c r="AI11" s="623" t="e">
        <f>MOR_HAB!F11</f>
        <v>#DIV/0!</v>
      </c>
      <c r="AJ11" s="623">
        <f>MOR_VEIC!F11</f>
        <v>94.079622467579512</v>
      </c>
      <c r="AK11" s="623" t="e">
        <f>IND_MOT!L11</f>
        <v>#DIV/0!</v>
      </c>
      <c r="AL11" s="623">
        <f>PIB!F11</f>
        <v>11039.912399954024</v>
      </c>
      <c r="AM11" s="623">
        <f>IDH!F11</f>
        <v>0.79929258777633294</v>
      </c>
      <c r="AN11" s="21" t="s">
        <v>19</v>
      </c>
    </row>
    <row r="12" spans="1:88">
      <c r="A12" s="563">
        <f>INDICE!B12</f>
        <v>84.856310418092022</v>
      </c>
      <c r="B12" s="631">
        <f>MOR!AZ12</f>
        <v>9566</v>
      </c>
      <c r="C12" s="623">
        <f>MOR_HAB!B12</f>
        <v>17.849912538973911</v>
      </c>
      <c r="D12" s="623">
        <f>MOR_VEIC!B12</f>
        <v>125.17547597039128</v>
      </c>
      <c r="E12" s="623">
        <f>IND_MOT!H12</f>
        <v>0.14259911856213822</v>
      </c>
      <c r="F12" s="623">
        <f>PIB!B12</f>
        <v>4898.9860495952062</v>
      </c>
      <c r="G12" s="623">
        <f>IDH!B12</f>
        <v>0</v>
      </c>
      <c r="H12" s="351" t="s">
        <v>20</v>
      </c>
      <c r="I12" s="563">
        <f>INDICE!C12</f>
        <v>89.421360404225979</v>
      </c>
      <c r="J12" s="631">
        <f>MOR!BA12</f>
        <v>11762</v>
      </c>
      <c r="K12" s="623">
        <f>MOR_HAB!C12</f>
        <v>22.158191249567885</v>
      </c>
      <c r="L12" s="623">
        <f>MOR_VEIC!C12</f>
        <v>135.5283971283927</v>
      </c>
      <c r="M12" s="623">
        <f>IND_MOT!I12</f>
        <v>0.16349482262803081</v>
      </c>
      <c r="N12" s="623">
        <f>PIB!C12</f>
        <v>5498.8250327449132</v>
      </c>
      <c r="O12" s="623">
        <f>IDH!C12</f>
        <v>0</v>
      </c>
      <c r="P12" s="351" t="s">
        <v>20</v>
      </c>
      <c r="Q12" s="563">
        <f>INDICE!D12</f>
        <v>82.039488634625656</v>
      </c>
      <c r="R12" s="631">
        <f>MOR!BB12</f>
        <v>11974</v>
      </c>
      <c r="S12" s="623" t="e">
        <f>MOR_HAB!D12</f>
        <v>#DIV/0!</v>
      </c>
      <c r="T12" s="623">
        <f>MOR_VEIC!D12</f>
        <v>120.98845567643399</v>
      </c>
      <c r="U12" s="623" t="e">
        <f>IND_MOT!J12</f>
        <v>#DIV/0!</v>
      </c>
      <c r="V12" s="623">
        <f>PIB!D12</f>
        <v>6028.0937636451963</v>
      </c>
      <c r="W12" s="623">
        <f>IDH!D12</f>
        <v>0</v>
      </c>
      <c r="X12" s="351" t="s">
        <v>20</v>
      </c>
      <c r="Y12" s="563">
        <f>INDICE!E12</f>
        <v>79.375868300543758</v>
      </c>
      <c r="Z12" s="631">
        <f>MOR!BC12</f>
        <v>13212</v>
      </c>
      <c r="AA12" s="623" t="e">
        <f>MOR_HAB!E12</f>
        <v>#DIV/0!</v>
      </c>
      <c r="AB12" s="623">
        <f>MOR_VEIC!E12</f>
        <v>118.99500557822863</v>
      </c>
      <c r="AC12" s="623" t="e">
        <f>IND_MOT!K12</f>
        <v>#DIV/0!</v>
      </c>
      <c r="AD12" s="623">
        <f>PIB!E12</f>
        <v>6748.8102508708434</v>
      </c>
      <c r="AE12" s="623">
        <f>IDH!E12</f>
        <v>0</v>
      </c>
      <c r="AF12" s="351" t="s">
        <v>20</v>
      </c>
      <c r="AG12" s="563" t="e">
        <f>INDICE!F12</f>
        <v>#DIV/0!</v>
      </c>
      <c r="AH12" s="631">
        <f>MOR!BD12</f>
        <v>12638</v>
      </c>
      <c r="AI12" s="623" t="e">
        <f>MOR_HAB!F12</f>
        <v>#DIV/0!</v>
      </c>
      <c r="AJ12" s="623">
        <f>MOR_VEIC!F12</f>
        <v>96.276012158903114</v>
      </c>
      <c r="AK12" s="623" t="e">
        <f>IND_MOT!L12</f>
        <v>#DIV/0!</v>
      </c>
      <c r="AL12" s="623">
        <f>PIB!F12</f>
        <v>7555.6953139888437</v>
      </c>
      <c r="AM12" s="623">
        <f>IDH!F12</f>
        <v>0</v>
      </c>
      <c r="AN12" s="351" t="s">
        <v>20</v>
      </c>
    </row>
    <row r="13" spans="1:88">
      <c r="A13" s="563">
        <f>INDICE!B13</f>
        <v>126.21656178900706</v>
      </c>
      <c r="B13" s="631">
        <f>MOR!AZ13</f>
        <v>659</v>
      </c>
      <c r="C13" s="623">
        <f>MOR_HAB!B13</f>
        <v>20.880193631319148</v>
      </c>
      <c r="D13" s="623">
        <f>MOR_VEIC!B13</f>
        <v>185.88094593374854</v>
      </c>
      <c r="E13" s="623">
        <f>IND_MOT!H13</f>
        <v>0.11233100588352528</v>
      </c>
      <c r="F13" s="623">
        <f>PIB!B13</f>
        <v>4324.3544300744079</v>
      </c>
      <c r="G13" s="623">
        <f>IDH!B13</f>
        <v>0.64600000000000002</v>
      </c>
      <c r="H13" s="21" t="s">
        <v>21</v>
      </c>
      <c r="I13" s="563">
        <f>INDICE!C13</f>
        <v>127.11658016066335</v>
      </c>
      <c r="J13" s="631">
        <f>MOR!BA13</f>
        <v>783</v>
      </c>
      <c r="K13" s="623">
        <f>MOR_HAB!C13</f>
        <v>25.092180917508575</v>
      </c>
      <c r="L13" s="623">
        <f>MOR_VEIC!C13</f>
        <v>195.98665388456561</v>
      </c>
      <c r="M13" s="623">
        <f>IND_MOT!I13</f>
        <v>0.12803004908838153</v>
      </c>
      <c r="N13" s="623">
        <f>PIB!C13</f>
        <v>4688.2487580077586</v>
      </c>
      <c r="O13" s="623">
        <f>IDH!C13</f>
        <v>0.67700000000000005</v>
      </c>
      <c r="P13" s="21" t="s">
        <v>21</v>
      </c>
      <c r="Q13" s="563">
        <f>INDICE!D13</f>
        <v>120.9491222124268</v>
      </c>
      <c r="R13" s="631">
        <f>MOR!BB13</f>
        <v>853</v>
      </c>
      <c r="S13" s="623" t="e">
        <f>MOR_HAB!D13</f>
        <v>#DIV/0!</v>
      </c>
      <c r="T13" s="623">
        <f>MOR_VEIC!D13</f>
        <v>188.5428708470283</v>
      </c>
      <c r="U13" s="623" t="e">
        <f>IND_MOT!J13</f>
        <v>#DIV/0!</v>
      </c>
      <c r="V13" s="623">
        <f>PIB!D13</f>
        <v>5162.1873217624461</v>
      </c>
      <c r="W13" s="623">
        <f>IDH!D13</f>
        <v>0.7</v>
      </c>
      <c r="X13" s="21" t="s">
        <v>21</v>
      </c>
      <c r="Y13" s="563">
        <f>INDICE!E13</f>
        <v>105.82312268814296</v>
      </c>
      <c r="Z13" s="631">
        <f>MOR!BC13</f>
        <v>840</v>
      </c>
      <c r="AA13" s="623" t="e">
        <f>MOR_HAB!E13</f>
        <v>#DIV/0!</v>
      </c>
      <c r="AB13" s="623">
        <f>MOR_VEIC!E13</f>
        <v>164.66455477840856</v>
      </c>
      <c r="AC13" s="623" t="e">
        <f>IND_MOT!K13</f>
        <v>#DIV/0!</v>
      </c>
      <c r="AD13" s="623">
        <f>PIB!E13</f>
        <v>5858.3712236805795</v>
      </c>
      <c r="AE13" s="623">
        <f>IDH!E13</f>
        <v>0.72199999999999998</v>
      </c>
      <c r="AF13" s="21" t="s">
        <v>21</v>
      </c>
      <c r="AG13" s="563" t="e">
        <f>INDICE!F13</f>
        <v>#DIV/0!</v>
      </c>
      <c r="AH13" s="631">
        <f>MOR!BD13</f>
        <v>780</v>
      </c>
      <c r="AI13" s="623" t="e">
        <f>MOR_HAB!F13</f>
        <v>#DIV/0!</v>
      </c>
      <c r="AJ13" s="623">
        <f>MOR_VEIC!F13</f>
        <v>126.91883377863402</v>
      </c>
      <c r="AK13" s="623" t="e">
        <f>IND_MOT!L13</f>
        <v>#DIV/0!</v>
      </c>
      <c r="AL13" s="623">
        <f>PIB!F13</f>
        <v>6648.4440132116642</v>
      </c>
      <c r="AM13" s="623">
        <f>IDH!F13</f>
        <v>0.74469142857142845</v>
      </c>
      <c r="AN13" s="21" t="s">
        <v>21</v>
      </c>
    </row>
    <row r="14" spans="1:88">
      <c r="A14" s="563">
        <f>INDICE!B14</f>
        <v>59.389401424063209</v>
      </c>
      <c r="B14" s="631">
        <f>MOR!AZ14</f>
        <v>1831</v>
      </c>
      <c r="C14" s="623">
        <f>MOR_HAB!B14</f>
        <v>12.508966695132365</v>
      </c>
      <c r="D14" s="623">
        <f>MOR_VEIC!B14</f>
        <v>97.663594521664407</v>
      </c>
      <c r="E14" s="623">
        <f>IND_MOT!H14</f>
        <v>0.12808218616567038</v>
      </c>
      <c r="F14" s="623">
        <f>PIB!B14</f>
        <v>5780.0613950999459</v>
      </c>
      <c r="G14" s="623">
        <f>IDH!B14</f>
        <v>0.69599999999999995</v>
      </c>
      <c r="H14" s="21" t="s">
        <v>22</v>
      </c>
      <c r="I14" s="563">
        <f>INDICE!C14</f>
        <v>74.121763185967197</v>
      </c>
      <c r="J14" s="631">
        <f>MOR!BA14</f>
        <v>2601</v>
      </c>
      <c r="K14" s="623">
        <f>MOR_HAB!C14</f>
        <v>18.556163535661863</v>
      </c>
      <c r="L14" s="623">
        <f>MOR_VEIC!C14</f>
        <v>122.46373877415728</v>
      </c>
      <c r="M14" s="623">
        <f>IND_MOT!I14</f>
        <v>0.15152373854829304</v>
      </c>
      <c r="N14" s="623">
        <f>PIB!C14</f>
        <v>6581.044983679928</v>
      </c>
      <c r="O14" s="623">
        <f>IDH!C14</f>
        <v>0.74199999999999999</v>
      </c>
      <c r="P14" s="21" t="s">
        <v>22</v>
      </c>
      <c r="Q14" s="563">
        <f>INDICE!D14</f>
        <v>67.85183092614858</v>
      </c>
      <c r="R14" s="631">
        <f>MOR!BB14</f>
        <v>2620</v>
      </c>
      <c r="S14" s="623" t="e">
        <f>MOR_HAB!D14</f>
        <v>#DIV/0!</v>
      </c>
      <c r="T14" s="623">
        <f>MOR_VEIC!D14</f>
        <v>109.11974517624088</v>
      </c>
      <c r="U14" s="623" t="e">
        <f>IND_MOT!J14</f>
        <v>#DIV/0!</v>
      </c>
      <c r="V14" s="623">
        <f>PIB!D14</f>
        <v>6918.9742353811434</v>
      </c>
      <c r="W14" s="623">
        <f>IDH!D14</f>
        <v>0.754</v>
      </c>
      <c r="X14" s="21" t="s">
        <v>22</v>
      </c>
      <c r="Y14" s="563">
        <f>INDICE!E14</f>
        <v>65.777244631779013</v>
      </c>
      <c r="Z14" s="631">
        <f>MOR!BC14</f>
        <v>2834</v>
      </c>
      <c r="AA14" s="623" t="e">
        <f>MOR_HAB!E14</f>
        <v>#DIV/0!</v>
      </c>
      <c r="AB14" s="623">
        <f>MOR_VEIC!E14</f>
        <v>106.19852378805713</v>
      </c>
      <c r="AC14" s="623" t="e">
        <f>IND_MOT!K14</f>
        <v>#DIV/0!</v>
      </c>
      <c r="AD14" s="623">
        <f>PIB!E14</f>
        <v>7787.4024465393868</v>
      </c>
      <c r="AE14" s="623">
        <f>IDH!E14</f>
        <v>0.76700000000000002</v>
      </c>
      <c r="AF14" s="21" t="s">
        <v>22</v>
      </c>
      <c r="AG14" s="563" t="e">
        <f>INDICE!F14</f>
        <v>#DIV/0!</v>
      </c>
      <c r="AH14" s="631">
        <f>MOR!BD14</f>
        <v>2660</v>
      </c>
      <c r="AI14" s="623" t="e">
        <f>MOR_HAB!F14</f>
        <v>#DIV/0!</v>
      </c>
      <c r="AJ14" s="623">
        <f>MOR_VEIC!F14</f>
        <v>84.22183143855321</v>
      </c>
      <c r="AK14" s="623" t="e">
        <f>IND_MOT!L14</f>
        <v>#DIV/0!</v>
      </c>
      <c r="AL14" s="623">
        <f>PIB!F14</f>
        <v>8764.8305661058675</v>
      </c>
      <c r="AM14" s="623">
        <f>IDH!F14</f>
        <v>0.7802241379310344</v>
      </c>
      <c r="AN14" s="21" t="s">
        <v>22</v>
      </c>
    </row>
    <row r="15" spans="1:88">
      <c r="A15" s="563">
        <f>INDICE!B15</f>
        <v>87.414276859853416</v>
      </c>
      <c r="B15" s="631">
        <f>MOR!AZ15</f>
        <v>1515</v>
      </c>
      <c r="C15" s="623">
        <f>MOR_HAB!B15</f>
        <v>17.723962446257786</v>
      </c>
      <c r="D15" s="623">
        <f>MOR_VEIC!B15</f>
        <v>110.11502841185782</v>
      </c>
      <c r="E15" s="623">
        <f>IND_MOT!H15</f>
        <v>0.16095861484016261</v>
      </c>
      <c r="F15" s="623">
        <f>PIB!B15</f>
        <v>4621.8243891120437</v>
      </c>
      <c r="G15" s="623">
        <f>IDH!B15</f>
        <v>0.7</v>
      </c>
      <c r="H15" s="21" t="s">
        <v>23</v>
      </c>
      <c r="I15" s="563">
        <f>INDICE!C15</f>
        <v>98.185049616271556</v>
      </c>
      <c r="J15" s="631">
        <f>MOR!BA15</f>
        <v>2015</v>
      </c>
      <c r="K15" s="623">
        <f>MOR_HAB!C15</f>
        <v>23.839436485411625</v>
      </c>
      <c r="L15" s="623">
        <f>MOR_VEIC!C15</f>
        <v>128.81292655297887</v>
      </c>
      <c r="M15" s="623">
        <f>IND_MOT!I15</f>
        <v>0.18507021867566073</v>
      </c>
      <c r="N15" s="623">
        <f>PIB!C15</f>
        <v>5055.4343913483863</v>
      </c>
      <c r="O15" s="623">
        <f>IDH!C15</f>
        <v>0.72299999999999998</v>
      </c>
      <c r="P15" s="21" t="s">
        <v>23</v>
      </c>
      <c r="Q15" s="563">
        <f>INDICE!D15</f>
        <v>89.890178268564256</v>
      </c>
      <c r="R15" s="631">
        <f>MOR!BB15</f>
        <v>2041</v>
      </c>
      <c r="S15" s="623" t="e">
        <f>MOR_HAB!D15</f>
        <v>#DIV/0!</v>
      </c>
      <c r="T15" s="623">
        <f>MOR_VEIC!D15</f>
        <v>114.02788850631288</v>
      </c>
      <c r="U15" s="623" t="e">
        <f>IND_MOT!J15</f>
        <v>#DIV/0!</v>
      </c>
      <c r="V15" s="623">
        <f>PIB!D15</f>
        <v>5634.9736562503022</v>
      </c>
      <c r="W15" s="623">
        <f>IDH!D15</f>
        <v>0.73099999999999998</v>
      </c>
      <c r="X15" s="21" t="s">
        <v>23</v>
      </c>
      <c r="Y15" s="563">
        <f>INDICE!E15</f>
        <v>92.362812529116027</v>
      </c>
      <c r="Z15" s="631">
        <f>MOR!BC15</f>
        <v>2423</v>
      </c>
      <c r="AA15" s="623" t="e">
        <f>MOR_HAB!E15</f>
        <v>#DIV/0!</v>
      </c>
      <c r="AB15" s="623">
        <f>MOR_VEIC!E15</f>
        <v>120.42115098367132</v>
      </c>
      <c r="AC15" s="623" t="e">
        <f>IND_MOT!K15</f>
        <v>#DIV/0!</v>
      </c>
      <c r="AD15" s="623">
        <f>PIB!E15</f>
        <v>6149.0343365611461</v>
      </c>
      <c r="AE15" s="623">
        <f>IDH!E15</f>
        <v>0.749</v>
      </c>
      <c r="AF15" s="21" t="s">
        <v>23</v>
      </c>
      <c r="AG15" s="563" t="e">
        <f>INDICE!F15</f>
        <v>#DIV/0!</v>
      </c>
      <c r="AH15" s="631">
        <f>MOR!BD15</f>
        <v>2321</v>
      </c>
      <c r="AI15" s="623" t="e">
        <f>MOR_HAB!F15</f>
        <v>#DIV/0!</v>
      </c>
      <c r="AJ15" s="623">
        <f>MOR_VEIC!F15</f>
        <v>97.341254280435919</v>
      </c>
      <c r="AK15" s="623" t="e">
        <f>IND_MOT!L15</f>
        <v>#DIV/0!</v>
      </c>
      <c r="AL15" s="623">
        <f>PIB!F15</f>
        <v>6709.9911337240246</v>
      </c>
      <c r="AM15" s="623">
        <f>IDH!F15</f>
        <v>0.76744322845417245</v>
      </c>
      <c r="AN15" s="21" t="s">
        <v>23</v>
      </c>
    </row>
    <row r="16" spans="1:88">
      <c r="A16" s="563">
        <f>INDICE!B16</f>
        <v>109.72309229216644</v>
      </c>
      <c r="B16" s="631">
        <f>MOR!AZ16</f>
        <v>1109</v>
      </c>
      <c r="C16" s="623">
        <f>MOR_HAB!B16</f>
        <v>17.417632580930345</v>
      </c>
      <c r="D16" s="623">
        <f>MOR_VEIC!B16</f>
        <v>184.73665448415329</v>
      </c>
      <c r="E16" s="623">
        <f>IND_MOT!H16</f>
        <v>9.4283576962927149E-2</v>
      </c>
      <c r="F16" s="623">
        <f>PIB!B16</f>
        <v>3587.9037869469803</v>
      </c>
      <c r="G16" s="623">
        <f>IDH!B16</f>
        <v>0.64700000000000002</v>
      </c>
      <c r="H16" s="21" t="s">
        <v>24</v>
      </c>
      <c r="I16" s="563">
        <f>INDICE!C16</f>
        <v>103.55776849232811</v>
      </c>
      <c r="J16" s="631">
        <f>MOR!BA16</f>
        <v>1275</v>
      </c>
      <c r="K16" s="623">
        <f>MOR_HAB!C16</f>
        <v>19.392257302857931</v>
      </c>
      <c r="L16" s="623">
        <f>MOR_VEIC!C16</f>
        <v>179.57038313981982</v>
      </c>
      <c r="M16" s="623">
        <f>IND_MOT!I16</f>
        <v>0.1079925150449695</v>
      </c>
      <c r="N16" s="623">
        <f>PIB!C16</f>
        <v>4150.9476443656422</v>
      </c>
      <c r="O16" s="623">
        <f>IDH!C16</f>
        <v>0.68300000000000005</v>
      </c>
      <c r="P16" s="21" t="s">
        <v>24</v>
      </c>
      <c r="Q16" s="563">
        <f>INDICE!D16</f>
        <v>103.61290461588878</v>
      </c>
      <c r="R16" s="631">
        <f>MOR!BB16</f>
        <v>1463</v>
      </c>
      <c r="S16" s="623" t="e">
        <f>MOR_HAB!D16</f>
        <v>#DIV/0!</v>
      </c>
      <c r="T16" s="623">
        <f>MOR_VEIC!D16</f>
        <v>170.90123240464925</v>
      </c>
      <c r="U16" s="623" t="e">
        <f>IND_MOT!J16</f>
        <v>#DIV/0!</v>
      </c>
      <c r="V16" s="623">
        <f>PIB!D16</f>
        <v>4627.7096023896001</v>
      </c>
      <c r="W16" s="623">
        <f>IDH!D16</f>
        <v>0.70699999999999996</v>
      </c>
      <c r="X16" s="21" t="s">
        <v>24</v>
      </c>
      <c r="Y16" s="563">
        <f>INDICE!E16</f>
        <v>98.600961169252656</v>
      </c>
      <c r="Z16" s="631">
        <f>MOR!BC16</f>
        <v>1652</v>
      </c>
      <c r="AA16" s="623" t="e">
        <f>MOR_HAB!E16</f>
        <v>#DIV/0!</v>
      </c>
      <c r="AB16" s="623">
        <f>MOR_VEIC!E16</f>
        <v>166.22494299852892</v>
      </c>
      <c r="AC16" s="623" t="e">
        <f>IND_MOT!K16</f>
        <v>#DIV/0!</v>
      </c>
      <c r="AD16" s="623">
        <f>PIB!E16</f>
        <v>5165.2316056363534</v>
      </c>
      <c r="AE16" s="623">
        <f>IDH!E16</f>
        <v>0.72399999999999998</v>
      </c>
      <c r="AF16" s="21" t="s">
        <v>24</v>
      </c>
      <c r="AG16" s="563" t="e">
        <f>INDICE!F16</f>
        <v>#DIV/0!</v>
      </c>
      <c r="AH16" s="631">
        <f>MOR!BD16</f>
        <v>1559</v>
      </c>
      <c r="AI16" s="623" t="e">
        <f>MOR_HAB!F16</f>
        <v>#DIV/0!</v>
      </c>
      <c r="AJ16" s="623">
        <f>MOR_VEIC!F16</f>
        <v>128.26229680833384</v>
      </c>
      <c r="AK16" s="623" t="e">
        <f>IND_MOT!L16</f>
        <v>#DIV/0!</v>
      </c>
      <c r="AL16" s="623">
        <f>PIB!F16</f>
        <v>5765.1883614495182</v>
      </c>
      <c r="AM16" s="623">
        <f>IDH!F16</f>
        <v>0.74140876944837342</v>
      </c>
      <c r="AN16" s="21" t="s">
        <v>24</v>
      </c>
    </row>
    <row r="17" spans="1:40">
      <c r="A17" s="563">
        <f>INDICE!B17</f>
        <v>88.353209147742191</v>
      </c>
      <c r="B17" s="631">
        <f>MOR!AZ17</f>
        <v>774</v>
      </c>
      <c r="C17" s="623">
        <f>MOR_HAB!B17</f>
        <v>20.530754486659518</v>
      </c>
      <c r="D17" s="623">
        <f>MOR_VEIC!B17</f>
        <v>135.5134541749174</v>
      </c>
      <c r="E17" s="623">
        <f>IND_MOT!H17</f>
        <v>0.15150344009502503</v>
      </c>
      <c r="F17" s="623">
        <f>PIB!B17</f>
        <v>4209.9006119720725</v>
      </c>
      <c r="G17" s="623">
        <f>IDH!B17</f>
        <v>0.67800000000000005</v>
      </c>
      <c r="H17" s="21" t="s">
        <v>25</v>
      </c>
      <c r="I17" s="563">
        <f>INDICE!C17</f>
        <v>81.628092778416672</v>
      </c>
      <c r="J17" s="631">
        <f>MOR!BA17</f>
        <v>829</v>
      </c>
      <c r="K17" s="623">
        <f>MOR_HAB!C17</f>
        <v>22.009659824644871</v>
      </c>
      <c r="L17" s="623">
        <f>MOR_VEIC!C17</f>
        <v>128.19144905820264</v>
      </c>
      <c r="M17" s="623">
        <f>IND_MOT!I17</f>
        <v>0.17169366589070889</v>
      </c>
      <c r="N17" s="623">
        <f>PIB!C17</f>
        <v>4691.0937824887505</v>
      </c>
      <c r="O17" s="623">
        <f>IDH!C17</f>
        <v>0.71799999999999997</v>
      </c>
      <c r="P17" s="21" t="s">
        <v>25</v>
      </c>
      <c r="Q17" s="563">
        <f>INDICE!D17</f>
        <v>69.93364373091697</v>
      </c>
      <c r="R17" s="631">
        <f>MOR!BB17</f>
        <v>782</v>
      </c>
      <c r="S17" s="623" t="e">
        <f>MOR_HAB!D17</f>
        <v>#DIV/0!</v>
      </c>
      <c r="T17" s="623">
        <f>MOR_VEIC!D17</f>
        <v>105.91068289366405</v>
      </c>
      <c r="U17" s="623" t="e">
        <f>IND_MOT!J17</f>
        <v>#DIV/0!</v>
      </c>
      <c r="V17" s="623">
        <f>PIB!D17</f>
        <v>5506.5224679450048</v>
      </c>
      <c r="W17" s="623">
        <f>IDH!D17</f>
        <v>0.72899999999999998</v>
      </c>
      <c r="X17" s="21" t="s">
        <v>25</v>
      </c>
      <c r="Y17" s="563">
        <f>INDICE!E17</f>
        <v>77.18054836496546</v>
      </c>
      <c r="Z17" s="631">
        <f>MOR!BC17</f>
        <v>970</v>
      </c>
      <c r="AA17" s="623" t="e">
        <f>MOR_HAB!E17</f>
        <v>#DIV/0!</v>
      </c>
      <c r="AB17" s="623">
        <f>MOR_VEIC!E17</f>
        <v>116.86352749545799</v>
      </c>
      <c r="AC17" s="623" t="e">
        <f>IND_MOT!K17</f>
        <v>#DIV/0!</v>
      </c>
      <c r="AD17" s="623">
        <f>PIB!E17</f>
        <v>6097.0419103009581</v>
      </c>
      <c r="AE17" s="623">
        <f>IDH!E17</f>
        <v>0.752</v>
      </c>
      <c r="AF17" s="21" t="s">
        <v>25</v>
      </c>
      <c r="AG17" s="563" t="e">
        <f>INDICE!F17</f>
        <v>#DIV/0!</v>
      </c>
      <c r="AH17" s="631">
        <f>MOR!BD17</f>
        <v>1004</v>
      </c>
      <c r="AI17" s="623" t="e">
        <f>MOR_HAB!F17</f>
        <v>#DIV/0!</v>
      </c>
      <c r="AJ17" s="623">
        <f>MOR_VEIC!F17</f>
        <v>104.68310942200118</v>
      </c>
      <c r="AK17" s="623" t="e">
        <f>IND_MOT!L17</f>
        <v>#DIV/0!</v>
      </c>
      <c r="AL17" s="623">
        <f>PIB!F17</f>
        <v>6750.8886547482662</v>
      </c>
      <c r="AM17" s="623">
        <f>IDH!F17</f>
        <v>0.77572565157750351</v>
      </c>
      <c r="AN17" s="21" t="s">
        <v>25</v>
      </c>
    </row>
    <row r="18" spans="1:40">
      <c r="A18" s="563">
        <f>INDICE!B18</f>
        <v>91.039666633478745</v>
      </c>
      <c r="B18" s="631">
        <f>MOR!AZ18</f>
        <v>1740</v>
      </c>
      <c r="C18" s="623">
        <f>MOR_HAB!B18</f>
        <v>19.749570900846031</v>
      </c>
      <c r="D18" s="623">
        <f>MOR_VEIC!B18</f>
        <v>119.82629319427974</v>
      </c>
      <c r="E18" s="623">
        <f>IND_MOT!H18</f>
        <v>0.16481834140379495</v>
      </c>
      <c r="F18" s="623">
        <f>PIB!B18</f>
        <v>5287.2867923541808</v>
      </c>
      <c r="G18" s="623">
        <f>IDH!B18</f>
        <v>0.70499999999999996</v>
      </c>
      <c r="H18" s="21" t="s">
        <v>26</v>
      </c>
      <c r="I18" s="563">
        <f>INDICE!C18</f>
        <v>85.228533013382815</v>
      </c>
      <c r="J18" s="631">
        <f>MOR!BA18</f>
        <v>1939</v>
      </c>
      <c r="K18" s="623">
        <f>MOR_HAB!C18</f>
        <v>22.042988260716143</v>
      </c>
      <c r="L18" s="623">
        <f>MOR_VEIC!C18</f>
        <v>118.79751670915562</v>
      </c>
      <c r="M18" s="623">
        <f>IND_MOT!I18</f>
        <v>0.18555091782501301</v>
      </c>
      <c r="N18" s="623">
        <f>PIB!C18</f>
        <v>5933.4631639152994</v>
      </c>
      <c r="O18" s="623">
        <f>IDH!C18</f>
        <v>0.71799999999999997</v>
      </c>
      <c r="P18" s="21" t="s">
        <v>26</v>
      </c>
      <c r="Q18" s="563">
        <f>INDICE!D18</f>
        <v>77.029086975493371</v>
      </c>
      <c r="R18" s="631">
        <f>MOR!BB18</f>
        <v>1950</v>
      </c>
      <c r="S18" s="623" t="e">
        <f>MOR_HAB!D18</f>
        <v>#DIV/0!</v>
      </c>
      <c r="T18" s="623">
        <f>MOR_VEIC!D18</f>
        <v>105.68905196920383</v>
      </c>
      <c r="U18" s="623" t="e">
        <f>IND_MOT!J18</f>
        <v>#DIV/0!</v>
      </c>
      <c r="V18" s="623">
        <f>PIB!D18</f>
        <v>6526.6298230528255</v>
      </c>
      <c r="W18" s="623">
        <f>IDH!D18</f>
        <v>0.73299999999999998</v>
      </c>
      <c r="X18" s="21" t="s">
        <v>26</v>
      </c>
      <c r="Y18" s="563">
        <f>INDICE!E18</f>
        <v>70.990937874127255</v>
      </c>
      <c r="Z18" s="631">
        <f>MOR!BC18</f>
        <v>2048</v>
      </c>
      <c r="AA18" s="623" t="e">
        <f>MOR_HAB!E18</f>
        <v>#DIV/0!</v>
      </c>
      <c r="AB18" s="623">
        <f>MOR_VEIC!E18</f>
        <v>99.517718089823489</v>
      </c>
      <c r="AC18" s="623" t="e">
        <f>IND_MOT!K18</f>
        <v>#DIV/0!</v>
      </c>
      <c r="AD18" s="623">
        <f>PIB!E18</f>
        <v>7336.7771747174193</v>
      </c>
      <c r="AE18" s="623">
        <f>IDH!E18</f>
        <v>0.74199999999999999</v>
      </c>
      <c r="AF18" s="21" t="s">
        <v>26</v>
      </c>
      <c r="AG18" s="563" t="e">
        <f>INDICE!F18</f>
        <v>#DIV/0!</v>
      </c>
      <c r="AH18" s="631">
        <f>MOR!BD18</f>
        <v>1854</v>
      </c>
      <c r="AI18" s="623" t="e">
        <f>MOR_HAB!F18</f>
        <v>#DIV/0!</v>
      </c>
      <c r="AJ18" s="623">
        <f>MOR_VEIC!F18</f>
        <v>77.355138525779623</v>
      </c>
      <c r="AK18" s="623" t="e">
        <f>IND_MOT!L18</f>
        <v>#DIV/0!</v>
      </c>
      <c r="AL18" s="623">
        <f>PIB!F18</f>
        <v>8247.4877189030431</v>
      </c>
      <c r="AM18" s="623">
        <f>IDH!F18</f>
        <v>0.75111050477489771</v>
      </c>
      <c r="AN18" s="21" t="s">
        <v>26</v>
      </c>
    </row>
    <row r="19" spans="1:40">
      <c r="A19" s="563">
        <f>INDICE!B19</f>
        <v>127.69799244430486</v>
      </c>
      <c r="B19" s="631">
        <f>MOR!AZ19</f>
        <v>903</v>
      </c>
      <c r="C19" s="623">
        <f>MOR_HAB!B19</f>
        <v>28.71074449535859</v>
      </c>
      <c r="D19" s="623">
        <f>MOR_VEIC!B19</f>
        <v>195.65570662477654</v>
      </c>
      <c r="E19" s="623">
        <f>IND_MOT!H19</f>
        <v>0.14674115562813259</v>
      </c>
      <c r="F19" s="623">
        <f>PIB!B19</f>
        <v>3297.2391445571384</v>
      </c>
      <c r="G19" s="623">
        <f>IDH!B19</f>
        <v>0.67300000000000004</v>
      </c>
      <c r="H19" s="21" t="s">
        <v>27</v>
      </c>
      <c r="I19" s="563">
        <f>INDICE!C19</f>
        <v>123.78292293094962</v>
      </c>
      <c r="J19" s="631">
        <f>MOR!BA19</f>
        <v>1044</v>
      </c>
      <c r="K19" s="623">
        <f>MOR_HAB!C19</f>
        <v>33.479136469169688</v>
      </c>
      <c r="L19" s="623">
        <f>MOR_VEIC!C19</f>
        <v>195.8323719914689</v>
      </c>
      <c r="M19" s="623">
        <f>IND_MOT!I19</f>
        <v>0.17095813183853051</v>
      </c>
      <c r="N19" s="623">
        <f>PIB!C19</f>
        <v>3701.239331431866</v>
      </c>
      <c r="O19" s="623">
        <f>IDH!C19</f>
        <v>0.70299999999999996</v>
      </c>
      <c r="P19" s="21" t="s">
        <v>27</v>
      </c>
      <c r="Q19" s="563">
        <f>INDICE!D19</f>
        <v>120.23241906125917</v>
      </c>
      <c r="R19" s="631">
        <f>MOR!BB19</f>
        <v>1085</v>
      </c>
      <c r="S19" s="623" t="e">
        <f>MOR_HAB!D19</f>
        <v>#DIV/0!</v>
      </c>
      <c r="T19" s="623">
        <f>MOR_VEIC!D19</f>
        <v>176.08605333541067</v>
      </c>
      <c r="U19" s="623" t="e">
        <f>IND_MOT!J19</f>
        <v>#DIV/0!</v>
      </c>
      <c r="V19" s="623">
        <f>PIB!D19</f>
        <v>4211.8719623238612</v>
      </c>
      <c r="W19" s="623">
        <f>IDH!D19</f>
        <v>0.72099999999999997</v>
      </c>
      <c r="X19" s="21" t="s">
        <v>27</v>
      </c>
      <c r="Y19" s="563">
        <f>INDICE!E19</f>
        <v>108.73951542278395</v>
      </c>
      <c r="Z19" s="631">
        <f>MOR!BC19</f>
        <v>1195</v>
      </c>
      <c r="AA19" s="623" t="e">
        <f>MOR_HAB!E19</f>
        <v>#DIV/0!</v>
      </c>
      <c r="AB19" s="623">
        <f>MOR_VEIC!E19</f>
        <v>169.37645369644622</v>
      </c>
      <c r="AC19" s="623" t="e">
        <f>IND_MOT!K19</f>
        <v>#DIV/0!</v>
      </c>
      <c r="AD19" s="623">
        <f>PIB!E19</f>
        <v>4661.5573494030541</v>
      </c>
      <c r="AE19" s="623">
        <f>IDH!E19</f>
        <v>0.74</v>
      </c>
      <c r="AF19" s="21" t="s">
        <v>27</v>
      </c>
      <c r="AG19" s="563" t="e">
        <f>INDICE!F19</f>
        <v>#DIV/0!</v>
      </c>
      <c r="AH19" s="631">
        <f>MOR!BD19</f>
        <v>1194</v>
      </c>
      <c r="AI19" s="623" t="e">
        <f>MOR_HAB!F19</f>
        <v>#DIV/0!</v>
      </c>
      <c r="AJ19" s="623">
        <f>MOR_VEIC!F19</f>
        <v>139.57647773965596</v>
      </c>
      <c r="AK19" s="623" t="e">
        <f>IND_MOT!L19</f>
        <v>#DIV/0!</v>
      </c>
      <c r="AL19" s="623">
        <f>PIB!F19</f>
        <v>5159.2539175346246</v>
      </c>
      <c r="AM19" s="623">
        <f>IDH!F19</f>
        <v>0.75950069348127602</v>
      </c>
      <c r="AN19" s="21" t="s">
        <v>27</v>
      </c>
    </row>
    <row r="20" spans="1:40">
      <c r="A20" s="563">
        <f>INDICE!B20</f>
        <v>56.706595269995972</v>
      </c>
      <c r="B20" s="631">
        <f>MOR!AZ20</f>
        <v>501</v>
      </c>
      <c r="C20" s="623">
        <f>MOR_HAB!B20</f>
        <v>15.967384465934016</v>
      </c>
      <c r="D20" s="623">
        <f>MOR_VEIC!B20</f>
        <v>82.317103226633279</v>
      </c>
      <c r="E20" s="623">
        <f>IND_MOT!H20</f>
        <v>0.19397408120610166</v>
      </c>
      <c r="F20" s="623">
        <f>PIB!B20</f>
        <v>5259.9229536491393</v>
      </c>
      <c r="G20" s="623">
        <f>IDH!B20</f>
        <v>0.70199999999999996</v>
      </c>
      <c r="H20" s="21" t="s">
        <v>28</v>
      </c>
      <c r="I20" s="563">
        <f>INDICE!C20</f>
        <v>65.515785446387611</v>
      </c>
      <c r="J20" s="631">
        <f>MOR!BA20</f>
        <v>649</v>
      </c>
      <c r="K20" s="623">
        <f>MOR_HAB!C20</f>
        <v>20.485936515061265</v>
      </c>
      <c r="L20" s="623">
        <f>MOR_VEIC!C20</f>
        <v>95.527994559761666</v>
      </c>
      <c r="M20" s="623">
        <f>IND_MOT!I20</f>
        <v>0.21444956119376507</v>
      </c>
      <c r="N20" s="623">
        <f>PIB!C20</f>
        <v>5950.3823597379833</v>
      </c>
      <c r="O20" s="623">
        <f>IDH!C20</f>
        <v>0.73799999999999999</v>
      </c>
      <c r="P20" s="21" t="s">
        <v>28</v>
      </c>
      <c r="Q20" s="563">
        <f>INDICE!D20</f>
        <v>53.289581884030049</v>
      </c>
      <c r="R20" s="631">
        <f>MOR!BB20</f>
        <v>590</v>
      </c>
      <c r="S20" s="623" t="e">
        <f>MOR_HAB!D20</f>
        <v>#DIV/0!</v>
      </c>
      <c r="T20" s="623">
        <f>MOR_VEIC!D20</f>
        <v>78.060500857342447</v>
      </c>
      <c r="U20" s="623" t="e">
        <f>IND_MOT!J20</f>
        <v>#DIV/0!</v>
      </c>
      <c r="V20" s="623">
        <f>PIB!D20</f>
        <v>6753.0361733778263</v>
      </c>
      <c r="W20" s="623">
        <f>IDH!D20</f>
        <v>0.74199999999999999</v>
      </c>
      <c r="X20" s="21" t="s">
        <v>28</v>
      </c>
      <c r="Y20" s="563">
        <f>INDICE!E20</f>
        <v>47.759013413159124</v>
      </c>
      <c r="Z20" s="631">
        <f>MOR!BC20</f>
        <v>600</v>
      </c>
      <c r="AA20" s="623" t="e">
        <f>MOR_HAB!E20</f>
        <v>#DIV/0!</v>
      </c>
      <c r="AB20" s="623">
        <f>MOR_VEIC!E20</f>
        <v>71.993462993560186</v>
      </c>
      <c r="AC20" s="623" t="e">
        <f>IND_MOT!K20</f>
        <v>#DIV/0!</v>
      </c>
      <c r="AD20" s="623">
        <f>PIB!E20</f>
        <v>7607.0142261905885</v>
      </c>
      <c r="AE20" s="623">
        <f>IDH!E20</f>
        <v>0.753</v>
      </c>
      <c r="AF20" s="21" t="s">
        <v>28</v>
      </c>
      <c r="AG20" s="563" t="e">
        <f>INDICE!F20</f>
        <v>#DIV/0!</v>
      </c>
      <c r="AH20" s="631">
        <f>MOR!BD20</f>
        <v>602</v>
      </c>
      <c r="AI20" s="623" t="e">
        <f>MOR_HAB!F20</f>
        <v>#DIV/0!</v>
      </c>
      <c r="AJ20" s="623">
        <f>MOR_VEIC!F20</f>
        <v>62.235151695597743</v>
      </c>
      <c r="AK20" s="623" t="e">
        <f>IND_MOT!L20</f>
        <v>#DIV/0!</v>
      </c>
      <c r="AL20" s="623">
        <f>PIB!F20</f>
        <v>8568.9849649541356</v>
      </c>
      <c r="AM20" s="623">
        <f>IDH!F20</f>
        <v>0.76416307277628026</v>
      </c>
      <c r="AN20" s="21" t="s">
        <v>28</v>
      </c>
    </row>
    <row r="21" spans="1:40">
      <c r="A21" s="563">
        <f>INDICE!B21</f>
        <v>98.789356793334775</v>
      </c>
      <c r="B21" s="631">
        <f>MOR!AZ21</f>
        <v>534</v>
      </c>
      <c r="C21" s="623">
        <f>MOR_HAB!B21</f>
        <v>26.438850256590527</v>
      </c>
      <c r="D21" s="623">
        <f>MOR_VEIC!B21</f>
        <v>155.60211315828582</v>
      </c>
      <c r="E21" s="623">
        <f>IND_MOT!H21</f>
        <v>0.16991318253946641</v>
      </c>
      <c r="F21" s="623">
        <f>PIB!B21</f>
        <v>6289.3902761838071</v>
      </c>
      <c r="G21" s="623">
        <f>IDH!B21</f>
        <v>0.69299999999999995</v>
      </c>
      <c r="H21" s="21" t="s">
        <v>29</v>
      </c>
      <c r="I21" s="563">
        <f>INDICE!C21</f>
        <v>101.86185844929328</v>
      </c>
      <c r="J21" s="631">
        <f>MOR!BA21</f>
        <v>627</v>
      </c>
      <c r="K21" s="623">
        <f>MOR_HAB!C21</f>
        <v>30.318899699567268</v>
      </c>
      <c r="L21" s="623">
        <f>MOR_VEIC!C21</f>
        <v>160.96238563198915</v>
      </c>
      <c r="M21" s="623">
        <f>IND_MOT!I21</f>
        <v>0.18836015371246947</v>
      </c>
      <c r="N21" s="623">
        <f>PIB!C21</f>
        <v>6823.6091110891757</v>
      </c>
      <c r="O21" s="623">
        <f>IDH!C21</f>
        <v>0.74199999999999999</v>
      </c>
      <c r="P21" s="21" t="s">
        <v>29</v>
      </c>
      <c r="Q21" s="563">
        <f>INDICE!D21</f>
        <v>88.055675302305247</v>
      </c>
      <c r="R21" s="631">
        <f>MOR!BB21</f>
        <v>590</v>
      </c>
      <c r="S21" s="623" t="e">
        <f>MOR_HAB!D21</f>
        <v>#DIV/0!</v>
      </c>
      <c r="T21" s="623">
        <f>MOR_VEIC!D21</f>
        <v>133.48204892682696</v>
      </c>
      <c r="U21" s="623" t="e">
        <f>IND_MOT!J21</f>
        <v>#DIV/0!</v>
      </c>
      <c r="V21" s="623">
        <f>PIB!D21</f>
        <v>7559.3452813064605</v>
      </c>
      <c r="W21" s="623">
        <f>IDH!D21</f>
        <v>0.75600000000000001</v>
      </c>
      <c r="X21" s="21" t="s">
        <v>29</v>
      </c>
      <c r="Y21" s="563">
        <f>INDICE!E21</f>
        <v>87.607658078562764</v>
      </c>
      <c r="Z21" s="631">
        <f>MOR!BC21</f>
        <v>650</v>
      </c>
      <c r="AA21" s="623" t="e">
        <f>MOR_HAB!E21</f>
        <v>#DIV/0!</v>
      </c>
      <c r="AB21" s="623">
        <f>MOR_VEIC!E21</f>
        <v>132.26382767447635</v>
      </c>
      <c r="AC21" s="623" t="e">
        <f>IND_MOT!K21</f>
        <v>#DIV/0!</v>
      </c>
      <c r="AD21" s="623">
        <f>PIB!E21</f>
        <v>8711.6965033609304</v>
      </c>
      <c r="AE21" s="623">
        <f>IDH!E21</f>
        <v>0.77</v>
      </c>
      <c r="AF21" s="21" t="s">
        <v>29</v>
      </c>
      <c r="AG21" s="563" t="e">
        <f>INDICE!F21</f>
        <v>#DIV/0!</v>
      </c>
      <c r="AH21" s="631">
        <f>MOR!BD21</f>
        <v>664</v>
      </c>
      <c r="AI21" s="623" t="e">
        <f>MOR_HAB!F21</f>
        <v>#DIV/0!</v>
      </c>
      <c r="AJ21" s="623">
        <f>MOR_VEIC!F21</f>
        <v>115.37592743827214</v>
      </c>
      <c r="AK21" s="623" t="e">
        <f>IND_MOT!L21</f>
        <v>#DIV/0!</v>
      </c>
      <c r="AL21" s="623">
        <f>PIB!F21</f>
        <v>10039.712851104821</v>
      </c>
      <c r="AM21" s="623">
        <f>IDH!F21</f>
        <v>0.78425925925925932</v>
      </c>
      <c r="AN21" s="21" t="s">
        <v>29</v>
      </c>
    </row>
    <row r="22" spans="1:40">
      <c r="A22" s="563">
        <f>INDICE!B22</f>
        <v>40.898339298684796</v>
      </c>
      <c r="B22" s="631">
        <f>MOR!AZ22</f>
        <v>13864</v>
      </c>
      <c r="C22" s="623">
        <f>MOR_HAB!B22</f>
        <v>17.133894651289712</v>
      </c>
      <c r="D22" s="623">
        <f>MOR_VEIC!B22</f>
        <v>47.691245281915492</v>
      </c>
      <c r="E22" s="623">
        <f>IND_MOT!H22</f>
        <v>0.35926708455622736</v>
      </c>
      <c r="F22" s="623">
        <f>PIB!B22</f>
        <v>14009.41736712557</v>
      </c>
      <c r="G22" s="623">
        <f>IDH!B22</f>
        <v>0</v>
      </c>
      <c r="H22" s="351" t="s">
        <v>30</v>
      </c>
      <c r="I22" s="563">
        <f>INDICE!C22</f>
        <v>41.353092615795873</v>
      </c>
      <c r="J22" s="631">
        <f>MOR!BA22</f>
        <v>15287</v>
      </c>
      <c r="K22" s="623">
        <f>MOR_HAB!C22</f>
        <v>19.022101947864734</v>
      </c>
      <c r="L22" s="623">
        <f>MOR_VEIC!C22</f>
        <v>48.799460489355766</v>
      </c>
      <c r="M22" s="623">
        <f>IND_MOT!I22</f>
        <v>0.38980148053099622</v>
      </c>
      <c r="N22" s="623">
        <f>PIB!C22</f>
        <v>15468.742291554841</v>
      </c>
      <c r="O22" s="623">
        <f>IDH!C22</f>
        <v>0</v>
      </c>
      <c r="P22" s="351" t="s">
        <v>30</v>
      </c>
      <c r="Q22" s="563">
        <f>INDICE!D22</f>
        <v>39.093107733042459</v>
      </c>
      <c r="R22" s="631">
        <f>MOR!BB22</f>
        <v>15608</v>
      </c>
      <c r="S22" s="623" t="e">
        <f>MOR_HAB!D22</f>
        <v>#DIV/0!</v>
      </c>
      <c r="T22" s="623">
        <f>MOR_VEIC!D22</f>
        <v>46.154163244211858</v>
      </c>
      <c r="U22" s="623" t="e">
        <f>IND_MOT!J22</f>
        <v>#DIV/0!</v>
      </c>
      <c r="V22" s="623">
        <f>PIB!D22</f>
        <v>16911.698664654799</v>
      </c>
      <c r="W22" s="623">
        <f>IDH!D22</f>
        <v>0</v>
      </c>
      <c r="X22" s="351" t="s">
        <v>30</v>
      </c>
      <c r="Y22" s="563">
        <f>INDICE!E22</f>
        <v>36.901024750916115</v>
      </c>
      <c r="Z22" s="631">
        <f>MOR!BC22</f>
        <v>15443</v>
      </c>
      <c r="AA22" s="623" t="e">
        <f>MOR_HAB!E22</f>
        <v>#DIV/0!</v>
      </c>
      <c r="AB22" s="623">
        <f>MOR_VEIC!E22</f>
        <v>42.599514332986303</v>
      </c>
      <c r="AC22" s="623" t="e">
        <f>IND_MOT!K22</f>
        <v>#DIV/0!</v>
      </c>
      <c r="AD22" s="623">
        <f>PIB!E22</f>
        <v>19277.263359462017</v>
      </c>
      <c r="AE22" s="623">
        <f>IDH!E22</f>
        <v>0</v>
      </c>
      <c r="AF22" s="351" t="s">
        <v>30</v>
      </c>
      <c r="AG22" s="563" t="e">
        <f>INDICE!F22</f>
        <v>#DIV/0!</v>
      </c>
      <c r="AH22" s="631">
        <f>MOR!BD22</f>
        <v>14348</v>
      </c>
      <c r="AI22" s="623" t="e">
        <f>MOR_HAB!F22</f>
        <v>#DIV/0!</v>
      </c>
      <c r="AJ22" s="623">
        <f>MOR_VEIC!F22</f>
        <v>35.341246360237108</v>
      </c>
      <c r="AK22" s="623" t="e">
        <f>IND_MOT!L22</f>
        <v>#DIV/0!</v>
      </c>
      <c r="AL22" s="623">
        <f>PIB!F22</f>
        <v>21973.717129120934</v>
      </c>
      <c r="AM22" s="623">
        <f>IDH!F22</f>
        <v>0</v>
      </c>
      <c r="AN22" s="351" t="s">
        <v>30</v>
      </c>
    </row>
    <row r="23" spans="1:40">
      <c r="A23" s="563">
        <f>INDICE!B23</f>
        <v>77.945784401925593</v>
      </c>
      <c r="B23" s="631">
        <f>MOR!AZ23</f>
        <v>958</v>
      </c>
      <c r="C23" s="623">
        <f>MOR_HAB!B23</f>
        <v>27.472732309481763</v>
      </c>
      <c r="D23" s="623">
        <f>MOR_VEIC!B23</f>
        <v>89.333171700593994</v>
      </c>
      <c r="E23" s="623">
        <f>IND_MOT!H23</f>
        <v>0.3075311419766717</v>
      </c>
      <c r="F23" s="623">
        <f>PIB!B23</f>
        <v>11997.944357415641</v>
      </c>
      <c r="G23" s="623">
        <f>IDH!B23</f>
        <v>0.78700000000000003</v>
      </c>
      <c r="H23" s="21" t="s">
        <v>31</v>
      </c>
      <c r="I23" s="563">
        <f>INDICE!C23</f>
        <v>82.510033291374668</v>
      </c>
      <c r="J23" s="631">
        <f>MOR!BA23</f>
        <v>1143</v>
      </c>
      <c r="K23" s="623">
        <f>MOR_HAB!C23</f>
        <v>32.518224999943101</v>
      </c>
      <c r="L23" s="623">
        <f>MOR_VEIC!C23</f>
        <v>97.422107062037341</v>
      </c>
      <c r="M23" s="623">
        <f>IND_MOT!I23</f>
        <v>0.33378691942308175</v>
      </c>
      <c r="N23" s="623">
        <f>PIB!C23</f>
        <v>13854.906640322049</v>
      </c>
      <c r="O23" s="623">
        <f>IDH!C23</f>
        <v>0.80200000000000005</v>
      </c>
      <c r="P23" s="21" t="s">
        <v>31</v>
      </c>
      <c r="Q23" s="563">
        <f>INDICE!D23</f>
        <v>75.588369172687365</v>
      </c>
      <c r="R23" s="631">
        <f>MOR!BB23</f>
        <v>1154</v>
      </c>
      <c r="S23" s="623" t="e">
        <f>MOR_HAB!D23</f>
        <v>#DIV/0!</v>
      </c>
      <c r="T23" s="623">
        <f>MOR_VEIC!D23</f>
        <v>90.652003142183815</v>
      </c>
      <c r="U23" s="623" t="e">
        <f>IND_MOT!J23</f>
        <v>#DIV/0!</v>
      </c>
      <c r="V23" s="623">
        <f>PIB!D23</f>
        <v>15234.758093902639</v>
      </c>
      <c r="W23" s="623">
        <f>IDH!D23</f>
        <v>0.80800000000000005</v>
      </c>
      <c r="X23" s="21" t="s">
        <v>31</v>
      </c>
      <c r="Y23" s="563">
        <f>INDICE!E23</f>
        <v>69.360389861280126</v>
      </c>
      <c r="Z23" s="631">
        <f>MOR!BC23</f>
        <v>1182</v>
      </c>
      <c r="AA23" s="623" t="e">
        <f>MOR_HAB!E23</f>
        <v>#DIV/0!</v>
      </c>
      <c r="AB23" s="623">
        <f>MOR_VEIC!E23</f>
        <v>85.749543140653188</v>
      </c>
      <c r="AC23" s="623" t="e">
        <f>IND_MOT!K23</f>
        <v>#DIV/0!</v>
      </c>
      <c r="AD23" s="623">
        <f>PIB!E23</f>
        <v>18002.916538759306</v>
      </c>
      <c r="AE23" s="623">
        <f>IDH!E23</f>
        <v>0.82099999999999995</v>
      </c>
      <c r="AF23" s="21" t="s">
        <v>31</v>
      </c>
      <c r="AG23" s="563" t="e">
        <f>INDICE!F23</f>
        <v>#DIV/0!</v>
      </c>
      <c r="AH23" s="631">
        <f>MOR!BD23</f>
        <v>1112</v>
      </c>
      <c r="AI23" s="623" t="e">
        <f>MOR_HAB!F23</f>
        <v>#DIV/0!</v>
      </c>
      <c r="AJ23" s="623">
        <f>MOR_VEIC!F23</f>
        <v>70.154364838026694</v>
      </c>
      <c r="AK23" s="623" t="e">
        <f>IND_MOT!L23</f>
        <v>#DIV/0!</v>
      </c>
      <c r="AL23" s="623">
        <f>PIB!F23</f>
        <v>21274.049899830632</v>
      </c>
      <c r="AM23" s="623">
        <f>IDH!F23</f>
        <v>0.83420915841584142</v>
      </c>
      <c r="AN23" s="21" t="s">
        <v>31</v>
      </c>
    </row>
    <row r="24" spans="1:40">
      <c r="A24" s="563">
        <f>INDICE!B24</f>
        <v>50.66836893725295</v>
      </c>
      <c r="B24" s="631">
        <f>MOR!AZ24</f>
        <v>3863</v>
      </c>
      <c r="C24" s="623">
        <f>MOR_HAB!B24</f>
        <v>19.282154777551916</v>
      </c>
      <c r="D24" s="623">
        <f>MOR_VEIC!B24</f>
        <v>64.994159274555486</v>
      </c>
      <c r="E24" s="623">
        <f>IND_MOT!H24</f>
        <v>0.29667519347543392</v>
      </c>
      <c r="F24" s="623">
        <f>PIB!B24</f>
        <v>9335.9708461572063</v>
      </c>
      <c r="G24" s="623">
        <f>IDH!B24</f>
        <v>0.76800000000000002</v>
      </c>
      <c r="H24" s="21" t="s">
        <v>32</v>
      </c>
      <c r="I24" s="563">
        <f>INDICE!C24</f>
        <v>49.921706065738178</v>
      </c>
      <c r="J24" s="631">
        <f>MOR!BA24</f>
        <v>4286</v>
      </c>
      <c r="K24" s="623">
        <f>MOR_HAB!C24</f>
        <v>21.870326212805519</v>
      </c>
      <c r="L24" s="623">
        <f>MOR_VEIC!C24</f>
        <v>65.93655445042512</v>
      </c>
      <c r="M24" s="623">
        <f>IND_MOT!I24</f>
        <v>0.33168742884872582</v>
      </c>
      <c r="N24" s="623">
        <f>PIB!C24</f>
        <v>10013.762537453182</v>
      </c>
      <c r="O24" s="623">
        <f>IDH!C24</f>
        <v>0.8</v>
      </c>
      <c r="P24" s="21" t="s">
        <v>32</v>
      </c>
      <c r="Q24" s="563">
        <f>INDICE!D24</f>
        <v>49.052265221226712</v>
      </c>
      <c r="R24" s="631">
        <f>MOR!BB24</f>
        <v>4489</v>
      </c>
      <c r="S24" s="623" t="e">
        <f>MOR_HAB!D24</f>
        <v>#DIV/0!</v>
      </c>
      <c r="T24" s="623">
        <f>MOR_VEIC!D24</f>
        <v>62.793149517776868</v>
      </c>
      <c r="U24" s="623" t="e">
        <f>IND_MOT!J24</f>
        <v>#DIV/0!</v>
      </c>
      <c r="V24" s="623">
        <f>PIB!D24</f>
        <v>11024.695937721497</v>
      </c>
      <c r="W24" s="623">
        <f>IDH!D24</f>
        <v>0.81299999999999994</v>
      </c>
      <c r="X24" s="21" t="s">
        <v>32</v>
      </c>
      <c r="Y24" s="563">
        <f>INDICE!E24</f>
        <v>45.223968131741927</v>
      </c>
      <c r="Z24" s="631">
        <f>MOR!BC24</f>
        <v>4394</v>
      </c>
      <c r="AA24" s="623" t="e">
        <f>MOR_HAB!E24</f>
        <v>#DIV/0!</v>
      </c>
      <c r="AB24" s="623">
        <f>MOR_VEIC!E24</f>
        <v>56.555320215862672</v>
      </c>
      <c r="AC24" s="623" t="e">
        <f>IND_MOT!K24</f>
        <v>#DIV/0!</v>
      </c>
      <c r="AD24" s="623">
        <f>PIB!E24</f>
        <v>12519.399202946424</v>
      </c>
      <c r="AE24" s="623">
        <f>IDH!E24</f>
        <v>0.82499999999999996</v>
      </c>
      <c r="AF24" s="21" t="s">
        <v>32</v>
      </c>
      <c r="AG24" s="563" t="e">
        <f>INDICE!F24</f>
        <v>#DIV/0!</v>
      </c>
      <c r="AH24" s="631">
        <f>MOR!BD24</f>
        <v>4158</v>
      </c>
      <c r="AI24" s="623" t="e">
        <f>MOR_HAB!F24</f>
        <v>#DIV/0!</v>
      </c>
      <c r="AJ24" s="623">
        <f>MOR_VEIC!F24</f>
        <v>46.799749185759772</v>
      </c>
      <c r="AK24" s="623" t="e">
        <f>IND_MOT!L24</f>
        <v>#DIV/0!</v>
      </c>
      <c r="AL24" s="623">
        <f>PIB!F24</f>
        <v>14216.750946069944</v>
      </c>
      <c r="AM24" s="623">
        <f>IDH!F24</f>
        <v>0.83717712177121772</v>
      </c>
      <c r="AN24" s="21" t="s">
        <v>32</v>
      </c>
    </row>
    <row r="25" spans="1:40">
      <c r="A25" s="563">
        <f>INDICE!B25</f>
        <v>44.980154170670126</v>
      </c>
      <c r="B25" s="631">
        <f>MOR!AZ25</f>
        <v>2284</v>
      </c>
      <c r="C25" s="623">
        <f>MOR_HAB!B25</f>
        <v>14.265739751683688</v>
      </c>
      <c r="D25" s="623">
        <f>MOR_VEIC!B25</f>
        <v>57.550838884108387</v>
      </c>
      <c r="E25" s="623">
        <f>IND_MOT!H25</f>
        <v>0.2478806569685453</v>
      </c>
      <c r="F25" s="623">
        <f>PIB!B25</f>
        <v>14663.819164048769</v>
      </c>
      <c r="G25" s="623">
        <f>IDH!B25</f>
        <v>0.80200000000000005</v>
      </c>
      <c r="H25" s="21" t="s">
        <v>33</v>
      </c>
      <c r="I25" s="563">
        <f>INDICE!C25</f>
        <v>52.428711649715972</v>
      </c>
      <c r="J25" s="631">
        <f>MOR!BA25</f>
        <v>2829</v>
      </c>
      <c r="K25" s="623">
        <f>MOR_HAB!C25</f>
        <v>17.692386251371097</v>
      </c>
      <c r="L25" s="623">
        <f>MOR_VEIC!C25</f>
        <v>66.288136180997313</v>
      </c>
      <c r="M25" s="623">
        <f>IND_MOT!I25</f>
        <v>0.26690124765407025</v>
      </c>
      <c r="N25" s="623">
        <f>PIB!C25</f>
        <v>16057.400564323567</v>
      </c>
      <c r="O25" s="623">
        <f>IDH!C25</f>
        <v>0.83199999999999996</v>
      </c>
      <c r="P25" s="21" t="s">
        <v>33</v>
      </c>
      <c r="Q25" s="563">
        <f>INDICE!D25</f>
        <v>45.881403193876267</v>
      </c>
      <c r="R25" s="631">
        <f>MOR!BB25</f>
        <v>2704</v>
      </c>
      <c r="S25" s="623" t="e">
        <f>MOR_HAB!D25</f>
        <v>#DIV/0!</v>
      </c>
      <c r="T25" s="623">
        <f>MOR_VEIC!D25</f>
        <v>58.693993524993246</v>
      </c>
      <c r="U25" s="623" t="e">
        <f>IND_MOT!J25</f>
        <v>#DIV/0!</v>
      </c>
      <c r="V25" s="623">
        <f>PIB!D25</f>
        <v>17692.589854586546</v>
      </c>
      <c r="W25" s="623">
        <f>IDH!D25</f>
        <v>0.84599999999999997</v>
      </c>
      <c r="X25" s="21" t="s">
        <v>33</v>
      </c>
      <c r="Y25" s="563">
        <f>INDICE!E25</f>
        <v>48.681519992994154</v>
      </c>
      <c r="Z25" s="631">
        <f>MOR!BC25</f>
        <v>2992</v>
      </c>
      <c r="AA25" s="623" t="e">
        <f>MOR_HAB!E25</f>
        <v>#DIV/0!</v>
      </c>
      <c r="AB25" s="623">
        <f>MOR_VEIC!E25</f>
        <v>60.355313668098219</v>
      </c>
      <c r="AC25" s="623" t="e">
        <f>IND_MOT!K25</f>
        <v>#DIV/0!</v>
      </c>
      <c r="AD25" s="623">
        <f>PIB!E25</f>
        <v>19245.079344487516</v>
      </c>
      <c r="AE25" s="623">
        <f>IDH!E25</f>
        <v>0.85199999999999998</v>
      </c>
      <c r="AF25" s="21" t="s">
        <v>33</v>
      </c>
      <c r="AG25" s="563" t="e">
        <f>INDICE!F25</f>
        <v>#DIV/0!</v>
      </c>
      <c r="AH25" s="631">
        <f>MOR!BD25</f>
        <v>2619</v>
      </c>
      <c r="AI25" s="623" t="e">
        <f>MOR_HAB!F25</f>
        <v>#DIV/0!</v>
      </c>
      <c r="AJ25" s="623">
        <f>MOR_VEIC!F25</f>
        <v>47.032296228401329</v>
      </c>
      <c r="AK25" s="623" t="e">
        <f>IND_MOT!L25</f>
        <v>#DIV/0!</v>
      </c>
      <c r="AL25" s="623">
        <f>PIB!F25</f>
        <v>20933.796692269236</v>
      </c>
      <c r="AM25" s="623">
        <f>IDH!F25</f>
        <v>0.85804255319148925</v>
      </c>
      <c r="AN25" s="21" t="s">
        <v>33</v>
      </c>
    </row>
    <row r="26" spans="1:40">
      <c r="A26" s="563">
        <f>INDICE!B26</f>
        <v>33.871336088244782</v>
      </c>
      <c r="B26" s="631">
        <f>MOR!AZ26</f>
        <v>6759</v>
      </c>
      <c r="C26" s="623">
        <f>MOR_HAB!B26</f>
        <v>16.33236387056871</v>
      </c>
      <c r="D26" s="623">
        <f>MOR_VEIC!B26</f>
        <v>37.372152156578871</v>
      </c>
      <c r="E26" s="623">
        <f>IND_MOT!H26</f>
        <v>0.43701962365294544</v>
      </c>
      <c r="F26" s="623">
        <f>PIB!B26</f>
        <v>16157.786321470641</v>
      </c>
      <c r="G26" s="623">
        <f>IDH!B26</f>
        <v>0.81399999999999995</v>
      </c>
      <c r="H26" s="21" t="s">
        <v>34</v>
      </c>
      <c r="I26" s="563">
        <f>INDICE!C26</f>
        <v>32.553852908371979</v>
      </c>
      <c r="J26" s="631">
        <f>MOR!BA26</f>
        <v>7029</v>
      </c>
      <c r="K26" s="623">
        <f>MOR_HAB!C26</f>
        <v>17.034962193847207</v>
      </c>
      <c r="L26" s="623">
        <f>MOR_VEIC!C26</f>
        <v>36.259992970854114</v>
      </c>
      <c r="M26" s="623">
        <f>IND_MOT!I26</f>
        <v>0.46980048251912121</v>
      </c>
      <c r="N26" s="623">
        <f>PIB!C26</f>
        <v>17975.613328189149</v>
      </c>
      <c r="O26" s="623">
        <f>IDH!C26</f>
        <v>0.83299999999999996</v>
      </c>
      <c r="P26" s="21" t="s">
        <v>34</v>
      </c>
      <c r="Q26" s="563">
        <f>INDICE!D26</f>
        <v>31.126948388559306</v>
      </c>
      <c r="R26" s="631">
        <f>MOR!BB26</f>
        <v>7261</v>
      </c>
      <c r="S26" s="623" t="e">
        <f>MOR_HAB!D26</f>
        <v>#DIV/0!</v>
      </c>
      <c r="T26" s="623">
        <f>MOR_VEIC!D26</f>
        <v>34.928322857963238</v>
      </c>
      <c r="U26" s="623" t="e">
        <f>IND_MOT!J26</f>
        <v>#DIV/0!</v>
      </c>
      <c r="V26" s="623">
        <f>PIB!D26</f>
        <v>19550.365699760492</v>
      </c>
      <c r="W26" s="623">
        <f>IDH!D26</f>
        <v>0.84199999999999997</v>
      </c>
      <c r="X26" s="21" t="s">
        <v>34</v>
      </c>
      <c r="Y26" s="563">
        <f>INDICE!E26</f>
        <v>28.340955767166871</v>
      </c>
      <c r="Z26" s="631">
        <f>MOR!BC26</f>
        <v>6875</v>
      </c>
      <c r="AA26" s="623" t="e">
        <f>MOR_HAB!E26</f>
        <v>#DIV/0!</v>
      </c>
      <c r="AB26" s="623">
        <f>MOR_VEIC!E26</f>
        <v>31.043336045580197</v>
      </c>
      <c r="AC26" s="623" t="e">
        <f>IND_MOT!K26</f>
        <v>#DIV/0!</v>
      </c>
      <c r="AD26" s="623">
        <f>PIB!E26</f>
        <v>22667.251545019142</v>
      </c>
      <c r="AE26" s="623">
        <f>IDH!E26</f>
        <v>0.85699999999999998</v>
      </c>
      <c r="AF26" s="21" t="s">
        <v>34</v>
      </c>
      <c r="AG26" s="563" t="e">
        <f>INDICE!F26</f>
        <v>#DIV/0!</v>
      </c>
      <c r="AH26" s="631">
        <f>MOR!BD26</f>
        <v>6459</v>
      </c>
      <c r="AI26" s="623" t="e">
        <f>MOR_HAB!F26</f>
        <v>#DIV/0!</v>
      </c>
      <c r="AJ26" s="623">
        <f>MOR_VEIC!F26</f>
        <v>26.298643634934272</v>
      </c>
      <c r="AK26" s="623" t="e">
        <f>IND_MOT!L26</f>
        <v>#DIV/0!</v>
      </c>
      <c r="AL26" s="623">
        <f>PIB!F26</f>
        <v>26281.057883815811</v>
      </c>
      <c r="AM26" s="623">
        <f>IDH!F26</f>
        <v>0.87226722090261277</v>
      </c>
      <c r="AN26" s="21" t="s">
        <v>34</v>
      </c>
    </row>
    <row r="27" spans="1:40">
      <c r="A27" s="563">
        <f>INDICE!B27</f>
        <v>54.825145095595126</v>
      </c>
      <c r="B27" s="631">
        <f>MOR!AZ27</f>
        <v>6870</v>
      </c>
      <c r="C27" s="623">
        <f>MOR_HAB!B27</f>
        <v>24.784446565653152</v>
      </c>
      <c r="D27" s="623">
        <f>MOR_VEIC!B27</f>
        <v>59.350041881950951</v>
      </c>
      <c r="E27" s="623">
        <f>IND_MOT!H27</f>
        <v>0.417597794032735</v>
      </c>
      <c r="F27" s="623">
        <f>PIB!B27</f>
        <v>12676.907478806444</v>
      </c>
      <c r="G27" s="623">
        <f>IDH!B27</f>
        <v>0</v>
      </c>
      <c r="H27" s="351" t="s">
        <v>35</v>
      </c>
      <c r="I27" s="563">
        <f>INDICE!C27</f>
        <v>52.596385921256946</v>
      </c>
      <c r="J27" s="631">
        <f>MOR!BA27</f>
        <v>7404</v>
      </c>
      <c r="K27" s="623">
        <f>MOR_HAB!C27</f>
        <v>27.034832102701984</v>
      </c>
      <c r="L27" s="623">
        <f>MOR_VEIC!C27</f>
        <v>59.551606324953262</v>
      </c>
      <c r="M27" s="623">
        <f>IND_MOT!I27</f>
        <v>0.45397318008824</v>
      </c>
      <c r="N27" s="623">
        <f>PIB!C27</f>
        <v>13205.967471426178</v>
      </c>
      <c r="O27" s="623">
        <f>IDH!C27</f>
        <v>0</v>
      </c>
      <c r="P27" s="351" t="s">
        <v>35</v>
      </c>
      <c r="Q27" s="563">
        <f>INDICE!D27</f>
        <v>49.002183432357697</v>
      </c>
      <c r="R27" s="631">
        <f>MOR!BB27</f>
        <v>7323</v>
      </c>
      <c r="S27" s="623" t="e">
        <f>MOR_HAB!D27</f>
        <v>#DIV/0!</v>
      </c>
      <c r="T27" s="623">
        <f>MOR_VEIC!D27</f>
        <v>54.671865035524391</v>
      </c>
      <c r="U27" s="623" t="e">
        <f>IND_MOT!J27</f>
        <v>#DIV/0!</v>
      </c>
      <c r="V27" s="623">
        <f>PIB!D27</f>
        <v>14156.148666848187</v>
      </c>
      <c r="W27" s="623">
        <f>IDH!D27</f>
        <v>0</v>
      </c>
      <c r="X27" s="351" t="s">
        <v>35</v>
      </c>
      <c r="Y27" s="563">
        <f>INDICE!E27</f>
        <v>46.486228269334326</v>
      </c>
      <c r="Z27" s="631">
        <f>MOR!BC27</f>
        <v>7534</v>
      </c>
      <c r="AA27" s="623" t="e">
        <f>MOR_HAB!E27</f>
        <v>#DIV/0!</v>
      </c>
      <c r="AB27" s="623">
        <f>MOR_VEIC!E27</f>
        <v>52.452663281541376</v>
      </c>
      <c r="AC27" s="623" t="e">
        <f>IND_MOT!K27</f>
        <v>#DIV/0!</v>
      </c>
      <c r="AD27" s="623">
        <f>PIB!E27</f>
        <v>16563.997194658426</v>
      </c>
      <c r="AE27" s="623">
        <f>IDH!E27</f>
        <v>0</v>
      </c>
      <c r="AF27" s="351" t="s">
        <v>35</v>
      </c>
      <c r="AG27" s="563" t="e">
        <f>INDICE!F27</f>
        <v>#DIV/0!</v>
      </c>
      <c r="AH27" s="631">
        <f>MOR!BD27</f>
        <v>6770</v>
      </c>
      <c r="AI27" s="623" t="e">
        <f>MOR_HAB!F27</f>
        <v>#DIV/0!</v>
      </c>
      <c r="AJ27" s="623">
        <f>MOR_VEIC!F27</f>
        <v>41.185507495184432</v>
      </c>
      <c r="AK27" s="623" t="e">
        <f>IND_MOT!L27</f>
        <v>#DIV/0!</v>
      </c>
      <c r="AL27" s="623">
        <f>PIB!F27</f>
        <v>19381.401645433467</v>
      </c>
      <c r="AM27" s="623">
        <f>IDH!F27</f>
        <v>0</v>
      </c>
      <c r="AN27" s="351" t="s">
        <v>35</v>
      </c>
    </row>
    <row r="28" spans="1:40">
      <c r="A28" s="563">
        <f>INDICE!B28</f>
        <v>68.948812741832583</v>
      </c>
      <c r="B28" s="631">
        <f>MOR!AZ28</f>
        <v>3079</v>
      </c>
      <c r="C28" s="623">
        <f>MOR_HAB!B28</f>
        <v>28.812785952161978</v>
      </c>
      <c r="D28" s="623">
        <f>MOR_VEIC!B28</f>
        <v>69.157023278671801</v>
      </c>
      <c r="E28" s="623">
        <f>IND_MOT!H28</f>
        <v>0.41662848668398239</v>
      </c>
      <c r="F28" s="623">
        <f>PIB!B28</f>
        <v>12079.826715677054</v>
      </c>
      <c r="G28" s="623">
        <f>IDH!B28</f>
        <v>0.80300000000000005</v>
      </c>
      <c r="H28" s="21" t="s">
        <v>36</v>
      </c>
      <c r="I28" s="563">
        <f>INDICE!C28</f>
        <v>65.451044350021931</v>
      </c>
      <c r="J28" s="631">
        <f>MOR!BA28</f>
        <v>3388</v>
      </c>
      <c r="K28" s="623">
        <f>MOR_HAB!C28</f>
        <v>32.438044579524238</v>
      </c>
      <c r="L28" s="623">
        <f>MOR_VEIC!C28</f>
        <v>70.775252225618473</v>
      </c>
      <c r="M28" s="623">
        <f>IND_MOT!I28</f>
        <v>0.45832467648603681</v>
      </c>
      <c r="N28" s="623">
        <f>PIB!C28</f>
        <v>12344.437083128983</v>
      </c>
      <c r="O28" s="623">
        <f>IDH!C28</f>
        <v>0.82</v>
      </c>
      <c r="P28" s="21" t="s">
        <v>36</v>
      </c>
      <c r="Q28" s="563">
        <f>INDICE!D28</f>
        <v>59.251472325955625</v>
      </c>
      <c r="R28" s="631">
        <f>MOR!BB28</f>
        <v>3313</v>
      </c>
      <c r="S28" s="623" t="e">
        <f>MOR_HAB!D28</f>
        <v>#DIV/0!</v>
      </c>
      <c r="T28" s="623">
        <f>MOR_VEIC!D28</f>
        <v>64.100678890619051</v>
      </c>
      <c r="U28" s="623" t="e">
        <f>IND_MOT!J28</f>
        <v>#DIV/0!</v>
      </c>
      <c r="V28" s="623">
        <f>PIB!D28</f>
        <v>13151.984836409982</v>
      </c>
      <c r="W28" s="623">
        <f>IDH!D28</f>
        <v>0.82699999999999996</v>
      </c>
      <c r="X28" s="21" t="s">
        <v>36</v>
      </c>
      <c r="Y28" s="563">
        <f>INDICE!E28</f>
        <v>57.755266806049733</v>
      </c>
      <c r="Z28" s="631">
        <f>MOR!BC28</f>
        <v>3584</v>
      </c>
      <c r="AA28" s="623" t="e">
        <f>MOR_HAB!E28</f>
        <v>#DIV/0!</v>
      </c>
      <c r="AB28" s="623">
        <f>MOR_VEIC!E28</f>
        <v>64.648202125201422</v>
      </c>
      <c r="AC28" s="623" t="e">
        <f>IND_MOT!K28</f>
        <v>#DIV/0!</v>
      </c>
      <c r="AD28" s="623">
        <f>PIB!E28</f>
        <v>15711.196108694512</v>
      </c>
      <c r="AE28" s="623">
        <f>IDH!E28</f>
        <v>0.84599999999999997</v>
      </c>
      <c r="AF28" s="21" t="s">
        <v>36</v>
      </c>
      <c r="AG28" s="563" t="e">
        <f>INDICE!F28</f>
        <v>#DIV/0!</v>
      </c>
      <c r="AH28" s="631">
        <f>MOR!BD28</f>
        <v>3116</v>
      </c>
      <c r="AI28" s="623" t="e">
        <f>MOR_HAB!F28</f>
        <v>#DIV/0!</v>
      </c>
      <c r="AJ28" s="623">
        <f>MOR_VEIC!F28</f>
        <v>49.061725980813335</v>
      </c>
      <c r="AK28" s="623" t="e">
        <f>IND_MOT!L28</f>
        <v>#DIV/0!</v>
      </c>
      <c r="AL28" s="623">
        <f>PIB!F28</f>
        <v>18768.397792134048</v>
      </c>
      <c r="AM28" s="623">
        <f>IDH!F28</f>
        <v>0.86543651753325268</v>
      </c>
      <c r="AN28" s="21" t="s">
        <v>36</v>
      </c>
    </row>
    <row r="29" spans="1:40">
      <c r="A29" s="563">
        <f>INDICE!B29</f>
        <v>42.591906538294616</v>
      </c>
      <c r="B29" s="631">
        <f>MOR!AZ29</f>
        <v>1979</v>
      </c>
      <c r="C29" s="623">
        <f>MOR_HAB!B29</f>
        <v>18.132603851075523</v>
      </c>
      <c r="D29" s="623">
        <f>MOR_VEIC!B29</f>
        <v>47.22351277552319</v>
      </c>
      <c r="E29" s="623">
        <f>IND_MOT!H29</f>
        <v>0.38397405837360715</v>
      </c>
      <c r="F29" s="623">
        <f>PIB!B29</f>
        <v>12850.072058969863</v>
      </c>
      <c r="G29" s="623">
        <f>IDH!B29</f>
        <v>0.80900000000000005</v>
      </c>
      <c r="H29" s="21" t="s">
        <v>37</v>
      </c>
      <c r="I29" s="563">
        <f>INDICE!C29</f>
        <v>42.888851929114416</v>
      </c>
      <c r="J29" s="631">
        <f>MOR!BA29</f>
        <v>2181</v>
      </c>
      <c r="K29" s="623">
        <f>MOR_HAB!C29</f>
        <v>20.39474920770467</v>
      </c>
      <c r="L29" s="623">
        <f>MOR_VEIC!C29</f>
        <v>48.772808164313155</v>
      </c>
      <c r="M29" s="623">
        <f>IND_MOT!I29</f>
        <v>0.41815819050229341</v>
      </c>
      <c r="N29" s="623">
        <f>PIB!C29</f>
        <v>13298.021312991703</v>
      </c>
      <c r="O29" s="623">
        <f>IDH!C29</f>
        <v>0.83199999999999996</v>
      </c>
      <c r="P29" s="21" t="s">
        <v>37</v>
      </c>
      <c r="Q29" s="563">
        <f>INDICE!D29</f>
        <v>38.20562875544433</v>
      </c>
      <c r="R29" s="631">
        <f>MOR!BB29</f>
        <v>2035</v>
      </c>
      <c r="S29" s="623" t="e">
        <f>MOR_HAB!D29</f>
        <v>#DIV/0!</v>
      </c>
      <c r="T29" s="623">
        <f>MOR_VEIC!D29</f>
        <v>42.505444247687059</v>
      </c>
      <c r="U29" s="623" t="e">
        <f>IND_MOT!J29</f>
        <v>#DIV/0!</v>
      </c>
      <c r="V29" s="623">
        <f>PIB!D29</f>
        <v>14304.825274705392</v>
      </c>
      <c r="W29" s="623">
        <f>IDH!D29</f>
        <v>0.84</v>
      </c>
      <c r="X29" s="21" t="s">
        <v>37</v>
      </c>
      <c r="Y29" s="563">
        <f>INDICE!E29</f>
        <v>36.20662324196671</v>
      </c>
      <c r="Z29" s="631">
        <f>MOR!BC29</f>
        <v>2060</v>
      </c>
      <c r="AA29" s="623" t="e">
        <f>MOR_HAB!E29</f>
        <v>#DIV/0!</v>
      </c>
      <c r="AB29" s="623">
        <f>MOR_VEIC!E29</f>
        <v>40.1905892369602</v>
      </c>
      <c r="AC29" s="623" t="e">
        <f>IND_MOT!K29</f>
        <v>#DIV/0!</v>
      </c>
      <c r="AD29" s="623">
        <f>PIB!E29</f>
        <v>16688.742224076006</v>
      </c>
      <c r="AE29" s="623">
        <f>IDH!E29</f>
        <v>0.84699999999999998</v>
      </c>
      <c r="AF29" s="21" t="s">
        <v>37</v>
      </c>
      <c r="AG29" s="563" t="e">
        <f>INDICE!F29</f>
        <v>#DIV/0!</v>
      </c>
      <c r="AH29" s="631">
        <f>MOR!BD29</f>
        <v>1988</v>
      </c>
      <c r="AI29" s="623" t="e">
        <f>MOR_HAB!F29</f>
        <v>#DIV/0!</v>
      </c>
      <c r="AJ29" s="623">
        <f>MOR_VEIC!F29</f>
        <v>33.77860030519679</v>
      </c>
      <c r="AK29" s="623" t="e">
        <f>IND_MOT!L29</f>
        <v>#DIV/0!</v>
      </c>
      <c r="AL29" s="623">
        <f>PIB!F29</f>
        <v>19469.941902341296</v>
      </c>
      <c r="AM29" s="623">
        <f>IDH!F29</f>
        <v>0.85405833333333325</v>
      </c>
      <c r="AN29" s="21" t="s">
        <v>37</v>
      </c>
    </row>
    <row r="30" spans="1:40">
      <c r="A30" s="563">
        <f>INDICE!B30</f>
        <v>53.074054148577261</v>
      </c>
      <c r="B30" s="631">
        <f>MOR!AZ30</f>
        <v>1812</v>
      </c>
      <c r="C30" s="623">
        <f>MOR_HAB!B30</f>
        <v>29.614003043443514</v>
      </c>
      <c r="D30" s="623">
        <f>MOR_VEIC!B30</f>
        <v>61.790365613456935</v>
      </c>
      <c r="E30" s="623">
        <f>IND_MOT!H30</f>
        <v>0.47926570347067288</v>
      </c>
      <c r="F30" s="623">
        <f>PIB!B30</f>
        <v>13403.291564203719</v>
      </c>
      <c r="G30" s="623">
        <f>IDH!B30</f>
        <v>0.80600000000000005</v>
      </c>
      <c r="H30" s="21" t="s">
        <v>38</v>
      </c>
      <c r="I30" s="563">
        <f>INDICE!C30</f>
        <v>48.170244558587974</v>
      </c>
      <c r="J30" s="631">
        <f>MOR!BA30</f>
        <v>1835</v>
      </c>
      <c r="K30" s="623">
        <f>MOR_HAB!C30</f>
        <v>29.367348885385077</v>
      </c>
      <c r="L30" s="623">
        <f>MOR_VEIC!C30</f>
        <v>57.810278951135665</v>
      </c>
      <c r="M30" s="623">
        <f>IND_MOT!I30</f>
        <v>0.50799528073905209</v>
      </c>
      <c r="N30" s="623">
        <f>PIB!C30</f>
        <v>14542.791465261676</v>
      </c>
      <c r="O30" s="623">
        <f>IDH!C30</f>
        <v>0.84</v>
      </c>
      <c r="P30" s="21" t="s">
        <v>38</v>
      </c>
      <c r="Q30" s="563">
        <f>INDICE!D30</f>
        <v>49.044680391400462</v>
      </c>
      <c r="R30" s="631">
        <f>MOR!BB30</f>
        <v>1975</v>
      </c>
      <c r="S30" s="623" t="e">
        <f>MOR_HAB!D30</f>
        <v>#DIV/0!</v>
      </c>
      <c r="T30" s="623">
        <f>MOR_VEIC!D30</f>
        <v>57.439439926198318</v>
      </c>
      <c r="U30" s="623" t="e">
        <f>IND_MOT!J30</f>
        <v>#DIV/0!</v>
      </c>
      <c r="V30" s="623">
        <f>PIB!D30</f>
        <v>15633.198377044726</v>
      </c>
      <c r="W30" s="623">
        <f>IDH!D30</f>
        <v>0.84799999999999998</v>
      </c>
      <c r="X30" s="21" t="s">
        <v>38</v>
      </c>
      <c r="Y30" s="563">
        <f>INDICE!E30</f>
        <v>43.807245783993459</v>
      </c>
      <c r="Z30" s="631">
        <f>MOR!BC30</f>
        <v>1890</v>
      </c>
      <c r="AA30" s="623" t="e">
        <f>MOR_HAB!E30</f>
        <v>#DIV/0!</v>
      </c>
      <c r="AB30" s="623">
        <f>MOR_VEIC!E30</f>
        <v>51.164077511682464</v>
      </c>
      <c r="AC30" s="623" t="e">
        <f>IND_MOT!K30</f>
        <v>#DIV/0!</v>
      </c>
      <c r="AD30" s="623">
        <f>PIB!E30</f>
        <v>17834.003039188749</v>
      </c>
      <c r="AE30" s="623">
        <f>IDH!E30</f>
        <v>0.86</v>
      </c>
      <c r="AF30" s="21" t="s">
        <v>38</v>
      </c>
      <c r="AG30" s="563" t="e">
        <f>INDICE!F30</f>
        <v>#DIV/0!</v>
      </c>
      <c r="AH30" s="631">
        <f>MOR!BD30</f>
        <v>1666</v>
      </c>
      <c r="AI30" s="623" t="e">
        <f>MOR_HAB!F30</f>
        <v>#DIV/0!</v>
      </c>
      <c r="AJ30" s="623">
        <f>MOR_VEIC!F30</f>
        <v>39.654817429553788</v>
      </c>
      <c r="AK30" s="623" t="e">
        <f>IND_MOT!L30</f>
        <v>#DIV/0!</v>
      </c>
      <c r="AL30" s="623">
        <f>PIB!F30</f>
        <v>20344.631772140125</v>
      </c>
      <c r="AM30" s="623">
        <f>IDH!F30</f>
        <v>0.87216981132075466</v>
      </c>
      <c r="AN30" s="21" t="s">
        <v>38</v>
      </c>
    </row>
    <row r="31" spans="1:40">
      <c r="A31" s="563">
        <f>INDICE!B31</f>
        <v>60.19578727617381</v>
      </c>
      <c r="B31" s="631">
        <f>MOR!AZ31</f>
        <v>4059</v>
      </c>
      <c r="C31" s="623">
        <f>MOR_HAB!B31</f>
        <v>29.21096498591951</v>
      </c>
      <c r="D31" s="623">
        <f>MOR_VEIC!B31</f>
        <v>83.684406496334503</v>
      </c>
      <c r="E31" s="623">
        <f>IND_MOT!H31</f>
        <v>0.34906102831952318</v>
      </c>
      <c r="F31" s="623">
        <f>PIB!B31</f>
        <v>13845.685416837292</v>
      </c>
      <c r="G31" s="623">
        <f>IDH!B31</f>
        <v>0</v>
      </c>
      <c r="H31" s="351" t="s">
        <v>39</v>
      </c>
      <c r="I31" s="563">
        <f>INDICE!C31</f>
        <v>58.774824440889354</v>
      </c>
      <c r="J31" s="631">
        <f>MOR!BA31</f>
        <v>4440</v>
      </c>
      <c r="K31" s="623">
        <f>MOR_HAB!C31</f>
        <v>31.583228850226782</v>
      </c>
      <c r="L31" s="623">
        <f>MOR_VEIC!C31</f>
        <v>83.44429482523212</v>
      </c>
      <c r="M31" s="623">
        <f>IND_MOT!I31</f>
        <v>0.37849476607568566</v>
      </c>
      <c r="N31" s="623">
        <f>PIB!C31</f>
        <v>14605.730269665353</v>
      </c>
      <c r="O31" s="623">
        <f>IDH!C31</f>
        <v>0</v>
      </c>
      <c r="P31" s="351" t="s">
        <v>39</v>
      </c>
      <c r="Q31" s="563">
        <f>INDICE!D31</f>
        <v>53.622230081364791</v>
      </c>
      <c r="R31" s="631">
        <f>MOR!BB31</f>
        <v>4379</v>
      </c>
      <c r="S31" s="623" t="e">
        <f>MOR_HAB!D31</f>
        <v>#DIV/0!</v>
      </c>
      <c r="T31" s="623">
        <f>MOR_VEIC!D31</f>
        <v>74.605213369376898</v>
      </c>
      <c r="U31" s="623" t="e">
        <f>IND_MOT!J31</f>
        <v>#DIV/0!</v>
      </c>
      <c r="V31" s="623">
        <f>PIB!D31</f>
        <v>15545.741015964144</v>
      </c>
      <c r="W31" s="623">
        <f>IDH!D31</f>
        <v>0</v>
      </c>
      <c r="X31" s="351" t="s">
        <v>39</v>
      </c>
      <c r="Y31" s="563">
        <f>INDICE!E31</f>
        <v>49.37810597271168</v>
      </c>
      <c r="Z31" s="631">
        <f>MOR!BC31</f>
        <v>4524</v>
      </c>
      <c r="AA31" s="623" t="e">
        <f>MOR_HAB!E31</f>
        <v>#DIV/0!</v>
      </c>
      <c r="AB31" s="623">
        <f>MOR_VEIC!E31</f>
        <v>70.927056132086122</v>
      </c>
      <c r="AC31" s="623" t="e">
        <f>IND_MOT!K31</f>
        <v>#DIV/0!</v>
      </c>
      <c r="AD31" s="623">
        <f>PIB!E31</f>
        <v>17844.45996371939</v>
      </c>
      <c r="AE31" s="623">
        <f>IDH!E31</f>
        <v>0</v>
      </c>
      <c r="AF31" s="351" t="s">
        <v>39</v>
      </c>
      <c r="AG31" s="563" t="e">
        <f>INDICE!F31</f>
        <v>#DIV/0!</v>
      </c>
      <c r="AH31" s="631">
        <f>MOR!BD31</f>
        <v>4544</v>
      </c>
      <c r="AI31" s="623" t="e">
        <f>MOR_HAB!F31</f>
        <v>#DIV/0!</v>
      </c>
      <c r="AJ31" s="623">
        <f>MOR_VEIC!F31</f>
        <v>60.593647054807377</v>
      </c>
      <c r="AK31" s="623" t="e">
        <f>IND_MOT!L31</f>
        <v>#DIV/0!</v>
      </c>
      <c r="AL31" s="623">
        <f>PIB!F31</f>
        <v>20483.086079318397</v>
      </c>
      <c r="AM31" s="623">
        <f>IDH!F31</f>
        <v>0</v>
      </c>
      <c r="AN31" s="351" t="s">
        <v>39</v>
      </c>
    </row>
    <row r="32" spans="1:40">
      <c r="A32" s="563">
        <f>INDICE!B32</f>
        <v>44.127427852649333</v>
      </c>
      <c r="B32" s="631">
        <f>MOR!AZ32</f>
        <v>576</v>
      </c>
      <c r="C32" s="623">
        <f>MOR_HAB!B32</f>
        <v>22.095344480230036</v>
      </c>
      <c r="D32" s="623">
        <f>MOR_VEIC!B32</f>
        <v>53.002167935896821</v>
      </c>
      <c r="E32" s="623">
        <f>IND_MOT!H32</f>
        <v>0.41687623998612905</v>
      </c>
      <c r="F32" s="623">
        <f>PIB!B32</f>
        <v>30991.496299239781</v>
      </c>
      <c r="G32" s="623">
        <f>IDH!B32</f>
        <v>0.84599999999999997</v>
      </c>
      <c r="H32" s="21" t="s">
        <v>40</v>
      </c>
      <c r="I32" s="563">
        <f>INDICE!C32</f>
        <v>45.092469199936886</v>
      </c>
      <c r="J32" s="631">
        <f>MOR!BA32</f>
        <v>636</v>
      </c>
      <c r="K32" s="623">
        <f>MOR_HAB!C32</f>
        <v>24.745541133625924</v>
      </c>
      <c r="L32" s="623">
        <f>MOR_VEIC!C32</f>
        <v>54.165690804181658</v>
      </c>
      <c r="M32" s="623">
        <f>IND_MOT!I32</f>
        <v>0.4568489899461512</v>
      </c>
      <c r="N32" s="623">
        <f>PIB!C32</f>
        <v>34514.738299306933</v>
      </c>
      <c r="O32" s="623">
        <f>IDH!C32</f>
        <v>0.874</v>
      </c>
      <c r="P32" s="21" t="s">
        <v>40</v>
      </c>
      <c r="Q32" s="563">
        <f>INDICE!D32</f>
        <v>42.459912832063367</v>
      </c>
      <c r="R32" s="631">
        <f>MOR!BB32</f>
        <v>641</v>
      </c>
      <c r="S32" s="623" t="e">
        <f>MOR_HAB!D32</f>
        <v>#DIV/0!</v>
      </c>
      <c r="T32" s="623">
        <f>MOR_VEIC!D32</f>
        <v>50.344241514128591</v>
      </c>
      <c r="U32" s="623" t="e">
        <f>IND_MOT!J32</f>
        <v>#DIV/0!</v>
      </c>
      <c r="V32" s="623">
        <f>PIB!D32</f>
        <v>37599.27629617347</v>
      </c>
      <c r="W32" s="623">
        <f>IDH!D32</f>
        <v>0.88200000000000001</v>
      </c>
      <c r="X32" s="21" t="s">
        <v>40</v>
      </c>
      <c r="Y32" s="563">
        <f>INDICE!E32</f>
        <v>34.567971751398204</v>
      </c>
      <c r="Z32" s="631">
        <f>MOR!BC32</f>
        <v>550</v>
      </c>
      <c r="AA32" s="623" t="e">
        <f>MOR_HAB!E32</f>
        <v>#DIV/0!</v>
      </c>
      <c r="AB32" s="623">
        <f>MOR_VEIC!E32</f>
        <v>40.620864057477782</v>
      </c>
      <c r="AC32" s="623" t="e">
        <f>IND_MOT!K32</f>
        <v>#DIV/0!</v>
      </c>
      <c r="AD32" s="623">
        <f>PIB!E32</f>
        <v>40696.078149258523</v>
      </c>
      <c r="AE32" s="623">
        <f>IDH!E32</f>
        <v>0.9</v>
      </c>
      <c r="AF32" s="21" t="s">
        <v>40</v>
      </c>
      <c r="AG32" s="563" t="e">
        <f>INDICE!F32</f>
        <v>#DIV/0!</v>
      </c>
      <c r="AH32" s="631">
        <f>MOR!BD32</f>
        <v>536</v>
      </c>
      <c r="AI32" s="623" t="e">
        <f>MOR_HAB!F32</f>
        <v>#DIV/0!</v>
      </c>
      <c r="AJ32" s="623">
        <f>MOR_VEIC!F32</f>
        <v>35.470614316628172</v>
      </c>
      <c r="AK32" s="623" t="e">
        <f>IND_MOT!L32</f>
        <v>#DIV/0!</v>
      </c>
      <c r="AL32" s="623">
        <f>PIB!F32</f>
        <v>44047.942936048159</v>
      </c>
      <c r="AM32" s="623">
        <f>IDH!F32</f>
        <v>0.91836734693877553</v>
      </c>
      <c r="AN32" s="21" t="s">
        <v>40</v>
      </c>
    </row>
    <row r="33" spans="1:40">
      <c r="A33" s="563">
        <f>INDICE!B33</f>
        <v>61.362279426386621</v>
      </c>
      <c r="B33" s="631">
        <f>MOR!AZ33</f>
        <v>1677</v>
      </c>
      <c r="C33" s="623">
        <f>MOR_HAB!B33</f>
        <v>28.297550515430519</v>
      </c>
      <c r="D33" s="623">
        <f>MOR_VEIC!B33</f>
        <v>83.7920577920368</v>
      </c>
      <c r="E33" s="623">
        <f>IND_MOT!H33</f>
        <v>0.3377116072941197</v>
      </c>
      <c r="F33" s="623">
        <f>PIB!B33</f>
        <v>8718.0125647535751</v>
      </c>
      <c r="G33" s="623">
        <f>IDH!B33</f>
        <v>0.77</v>
      </c>
      <c r="H33" s="21" t="s">
        <v>41</v>
      </c>
      <c r="I33" s="563">
        <f>INDICE!C33</f>
        <v>61.354676118471417</v>
      </c>
      <c r="J33" s="631">
        <f>MOR!BA33</f>
        <v>1923</v>
      </c>
      <c r="K33" s="623">
        <f>MOR_HAB!C33</f>
        <v>32.029778533152736</v>
      </c>
      <c r="L33" s="623">
        <f>MOR_VEIC!C33</f>
        <v>87.499294727473597</v>
      </c>
      <c r="M33" s="623">
        <f>IND_MOT!I33</f>
        <v>0.36605756232565173</v>
      </c>
      <c r="N33" s="623">
        <f>PIB!C33</f>
        <v>8992.0203633827969</v>
      </c>
      <c r="O33" s="623">
        <f>IDH!C33</f>
        <v>0.8</v>
      </c>
      <c r="P33" s="21" t="s">
        <v>41</v>
      </c>
      <c r="Q33" s="563">
        <f>INDICE!D33</f>
        <v>54.15946940233912</v>
      </c>
      <c r="R33" s="631">
        <f>MOR!BB33</f>
        <v>1822</v>
      </c>
      <c r="S33" s="623" t="e">
        <f>MOR_HAB!D33</f>
        <v>#DIV/0!</v>
      </c>
      <c r="T33" s="623">
        <f>MOR_VEIC!D33</f>
        <v>74.919580697064603</v>
      </c>
      <c r="U33" s="623" t="e">
        <f>IND_MOT!J33</f>
        <v>#DIV/0!</v>
      </c>
      <c r="V33" s="623">
        <f>PIB!D33</f>
        <v>9956.2957432058174</v>
      </c>
      <c r="W33" s="623">
        <f>IDH!D33</f>
        <v>0.80700000000000005</v>
      </c>
      <c r="X33" s="21" t="s">
        <v>41</v>
      </c>
      <c r="Y33" s="563">
        <f>INDICE!E33</f>
        <v>53.540938598303377</v>
      </c>
      <c r="Z33" s="631">
        <f>MOR!BC33</f>
        <v>2025</v>
      </c>
      <c r="AA33" s="623" t="e">
        <f>MOR_HAB!E33</f>
        <v>#DIV/0!</v>
      </c>
      <c r="AB33" s="623">
        <f>MOR_VEIC!E33</f>
        <v>76.330698510703257</v>
      </c>
      <c r="AC33" s="623" t="e">
        <f>IND_MOT!K33</f>
        <v>#DIV/0!</v>
      </c>
      <c r="AD33" s="623">
        <f>PIB!E33</f>
        <v>11547.678871833459</v>
      </c>
      <c r="AE33" s="623">
        <f>IDH!E33</f>
        <v>0.82399999999999995</v>
      </c>
      <c r="AF33" s="21" t="s">
        <v>41</v>
      </c>
      <c r="AG33" s="563" t="e">
        <f>INDICE!F33</f>
        <v>#DIV/0!</v>
      </c>
      <c r="AH33" s="631">
        <f>MOR!BD33</f>
        <v>1988</v>
      </c>
      <c r="AI33" s="623" t="e">
        <f>MOR_HAB!F33</f>
        <v>#DIV/0!</v>
      </c>
      <c r="AJ33" s="623">
        <f>MOR_VEIC!F33</f>
        <v>62.730981279156651</v>
      </c>
      <c r="AK33" s="623" t="e">
        <f>IND_MOT!L33</f>
        <v>#DIV/0!</v>
      </c>
      <c r="AL33" s="623">
        <f>PIB!F33</f>
        <v>13393.423695553261</v>
      </c>
      <c r="AM33" s="623">
        <f>IDH!F33</f>
        <v>0.84135811648079284</v>
      </c>
      <c r="AN33" s="21" t="s">
        <v>41</v>
      </c>
    </row>
    <row r="34" spans="1:40">
      <c r="A34" s="563">
        <f>INDICE!B34</f>
        <v>71.024828835045952</v>
      </c>
      <c r="B34" s="631">
        <f>MOR!AZ34</f>
        <v>1105</v>
      </c>
      <c r="C34" s="623">
        <f>MOR_HAB!B34</f>
        <v>36.812166337689163</v>
      </c>
      <c r="D34" s="623">
        <f>MOR_VEIC!B34</f>
        <v>116.40646398247056</v>
      </c>
      <c r="E34" s="623">
        <f>IND_MOT!H34</f>
        <v>0.31623816305624264</v>
      </c>
      <c r="F34" s="623">
        <f>PIB!B34</f>
        <v>13444.588457402135</v>
      </c>
      <c r="G34" s="623">
        <f>IDH!B34</f>
        <v>0.76700000000000002</v>
      </c>
      <c r="H34" s="21" t="s">
        <v>42</v>
      </c>
      <c r="I34" s="563">
        <f>INDICE!C34</f>
        <v>64.340445896427383</v>
      </c>
      <c r="J34" s="631">
        <f>MOR!BA34</f>
        <v>1103</v>
      </c>
      <c r="K34" s="623">
        <f>MOR_HAB!C34</f>
        <v>36.341208030517386</v>
      </c>
      <c r="L34" s="623">
        <f>MOR_VEIC!C34</f>
        <v>104.17512755077948</v>
      </c>
      <c r="M34" s="623">
        <f>IND_MOT!I34</f>
        <v>0.34884726215288875</v>
      </c>
      <c r="N34" s="623">
        <f>PIB!C34</f>
        <v>13365.064178760551</v>
      </c>
      <c r="O34" s="623">
        <f>IDH!C34</f>
        <v>0.79600000000000004</v>
      </c>
      <c r="P34" s="21" t="s">
        <v>42</v>
      </c>
      <c r="Q34" s="563">
        <f>INDICE!D34</f>
        <v>56.880851212351189</v>
      </c>
      <c r="R34" s="631">
        <f>MOR!BB34</f>
        <v>1071</v>
      </c>
      <c r="S34" s="623" t="e">
        <f>MOR_HAB!D34</f>
        <v>#DIV/0!</v>
      </c>
      <c r="T34" s="623">
        <f>MOR_VEIC!D34</f>
        <v>90.498502254012649</v>
      </c>
      <c r="U34" s="623" t="e">
        <f>IND_MOT!J34</f>
        <v>#DIV/0!</v>
      </c>
      <c r="V34" s="623">
        <f>PIB!D34</f>
        <v>12340.786324018361</v>
      </c>
      <c r="W34" s="623">
        <f>IDH!D34</f>
        <v>0.80400000000000005</v>
      </c>
      <c r="X34" s="21" t="s">
        <v>42</v>
      </c>
      <c r="Y34" s="563">
        <f>INDICE!E34</f>
        <v>51.075241159273041</v>
      </c>
      <c r="Z34" s="631">
        <f>MOR!BC34</f>
        <v>1143</v>
      </c>
      <c r="AA34" s="623" t="e">
        <f>MOR_HAB!E34</f>
        <v>#DIV/0!</v>
      </c>
      <c r="AB34" s="623">
        <f>MOR_VEIC!E34</f>
        <v>87.736939631151756</v>
      </c>
      <c r="AC34" s="623" t="e">
        <f>IND_MOT!K34</f>
        <v>#DIV/0!</v>
      </c>
      <c r="AD34" s="623">
        <f>PIB!E34</f>
        <v>14953.580628441914</v>
      </c>
      <c r="AE34" s="623">
        <f>IDH!E34</f>
        <v>0.80800000000000005</v>
      </c>
      <c r="AF34" s="21" t="s">
        <v>42</v>
      </c>
      <c r="AG34" s="563" t="e">
        <f>INDICE!F34</f>
        <v>#DIV/0!</v>
      </c>
      <c r="AH34" s="631">
        <f>MOR!BD34</f>
        <v>1192</v>
      </c>
      <c r="AI34" s="623" t="e">
        <f>MOR_HAB!F34</f>
        <v>#DIV/0!</v>
      </c>
      <c r="AJ34" s="623">
        <f>MOR_VEIC!F34</f>
        <v>76.130185171347208</v>
      </c>
      <c r="AK34" s="623" t="e">
        <f>IND_MOT!L34</f>
        <v>#DIV/0!</v>
      </c>
      <c r="AL34" s="623">
        <f>PIB!F34</f>
        <v>18119.556383219377</v>
      </c>
      <c r="AM34" s="623">
        <f>IDH!F34</f>
        <v>0.8120199004975126</v>
      </c>
      <c r="AN34" s="21" t="s">
        <v>42</v>
      </c>
    </row>
    <row r="35" spans="1:40" ht="15.75" thickBot="1">
      <c r="A35" s="563">
        <f>INDICE!B35</f>
        <v>61.671773112392003</v>
      </c>
      <c r="B35" s="631">
        <f>MOR!AZ35</f>
        <v>701</v>
      </c>
      <c r="C35" s="623">
        <f>MOR_HAB!B35</f>
        <v>29.696469043231449</v>
      </c>
      <c r="D35" s="623">
        <f>MOR_VEIC!B35</f>
        <v>86.226513730434519</v>
      </c>
      <c r="E35" s="623">
        <f>IND_MOT!H35</f>
        <v>0.3444006693355362</v>
      </c>
      <c r="F35" s="623">
        <f>PIB!B35</f>
        <v>9461.2232481103729</v>
      </c>
      <c r="G35" s="623">
        <f>IDH!B35</f>
        <v>0.76900000000000002</v>
      </c>
      <c r="H35" s="33" t="s">
        <v>43</v>
      </c>
      <c r="I35" s="563">
        <f>INDICE!C35</f>
        <v>60.9046418119527</v>
      </c>
      <c r="J35" s="631">
        <f>MOR!BA35</f>
        <v>778</v>
      </c>
      <c r="K35" s="623">
        <f>MOR_HAB!C35</f>
        <v>31.767757278001358</v>
      </c>
      <c r="L35" s="623">
        <f>MOR_VEIC!C35</f>
        <v>87.394716326636072</v>
      </c>
      <c r="M35" s="623">
        <f>IND_MOT!I35</f>
        <v>0.36349745857941779</v>
      </c>
      <c r="N35" s="623">
        <f>PIB!C35</f>
        <v>9561.1214806163662</v>
      </c>
      <c r="O35" s="623">
        <f>IDH!C35</f>
        <v>0.80200000000000005</v>
      </c>
      <c r="P35" s="33" t="s">
        <v>43</v>
      </c>
      <c r="Q35" s="563">
        <f>INDICE!D35</f>
        <v>60.212796120635311</v>
      </c>
      <c r="R35" s="631">
        <f>MOR!BB35</f>
        <v>845</v>
      </c>
      <c r="S35" s="623" t="e">
        <f>MOR_HAB!D35</f>
        <v>#DIV/0!</v>
      </c>
      <c r="T35" s="623">
        <f>MOR_VEIC!D35</f>
        <v>86.141600480354114</v>
      </c>
      <c r="U35" s="623" t="e">
        <f>IND_MOT!J35</f>
        <v>#DIV/0!</v>
      </c>
      <c r="V35" s="623">
        <f>PIB!D35</f>
        <v>10592.444217919032</v>
      </c>
      <c r="W35" s="623">
        <f>IDH!D35</f>
        <v>0.81499999999999995</v>
      </c>
      <c r="X35" s="33" t="s">
        <v>43</v>
      </c>
      <c r="Y35" s="563">
        <f>INDICE!E35</f>
        <v>51.534074919171474</v>
      </c>
      <c r="Z35" s="631">
        <f>MOR!BC35</f>
        <v>806</v>
      </c>
      <c r="AA35" s="623" t="e">
        <f>MOR_HAB!E35</f>
        <v>#DIV/0!</v>
      </c>
      <c r="AB35" s="623">
        <f>MOR_VEIC!E35</f>
        <v>75.417886203205356</v>
      </c>
      <c r="AC35" s="623" t="e">
        <f>IND_MOT!K35</f>
        <v>#DIV/0!</v>
      </c>
      <c r="AD35" s="623">
        <f>PIB!E35</f>
        <v>12411.183309341075</v>
      </c>
      <c r="AE35" s="623">
        <f>IDH!E35</f>
        <v>0.83</v>
      </c>
      <c r="AF35" s="33" t="s">
        <v>43</v>
      </c>
      <c r="AG35" s="563" t="e">
        <f>INDICE!F35</f>
        <v>#DIV/0!</v>
      </c>
      <c r="AH35" s="631">
        <f>MOR!BD35</f>
        <v>828</v>
      </c>
      <c r="AI35" s="623" t="e">
        <f>MOR_HAB!F35</f>
        <v>#DIV/0!</v>
      </c>
      <c r="AJ35" s="623">
        <f>MOR_VEIC!F35</f>
        <v>66.07091132374029</v>
      </c>
      <c r="AK35" s="623" t="e">
        <f>IND_MOT!L35</f>
        <v>#DIV/0!</v>
      </c>
      <c r="AL35" s="623">
        <f>PIB!F35</f>
        <v>14542.202721963293</v>
      </c>
      <c r="AM35" s="623">
        <f>IDH!F35</f>
        <v>0.84527607361963197</v>
      </c>
      <c r="AN35" s="33" t="s">
        <v>43</v>
      </c>
    </row>
  </sheetData>
  <pageMargins left="0.511811024" right="0.511811024" top="0.78740157499999996" bottom="0.78740157499999996" header="0.31496062000000002" footer="0.31496062000000002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theme="3" tint="0.39997558519241921"/>
  </sheetPr>
  <dimension ref="A1:HT60"/>
  <sheetViews>
    <sheetView topLeftCell="AH40" zoomScale="90" zoomScaleNormal="90" zoomScalePageLayoutView="90" workbookViewId="0">
      <selection activeCell="AH40" sqref="AH40"/>
    </sheetView>
  </sheetViews>
  <sheetFormatPr defaultColWidth="8.85546875" defaultRowHeight="15"/>
  <cols>
    <col min="1" max="1" width="13.140625" style="3" bestFit="1" customWidth="1"/>
    <col min="2" max="2" width="8.140625" style="3" bestFit="1" customWidth="1"/>
    <col min="3" max="3" width="17.7109375" style="3" bestFit="1" customWidth="1"/>
    <col min="4" max="4" width="18" style="3" bestFit="1" customWidth="1"/>
    <col min="5" max="5" width="9" style="3" bestFit="1" customWidth="1"/>
    <col min="6" max="6" width="13.28515625" style="3" bestFit="1" customWidth="1"/>
    <col min="7" max="7" width="5.42578125" style="3" bestFit="1" customWidth="1"/>
    <col min="8" max="8" width="22" style="3" customWidth="1"/>
    <col min="9" max="9" width="13.140625" style="3" bestFit="1" customWidth="1"/>
    <col min="10" max="10" width="8.140625" style="3" bestFit="1" customWidth="1"/>
    <col min="11" max="11" width="17.7109375" style="3" bestFit="1" customWidth="1"/>
    <col min="12" max="12" width="18" style="3" bestFit="1" customWidth="1"/>
    <col min="13" max="13" width="9" style="3" bestFit="1" customWidth="1"/>
    <col min="14" max="14" width="13.28515625" style="3" bestFit="1" customWidth="1"/>
    <col min="15" max="15" width="8.28515625" style="3" bestFit="1" customWidth="1"/>
    <col min="16" max="16" width="20.42578125" style="3" customWidth="1"/>
    <col min="17" max="17" width="13.140625" style="3" bestFit="1" customWidth="1"/>
    <col min="18" max="18" width="8.140625" style="3" bestFit="1" customWidth="1"/>
    <col min="19" max="19" width="17.7109375" style="3" bestFit="1" customWidth="1"/>
    <col min="20" max="20" width="18" style="3" bestFit="1" customWidth="1"/>
    <col min="21" max="21" width="9" style="3" bestFit="1" customWidth="1"/>
    <col min="22" max="22" width="13.28515625" style="3" bestFit="1" customWidth="1"/>
    <col min="23" max="23" width="8.28515625" style="3" bestFit="1" customWidth="1"/>
    <col min="24" max="24" width="21.28515625" style="3" customWidth="1"/>
    <col min="25" max="25" width="13.140625" style="3" bestFit="1" customWidth="1"/>
    <col min="26" max="26" width="8.7109375" style="3" bestFit="1" customWidth="1"/>
    <col min="27" max="27" width="17.7109375" style="3" bestFit="1" customWidth="1"/>
    <col min="28" max="28" width="18" style="3" bestFit="1" customWidth="1"/>
    <col min="29" max="29" width="9" style="3" bestFit="1" customWidth="1"/>
    <col min="30" max="30" width="13.28515625" style="3" bestFit="1" customWidth="1"/>
    <col min="31" max="31" width="8.28515625" style="3" bestFit="1" customWidth="1"/>
    <col min="32" max="32" width="20.7109375" style="3" customWidth="1"/>
    <col min="33" max="33" width="13.140625" style="3" bestFit="1" customWidth="1"/>
    <col min="34" max="34" width="8.140625" style="3" bestFit="1" customWidth="1"/>
    <col min="35" max="35" width="17.7109375" style="3" bestFit="1" customWidth="1"/>
    <col min="36" max="36" width="18" style="3" bestFit="1" customWidth="1"/>
    <col min="37" max="37" width="9" style="3" bestFit="1" customWidth="1"/>
    <col min="38" max="38" width="13.28515625" style="3" bestFit="1" customWidth="1"/>
    <col min="39" max="39" width="8.28515625" style="3" bestFit="1" customWidth="1"/>
    <col min="40" max="40" width="20" style="3" customWidth="1"/>
    <col min="41" max="123" width="8.85546875" style="1"/>
    <col min="124" max="124" width="9.140625" style="1" customWidth="1"/>
    <col min="125" max="228" width="8.85546875" style="1"/>
  </cols>
  <sheetData>
    <row r="1" spans="1:40" ht="15.75" thickBot="1">
      <c r="A1" s="633">
        <v>2004</v>
      </c>
      <c r="B1" s="634">
        <v>2004</v>
      </c>
      <c r="C1" s="634">
        <v>2004</v>
      </c>
      <c r="D1" s="634">
        <v>2004</v>
      </c>
      <c r="E1" s="634">
        <v>2004</v>
      </c>
      <c r="F1" s="634">
        <v>2004</v>
      </c>
      <c r="G1" s="634">
        <v>2004</v>
      </c>
      <c r="H1" s="635">
        <v>2004</v>
      </c>
      <c r="I1" s="635">
        <v>2005</v>
      </c>
      <c r="J1" s="635">
        <v>2005</v>
      </c>
      <c r="K1" s="635">
        <v>2005</v>
      </c>
      <c r="L1" s="635">
        <v>2005</v>
      </c>
      <c r="M1" s="635">
        <v>2005</v>
      </c>
      <c r="N1" s="635">
        <v>2005</v>
      </c>
      <c r="O1" s="635">
        <v>2005</v>
      </c>
      <c r="P1" s="635">
        <v>2005</v>
      </c>
      <c r="Q1" s="635">
        <v>2006</v>
      </c>
      <c r="R1" s="635">
        <v>2006</v>
      </c>
      <c r="S1" s="635">
        <v>2006</v>
      </c>
      <c r="T1" s="635">
        <v>2006</v>
      </c>
      <c r="U1" s="635">
        <v>2006</v>
      </c>
      <c r="V1" s="635">
        <v>2006</v>
      </c>
      <c r="W1" s="635">
        <v>2006</v>
      </c>
      <c r="X1" s="635">
        <v>2006</v>
      </c>
      <c r="Y1" s="635">
        <v>2007</v>
      </c>
      <c r="Z1" s="635">
        <v>2007</v>
      </c>
      <c r="AA1" s="635">
        <v>2007</v>
      </c>
      <c r="AB1" s="635">
        <v>2007</v>
      </c>
      <c r="AC1" s="635">
        <v>2007</v>
      </c>
      <c r="AD1" s="635">
        <v>2007</v>
      </c>
      <c r="AE1" s="635">
        <v>2007</v>
      </c>
      <c r="AF1" s="635">
        <v>2007</v>
      </c>
      <c r="AG1" s="633">
        <v>2008</v>
      </c>
      <c r="AH1" s="633">
        <v>2008</v>
      </c>
      <c r="AI1" s="633">
        <v>2008</v>
      </c>
      <c r="AJ1" s="633">
        <v>2008</v>
      </c>
      <c r="AK1" s="633">
        <v>2008</v>
      </c>
      <c r="AL1" s="633">
        <v>2008</v>
      </c>
      <c r="AM1" s="633">
        <v>2008</v>
      </c>
      <c r="AN1" s="633">
        <v>2008</v>
      </c>
    </row>
    <row r="2" spans="1:40">
      <c r="A2" s="633" t="s">
        <v>496</v>
      </c>
      <c r="B2" s="634" t="s">
        <v>497</v>
      </c>
      <c r="C2" s="634" t="s">
        <v>498</v>
      </c>
      <c r="D2" s="634" t="s">
        <v>499</v>
      </c>
      <c r="E2" s="634" t="s">
        <v>500</v>
      </c>
      <c r="F2" s="634" t="s">
        <v>501</v>
      </c>
      <c r="G2" s="634" t="s">
        <v>490</v>
      </c>
      <c r="H2" s="635" t="s">
        <v>502</v>
      </c>
      <c r="I2" s="633" t="s">
        <v>496</v>
      </c>
      <c r="J2" s="634" t="s">
        <v>497</v>
      </c>
      <c r="K2" s="634" t="s">
        <v>498</v>
      </c>
      <c r="L2" s="634" t="s">
        <v>499</v>
      </c>
      <c r="M2" s="634" t="s">
        <v>500</v>
      </c>
      <c r="N2" s="634" t="s">
        <v>501</v>
      </c>
      <c r="O2" s="634" t="s">
        <v>490</v>
      </c>
      <c r="P2" s="635" t="s">
        <v>502</v>
      </c>
      <c r="Q2" s="633" t="s">
        <v>496</v>
      </c>
      <c r="R2" s="634" t="s">
        <v>497</v>
      </c>
      <c r="S2" s="634" t="s">
        <v>498</v>
      </c>
      <c r="T2" s="634" t="s">
        <v>499</v>
      </c>
      <c r="U2" s="634" t="s">
        <v>500</v>
      </c>
      <c r="V2" s="634" t="s">
        <v>501</v>
      </c>
      <c r="W2" s="634" t="s">
        <v>490</v>
      </c>
      <c r="X2" s="635" t="s">
        <v>502</v>
      </c>
      <c r="Y2" s="633" t="s">
        <v>496</v>
      </c>
      <c r="Z2" s="634" t="s">
        <v>497</v>
      </c>
      <c r="AA2" s="634" t="s">
        <v>498</v>
      </c>
      <c r="AB2" s="634" t="s">
        <v>499</v>
      </c>
      <c r="AC2" s="634" t="s">
        <v>500</v>
      </c>
      <c r="AD2" s="634" t="s">
        <v>501</v>
      </c>
      <c r="AE2" s="634" t="s">
        <v>490</v>
      </c>
      <c r="AF2" s="635" t="s">
        <v>502</v>
      </c>
      <c r="AG2" s="633" t="s">
        <v>496</v>
      </c>
      <c r="AH2" s="634" t="s">
        <v>497</v>
      </c>
      <c r="AI2" s="634" t="s">
        <v>498</v>
      </c>
      <c r="AJ2" s="634" t="s">
        <v>499</v>
      </c>
      <c r="AK2" s="634" t="s">
        <v>500</v>
      </c>
      <c r="AL2" s="634" t="s">
        <v>501</v>
      </c>
      <c r="AM2" s="634" t="s">
        <v>490</v>
      </c>
      <c r="AN2" s="635" t="s">
        <v>502</v>
      </c>
    </row>
    <row r="3" spans="1:40">
      <c r="A3" s="638">
        <f>RELAÇ_TUDO!A26</f>
        <v>33.871336088244782</v>
      </c>
      <c r="B3" s="639">
        <f>RELAÇ_TUDO!B26</f>
        <v>6759</v>
      </c>
      <c r="C3" s="639">
        <f>RELAÇ_TUDO!C26</f>
        <v>16.33236387056871</v>
      </c>
      <c r="D3" s="639">
        <f>RELAÇ_TUDO!D26</f>
        <v>37.372152156578871</v>
      </c>
      <c r="E3" s="639">
        <f>RELAÇ_TUDO!E26</f>
        <v>0.43701962365294544</v>
      </c>
      <c r="F3" s="639">
        <f>RELAÇ_TUDO!F26</f>
        <v>16157.786321470641</v>
      </c>
      <c r="G3" s="639">
        <f>RELAÇ_TUDO!G26</f>
        <v>0.81399999999999995</v>
      </c>
      <c r="H3" s="636" t="s">
        <v>34</v>
      </c>
      <c r="I3" s="638">
        <f>RELAÇ_TUDO!I26</f>
        <v>32.553852908371979</v>
      </c>
      <c r="J3" s="639">
        <f>RELAÇ_TUDO!J26</f>
        <v>7029</v>
      </c>
      <c r="K3" s="639">
        <f>RELAÇ_TUDO!K26</f>
        <v>17.034962193847207</v>
      </c>
      <c r="L3" s="639">
        <f>RELAÇ_TUDO!L26</f>
        <v>36.259992970854114</v>
      </c>
      <c r="M3" s="639">
        <f>RELAÇ_TUDO!M26</f>
        <v>0.46980048251912121</v>
      </c>
      <c r="N3" s="639">
        <f>RELAÇ_TUDO!N26</f>
        <v>17975.613328189149</v>
      </c>
      <c r="O3" s="639">
        <f>RELAÇ_TUDO!O26</f>
        <v>0.83299999999999996</v>
      </c>
      <c r="P3" s="636" t="s">
        <v>34</v>
      </c>
      <c r="Q3" s="638">
        <f>RELAÇ_TUDO!Q26</f>
        <v>31.126948388559306</v>
      </c>
      <c r="R3" s="639">
        <f>RELAÇ_TUDO!R26</f>
        <v>7261</v>
      </c>
      <c r="S3" s="639" t="e">
        <f>RELAÇ_TUDO!S26</f>
        <v>#DIV/0!</v>
      </c>
      <c r="T3" s="639">
        <f>RELAÇ_TUDO!T26</f>
        <v>34.928322857963238</v>
      </c>
      <c r="U3" s="639" t="e">
        <f>RELAÇ_TUDO!U26</f>
        <v>#DIV/0!</v>
      </c>
      <c r="V3" s="639">
        <f>RELAÇ_TUDO!V26</f>
        <v>19550.365699760492</v>
      </c>
      <c r="W3" s="639">
        <f>RELAÇ_TUDO!W26</f>
        <v>0.84199999999999997</v>
      </c>
      <c r="X3" s="636" t="s">
        <v>34</v>
      </c>
      <c r="Y3" s="638">
        <f>RELAÇ_TUDO!Y26</f>
        <v>28.340955767166871</v>
      </c>
      <c r="Z3" s="639">
        <f>RELAÇ_TUDO!Z26</f>
        <v>6875</v>
      </c>
      <c r="AA3" s="639" t="e">
        <f>RELAÇ_TUDO!AA26</f>
        <v>#DIV/0!</v>
      </c>
      <c r="AB3" s="639">
        <f>RELAÇ_TUDO!AB26</f>
        <v>31.043336045580197</v>
      </c>
      <c r="AC3" s="639" t="e">
        <f>RELAÇ_TUDO!AC26</f>
        <v>#DIV/0!</v>
      </c>
      <c r="AD3" s="639">
        <f>RELAÇ_TUDO!AD26</f>
        <v>22667.251545019142</v>
      </c>
      <c r="AE3" s="639">
        <f>RELAÇ_TUDO!AE26</f>
        <v>0.85699999999999998</v>
      </c>
      <c r="AF3" s="636" t="s">
        <v>34</v>
      </c>
      <c r="AG3" s="638" t="e">
        <f>RELAÇ_TUDO!AG26</f>
        <v>#DIV/0!</v>
      </c>
      <c r="AH3" s="639">
        <f>RELAÇ_TUDO!AH26</f>
        <v>6459</v>
      </c>
      <c r="AI3" s="639" t="e">
        <f>RELAÇ_TUDO!AI26</f>
        <v>#DIV/0!</v>
      </c>
      <c r="AJ3" s="639">
        <f>RELAÇ_TUDO!AJ26</f>
        <v>26.298643634934272</v>
      </c>
      <c r="AK3" s="639" t="e">
        <f>RELAÇ_TUDO!AK26</f>
        <v>#DIV/0!</v>
      </c>
      <c r="AL3" s="639">
        <f>RELAÇ_TUDO!AL26</f>
        <v>26281.057883815811</v>
      </c>
      <c r="AM3" s="639">
        <f>RELAÇ_TUDO!AM26</f>
        <v>0.87226722090261277</v>
      </c>
      <c r="AN3" s="636" t="s">
        <v>34</v>
      </c>
    </row>
    <row r="4" spans="1:40">
      <c r="A4" s="638">
        <f>RELAÇ_TUDO!A29</f>
        <v>42.591906538294616</v>
      </c>
      <c r="B4" s="639">
        <f>RELAÇ_TUDO!B29</f>
        <v>1979</v>
      </c>
      <c r="C4" s="639">
        <f>RELAÇ_TUDO!C29</f>
        <v>18.132603851075523</v>
      </c>
      <c r="D4" s="639">
        <f>RELAÇ_TUDO!D29</f>
        <v>47.22351277552319</v>
      </c>
      <c r="E4" s="639">
        <f>RELAÇ_TUDO!E29</f>
        <v>0.38397405837360715</v>
      </c>
      <c r="F4" s="639">
        <f>RELAÇ_TUDO!F29</f>
        <v>12850.072058969863</v>
      </c>
      <c r="G4" s="639">
        <f>RELAÇ_TUDO!G29</f>
        <v>0.80900000000000005</v>
      </c>
      <c r="H4" s="636" t="s">
        <v>37</v>
      </c>
      <c r="I4" s="638">
        <f>RELAÇ_TUDO!I29</f>
        <v>42.888851929114416</v>
      </c>
      <c r="J4" s="639">
        <f>RELAÇ_TUDO!J29</f>
        <v>2181</v>
      </c>
      <c r="K4" s="639">
        <f>RELAÇ_TUDO!K29</f>
        <v>20.39474920770467</v>
      </c>
      <c r="L4" s="639">
        <f>RELAÇ_TUDO!L29</f>
        <v>48.772808164313155</v>
      </c>
      <c r="M4" s="639">
        <f>RELAÇ_TUDO!M29</f>
        <v>0.41815819050229341</v>
      </c>
      <c r="N4" s="639">
        <f>RELAÇ_TUDO!N29</f>
        <v>13298.021312991703</v>
      </c>
      <c r="O4" s="639">
        <f>RELAÇ_TUDO!O29</f>
        <v>0.83199999999999996</v>
      </c>
      <c r="P4" s="636" t="s">
        <v>37</v>
      </c>
      <c r="Q4" s="638">
        <f>RELAÇ_TUDO!Q32</f>
        <v>42.459912832063367</v>
      </c>
      <c r="R4" s="639">
        <f>RELAÇ_TUDO!R32</f>
        <v>641</v>
      </c>
      <c r="S4" s="639" t="e">
        <f>RELAÇ_TUDO!S32</f>
        <v>#DIV/0!</v>
      </c>
      <c r="T4" s="639">
        <f>RELAÇ_TUDO!T32</f>
        <v>50.344241514128591</v>
      </c>
      <c r="U4" s="639" t="e">
        <f>RELAÇ_TUDO!U32</f>
        <v>#DIV/0!</v>
      </c>
      <c r="V4" s="639">
        <f>RELAÇ_TUDO!V32</f>
        <v>37599.27629617347</v>
      </c>
      <c r="W4" s="639">
        <f>RELAÇ_TUDO!W32</f>
        <v>0.88200000000000001</v>
      </c>
      <c r="X4" s="636" t="s">
        <v>40</v>
      </c>
      <c r="Y4" s="638">
        <f>RELAÇ_TUDO!Y29</f>
        <v>36.20662324196671</v>
      </c>
      <c r="Z4" s="639">
        <f>RELAÇ_TUDO!Z29</f>
        <v>2060</v>
      </c>
      <c r="AA4" s="639" t="e">
        <f>RELAÇ_TUDO!AA29</f>
        <v>#DIV/0!</v>
      </c>
      <c r="AB4" s="639">
        <f>RELAÇ_TUDO!AB29</f>
        <v>40.1905892369602</v>
      </c>
      <c r="AC4" s="639" t="e">
        <f>RELAÇ_TUDO!AC29</f>
        <v>#DIV/0!</v>
      </c>
      <c r="AD4" s="639">
        <f>RELAÇ_TUDO!AD29</f>
        <v>16688.742224076006</v>
      </c>
      <c r="AE4" s="639">
        <f>RELAÇ_TUDO!AE29</f>
        <v>0.84699999999999998</v>
      </c>
      <c r="AF4" s="636" t="s">
        <v>37</v>
      </c>
      <c r="AG4" s="638" t="e">
        <f>RELAÇ_TUDO!AG25</f>
        <v>#DIV/0!</v>
      </c>
      <c r="AH4" s="639">
        <f>RELAÇ_TUDO!AH25</f>
        <v>2619</v>
      </c>
      <c r="AI4" s="639" t="e">
        <f>RELAÇ_TUDO!AI25</f>
        <v>#DIV/0!</v>
      </c>
      <c r="AJ4" s="639">
        <f>RELAÇ_TUDO!AJ25</f>
        <v>47.032296228401329</v>
      </c>
      <c r="AK4" s="639" t="e">
        <f>RELAÇ_TUDO!AK25</f>
        <v>#DIV/0!</v>
      </c>
      <c r="AL4" s="639">
        <f>RELAÇ_TUDO!AL25</f>
        <v>20933.796692269236</v>
      </c>
      <c r="AM4" s="639">
        <f>RELAÇ_TUDO!AM25</f>
        <v>0.85804255319148925</v>
      </c>
      <c r="AN4" s="636" t="s">
        <v>33</v>
      </c>
    </row>
    <row r="5" spans="1:40">
      <c r="A5" s="638">
        <f>RELAÇ_TUDO!A32</f>
        <v>44.127427852649333</v>
      </c>
      <c r="B5" s="639">
        <f>RELAÇ_TUDO!B32</f>
        <v>576</v>
      </c>
      <c r="C5" s="639">
        <f>RELAÇ_TUDO!C32</f>
        <v>22.095344480230036</v>
      </c>
      <c r="D5" s="639">
        <f>RELAÇ_TUDO!D32</f>
        <v>53.002167935896821</v>
      </c>
      <c r="E5" s="639">
        <f>RELAÇ_TUDO!E32</f>
        <v>0.41687623998612905</v>
      </c>
      <c r="F5" s="639">
        <f>RELAÇ_TUDO!F32</f>
        <v>30991.496299239781</v>
      </c>
      <c r="G5" s="639">
        <f>RELAÇ_TUDO!G32</f>
        <v>0.84599999999999997</v>
      </c>
      <c r="H5" s="636" t="s">
        <v>40</v>
      </c>
      <c r="I5" s="638">
        <f>RELAÇ_TUDO!I24</f>
        <v>49.921706065738178</v>
      </c>
      <c r="J5" s="639">
        <f>RELAÇ_TUDO!J24</f>
        <v>4286</v>
      </c>
      <c r="K5" s="639">
        <f>RELAÇ_TUDO!K24</f>
        <v>21.870326212805519</v>
      </c>
      <c r="L5" s="639">
        <f>RELAÇ_TUDO!L24</f>
        <v>65.93655445042512</v>
      </c>
      <c r="M5" s="639">
        <f>RELAÇ_TUDO!M24</f>
        <v>0.33168742884872582</v>
      </c>
      <c r="N5" s="639">
        <f>RELAÇ_TUDO!N24</f>
        <v>10013.762537453182</v>
      </c>
      <c r="O5" s="639">
        <f>RELAÇ_TUDO!O24</f>
        <v>0.8</v>
      </c>
      <c r="P5" s="636" t="s">
        <v>32</v>
      </c>
      <c r="Q5" s="638">
        <f>RELAÇ_TUDO!Q29</f>
        <v>38.20562875544433</v>
      </c>
      <c r="R5" s="639">
        <f>RELAÇ_TUDO!R29</f>
        <v>2035</v>
      </c>
      <c r="S5" s="639" t="e">
        <f>RELAÇ_TUDO!S29</f>
        <v>#DIV/0!</v>
      </c>
      <c r="T5" s="639">
        <f>RELAÇ_TUDO!T29</f>
        <v>42.505444247687059</v>
      </c>
      <c r="U5" s="639" t="e">
        <f>RELAÇ_TUDO!U29</f>
        <v>#DIV/0!</v>
      </c>
      <c r="V5" s="639">
        <f>RELAÇ_TUDO!V29</f>
        <v>14304.825274705392</v>
      </c>
      <c r="W5" s="639">
        <f>RELAÇ_TUDO!W29</f>
        <v>0.84</v>
      </c>
      <c r="X5" s="636" t="s">
        <v>37</v>
      </c>
      <c r="Y5" s="638">
        <f>RELAÇ_TUDO!Y7</f>
        <v>41.04470859312552</v>
      </c>
      <c r="Z5" s="639">
        <f>RELAÇ_TUDO!Z7</f>
        <v>457</v>
      </c>
      <c r="AA5" s="639" t="e">
        <f>RELAÇ_TUDO!AA7</f>
        <v>#DIV/0!</v>
      </c>
      <c r="AB5" s="639">
        <f>RELAÇ_TUDO!AB7</f>
        <v>76.172125669006277</v>
      </c>
      <c r="AC5" s="639" t="e">
        <f>RELAÇ_TUDO!AC7</f>
        <v>#DIV/0!</v>
      </c>
      <c r="AD5" s="639">
        <f>RELAÇ_TUDO!AD7</f>
        <v>13042.830845316787</v>
      </c>
      <c r="AE5" s="639">
        <f>RELAÇ_TUDO!AE7</f>
        <v>0.79600000000000004</v>
      </c>
      <c r="AF5" s="636" t="s">
        <v>15</v>
      </c>
      <c r="AG5" s="638" t="e">
        <f>RELAÇ_TUDO!AG6</f>
        <v>#DIV/0!</v>
      </c>
      <c r="AH5" s="639">
        <f>RELAÇ_TUDO!AH6</f>
        <v>114</v>
      </c>
      <c r="AI5" s="639" t="e">
        <f>RELAÇ_TUDO!AI6</f>
        <v>#DIV/0!</v>
      </c>
      <c r="AJ5" s="639">
        <f>RELAÇ_TUDO!AJ6</f>
        <v>74.688470458744447</v>
      </c>
      <c r="AK5" s="639" t="e">
        <f>RELAÇ_TUDO!AK6</f>
        <v>#DIV/0!</v>
      </c>
      <c r="AL5" s="639">
        <f>RELAÇ_TUDO!AL6</f>
        <v>12307.130094771786</v>
      </c>
      <c r="AM5" s="639">
        <f>RELAÇ_TUDO!AM6</f>
        <v>0.81115335868187588</v>
      </c>
      <c r="AN5" s="636" t="s">
        <v>14</v>
      </c>
    </row>
    <row r="6" spans="1:40">
      <c r="A6" s="638">
        <f>RELAÇ_TUDO!A24</f>
        <v>50.66836893725295</v>
      </c>
      <c r="B6" s="639">
        <f>RELAÇ_TUDO!B24</f>
        <v>3863</v>
      </c>
      <c r="C6" s="639">
        <f>RELAÇ_TUDO!C24</f>
        <v>19.282154777551916</v>
      </c>
      <c r="D6" s="639">
        <f>RELAÇ_TUDO!D24</f>
        <v>64.994159274555486</v>
      </c>
      <c r="E6" s="639">
        <f>RELAÇ_TUDO!E24</f>
        <v>0.29667519347543392</v>
      </c>
      <c r="F6" s="639">
        <f>RELAÇ_TUDO!F24</f>
        <v>9335.9708461572063</v>
      </c>
      <c r="G6" s="639">
        <f>RELAÇ_TUDO!G24</f>
        <v>0.76800000000000002</v>
      </c>
      <c r="H6" s="636" t="s">
        <v>32</v>
      </c>
      <c r="I6" s="638">
        <f>RELAÇ_TUDO!I32</f>
        <v>45.092469199936886</v>
      </c>
      <c r="J6" s="639">
        <f>RELAÇ_TUDO!J32</f>
        <v>636</v>
      </c>
      <c r="K6" s="639">
        <f>RELAÇ_TUDO!K32</f>
        <v>24.745541133625924</v>
      </c>
      <c r="L6" s="639">
        <f>RELAÇ_TUDO!L32</f>
        <v>54.165690804181658</v>
      </c>
      <c r="M6" s="639">
        <f>RELAÇ_TUDO!M32</f>
        <v>0.4568489899461512</v>
      </c>
      <c r="N6" s="639">
        <f>RELAÇ_TUDO!N32</f>
        <v>34514.738299306933</v>
      </c>
      <c r="O6" s="639">
        <f>RELAÇ_TUDO!O32</f>
        <v>0.874</v>
      </c>
      <c r="P6" s="636" t="s">
        <v>40</v>
      </c>
      <c r="Q6" s="638">
        <f>RELAÇ_TUDO!Q24</f>
        <v>49.052265221226712</v>
      </c>
      <c r="R6" s="639">
        <f>RELAÇ_TUDO!R24</f>
        <v>4489</v>
      </c>
      <c r="S6" s="639" t="e">
        <f>RELAÇ_TUDO!S24</f>
        <v>#DIV/0!</v>
      </c>
      <c r="T6" s="639">
        <f>RELAÇ_TUDO!T24</f>
        <v>62.793149517776868</v>
      </c>
      <c r="U6" s="639" t="e">
        <f>RELAÇ_TUDO!U24</f>
        <v>#DIV/0!</v>
      </c>
      <c r="V6" s="639">
        <f>RELAÇ_TUDO!V24</f>
        <v>11024.695937721497</v>
      </c>
      <c r="W6" s="639">
        <f>RELAÇ_TUDO!W24</f>
        <v>0.81299999999999994</v>
      </c>
      <c r="X6" s="636" t="s">
        <v>32</v>
      </c>
      <c r="Y6" s="638">
        <f>RELAÇ_TUDO!Y24</f>
        <v>45.223968131741927</v>
      </c>
      <c r="Z6" s="639">
        <f>RELAÇ_TUDO!Z24</f>
        <v>4394</v>
      </c>
      <c r="AA6" s="639" t="e">
        <f>RELAÇ_TUDO!AA24</f>
        <v>#DIV/0!</v>
      </c>
      <c r="AB6" s="639">
        <f>RELAÇ_TUDO!AB24</f>
        <v>56.555320215862672</v>
      </c>
      <c r="AC6" s="639" t="e">
        <f>RELAÇ_TUDO!AC24</f>
        <v>#DIV/0!</v>
      </c>
      <c r="AD6" s="639">
        <f>RELAÇ_TUDO!AD24</f>
        <v>12519.399202946424</v>
      </c>
      <c r="AE6" s="639">
        <f>RELAÇ_TUDO!AE24</f>
        <v>0.82499999999999996</v>
      </c>
      <c r="AF6" s="636" t="s">
        <v>32</v>
      </c>
      <c r="AG6" s="638" t="e">
        <f>RELAÇ_TUDO!AG7</f>
        <v>#DIV/0!</v>
      </c>
      <c r="AH6" s="639">
        <f>RELAÇ_TUDO!AH7</f>
        <v>453</v>
      </c>
      <c r="AI6" s="639" t="e">
        <f>RELAÇ_TUDO!AI7</f>
        <v>#DIV/0!</v>
      </c>
      <c r="AJ6" s="639">
        <f>RELAÇ_TUDO!AJ7</f>
        <v>64.635891611459812</v>
      </c>
      <c r="AK6" s="639" t="e">
        <f>RELAÇ_TUDO!AK7</f>
        <v>#DIV/0!</v>
      </c>
      <c r="AL6" s="639">
        <f>RELAÇ_TUDO!AL7</f>
        <v>14384.606589199375</v>
      </c>
      <c r="AM6" s="639">
        <f>RELAÇ_TUDO!AM7</f>
        <v>0.80818367346938791</v>
      </c>
      <c r="AN6" s="636" t="s">
        <v>15</v>
      </c>
    </row>
    <row r="7" spans="1:40">
      <c r="A7" s="638">
        <f>RELAÇ_TUDO!A7</f>
        <v>40.45893557462017</v>
      </c>
      <c r="B7" s="639">
        <f>RELAÇ_TUDO!B7</f>
        <v>365</v>
      </c>
      <c r="C7" s="639">
        <f>RELAÇ_TUDO!C7</f>
        <v>10.75631004931105</v>
      </c>
      <c r="D7" s="639">
        <f>RELAÇ_TUDO!D7</f>
        <v>83.610316367692974</v>
      </c>
      <c r="E7" s="639">
        <f>RELAÇ_TUDO!E7</f>
        <v>0.12864812043059426</v>
      </c>
      <c r="F7" s="639">
        <f>RELAÇ_TUDO!F7</f>
        <v>9657.9742548466002</v>
      </c>
      <c r="G7" s="639">
        <f>RELAÇ_TUDO!G7</f>
        <v>0.71699999999999997</v>
      </c>
      <c r="H7" s="636" t="s">
        <v>15</v>
      </c>
      <c r="I7" s="638">
        <f>RELAÇ_TUDO!I7</f>
        <v>50.246207503553158</v>
      </c>
      <c r="J7" s="639">
        <f>RELAÇ_TUDO!J7</f>
        <v>467</v>
      </c>
      <c r="K7" s="639">
        <f>RELAÇ_TUDO!K7</f>
        <v>13.40419089060372</v>
      </c>
      <c r="L7" s="639">
        <f>RELAÇ_TUDO!L7</f>
        <v>95.747341832362196</v>
      </c>
      <c r="M7" s="639">
        <f>RELAÇ_TUDO!M7</f>
        <v>0.13999543626048908</v>
      </c>
      <c r="N7" s="639">
        <f>RELAÇ_TUDO!N7</f>
        <v>10318.295712704374</v>
      </c>
      <c r="O7" s="639">
        <f>RELAÇ_TUDO!O7</f>
        <v>0.78</v>
      </c>
      <c r="P7" s="636" t="s">
        <v>15</v>
      </c>
      <c r="Q7" s="638">
        <f>RELAÇ_TUDO!Q5</f>
        <v>61.622473869153353</v>
      </c>
      <c r="R7" s="639">
        <f>RELAÇ_TUDO!R5</f>
        <v>163</v>
      </c>
      <c r="S7" s="639" t="e">
        <f>RELAÇ_TUDO!S5</f>
        <v>#DIV/0!</v>
      </c>
      <c r="T7" s="639">
        <f>RELAÇ_TUDO!T5</f>
        <v>102.98465970835755</v>
      </c>
      <c r="U7" s="639" t="e">
        <f>RELAÇ_TUDO!U5</f>
        <v>#DIV/0!</v>
      </c>
      <c r="V7" s="639">
        <f>RELAÇ_TUDO!V5</f>
        <v>7040.859526540341</v>
      </c>
      <c r="W7" s="639">
        <f>RELAÇ_TUDO!W5</f>
        <v>0.76300000000000001</v>
      </c>
      <c r="X7" s="636" t="s">
        <v>13</v>
      </c>
      <c r="Y7" s="638">
        <f>RELAÇ_TUDO!Y32</f>
        <v>34.567971751398204</v>
      </c>
      <c r="Z7" s="639">
        <f>RELAÇ_TUDO!Z32</f>
        <v>550</v>
      </c>
      <c r="AA7" s="639" t="e">
        <f>RELAÇ_TUDO!AA32</f>
        <v>#DIV/0!</v>
      </c>
      <c r="AB7" s="639">
        <f>RELAÇ_TUDO!AB32</f>
        <v>40.620864057477782</v>
      </c>
      <c r="AC7" s="639" t="e">
        <f>RELAÇ_TUDO!AC32</f>
        <v>#DIV/0!</v>
      </c>
      <c r="AD7" s="639">
        <f>RELAÇ_TUDO!AD32</f>
        <v>40696.078149258523</v>
      </c>
      <c r="AE7" s="639">
        <f>RELAÇ_TUDO!AE32</f>
        <v>0.9</v>
      </c>
      <c r="AF7" s="636" t="s">
        <v>40</v>
      </c>
      <c r="AG7" s="638" t="e">
        <f>RELAÇ_TUDO!AG29</f>
        <v>#DIV/0!</v>
      </c>
      <c r="AH7" s="639">
        <f>RELAÇ_TUDO!AH29</f>
        <v>1988</v>
      </c>
      <c r="AI7" s="639" t="e">
        <f>RELAÇ_TUDO!AI29</f>
        <v>#DIV/0!</v>
      </c>
      <c r="AJ7" s="639">
        <f>RELAÇ_TUDO!AJ29</f>
        <v>33.77860030519679</v>
      </c>
      <c r="AK7" s="639" t="e">
        <f>RELAÇ_TUDO!AK29</f>
        <v>#DIV/0!</v>
      </c>
      <c r="AL7" s="639">
        <f>RELAÇ_TUDO!AL29</f>
        <v>19469.941902341296</v>
      </c>
      <c r="AM7" s="639">
        <f>RELAÇ_TUDO!AM29</f>
        <v>0.85405833333333325</v>
      </c>
      <c r="AN7" s="636" t="s">
        <v>37</v>
      </c>
    </row>
    <row r="8" spans="1:40">
      <c r="A8" s="638">
        <f>RELAÇ_TUDO!A30</f>
        <v>53.074054148577261</v>
      </c>
      <c r="B8" s="639">
        <f>RELAÇ_TUDO!B30</f>
        <v>1812</v>
      </c>
      <c r="C8" s="639">
        <f>RELAÇ_TUDO!C30</f>
        <v>29.614003043443514</v>
      </c>
      <c r="D8" s="639">
        <f>RELAÇ_TUDO!D30</f>
        <v>61.790365613456935</v>
      </c>
      <c r="E8" s="639">
        <f>RELAÇ_TUDO!E30</f>
        <v>0.47926570347067288</v>
      </c>
      <c r="F8" s="639">
        <f>RELAÇ_TUDO!F30</f>
        <v>13403.291564203719</v>
      </c>
      <c r="G8" s="639">
        <f>RELAÇ_TUDO!G30</f>
        <v>0.80600000000000005</v>
      </c>
      <c r="H8" s="636" t="s">
        <v>38</v>
      </c>
      <c r="I8" s="638">
        <f>RELAÇ_TUDO!I30</f>
        <v>48.170244558587974</v>
      </c>
      <c r="J8" s="639">
        <f>RELAÇ_TUDO!J30</f>
        <v>1835</v>
      </c>
      <c r="K8" s="639">
        <f>RELAÇ_TUDO!K30</f>
        <v>29.367348885385077</v>
      </c>
      <c r="L8" s="639">
        <f>RELAÇ_TUDO!L30</f>
        <v>57.810278951135665</v>
      </c>
      <c r="M8" s="639">
        <f>RELAÇ_TUDO!M30</f>
        <v>0.50799528073905209</v>
      </c>
      <c r="N8" s="639">
        <f>RELAÇ_TUDO!N30</f>
        <v>14542.791465261676</v>
      </c>
      <c r="O8" s="639">
        <f>RELAÇ_TUDO!O30</f>
        <v>0.84</v>
      </c>
      <c r="P8" s="636" t="s">
        <v>38</v>
      </c>
      <c r="Q8" s="638">
        <f>RELAÇ_TUDO!Q30</f>
        <v>49.044680391400462</v>
      </c>
      <c r="R8" s="639">
        <f>RELAÇ_TUDO!R30</f>
        <v>1975</v>
      </c>
      <c r="S8" s="639" t="e">
        <f>RELAÇ_TUDO!S30</f>
        <v>#DIV/0!</v>
      </c>
      <c r="T8" s="639">
        <f>RELAÇ_TUDO!T30</f>
        <v>57.439439926198318</v>
      </c>
      <c r="U8" s="639" t="e">
        <f>RELAÇ_TUDO!U30</f>
        <v>#DIV/0!</v>
      </c>
      <c r="V8" s="639">
        <f>RELAÇ_TUDO!V30</f>
        <v>15633.198377044726</v>
      </c>
      <c r="W8" s="639">
        <f>RELAÇ_TUDO!W30</f>
        <v>0.84799999999999998</v>
      </c>
      <c r="X8" s="636" t="s">
        <v>38</v>
      </c>
      <c r="Y8" s="638">
        <f>RELAÇ_TUDO!Y25</f>
        <v>48.681519992994154</v>
      </c>
      <c r="Z8" s="639">
        <f>RELAÇ_TUDO!Z25</f>
        <v>2992</v>
      </c>
      <c r="AA8" s="639" t="e">
        <f>RELAÇ_TUDO!AA25</f>
        <v>#DIV/0!</v>
      </c>
      <c r="AB8" s="639">
        <f>RELAÇ_TUDO!AB25</f>
        <v>60.355313668098219</v>
      </c>
      <c r="AC8" s="639" t="e">
        <f>RELAÇ_TUDO!AC25</f>
        <v>#DIV/0!</v>
      </c>
      <c r="AD8" s="639">
        <f>RELAÇ_TUDO!AD25</f>
        <v>19245.079344487516</v>
      </c>
      <c r="AE8" s="639">
        <f>RELAÇ_TUDO!AE25</f>
        <v>0.85199999999999998</v>
      </c>
      <c r="AF8" s="636" t="s">
        <v>33</v>
      </c>
      <c r="AG8" s="638" t="e">
        <f>RELAÇ_TUDO!AG32</f>
        <v>#DIV/0!</v>
      </c>
      <c r="AH8" s="639">
        <f>RELAÇ_TUDO!AH32</f>
        <v>536</v>
      </c>
      <c r="AI8" s="639" t="e">
        <f>RELAÇ_TUDO!AI32</f>
        <v>#DIV/0!</v>
      </c>
      <c r="AJ8" s="639">
        <f>RELAÇ_TUDO!AJ32</f>
        <v>35.470614316628172</v>
      </c>
      <c r="AK8" s="639" t="e">
        <f>RELAÇ_TUDO!AK32</f>
        <v>#DIV/0!</v>
      </c>
      <c r="AL8" s="639">
        <f>RELAÇ_TUDO!AL32</f>
        <v>44047.942936048159</v>
      </c>
      <c r="AM8" s="639">
        <f>RELAÇ_TUDO!AM32</f>
        <v>0.91836734693877553</v>
      </c>
      <c r="AN8" s="636" t="s">
        <v>40</v>
      </c>
    </row>
    <row r="9" spans="1:40">
      <c r="A9" s="638">
        <f>RELAÇ_TUDO!A14</f>
        <v>59.389401424063209</v>
      </c>
      <c r="B9" s="639">
        <f>RELAÇ_TUDO!B14</f>
        <v>1831</v>
      </c>
      <c r="C9" s="639">
        <f>RELAÇ_TUDO!C14</f>
        <v>12.508966695132365</v>
      </c>
      <c r="D9" s="639">
        <f>RELAÇ_TUDO!D14</f>
        <v>97.663594521664407</v>
      </c>
      <c r="E9" s="639">
        <f>RELAÇ_TUDO!E14</f>
        <v>0.12808218616567038</v>
      </c>
      <c r="F9" s="639">
        <f>RELAÇ_TUDO!F14</f>
        <v>5780.0613950999459</v>
      </c>
      <c r="G9" s="639">
        <f>RELAÇ_TUDO!G14</f>
        <v>0.69599999999999995</v>
      </c>
      <c r="H9" s="636" t="s">
        <v>22</v>
      </c>
      <c r="I9" s="638">
        <f>RELAÇ_TUDO!I25</f>
        <v>52.428711649715972</v>
      </c>
      <c r="J9" s="639">
        <f>RELAÇ_TUDO!J25</f>
        <v>2829</v>
      </c>
      <c r="K9" s="639">
        <f>RELAÇ_TUDO!K25</f>
        <v>17.692386251371097</v>
      </c>
      <c r="L9" s="639">
        <f>RELAÇ_TUDO!L25</f>
        <v>66.288136180997313</v>
      </c>
      <c r="M9" s="639">
        <f>RELAÇ_TUDO!M25</f>
        <v>0.26690124765407025</v>
      </c>
      <c r="N9" s="639">
        <f>RELAÇ_TUDO!N25</f>
        <v>16057.400564323567</v>
      </c>
      <c r="O9" s="639">
        <f>RELAÇ_TUDO!O25</f>
        <v>0.83199999999999996</v>
      </c>
      <c r="P9" s="636" t="s">
        <v>33</v>
      </c>
      <c r="Q9" s="638">
        <f>RELAÇ_TUDO!Q7</f>
        <v>48.416360821514147</v>
      </c>
      <c r="R9" s="639">
        <f>RELAÇ_TUDO!R7</f>
        <v>506</v>
      </c>
      <c r="S9" s="639" t="e">
        <f>RELAÇ_TUDO!S7</f>
        <v>#DIV/0!</v>
      </c>
      <c r="T9" s="639">
        <f>RELAÇ_TUDO!T7</f>
        <v>92.700648354929896</v>
      </c>
      <c r="U9" s="639" t="e">
        <f>RELAÇ_TUDO!U7</f>
        <v>#DIV/0!</v>
      </c>
      <c r="V9" s="639">
        <f>RELAÇ_TUDO!V7</f>
        <v>11826.21404378744</v>
      </c>
      <c r="W9" s="639">
        <f>RELAÇ_TUDO!W7</f>
        <v>0.78400000000000003</v>
      </c>
      <c r="X9" s="636" t="s">
        <v>15</v>
      </c>
      <c r="Y9" s="638">
        <f>RELAÇ_TUDO!Y9</f>
        <v>66.226425876853952</v>
      </c>
      <c r="Z9" s="639">
        <f>RELAÇ_TUDO!Z9</f>
        <v>663</v>
      </c>
      <c r="AA9" s="639" t="e">
        <f>RELAÇ_TUDO!AA9</f>
        <v>#DIV/0!</v>
      </c>
      <c r="AB9" s="639">
        <f>RELAÇ_TUDO!AB9</f>
        <v>102.14803607689913</v>
      </c>
      <c r="AC9" s="639" t="e">
        <f>RELAÇ_TUDO!AC9</f>
        <v>#DIV/0!</v>
      </c>
      <c r="AD9" s="639">
        <f>RELAÇ_TUDO!AD9</f>
        <v>10319.980859045867</v>
      </c>
      <c r="AE9" s="639">
        <f>RELAÇ_TUDO!AE9</f>
        <v>0.78400000000000003</v>
      </c>
      <c r="AF9" s="636" t="s">
        <v>17</v>
      </c>
      <c r="AG9" s="638" t="e">
        <f>RELAÇ_TUDO!AG24</f>
        <v>#DIV/0!</v>
      </c>
      <c r="AH9" s="639">
        <f>RELAÇ_TUDO!AH24</f>
        <v>4158</v>
      </c>
      <c r="AI9" s="639" t="e">
        <f>RELAÇ_TUDO!AI24</f>
        <v>#DIV/0!</v>
      </c>
      <c r="AJ9" s="639">
        <f>RELAÇ_TUDO!AJ24</f>
        <v>46.799749185759772</v>
      </c>
      <c r="AK9" s="639" t="e">
        <f>RELAÇ_TUDO!AK24</f>
        <v>#DIV/0!</v>
      </c>
      <c r="AL9" s="639">
        <f>RELAÇ_TUDO!AL24</f>
        <v>14216.750946069944</v>
      </c>
      <c r="AM9" s="639">
        <f>RELAÇ_TUDO!AM24</f>
        <v>0.83717712177121772</v>
      </c>
      <c r="AN9" s="636" t="s">
        <v>32</v>
      </c>
    </row>
    <row r="10" spans="1:40">
      <c r="A10" s="638">
        <f>RELAÇ_TUDO!A25</f>
        <v>44.980154170670126</v>
      </c>
      <c r="B10" s="639">
        <f>RELAÇ_TUDO!B25</f>
        <v>2284</v>
      </c>
      <c r="C10" s="639">
        <f>RELAÇ_TUDO!C25</f>
        <v>14.265739751683688</v>
      </c>
      <c r="D10" s="639">
        <f>RELAÇ_TUDO!D25</f>
        <v>57.550838884108387</v>
      </c>
      <c r="E10" s="639">
        <f>RELAÇ_TUDO!E25</f>
        <v>0.2478806569685453</v>
      </c>
      <c r="F10" s="639">
        <f>RELAÇ_TUDO!F25</f>
        <v>14663.819164048769</v>
      </c>
      <c r="G10" s="639">
        <f>RELAÇ_TUDO!G25</f>
        <v>0.80200000000000005</v>
      </c>
      <c r="H10" s="636" t="s">
        <v>33</v>
      </c>
      <c r="I10" s="638">
        <f>RELAÇ_TUDO!I9</f>
        <v>67.090830837959714</v>
      </c>
      <c r="J10" s="639">
        <f>RELAÇ_TUDO!J9</f>
        <v>597</v>
      </c>
      <c r="K10" s="639">
        <f>RELAÇ_TUDO!K9</f>
        <v>38.210225363525169</v>
      </c>
      <c r="L10" s="639">
        <f>RELAÇ_TUDO!L9</f>
        <v>117.13116925159657</v>
      </c>
      <c r="M10" s="639">
        <f>RELAÇ_TUDO!M9</f>
        <v>0.32621739890131202</v>
      </c>
      <c r="N10" s="639">
        <f>RELAÇ_TUDO!N9</f>
        <v>8395.7365320465706</v>
      </c>
      <c r="O10" s="639">
        <f>RELAÇ_TUDO!O9</f>
        <v>0.77600000000000002</v>
      </c>
      <c r="P10" s="636" t="s">
        <v>17</v>
      </c>
      <c r="Q10" s="638">
        <f>RELAÇ_TUDO!Q33</f>
        <v>54.15946940233912</v>
      </c>
      <c r="R10" s="639">
        <f>RELAÇ_TUDO!R33</f>
        <v>1822</v>
      </c>
      <c r="S10" s="639" t="e">
        <f>RELAÇ_TUDO!S33</f>
        <v>#DIV/0!</v>
      </c>
      <c r="T10" s="639">
        <f>RELAÇ_TUDO!T33</f>
        <v>74.919580697064603</v>
      </c>
      <c r="U10" s="639" t="e">
        <f>RELAÇ_TUDO!U33</f>
        <v>#DIV/0!</v>
      </c>
      <c r="V10" s="639">
        <f>RELAÇ_TUDO!V33</f>
        <v>9956.2957432058174</v>
      </c>
      <c r="W10" s="639">
        <f>RELAÇ_TUDO!W33</f>
        <v>0.80700000000000005</v>
      </c>
      <c r="X10" s="636" t="s">
        <v>41</v>
      </c>
      <c r="Y10" s="638">
        <f>RELAÇ_TUDO!Y30</f>
        <v>43.807245783993459</v>
      </c>
      <c r="Z10" s="639">
        <f>RELAÇ_TUDO!Z30</f>
        <v>1890</v>
      </c>
      <c r="AA10" s="639" t="e">
        <f>RELAÇ_TUDO!AA30</f>
        <v>#DIV/0!</v>
      </c>
      <c r="AB10" s="639">
        <f>RELAÇ_TUDO!AB30</f>
        <v>51.164077511682464</v>
      </c>
      <c r="AC10" s="639" t="e">
        <f>RELAÇ_TUDO!AC30</f>
        <v>#DIV/0!</v>
      </c>
      <c r="AD10" s="639">
        <f>RELAÇ_TUDO!AD30</f>
        <v>17834.003039188749</v>
      </c>
      <c r="AE10" s="639">
        <f>RELAÇ_TUDO!AE30</f>
        <v>0.86</v>
      </c>
      <c r="AF10" s="636" t="s">
        <v>38</v>
      </c>
      <c r="AG10" s="638" t="e">
        <f>RELAÇ_TUDO!AG20</f>
        <v>#DIV/0!</v>
      </c>
      <c r="AH10" s="639">
        <f>RELAÇ_TUDO!AH20</f>
        <v>602</v>
      </c>
      <c r="AI10" s="639" t="e">
        <f>RELAÇ_TUDO!AI20</f>
        <v>#DIV/0!</v>
      </c>
      <c r="AJ10" s="639">
        <f>RELAÇ_TUDO!AJ20</f>
        <v>62.235151695597743</v>
      </c>
      <c r="AK10" s="639" t="e">
        <f>RELAÇ_TUDO!AK20</f>
        <v>#DIV/0!</v>
      </c>
      <c r="AL10" s="639">
        <f>RELAÇ_TUDO!AL20</f>
        <v>8568.9849649541356</v>
      </c>
      <c r="AM10" s="639">
        <f>RELAÇ_TUDO!AM20</f>
        <v>0.76416307277628026</v>
      </c>
      <c r="AN10" s="636" t="s">
        <v>28</v>
      </c>
    </row>
    <row r="11" spans="1:40">
      <c r="A11" s="638">
        <f>RELAÇ_TUDO!A9</f>
        <v>61.879304441709152</v>
      </c>
      <c r="B11" s="639">
        <f>RELAÇ_TUDO!B9</f>
        <v>488</v>
      </c>
      <c r="C11" s="639">
        <f>RELAÇ_TUDO!C9</f>
        <v>32.448728681417983</v>
      </c>
      <c r="D11" s="639">
        <f>RELAÇ_TUDO!D9</f>
        <v>109.45336120506356</v>
      </c>
      <c r="E11" s="639">
        <f>RELAÇ_TUDO!E9</f>
        <v>0.29646169221449942</v>
      </c>
      <c r="F11" s="639">
        <f>RELAÇ_TUDO!F9</f>
        <v>7208.585703859957</v>
      </c>
      <c r="G11" s="639">
        <f>RELAÇ_TUDO!G9</f>
        <v>0.72899999999999998</v>
      </c>
      <c r="H11" s="636" t="s">
        <v>17</v>
      </c>
      <c r="I11" s="638">
        <f>RELAÇ_TUDO!I20</f>
        <v>65.515785446387611</v>
      </c>
      <c r="J11" s="639">
        <f>RELAÇ_TUDO!J20</f>
        <v>649</v>
      </c>
      <c r="K11" s="639">
        <f>RELAÇ_TUDO!K20</f>
        <v>20.485936515061265</v>
      </c>
      <c r="L11" s="639">
        <f>RELAÇ_TUDO!L20</f>
        <v>95.527994559761666</v>
      </c>
      <c r="M11" s="639">
        <f>RELAÇ_TUDO!M20</f>
        <v>0.21444956119376507</v>
      </c>
      <c r="N11" s="639">
        <f>RELAÇ_TUDO!N20</f>
        <v>5950.3823597379833</v>
      </c>
      <c r="O11" s="639">
        <f>RELAÇ_TUDO!O20</f>
        <v>0.73799999999999999</v>
      </c>
      <c r="P11" s="636" t="s">
        <v>28</v>
      </c>
      <c r="Q11" s="638">
        <f>RELAÇ_TUDO!Q9</f>
        <v>61.441338634516249</v>
      </c>
      <c r="R11" s="639">
        <f>RELAÇ_TUDO!R9</f>
        <v>581</v>
      </c>
      <c r="S11" s="639" t="e">
        <f>RELAÇ_TUDO!S9</f>
        <v>#DIV/0!</v>
      </c>
      <c r="T11" s="639">
        <f>RELAÇ_TUDO!T9</f>
        <v>99.745400294944233</v>
      </c>
      <c r="U11" s="639" t="e">
        <f>RELAÇ_TUDO!U9</f>
        <v>#DIV/0!</v>
      </c>
      <c r="V11" s="639">
        <f>RELAÇ_TUDO!V9</f>
        <v>8389.2080729590089</v>
      </c>
      <c r="W11" s="639">
        <f>RELAÇ_TUDO!W9</f>
        <v>0.77900000000000003</v>
      </c>
      <c r="X11" s="636" t="s">
        <v>17</v>
      </c>
      <c r="Y11" s="638">
        <f>RELAÇ_TUDO!Y20</f>
        <v>47.759013413159124</v>
      </c>
      <c r="Z11" s="639">
        <f>RELAÇ_TUDO!Z20</f>
        <v>600</v>
      </c>
      <c r="AA11" s="639" t="e">
        <f>RELAÇ_TUDO!AA20</f>
        <v>#DIV/0!</v>
      </c>
      <c r="AB11" s="639">
        <f>RELAÇ_TUDO!AB20</f>
        <v>71.993462993560186</v>
      </c>
      <c r="AC11" s="639" t="e">
        <f>RELAÇ_TUDO!AC20</f>
        <v>#DIV/0!</v>
      </c>
      <c r="AD11" s="639">
        <f>RELAÇ_TUDO!AD20</f>
        <v>7607.0142261905885</v>
      </c>
      <c r="AE11" s="639">
        <f>RELAÇ_TUDO!AE20</f>
        <v>0.753</v>
      </c>
      <c r="AF11" s="636" t="s">
        <v>28</v>
      </c>
      <c r="AG11" s="638" t="e">
        <f>RELAÇ_TUDO!AG33</f>
        <v>#DIV/0!</v>
      </c>
      <c r="AH11" s="639">
        <f>RELAÇ_TUDO!AH33</f>
        <v>1988</v>
      </c>
      <c r="AI11" s="639" t="e">
        <f>RELAÇ_TUDO!AI33</f>
        <v>#DIV/0!</v>
      </c>
      <c r="AJ11" s="639">
        <f>RELAÇ_TUDO!AJ33</f>
        <v>62.730981279156651</v>
      </c>
      <c r="AK11" s="639" t="e">
        <f>RELAÇ_TUDO!AK33</f>
        <v>#DIV/0!</v>
      </c>
      <c r="AL11" s="639">
        <f>RELAÇ_TUDO!AL33</f>
        <v>13393.423695553261</v>
      </c>
      <c r="AM11" s="639">
        <f>RELAÇ_TUDO!AM33</f>
        <v>0.84135811648079284</v>
      </c>
      <c r="AN11" s="636" t="s">
        <v>41</v>
      </c>
    </row>
    <row r="12" spans="1:40">
      <c r="A12" s="638">
        <f>RELAÇ_TUDO!A10</f>
        <v>76.581625090385202</v>
      </c>
      <c r="B12" s="639">
        <f>RELAÇ_TUDO!B10</f>
        <v>126</v>
      </c>
      <c r="C12" s="639">
        <f>RELAÇ_TUDO!C10</f>
        <v>29.893451198940916</v>
      </c>
      <c r="D12" s="639">
        <f>RELAÇ_TUDO!D10</f>
        <v>124.24197603904747</v>
      </c>
      <c r="E12" s="639">
        <f>RELAÇ_TUDO!E10</f>
        <v>0.24060669470957088</v>
      </c>
      <c r="F12" s="639">
        <f>RELAÇ_TUDO!F10</f>
        <v>7360.8500722509125</v>
      </c>
      <c r="G12" s="639">
        <f>RELAÇ_TUDO!G10</f>
        <v>0.749</v>
      </c>
      <c r="H12" s="636" t="s">
        <v>18</v>
      </c>
      <c r="I12" s="638">
        <f>RELAÇ_TUDO!I34</f>
        <v>64.340445896427383</v>
      </c>
      <c r="J12" s="639">
        <f>RELAÇ_TUDO!J34</f>
        <v>1103</v>
      </c>
      <c r="K12" s="639">
        <f>RELAÇ_TUDO!K34</f>
        <v>36.341208030517386</v>
      </c>
      <c r="L12" s="639">
        <f>RELAÇ_TUDO!L34</f>
        <v>104.17512755077948</v>
      </c>
      <c r="M12" s="639">
        <f>RELAÇ_TUDO!M34</f>
        <v>0.34884726215288875</v>
      </c>
      <c r="N12" s="639">
        <f>RELAÇ_TUDO!N34</f>
        <v>13365.064178760551</v>
      </c>
      <c r="O12" s="639">
        <f>RELAÇ_TUDO!O34</f>
        <v>0.79600000000000004</v>
      </c>
      <c r="P12" s="636" t="s">
        <v>42</v>
      </c>
      <c r="Q12" s="638">
        <f>RELAÇ_TUDO!Q25</f>
        <v>45.881403193876267</v>
      </c>
      <c r="R12" s="639">
        <f>RELAÇ_TUDO!R25</f>
        <v>2704</v>
      </c>
      <c r="S12" s="639" t="e">
        <f>RELAÇ_TUDO!S25</f>
        <v>#DIV/0!</v>
      </c>
      <c r="T12" s="639">
        <f>RELAÇ_TUDO!T25</f>
        <v>58.693993524993246</v>
      </c>
      <c r="U12" s="639" t="e">
        <f>RELAÇ_TUDO!U25</f>
        <v>#DIV/0!</v>
      </c>
      <c r="V12" s="639">
        <f>RELAÇ_TUDO!V25</f>
        <v>17692.589854586546</v>
      </c>
      <c r="W12" s="639">
        <f>RELAÇ_TUDO!W25</f>
        <v>0.84599999999999997</v>
      </c>
      <c r="X12" s="636" t="s">
        <v>33</v>
      </c>
      <c r="Y12" s="638">
        <f>RELAÇ_TUDO!Y33</f>
        <v>53.540938598303377</v>
      </c>
      <c r="Z12" s="639">
        <f>RELAÇ_TUDO!Z33</f>
        <v>2025</v>
      </c>
      <c r="AA12" s="639" t="e">
        <f>RELAÇ_TUDO!AA33</f>
        <v>#DIV/0!</v>
      </c>
      <c r="AB12" s="639">
        <f>RELAÇ_TUDO!AB33</f>
        <v>76.330698510703257</v>
      </c>
      <c r="AC12" s="639" t="e">
        <f>RELAÇ_TUDO!AC33</f>
        <v>#DIV/0!</v>
      </c>
      <c r="AD12" s="639">
        <f>RELAÇ_TUDO!AD33</f>
        <v>11547.678871833459</v>
      </c>
      <c r="AE12" s="639">
        <f>RELAÇ_TUDO!AE33</f>
        <v>0.82399999999999995</v>
      </c>
      <c r="AF12" s="636" t="s">
        <v>41</v>
      </c>
      <c r="AG12" s="638" t="e">
        <f>RELAÇ_TUDO!AG9</f>
        <v>#DIV/0!</v>
      </c>
      <c r="AH12" s="639">
        <f>RELAÇ_TUDO!AH9</f>
        <v>535</v>
      </c>
      <c r="AI12" s="639" t="e">
        <f>RELAÇ_TUDO!AI9</f>
        <v>#DIV/0!</v>
      </c>
      <c r="AJ12" s="639">
        <f>RELAÇ_TUDO!AJ9</f>
        <v>70.551807444995958</v>
      </c>
      <c r="AK12" s="639" t="e">
        <f>RELAÇ_TUDO!AK9</f>
        <v>#DIV/0!</v>
      </c>
      <c r="AL12" s="639">
        <f>RELAÇ_TUDO!AL9</f>
        <v>12695.120207396179</v>
      </c>
      <c r="AM12" s="639">
        <f>RELAÇ_TUDO!AM9</f>
        <v>0.78903209242618744</v>
      </c>
      <c r="AN12" s="636" t="s">
        <v>17</v>
      </c>
    </row>
    <row r="13" spans="1:40">
      <c r="A13" s="638">
        <f>RELAÇ_TUDO!A20</f>
        <v>56.706595269995972</v>
      </c>
      <c r="B13" s="639">
        <f>RELAÇ_TUDO!B20</f>
        <v>501</v>
      </c>
      <c r="C13" s="639">
        <f>RELAÇ_TUDO!C20</f>
        <v>15.967384465934016</v>
      </c>
      <c r="D13" s="639">
        <f>RELAÇ_TUDO!D20</f>
        <v>82.317103226633279</v>
      </c>
      <c r="E13" s="639">
        <f>RELAÇ_TUDO!E20</f>
        <v>0.19397408120610166</v>
      </c>
      <c r="F13" s="639">
        <f>RELAÇ_TUDO!F20</f>
        <v>5259.9229536491393</v>
      </c>
      <c r="G13" s="639">
        <f>RELAÇ_TUDO!G20</f>
        <v>0.70199999999999996</v>
      </c>
      <c r="H13" s="636" t="s">
        <v>28</v>
      </c>
      <c r="I13" s="638">
        <f>RELAÇ_TUDO!I28</f>
        <v>65.451044350021931</v>
      </c>
      <c r="J13" s="639">
        <f>RELAÇ_TUDO!J28</f>
        <v>3388</v>
      </c>
      <c r="K13" s="639">
        <f>RELAÇ_TUDO!K28</f>
        <v>32.438044579524238</v>
      </c>
      <c r="L13" s="639">
        <f>RELAÇ_TUDO!L28</f>
        <v>70.775252225618473</v>
      </c>
      <c r="M13" s="639">
        <f>RELAÇ_TUDO!M28</f>
        <v>0.45832467648603681</v>
      </c>
      <c r="N13" s="639">
        <f>RELAÇ_TUDO!N28</f>
        <v>12344.437083128983</v>
      </c>
      <c r="O13" s="639">
        <f>RELAÇ_TUDO!O28</f>
        <v>0.82</v>
      </c>
      <c r="P13" s="636" t="s">
        <v>36</v>
      </c>
      <c r="Q13" s="638">
        <f>RELAÇ_TUDO!Q20</f>
        <v>53.289581884030049</v>
      </c>
      <c r="R13" s="639">
        <f>RELAÇ_TUDO!R20</f>
        <v>590</v>
      </c>
      <c r="S13" s="639" t="e">
        <f>RELAÇ_TUDO!S20</f>
        <v>#DIV/0!</v>
      </c>
      <c r="T13" s="639">
        <f>RELAÇ_TUDO!T20</f>
        <v>78.060500857342447</v>
      </c>
      <c r="U13" s="639" t="e">
        <f>RELAÇ_TUDO!U20</f>
        <v>#DIV/0!</v>
      </c>
      <c r="V13" s="639">
        <f>RELAÇ_TUDO!V20</f>
        <v>6753.0361733778263</v>
      </c>
      <c r="W13" s="639">
        <f>RELAÇ_TUDO!W20</f>
        <v>0.74199999999999999</v>
      </c>
      <c r="X13" s="636" t="s">
        <v>28</v>
      </c>
      <c r="Y13" s="638">
        <f>RELAÇ_TUDO!Y6</f>
        <v>39.912310749223145</v>
      </c>
      <c r="Z13" s="639">
        <f>RELAÇ_TUDO!Z6</f>
        <v>122</v>
      </c>
      <c r="AA13" s="639" t="e">
        <f>RELAÇ_TUDO!AA6</f>
        <v>#DIV/0!</v>
      </c>
      <c r="AB13" s="639">
        <f>RELAÇ_TUDO!AB6</f>
        <v>91.34129450080485</v>
      </c>
      <c r="AC13" s="639" t="e">
        <f>RELAÇ_TUDO!AC6</f>
        <v>#DIV/0!</v>
      </c>
      <c r="AD13" s="639">
        <f>RELAÇ_TUDO!AD6</f>
        <v>10253.735274365346</v>
      </c>
      <c r="AE13" s="639">
        <f>RELAÇ_TUDO!AE6</f>
        <v>0.8</v>
      </c>
      <c r="AF13" s="636" t="s">
        <v>14</v>
      </c>
      <c r="AG13" s="638" t="e">
        <f>RELAÇ_TUDO!AG30</f>
        <v>#DIV/0!</v>
      </c>
      <c r="AH13" s="639">
        <f>RELAÇ_TUDO!AH30</f>
        <v>1666</v>
      </c>
      <c r="AI13" s="639" t="e">
        <f>RELAÇ_TUDO!AI30</f>
        <v>#DIV/0!</v>
      </c>
      <c r="AJ13" s="639">
        <f>RELAÇ_TUDO!AJ30</f>
        <v>39.654817429553788</v>
      </c>
      <c r="AK13" s="639" t="e">
        <f>RELAÇ_TUDO!AK30</f>
        <v>#DIV/0!</v>
      </c>
      <c r="AL13" s="639">
        <f>RELAÇ_TUDO!AL30</f>
        <v>20344.631772140125</v>
      </c>
      <c r="AM13" s="639">
        <f>RELAÇ_TUDO!AM30</f>
        <v>0.87216981132075466</v>
      </c>
      <c r="AN13" s="636" t="s">
        <v>38</v>
      </c>
    </row>
    <row r="14" spans="1:40">
      <c r="A14" s="638">
        <f>RELAÇ_TUDO!A5</f>
        <v>60.580812704081495</v>
      </c>
      <c r="B14" s="639">
        <f>RELAÇ_TUDO!B5</f>
        <v>119</v>
      </c>
      <c r="C14" s="639">
        <f>RELAÇ_TUDO!C5</f>
        <v>17.217207368964754</v>
      </c>
      <c r="D14" s="639">
        <f>RELAÇ_TUDO!D5</f>
        <v>101.24988300958896</v>
      </c>
      <c r="E14" s="639">
        <f>RELAÇ_TUDO!E5</f>
        <v>0.170046689015277</v>
      </c>
      <c r="F14" s="639">
        <f>RELAÇ_TUDO!F5</f>
        <v>6251.2143002923021</v>
      </c>
      <c r="G14" s="639">
        <f>RELAÇ_TUDO!G5</f>
        <v>0.69199999999999995</v>
      </c>
      <c r="H14" s="636" t="s">
        <v>13</v>
      </c>
      <c r="I14" s="638">
        <f>RELAÇ_TUDO!I33</f>
        <v>61.354676118471417</v>
      </c>
      <c r="J14" s="639">
        <f>RELAÇ_TUDO!J33</f>
        <v>1923</v>
      </c>
      <c r="K14" s="639">
        <f>RELAÇ_TUDO!K33</f>
        <v>32.029778533152736</v>
      </c>
      <c r="L14" s="639">
        <f>RELAÇ_TUDO!L33</f>
        <v>87.499294727473597</v>
      </c>
      <c r="M14" s="639">
        <f>RELAÇ_TUDO!M33</f>
        <v>0.36605756232565173</v>
      </c>
      <c r="N14" s="639">
        <f>RELAÇ_TUDO!N33</f>
        <v>8992.0203633827969</v>
      </c>
      <c r="O14" s="639">
        <f>RELAÇ_TUDO!O33</f>
        <v>0.8</v>
      </c>
      <c r="P14" s="636" t="s">
        <v>41</v>
      </c>
      <c r="Q14" s="638">
        <f>RELAÇ_TUDO!Q14</f>
        <v>67.85183092614858</v>
      </c>
      <c r="R14" s="639">
        <f>RELAÇ_TUDO!R14</f>
        <v>2620</v>
      </c>
      <c r="S14" s="639" t="e">
        <f>RELAÇ_TUDO!S14</f>
        <v>#DIV/0!</v>
      </c>
      <c r="T14" s="639">
        <f>RELAÇ_TUDO!T14</f>
        <v>109.11974517624088</v>
      </c>
      <c r="U14" s="639" t="e">
        <f>RELAÇ_TUDO!U14</f>
        <v>#DIV/0!</v>
      </c>
      <c r="V14" s="639">
        <f>RELAÇ_TUDO!V14</f>
        <v>6918.9742353811434</v>
      </c>
      <c r="W14" s="639">
        <f>RELAÇ_TUDO!W14</f>
        <v>0.754</v>
      </c>
      <c r="X14" s="636" t="s">
        <v>22</v>
      </c>
      <c r="Y14" s="638">
        <f>RELAÇ_TUDO!Y5</f>
        <v>50.528436004315623</v>
      </c>
      <c r="Z14" s="639">
        <f>RELAÇ_TUDO!Z5</f>
        <v>157</v>
      </c>
      <c r="AA14" s="639" t="e">
        <f>RELAÇ_TUDO!AA5</f>
        <v>#DIV/0!</v>
      </c>
      <c r="AB14" s="639">
        <f>RELAÇ_TUDO!AB5</f>
        <v>88.946801880913256</v>
      </c>
      <c r="AC14" s="639" t="e">
        <f>RELAÇ_TUDO!AC5</f>
        <v>#DIV/0!</v>
      </c>
      <c r="AD14" s="639">
        <f>RELAÇ_TUDO!AD5</f>
        <v>8789.4917192419143</v>
      </c>
      <c r="AE14" s="639">
        <f>RELAÇ_TUDO!AE5</f>
        <v>0.78</v>
      </c>
      <c r="AF14" s="636" t="s">
        <v>13</v>
      </c>
      <c r="AG14" s="638" t="e">
        <f>RELAÇ_TUDO!AG5</f>
        <v>#DIV/0!</v>
      </c>
      <c r="AH14" s="639">
        <f>RELAÇ_TUDO!AH5</f>
        <v>128</v>
      </c>
      <c r="AI14" s="639" t="e">
        <f>RELAÇ_TUDO!AI5</f>
        <v>#DIV/0!</v>
      </c>
      <c r="AJ14" s="639">
        <f>RELAÇ_TUDO!AJ5</f>
        <v>62.203258867609108</v>
      </c>
      <c r="AK14" s="639" t="e">
        <f>RELAÇ_TUDO!AK5</f>
        <v>#DIV/0!</v>
      </c>
      <c r="AL14" s="639">
        <f>RELAÇ_TUDO!AL5</f>
        <v>10972.405342190226</v>
      </c>
      <c r="AM14" s="639">
        <f>RELAÇ_TUDO!AM5</f>
        <v>0.79737876802096985</v>
      </c>
      <c r="AN14" s="636" t="s">
        <v>13</v>
      </c>
    </row>
    <row r="15" spans="1:40">
      <c r="A15" s="638">
        <f>RELAÇ_TUDO!A33</f>
        <v>61.362279426386621</v>
      </c>
      <c r="B15" s="639">
        <f>RELAÇ_TUDO!B33</f>
        <v>1677</v>
      </c>
      <c r="C15" s="639">
        <f>RELAÇ_TUDO!C33</f>
        <v>28.297550515430519</v>
      </c>
      <c r="D15" s="639">
        <f>RELAÇ_TUDO!D33</f>
        <v>83.7920577920368</v>
      </c>
      <c r="E15" s="639">
        <f>RELAÇ_TUDO!E33</f>
        <v>0.3377116072941197</v>
      </c>
      <c r="F15" s="639">
        <f>RELAÇ_TUDO!F33</f>
        <v>8718.0125647535751</v>
      </c>
      <c r="G15" s="639">
        <f>RELAÇ_TUDO!G33</f>
        <v>0.77</v>
      </c>
      <c r="H15" s="636" t="s">
        <v>41</v>
      </c>
      <c r="I15" s="638">
        <f>RELAÇ_TUDO!I5</f>
        <v>57.145053874874257</v>
      </c>
      <c r="J15" s="639">
        <f>RELAÇ_TUDO!J5</f>
        <v>138</v>
      </c>
      <c r="K15" s="639">
        <f>RELAÇ_TUDO!K5</f>
        <v>18.812392731872965</v>
      </c>
      <c r="L15" s="639">
        <f>RELAÇ_TUDO!L5</f>
        <v>100.26519417299379</v>
      </c>
      <c r="M15" s="639">
        <f>RELAÇ_TUDO!M5</f>
        <v>0.18762635316314025</v>
      </c>
      <c r="N15" s="639">
        <f>RELAÇ_TUDO!N5</f>
        <v>6693.5622062631255</v>
      </c>
      <c r="O15" s="639">
        <f>RELAÇ_TUDO!O5</f>
        <v>0.751</v>
      </c>
      <c r="P15" s="636" t="s">
        <v>13</v>
      </c>
      <c r="Q15" s="638">
        <f>RELAÇ_TUDO!Q28</f>
        <v>59.251472325955625</v>
      </c>
      <c r="R15" s="639">
        <f>RELAÇ_TUDO!R28</f>
        <v>3313</v>
      </c>
      <c r="S15" s="639" t="e">
        <f>RELAÇ_TUDO!S28</f>
        <v>#DIV/0!</v>
      </c>
      <c r="T15" s="639">
        <f>RELAÇ_TUDO!T28</f>
        <v>64.100678890619051</v>
      </c>
      <c r="U15" s="639" t="e">
        <f>RELAÇ_TUDO!U28</f>
        <v>#DIV/0!</v>
      </c>
      <c r="V15" s="639">
        <f>RELAÇ_TUDO!V28</f>
        <v>13151.984836409982</v>
      </c>
      <c r="W15" s="639">
        <f>RELAÇ_TUDO!W28</f>
        <v>0.82699999999999996</v>
      </c>
      <c r="X15" s="636" t="s">
        <v>36</v>
      </c>
      <c r="Y15" s="638">
        <f>RELAÇ_TUDO!Y35</f>
        <v>51.534074919171474</v>
      </c>
      <c r="Z15" s="639">
        <f>RELAÇ_TUDO!Z35</f>
        <v>806</v>
      </c>
      <c r="AA15" s="639" t="e">
        <f>RELAÇ_TUDO!AA35</f>
        <v>#DIV/0!</v>
      </c>
      <c r="AB15" s="639">
        <f>RELAÇ_TUDO!AB35</f>
        <v>75.417886203205356</v>
      </c>
      <c r="AC15" s="639" t="e">
        <f>RELAÇ_TUDO!AC35</f>
        <v>#DIV/0!</v>
      </c>
      <c r="AD15" s="639">
        <f>RELAÇ_TUDO!AD35</f>
        <v>12411.183309341075</v>
      </c>
      <c r="AE15" s="639">
        <f>RELAÇ_TUDO!AE35</f>
        <v>0.83</v>
      </c>
      <c r="AF15" s="636" t="s">
        <v>43</v>
      </c>
      <c r="AG15" s="638" t="e">
        <f>RELAÇ_TUDO!AG14</f>
        <v>#DIV/0!</v>
      </c>
      <c r="AH15" s="639">
        <f>RELAÇ_TUDO!AH14</f>
        <v>2660</v>
      </c>
      <c r="AI15" s="639" t="e">
        <f>RELAÇ_TUDO!AI14</f>
        <v>#DIV/0!</v>
      </c>
      <c r="AJ15" s="639">
        <f>RELAÇ_TUDO!AJ14</f>
        <v>84.22183143855321</v>
      </c>
      <c r="AK15" s="639" t="e">
        <f>RELAÇ_TUDO!AK14</f>
        <v>#DIV/0!</v>
      </c>
      <c r="AL15" s="639">
        <f>RELAÇ_TUDO!AL14</f>
        <v>8764.8305661058675</v>
      </c>
      <c r="AM15" s="639">
        <f>RELAÇ_TUDO!AM14</f>
        <v>0.7802241379310344</v>
      </c>
      <c r="AN15" s="636" t="s">
        <v>22</v>
      </c>
    </row>
    <row r="16" spans="1:40">
      <c r="A16" s="638">
        <f>RELAÇ_TUDO!A35</f>
        <v>61.671773112392003</v>
      </c>
      <c r="B16" s="639">
        <f>RELAÇ_TUDO!B35</f>
        <v>701</v>
      </c>
      <c r="C16" s="639">
        <f>RELAÇ_TUDO!C35</f>
        <v>29.696469043231449</v>
      </c>
      <c r="D16" s="639">
        <f>RELAÇ_TUDO!D35</f>
        <v>86.226513730434519</v>
      </c>
      <c r="E16" s="639">
        <f>RELAÇ_TUDO!E35</f>
        <v>0.3444006693355362</v>
      </c>
      <c r="F16" s="639">
        <f>RELAÇ_TUDO!F35</f>
        <v>9461.2232481103729</v>
      </c>
      <c r="G16" s="639">
        <f>RELAÇ_TUDO!G35</f>
        <v>0.76900000000000002</v>
      </c>
      <c r="H16" s="636" t="s">
        <v>43</v>
      </c>
      <c r="I16" s="638">
        <f>RELAÇ_TUDO!I6</f>
        <v>53.251059702799004</v>
      </c>
      <c r="J16" s="639">
        <f>RELAÇ_TUDO!J6</f>
        <v>121</v>
      </c>
      <c r="K16" s="639">
        <f>RELAÇ_TUDO!K6</f>
        <v>18.072487102816023</v>
      </c>
      <c r="L16" s="639">
        <f>RELAÇ_TUDO!L6</f>
        <v>115.0354137947426</v>
      </c>
      <c r="M16" s="639">
        <f>RELAÇ_TUDO!M6</f>
        <v>0.15710368230658706</v>
      </c>
      <c r="N16" s="639">
        <f>RELAÇ_TUDO!N6</f>
        <v>7334.9321588002713</v>
      </c>
      <c r="O16" s="639">
        <f>RELAÇ_TUDO!O6</f>
        <v>0.78</v>
      </c>
      <c r="P16" s="636" t="s">
        <v>14</v>
      </c>
      <c r="Q16" s="638">
        <f>RELAÇ_TUDO!Q34</f>
        <v>56.880851212351189</v>
      </c>
      <c r="R16" s="639">
        <f>RELAÇ_TUDO!R34</f>
        <v>1071</v>
      </c>
      <c r="S16" s="639" t="e">
        <f>RELAÇ_TUDO!S34</f>
        <v>#DIV/0!</v>
      </c>
      <c r="T16" s="639">
        <f>RELAÇ_TUDO!T34</f>
        <v>90.498502254012649</v>
      </c>
      <c r="U16" s="639" t="e">
        <f>RELAÇ_TUDO!U34</f>
        <v>#DIV/0!</v>
      </c>
      <c r="V16" s="639">
        <f>RELAÇ_TUDO!V34</f>
        <v>12340.786324018361</v>
      </c>
      <c r="W16" s="639">
        <f>RELAÇ_TUDO!W34</f>
        <v>0.80400000000000005</v>
      </c>
      <c r="X16" s="636" t="s">
        <v>42</v>
      </c>
      <c r="Y16" s="638">
        <f>RELAÇ_TUDO!Y28</f>
        <v>57.755266806049733</v>
      </c>
      <c r="Z16" s="639">
        <f>RELAÇ_TUDO!Z28</f>
        <v>3584</v>
      </c>
      <c r="AA16" s="639" t="e">
        <f>RELAÇ_TUDO!AA28</f>
        <v>#DIV/0!</v>
      </c>
      <c r="AB16" s="639">
        <f>RELAÇ_TUDO!AB28</f>
        <v>64.648202125201422</v>
      </c>
      <c r="AC16" s="639" t="e">
        <f>RELAÇ_TUDO!AC28</f>
        <v>#DIV/0!</v>
      </c>
      <c r="AD16" s="639">
        <f>RELAÇ_TUDO!AD28</f>
        <v>15711.196108694512</v>
      </c>
      <c r="AE16" s="639">
        <f>RELAÇ_TUDO!AE28</f>
        <v>0.84599999999999997</v>
      </c>
      <c r="AF16" s="636" t="s">
        <v>36</v>
      </c>
      <c r="AG16" s="638" t="e">
        <f>RELAÇ_TUDO!AG28</f>
        <v>#DIV/0!</v>
      </c>
      <c r="AH16" s="639">
        <f>RELAÇ_TUDO!AH28</f>
        <v>3116</v>
      </c>
      <c r="AI16" s="639" t="e">
        <f>RELAÇ_TUDO!AI28</f>
        <v>#DIV/0!</v>
      </c>
      <c r="AJ16" s="639">
        <f>RELAÇ_TUDO!AJ28</f>
        <v>49.061725980813335</v>
      </c>
      <c r="AK16" s="639" t="e">
        <f>RELAÇ_TUDO!AK28</f>
        <v>#DIV/0!</v>
      </c>
      <c r="AL16" s="639">
        <f>RELAÇ_TUDO!AL28</f>
        <v>18768.397792134048</v>
      </c>
      <c r="AM16" s="639">
        <f>RELAÇ_TUDO!AM28</f>
        <v>0.86543651753325268</v>
      </c>
      <c r="AN16" s="636" t="s">
        <v>36</v>
      </c>
    </row>
    <row r="17" spans="1:40">
      <c r="A17" s="638">
        <f>RELAÇ_TUDO!A34</f>
        <v>71.024828835045952</v>
      </c>
      <c r="B17" s="639">
        <f>RELAÇ_TUDO!B34</f>
        <v>1105</v>
      </c>
      <c r="C17" s="639">
        <f>RELAÇ_TUDO!C34</f>
        <v>36.812166337689163</v>
      </c>
      <c r="D17" s="639">
        <f>RELAÇ_TUDO!D34</f>
        <v>116.40646398247056</v>
      </c>
      <c r="E17" s="639">
        <f>RELAÇ_TUDO!E34</f>
        <v>0.31623816305624264</v>
      </c>
      <c r="F17" s="639">
        <f>RELAÇ_TUDO!F34</f>
        <v>13444.588457402135</v>
      </c>
      <c r="G17" s="639">
        <f>RELAÇ_TUDO!G34</f>
        <v>0.76700000000000002</v>
      </c>
      <c r="H17" s="636" t="s">
        <v>42</v>
      </c>
      <c r="I17" s="638">
        <f>RELAÇ_TUDO!I14</f>
        <v>74.121763185967197</v>
      </c>
      <c r="J17" s="639">
        <f>RELAÇ_TUDO!J14</f>
        <v>2601</v>
      </c>
      <c r="K17" s="639">
        <f>RELAÇ_TUDO!K14</f>
        <v>18.556163535661863</v>
      </c>
      <c r="L17" s="639">
        <f>RELAÇ_TUDO!L14</f>
        <v>122.46373877415728</v>
      </c>
      <c r="M17" s="639">
        <f>RELAÇ_TUDO!M14</f>
        <v>0.15152373854829304</v>
      </c>
      <c r="N17" s="639">
        <f>RELAÇ_TUDO!N14</f>
        <v>6581.044983679928</v>
      </c>
      <c r="O17" s="639">
        <f>RELAÇ_TUDO!O14</f>
        <v>0.74199999999999999</v>
      </c>
      <c r="P17" s="636" t="s">
        <v>22</v>
      </c>
      <c r="Q17" s="638">
        <f>RELAÇ_TUDO!Q6</f>
        <v>58.911619379056383</v>
      </c>
      <c r="R17" s="639">
        <f>RELAÇ_TUDO!R6</f>
        <v>150</v>
      </c>
      <c r="S17" s="639" t="e">
        <f>RELAÇ_TUDO!S6</f>
        <v>#DIV/0!</v>
      </c>
      <c r="T17" s="639">
        <f>RELAÇ_TUDO!T6</f>
        <v>123.58800701979879</v>
      </c>
      <c r="U17" s="639" t="e">
        <f>RELAÇ_TUDO!U6</f>
        <v>#DIV/0!</v>
      </c>
      <c r="V17" s="639">
        <f>RELAÇ_TUDO!V6</f>
        <v>8542.9410648245685</v>
      </c>
      <c r="W17" s="639">
        <f>RELAÇ_TUDO!W6</f>
        <v>0.78900000000000003</v>
      </c>
      <c r="X17" s="636" t="s">
        <v>14</v>
      </c>
      <c r="Y17" s="638">
        <f>RELAÇ_TUDO!Y14</f>
        <v>65.777244631779013</v>
      </c>
      <c r="Z17" s="639">
        <f>RELAÇ_TUDO!Z14</f>
        <v>2834</v>
      </c>
      <c r="AA17" s="639" t="e">
        <f>RELAÇ_TUDO!AA14</f>
        <v>#DIV/0!</v>
      </c>
      <c r="AB17" s="639">
        <f>RELAÇ_TUDO!AB14</f>
        <v>106.19852378805713</v>
      </c>
      <c r="AC17" s="639" t="e">
        <f>RELAÇ_TUDO!AC14</f>
        <v>#DIV/0!</v>
      </c>
      <c r="AD17" s="639">
        <f>RELAÇ_TUDO!AD14</f>
        <v>7787.4024465393868</v>
      </c>
      <c r="AE17" s="639">
        <f>RELAÇ_TUDO!AE14</f>
        <v>0.76700000000000002</v>
      </c>
      <c r="AF17" s="636" t="s">
        <v>22</v>
      </c>
      <c r="AG17" s="638" t="e">
        <f>RELAÇ_TUDO!AG35</f>
        <v>#DIV/0!</v>
      </c>
      <c r="AH17" s="639">
        <f>RELAÇ_TUDO!AH35</f>
        <v>828</v>
      </c>
      <c r="AI17" s="639" t="e">
        <f>RELAÇ_TUDO!AI35</f>
        <v>#DIV/0!</v>
      </c>
      <c r="AJ17" s="639">
        <f>RELAÇ_TUDO!AJ35</f>
        <v>66.07091132374029</v>
      </c>
      <c r="AK17" s="639" t="e">
        <f>RELAÇ_TUDO!AK35</f>
        <v>#DIV/0!</v>
      </c>
      <c r="AL17" s="639">
        <f>RELAÇ_TUDO!AL35</f>
        <v>14542.202721963293</v>
      </c>
      <c r="AM17" s="639">
        <f>RELAÇ_TUDO!AM35</f>
        <v>0.84527607361963197</v>
      </c>
      <c r="AN17" s="636" t="s">
        <v>43</v>
      </c>
    </row>
    <row r="18" spans="1:40">
      <c r="A18" s="638">
        <f>RELAÇ_TUDO!A28</f>
        <v>68.948812741832583</v>
      </c>
      <c r="B18" s="639">
        <f>RELAÇ_TUDO!B28</f>
        <v>3079</v>
      </c>
      <c r="C18" s="639">
        <f>RELAÇ_TUDO!C28</f>
        <v>28.812785952161978</v>
      </c>
      <c r="D18" s="639">
        <f>RELAÇ_TUDO!D28</f>
        <v>69.157023278671801</v>
      </c>
      <c r="E18" s="639">
        <f>RELAÇ_TUDO!E28</f>
        <v>0.41662848668398239</v>
      </c>
      <c r="F18" s="639">
        <f>RELAÇ_TUDO!F28</f>
        <v>12079.826715677054</v>
      </c>
      <c r="G18" s="639">
        <f>RELAÇ_TUDO!G28</f>
        <v>0.80300000000000005</v>
      </c>
      <c r="H18" s="636" t="s">
        <v>36</v>
      </c>
      <c r="I18" s="638">
        <f>RELAÇ_TUDO!I23</f>
        <v>82.510033291374668</v>
      </c>
      <c r="J18" s="639">
        <f>RELAÇ_TUDO!J23</f>
        <v>1143</v>
      </c>
      <c r="K18" s="639">
        <f>RELAÇ_TUDO!K23</f>
        <v>32.518224999943101</v>
      </c>
      <c r="L18" s="639">
        <f>RELAÇ_TUDO!L23</f>
        <v>97.422107062037341</v>
      </c>
      <c r="M18" s="639">
        <f>RELAÇ_TUDO!M23</f>
        <v>0.33378691942308175</v>
      </c>
      <c r="N18" s="639">
        <f>RELAÇ_TUDO!N23</f>
        <v>13854.906640322049</v>
      </c>
      <c r="O18" s="639">
        <f>RELAÇ_TUDO!O23</f>
        <v>0.80200000000000005</v>
      </c>
      <c r="P18" s="636" t="s">
        <v>31</v>
      </c>
      <c r="Q18" s="638">
        <f>RELAÇ_TUDO!Q35</f>
        <v>60.212796120635311</v>
      </c>
      <c r="R18" s="639">
        <f>RELAÇ_TUDO!R35</f>
        <v>845</v>
      </c>
      <c r="S18" s="639" t="e">
        <f>RELAÇ_TUDO!S35</f>
        <v>#DIV/0!</v>
      </c>
      <c r="T18" s="639">
        <f>RELAÇ_TUDO!T35</f>
        <v>86.141600480354114</v>
      </c>
      <c r="U18" s="639" t="e">
        <f>RELAÇ_TUDO!U35</f>
        <v>#DIV/0!</v>
      </c>
      <c r="V18" s="639">
        <f>RELAÇ_TUDO!V35</f>
        <v>10592.444217919032</v>
      </c>
      <c r="W18" s="639">
        <f>RELAÇ_TUDO!W35</f>
        <v>0.81499999999999995</v>
      </c>
      <c r="X18" s="636" t="s">
        <v>43</v>
      </c>
      <c r="Y18" s="638">
        <f>RELAÇ_TUDO!Y34</f>
        <v>51.075241159273041</v>
      </c>
      <c r="Z18" s="639">
        <f>RELAÇ_TUDO!Z34</f>
        <v>1143</v>
      </c>
      <c r="AA18" s="639" t="e">
        <f>RELAÇ_TUDO!AA34</f>
        <v>#DIV/0!</v>
      </c>
      <c r="AB18" s="639">
        <f>RELAÇ_TUDO!AB34</f>
        <v>87.736939631151756</v>
      </c>
      <c r="AC18" s="639" t="e">
        <f>RELAÇ_TUDO!AC34</f>
        <v>#DIV/0!</v>
      </c>
      <c r="AD18" s="639">
        <f>RELAÇ_TUDO!AD34</f>
        <v>14953.580628441914</v>
      </c>
      <c r="AE18" s="639">
        <f>RELAÇ_TUDO!AE34</f>
        <v>0.80800000000000005</v>
      </c>
      <c r="AF18" s="636" t="s">
        <v>42</v>
      </c>
      <c r="AG18" s="638" t="e">
        <f>RELAÇ_TUDO!AG34</f>
        <v>#DIV/0!</v>
      </c>
      <c r="AH18" s="639">
        <f>RELAÇ_TUDO!AH34</f>
        <v>1192</v>
      </c>
      <c r="AI18" s="639" t="e">
        <f>RELAÇ_TUDO!AI34</f>
        <v>#DIV/0!</v>
      </c>
      <c r="AJ18" s="639">
        <f>RELAÇ_TUDO!AJ34</f>
        <v>76.130185171347208</v>
      </c>
      <c r="AK18" s="639" t="e">
        <f>RELAÇ_TUDO!AK34</f>
        <v>#DIV/0!</v>
      </c>
      <c r="AL18" s="639">
        <f>RELAÇ_TUDO!AL34</f>
        <v>18119.556383219377</v>
      </c>
      <c r="AM18" s="639">
        <f>RELAÇ_TUDO!AM34</f>
        <v>0.8120199004975126</v>
      </c>
      <c r="AN18" s="636" t="s">
        <v>42</v>
      </c>
    </row>
    <row r="19" spans="1:40">
      <c r="A19" s="638">
        <f>RELAÇ_TUDO!A23</f>
        <v>77.945784401925593</v>
      </c>
      <c r="B19" s="639">
        <f>RELAÇ_TUDO!B23</f>
        <v>958</v>
      </c>
      <c r="C19" s="639">
        <f>RELAÇ_TUDO!C23</f>
        <v>27.472732309481763</v>
      </c>
      <c r="D19" s="639">
        <f>RELAÇ_TUDO!D23</f>
        <v>89.333171700593994</v>
      </c>
      <c r="E19" s="639">
        <f>RELAÇ_TUDO!E23</f>
        <v>0.3075311419766717</v>
      </c>
      <c r="F19" s="639">
        <f>RELAÇ_TUDO!F23</f>
        <v>11997.944357415641</v>
      </c>
      <c r="G19" s="639">
        <f>RELAÇ_TUDO!G23</f>
        <v>0.78700000000000003</v>
      </c>
      <c r="H19" s="636" t="s">
        <v>31</v>
      </c>
      <c r="I19" s="638">
        <f>RELAÇ_TUDO!I35</f>
        <v>60.9046418119527</v>
      </c>
      <c r="J19" s="639">
        <f>RELAÇ_TUDO!J35</f>
        <v>778</v>
      </c>
      <c r="K19" s="639">
        <f>RELAÇ_TUDO!K35</f>
        <v>31.767757278001358</v>
      </c>
      <c r="L19" s="639">
        <f>RELAÇ_TUDO!L35</f>
        <v>87.394716326636072</v>
      </c>
      <c r="M19" s="639">
        <f>RELAÇ_TUDO!M35</f>
        <v>0.36349745857941779</v>
      </c>
      <c r="N19" s="639">
        <f>RELAÇ_TUDO!N35</f>
        <v>9561.1214806163662</v>
      </c>
      <c r="O19" s="639">
        <f>RELAÇ_TUDO!O35</f>
        <v>0.80200000000000005</v>
      </c>
      <c r="P19" s="636" t="s">
        <v>43</v>
      </c>
      <c r="Q19" s="638">
        <f>RELAÇ_TUDO!Q23</f>
        <v>75.588369172687365</v>
      </c>
      <c r="R19" s="639">
        <f>RELAÇ_TUDO!R23</f>
        <v>1154</v>
      </c>
      <c r="S19" s="639" t="e">
        <f>RELAÇ_TUDO!S23</f>
        <v>#DIV/0!</v>
      </c>
      <c r="T19" s="639">
        <f>RELAÇ_TUDO!T23</f>
        <v>90.652003142183815</v>
      </c>
      <c r="U19" s="639" t="e">
        <f>RELAÇ_TUDO!U23</f>
        <v>#DIV/0!</v>
      </c>
      <c r="V19" s="639">
        <f>RELAÇ_TUDO!V23</f>
        <v>15234.758093902639</v>
      </c>
      <c r="W19" s="639">
        <f>RELAÇ_TUDO!W23</f>
        <v>0.80800000000000005</v>
      </c>
      <c r="X19" s="636" t="s">
        <v>31</v>
      </c>
      <c r="Y19" s="638">
        <f>RELAÇ_TUDO!Y8</f>
        <v>64.273818260982523</v>
      </c>
      <c r="Z19" s="639">
        <f>RELAÇ_TUDO!Z8</f>
        <v>1512</v>
      </c>
      <c r="AA19" s="639" t="e">
        <f>RELAÇ_TUDO!AA8</f>
        <v>#DIV/0!</v>
      </c>
      <c r="AB19" s="639">
        <f>RELAÇ_TUDO!AB8</f>
        <v>130.82074443233142</v>
      </c>
      <c r="AC19" s="639" t="e">
        <f>RELAÇ_TUDO!AC8</f>
        <v>#DIV/0!</v>
      </c>
      <c r="AD19" s="639">
        <f>RELAÇ_TUDO!AD8</f>
        <v>7006.8123235518033</v>
      </c>
      <c r="AE19" s="639">
        <f>RELAÇ_TUDO!AE8</f>
        <v>0.78200000000000003</v>
      </c>
      <c r="AF19" s="636" t="s">
        <v>16</v>
      </c>
      <c r="AG19" s="638" t="e">
        <f>RELAÇ_TUDO!AG18</f>
        <v>#DIV/0!</v>
      </c>
      <c r="AH19" s="639">
        <f>RELAÇ_TUDO!AH18</f>
        <v>1854</v>
      </c>
      <c r="AI19" s="639" t="e">
        <f>RELAÇ_TUDO!AI18</f>
        <v>#DIV/0!</v>
      </c>
      <c r="AJ19" s="639">
        <f>RELAÇ_TUDO!AJ18</f>
        <v>77.355138525779623</v>
      </c>
      <c r="AK19" s="639" t="e">
        <f>RELAÇ_TUDO!AK18</f>
        <v>#DIV/0!</v>
      </c>
      <c r="AL19" s="639">
        <f>RELAÇ_TUDO!AL18</f>
        <v>8247.4877189030431</v>
      </c>
      <c r="AM19" s="639">
        <f>RELAÇ_TUDO!AM18</f>
        <v>0.75111050477489771</v>
      </c>
      <c r="AN19" s="636" t="s">
        <v>26</v>
      </c>
    </row>
    <row r="20" spans="1:40">
      <c r="A20" s="638">
        <f>RELAÇ_TUDO!A6</f>
        <v>52.806405052168515</v>
      </c>
      <c r="B20" s="639">
        <f>RELAÇ_TUDO!B6</f>
        <v>107</v>
      </c>
      <c r="C20" s="639">
        <f>RELAÇ_TUDO!C6</f>
        <v>17.07609394724285</v>
      </c>
      <c r="D20" s="639">
        <f>RELAÇ_TUDO!D6</f>
        <v>116.40683645383436</v>
      </c>
      <c r="E20" s="639">
        <f>RELAÇ_TUDO!E6</f>
        <v>0.14669322238659957</v>
      </c>
      <c r="F20" s="639">
        <f>RELAÇ_TUDO!F6</f>
        <v>7026.1710838753215</v>
      </c>
      <c r="G20" s="639">
        <f>RELAÇ_TUDO!G6</f>
        <v>0.73199999999999998</v>
      </c>
      <c r="H20" s="636" t="s">
        <v>14</v>
      </c>
      <c r="I20" s="638">
        <f>RELAÇ_TUDO!I11</f>
        <v>75.006725529793059</v>
      </c>
      <c r="J20" s="639">
        <f>RELAÇ_TUDO!J11</f>
        <v>523</v>
      </c>
      <c r="K20" s="639">
        <f>RELAÇ_TUDO!K11</f>
        <v>37.804177253161491</v>
      </c>
      <c r="L20" s="639">
        <f>RELAÇ_TUDO!L11</f>
        <v>145.94914383943919</v>
      </c>
      <c r="M20" s="639">
        <f>RELAÇ_TUDO!M11</f>
        <v>0.25902294634047612</v>
      </c>
      <c r="N20" s="639">
        <f>RELAÇ_TUDO!N11</f>
        <v>6939.3669653715579</v>
      </c>
      <c r="O20" s="639">
        <f>RELAÇ_TUDO!O11</f>
        <v>0.75600000000000001</v>
      </c>
      <c r="P20" s="636" t="s">
        <v>19</v>
      </c>
      <c r="Q20" s="638">
        <f>RELAÇ_TUDO!Q11</f>
        <v>71.257133699634267</v>
      </c>
      <c r="R20" s="639">
        <f>RELAÇ_TUDO!R11</f>
        <v>528</v>
      </c>
      <c r="S20" s="639" t="e">
        <f>RELAÇ_TUDO!S11</f>
        <v>#DIV/0!</v>
      </c>
      <c r="T20" s="639">
        <f>RELAÇ_TUDO!T11</f>
        <v>132.07990834454844</v>
      </c>
      <c r="U20" s="639" t="e">
        <f>RELAÇ_TUDO!U11</f>
        <v>#DIV/0!</v>
      </c>
      <c r="V20" s="639">
        <f>RELAÇ_TUDO!V11</f>
        <v>7208.3418004449686</v>
      </c>
      <c r="W20" s="639">
        <f>RELAÇ_TUDO!W11</f>
        <v>0.76900000000000002</v>
      </c>
      <c r="X20" s="636" t="s">
        <v>19</v>
      </c>
      <c r="Y20" s="638">
        <f>RELAÇ_TUDO!Y11</f>
        <v>64.881143222824164</v>
      </c>
      <c r="Z20" s="639">
        <f>RELAÇ_TUDO!Z11</f>
        <v>544</v>
      </c>
      <c r="AA20" s="639" t="e">
        <f>RELAÇ_TUDO!AA11</f>
        <v>#DIV/0!</v>
      </c>
      <c r="AB20" s="639">
        <f>RELAÇ_TUDO!AB11</f>
        <v>123.37307428011584</v>
      </c>
      <c r="AC20" s="639" t="e">
        <f>RELAÇ_TUDO!AC11</f>
        <v>#DIV/0!</v>
      </c>
      <c r="AD20" s="639">
        <f>RELAÇ_TUDO!AD11</f>
        <v>8920.7321462893015</v>
      </c>
      <c r="AE20" s="639">
        <f>RELAÇ_TUDO!AE11</f>
        <v>0.78400000000000003</v>
      </c>
      <c r="AF20" s="636" t="s">
        <v>19</v>
      </c>
      <c r="AG20" s="638" t="e">
        <f>RELAÇ_TUDO!AG11</f>
        <v>#DIV/0!</v>
      </c>
      <c r="AH20" s="639">
        <f>RELAÇ_TUDO!AH11</f>
        <v>496</v>
      </c>
      <c r="AI20" s="639" t="e">
        <f>RELAÇ_TUDO!AI11</f>
        <v>#DIV/0!</v>
      </c>
      <c r="AJ20" s="639">
        <f>RELAÇ_TUDO!AJ11</f>
        <v>94.079622467579512</v>
      </c>
      <c r="AK20" s="639" t="e">
        <f>RELAÇ_TUDO!AK11</f>
        <v>#DIV/0!</v>
      </c>
      <c r="AL20" s="639">
        <f>RELAÇ_TUDO!AL11</f>
        <v>11039.912399954024</v>
      </c>
      <c r="AM20" s="639">
        <f>RELAÇ_TUDO!AM11</f>
        <v>0.79929258777633294</v>
      </c>
      <c r="AN20" s="636" t="s">
        <v>19</v>
      </c>
    </row>
    <row r="21" spans="1:40">
      <c r="A21" s="638">
        <f>RELAÇ_TUDO!A8</f>
        <v>64.895170641801073</v>
      </c>
      <c r="B21" s="639">
        <f>RELAÇ_TUDO!B8</f>
        <v>1010</v>
      </c>
      <c r="C21" s="639">
        <f>RELAÇ_TUDO!C8</f>
        <v>13.59163541151233</v>
      </c>
      <c r="D21" s="639">
        <f>RELAÇ_TUDO!D8</f>
        <v>130.92670178786244</v>
      </c>
      <c r="E21" s="639">
        <f>RELAÇ_TUDO!E8</f>
        <v>0.10381102728406424</v>
      </c>
      <c r="F21" s="639">
        <f>RELAÇ_TUDO!F8</f>
        <v>5191.519151869943</v>
      </c>
      <c r="G21" s="639">
        <f>RELAÇ_TUDO!G8</f>
        <v>0.72</v>
      </c>
      <c r="H21" s="636" t="s">
        <v>16</v>
      </c>
      <c r="I21" s="638">
        <f>RELAÇ_TUDO!I21</f>
        <v>101.86185844929328</v>
      </c>
      <c r="J21" s="639">
        <f>RELAÇ_TUDO!J21</f>
        <v>627</v>
      </c>
      <c r="K21" s="639">
        <f>RELAÇ_TUDO!K21</f>
        <v>30.318899699567268</v>
      </c>
      <c r="L21" s="639">
        <f>RELAÇ_TUDO!L21</f>
        <v>160.96238563198915</v>
      </c>
      <c r="M21" s="639">
        <f>RELAÇ_TUDO!M21</f>
        <v>0.18836015371246947</v>
      </c>
      <c r="N21" s="639">
        <f>RELAÇ_TUDO!N21</f>
        <v>6823.6091110891757</v>
      </c>
      <c r="O21" s="639">
        <f>RELAÇ_TUDO!O21</f>
        <v>0.74199999999999999</v>
      </c>
      <c r="P21" s="636" t="s">
        <v>29</v>
      </c>
      <c r="Q21" s="638">
        <f>RELAÇ_TUDO!Q21</f>
        <v>88.055675302305247</v>
      </c>
      <c r="R21" s="639">
        <f>RELAÇ_TUDO!R21</f>
        <v>590</v>
      </c>
      <c r="S21" s="639" t="e">
        <f>RELAÇ_TUDO!S21</f>
        <v>#DIV/0!</v>
      </c>
      <c r="T21" s="639">
        <f>RELAÇ_TUDO!T21</f>
        <v>133.48204892682696</v>
      </c>
      <c r="U21" s="639" t="e">
        <f>RELAÇ_TUDO!U21</f>
        <v>#DIV/0!</v>
      </c>
      <c r="V21" s="639">
        <f>RELAÇ_TUDO!V21</f>
        <v>7559.3452813064605</v>
      </c>
      <c r="W21" s="639">
        <f>RELAÇ_TUDO!W21</f>
        <v>0.75600000000000001</v>
      </c>
      <c r="X21" s="636" t="s">
        <v>29</v>
      </c>
      <c r="Y21" s="638">
        <f>RELAÇ_TUDO!Y23</f>
        <v>69.360389861280126</v>
      </c>
      <c r="Z21" s="639">
        <f>RELAÇ_TUDO!Z23</f>
        <v>1182</v>
      </c>
      <c r="AA21" s="639" t="e">
        <f>RELAÇ_TUDO!AA23</f>
        <v>#DIV/0!</v>
      </c>
      <c r="AB21" s="639">
        <f>RELAÇ_TUDO!AB23</f>
        <v>85.749543140653188</v>
      </c>
      <c r="AC21" s="639" t="e">
        <f>RELAÇ_TUDO!AC23</f>
        <v>#DIV/0!</v>
      </c>
      <c r="AD21" s="639">
        <f>RELAÇ_TUDO!AD23</f>
        <v>18002.916538759306</v>
      </c>
      <c r="AE21" s="639">
        <f>RELAÇ_TUDO!AE23</f>
        <v>0.82099999999999995</v>
      </c>
      <c r="AF21" s="636" t="s">
        <v>31</v>
      </c>
      <c r="AG21" s="638" t="e">
        <f>RELAÇ_TUDO!AG8</f>
        <v>#DIV/0!</v>
      </c>
      <c r="AH21" s="639">
        <f>RELAÇ_TUDO!AH8</f>
        <v>1546</v>
      </c>
      <c r="AI21" s="639" t="e">
        <f>RELAÇ_TUDO!AI8</f>
        <v>#DIV/0!</v>
      </c>
      <c r="AJ21" s="639">
        <f>RELAÇ_TUDO!AJ8</f>
        <v>108.23639781426886</v>
      </c>
      <c r="AK21" s="639" t="e">
        <f>RELAÇ_TUDO!AK8</f>
        <v>#DIV/0!</v>
      </c>
      <c r="AL21" s="639">
        <f>RELAÇ_TUDO!AL8</f>
        <v>7867.7893718142859</v>
      </c>
      <c r="AM21" s="639">
        <f>RELAÇ_TUDO!AM8</f>
        <v>0.80042408376963359</v>
      </c>
      <c r="AN21" s="636" t="s">
        <v>16</v>
      </c>
    </row>
    <row r="22" spans="1:40">
      <c r="A22" s="638">
        <f>RELAÇ_TUDO!A18</f>
        <v>91.039666633478745</v>
      </c>
      <c r="B22" s="639">
        <f>RELAÇ_TUDO!B18</f>
        <v>1740</v>
      </c>
      <c r="C22" s="639">
        <f>RELAÇ_TUDO!C18</f>
        <v>19.749570900846031</v>
      </c>
      <c r="D22" s="639">
        <f>RELAÇ_TUDO!D18</f>
        <v>119.82629319427974</v>
      </c>
      <c r="E22" s="639">
        <f>RELAÇ_TUDO!E18</f>
        <v>0.16481834140379495</v>
      </c>
      <c r="F22" s="639">
        <f>RELAÇ_TUDO!F18</f>
        <v>5287.2867923541808</v>
      </c>
      <c r="G22" s="639">
        <f>RELAÇ_TUDO!G18</f>
        <v>0.70499999999999996</v>
      </c>
      <c r="H22" s="636" t="s">
        <v>26</v>
      </c>
      <c r="I22" s="638">
        <f>RELAÇ_TUDO!I8</f>
        <v>74.73655490008268</v>
      </c>
      <c r="J22" s="639">
        <f>RELAÇ_TUDO!J8</f>
        <v>1341</v>
      </c>
      <c r="K22" s="639">
        <f>RELAÇ_TUDO!K8</f>
        <v>17.688840241280531</v>
      </c>
      <c r="L22" s="639">
        <f>RELAÇ_TUDO!L8</f>
        <v>152.15467356525292</v>
      </c>
      <c r="M22" s="639">
        <f>RELAÇ_TUDO!M8</f>
        <v>0.11625564845824148</v>
      </c>
      <c r="N22" s="639">
        <f>RELAÇ_TUDO!N8</f>
        <v>5612.3169799428497</v>
      </c>
      <c r="O22" s="639">
        <f>RELAÇ_TUDO!O8</f>
        <v>0.755</v>
      </c>
      <c r="P22" s="636" t="s">
        <v>16</v>
      </c>
      <c r="Q22" s="638">
        <f>RELAÇ_TUDO!Q18</f>
        <v>77.029086975493371</v>
      </c>
      <c r="R22" s="639">
        <f>RELAÇ_TUDO!R18</f>
        <v>1950</v>
      </c>
      <c r="S22" s="639" t="e">
        <f>RELAÇ_TUDO!S18</f>
        <v>#DIV/0!</v>
      </c>
      <c r="T22" s="639">
        <f>RELAÇ_TUDO!T18</f>
        <v>105.68905196920383</v>
      </c>
      <c r="U22" s="639" t="e">
        <f>RELAÇ_TUDO!U18</f>
        <v>#DIV/0!</v>
      </c>
      <c r="V22" s="639">
        <f>RELAÇ_TUDO!V18</f>
        <v>6526.6298230528255</v>
      </c>
      <c r="W22" s="639">
        <f>RELAÇ_TUDO!W18</f>
        <v>0.73299999999999998</v>
      </c>
      <c r="X22" s="636" t="s">
        <v>26</v>
      </c>
      <c r="Y22" s="638">
        <f>RELAÇ_TUDO!Y18</f>
        <v>70.990937874127255</v>
      </c>
      <c r="Z22" s="639">
        <f>RELAÇ_TUDO!Z18</f>
        <v>2048</v>
      </c>
      <c r="AA22" s="639" t="e">
        <f>RELAÇ_TUDO!AA18</f>
        <v>#DIV/0!</v>
      </c>
      <c r="AB22" s="639">
        <f>RELAÇ_TUDO!AB18</f>
        <v>99.517718089823489</v>
      </c>
      <c r="AC22" s="639" t="e">
        <f>RELAÇ_TUDO!AC18</f>
        <v>#DIV/0!</v>
      </c>
      <c r="AD22" s="639">
        <f>RELAÇ_TUDO!AD18</f>
        <v>7336.7771747174193</v>
      </c>
      <c r="AE22" s="639">
        <f>RELAÇ_TUDO!AE18</f>
        <v>0.74199999999999999</v>
      </c>
      <c r="AF22" s="636" t="s">
        <v>26</v>
      </c>
      <c r="AG22" s="638" t="e">
        <f>RELAÇ_TUDO!AG23</f>
        <v>#DIV/0!</v>
      </c>
      <c r="AH22" s="639">
        <f>RELAÇ_TUDO!AH23</f>
        <v>1112</v>
      </c>
      <c r="AI22" s="639" t="e">
        <f>RELAÇ_TUDO!AI23</f>
        <v>#DIV/0!</v>
      </c>
      <c r="AJ22" s="639">
        <f>RELAÇ_TUDO!AJ23</f>
        <v>70.154364838026694</v>
      </c>
      <c r="AK22" s="639" t="e">
        <f>RELAÇ_TUDO!AK23</f>
        <v>#DIV/0!</v>
      </c>
      <c r="AL22" s="639">
        <f>RELAÇ_TUDO!AL23</f>
        <v>21274.049899830632</v>
      </c>
      <c r="AM22" s="639">
        <f>RELAÇ_TUDO!AM23</f>
        <v>0.83420915841584142</v>
      </c>
      <c r="AN22" s="636" t="s">
        <v>31</v>
      </c>
    </row>
    <row r="23" spans="1:40">
      <c r="A23" s="638">
        <f>RELAÇ_TUDO!A17</f>
        <v>88.353209147742191</v>
      </c>
      <c r="B23" s="639">
        <f>RELAÇ_TUDO!B17</f>
        <v>774</v>
      </c>
      <c r="C23" s="639">
        <f>RELAÇ_TUDO!C17</f>
        <v>20.530754486659518</v>
      </c>
      <c r="D23" s="639">
        <f>RELAÇ_TUDO!D17</f>
        <v>135.5134541749174</v>
      </c>
      <c r="E23" s="639">
        <f>RELAÇ_TUDO!E17</f>
        <v>0.15150344009502503</v>
      </c>
      <c r="F23" s="639">
        <f>RELAÇ_TUDO!F17</f>
        <v>4209.9006119720725</v>
      </c>
      <c r="G23" s="639">
        <f>RELAÇ_TUDO!G17</f>
        <v>0.67800000000000005</v>
      </c>
      <c r="H23" s="636" t="s">
        <v>25</v>
      </c>
      <c r="I23" s="638">
        <f>RELAÇ_TUDO!I18</f>
        <v>85.228533013382815</v>
      </c>
      <c r="J23" s="639">
        <f>RELAÇ_TUDO!J18</f>
        <v>1939</v>
      </c>
      <c r="K23" s="639">
        <f>RELAÇ_TUDO!K18</f>
        <v>22.042988260716143</v>
      </c>
      <c r="L23" s="639">
        <f>RELAÇ_TUDO!L18</f>
        <v>118.79751670915562</v>
      </c>
      <c r="M23" s="639">
        <f>RELAÇ_TUDO!M18</f>
        <v>0.18555091782501301</v>
      </c>
      <c r="N23" s="639">
        <f>RELAÇ_TUDO!N18</f>
        <v>5933.4631639152994</v>
      </c>
      <c r="O23" s="639">
        <f>RELAÇ_TUDO!O18</f>
        <v>0.71799999999999997</v>
      </c>
      <c r="P23" s="636" t="s">
        <v>26</v>
      </c>
      <c r="Q23" s="638">
        <f>RELAÇ_TUDO!Q8</f>
        <v>66.770543810762803</v>
      </c>
      <c r="R23" s="639">
        <f>RELAÇ_TUDO!R8</f>
        <v>1349</v>
      </c>
      <c r="S23" s="639" t="e">
        <f>RELAÇ_TUDO!S8</f>
        <v>#DIV/0!</v>
      </c>
      <c r="T23" s="639">
        <f>RELAÇ_TUDO!T8</f>
        <v>133.37116632046846</v>
      </c>
      <c r="U23" s="639" t="e">
        <f>RELAÇ_TUDO!U8</f>
        <v>#DIV/0!</v>
      </c>
      <c r="V23" s="639">
        <f>RELAÇ_TUDO!V8</f>
        <v>6240.0525252185516</v>
      </c>
      <c r="W23" s="639">
        <f>RELAÇ_TUDO!W8</f>
        <v>0.76400000000000001</v>
      </c>
      <c r="X23" s="636" t="s">
        <v>16</v>
      </c>
      <c r="Y23" s="638">
        <f>RELAÇ_TUDO!Y17</f>
        <v>77.18054836496546</v>
      </c>
      <c r="Z23" s="639">
        <f>RELAÇ_TUDO!Z17</f>
        <v>970</v>
      </c>
      <c r="AA23" s="639" t="e">
        <f>RELAÇ_TUDO!AA17</f>
        <v>#DIV/0!</v>
      </c>
      <c r="AB23" s="639">
        <f>RELAÇ_TUDO!AB17</f>
        <v>116.86352749545799</v>
      </c>
      <c r="AC23" s="639" t="e">
        <f>RELAÇ_TUDO!AC17</f>
        <v>#DIV/0!</v>
      </c>
      <c r="AD23" s="639">
        <f>RELAÇ_TUDO!AD17</f>
        <v>6097.0419103009581</v>
      </c>
      <c r="AE23" s="639">
        <f>RELAÇ_TUDO!AE17</f>
        <v>0.752</v>
      </c>
      <c r="AF23" s="636" t="s">
        <v>25</v>
      </c>
      <c r="AG23" s="638" t="e">
        <f>RELAÇ_TUDO!AG10</f>
        <v>#DIV/0!</v>
      </c>
      <c r="AH23" s="639">
        <f>RELAÇ_TUDO!AH10</f>
        <v>151</v>
      </c>
      <c r="AI23" s="639" t="e">
        <f>RELAÇ_TUDO!AI10</f>
        <v>#DIV/0!</v>
      </c>
      <c r="AJ23" s="639">
        <f>RELAÇ_TUDO!AJ10</f>
        <v>91.32751498436545</v>
      </c>
      <c r="AK23" s="639" t="e">
        <f>RELAÇ_TUDO!AK10</f>
        <v>#DIV/0!</v>
      </c>
      <c r="AL23" s="639">
        <f>RELAÇ_TUDO!AL10</f>
        <v>12228.630650500028</v>
      </c>
      <c r="AM23" s="639">
        <f>RELAÇ_TUDO!AM10</f>
        <v>0.78000510204081641</v>
      </c>
      <c r="AN23" s="636" t="s">
        <v>18</v>
      </c>
    </row>
    <row r="24" spans="1:40">
      <c r="A24" s="638">
        <f>RELAÇ_TUDO!A11</f>
        <v>74.916719274056945</v>
      </c>
      <c r="B24" s="639">
        <f>RELAÇ_TUDO!B11</f>
        <v>450</v>
      </c>
      <c r="C24" s="639">
        <f>RELAÇ_TUDO!C11</f>
        <v>34.828023091753266</v>
      </c>
      <c r="D24" s="639">
        <f>RELAÇ_TUDO!D11</f>
        <v>139.47174302486317</v>
      </c>
      <c r="E24" s="639">
        <f>RELAÇ_TUDO!E11</f>
        <v>0.2497138297435961</v>
      </c>
      <c r="F24" s="639">
        <f>RELAÇ_TUDO!F11</f>
        <v>6555.9377856698884</v>
      </c>
      <c r="G24" s="639">
        <f>RELAÇ_TUDO!G11</f>
        <v>0.72099999999999997</v>
      </c>
      <c r="H24" s="636" t="s">
        <v>19</v>
      </c>
      <c r="I24" s="638">
        <f>RELAÇ_TUDO!I17</f>
        <v>81.628092778416672</v>
      </c>
      <c r="J24" s="639">
        <f>RELAÇ_TUDO!J17</f>
        <v>829</v>
      </c>
      <c r="K24" s="639">
        <f>RELAÇ_TUDO!K17</f>
        <v>22.009659824644871</v>
      </c>
      <c r="L24" s="639">
        <f>RELAÇ_TUDO!L17</f>
        <v>128.19144905820264</v>
      </c>
      <c r="M24" s="639">
        <f>RELAÇ_TUDO!M17</f>
        <v>0.17169366589070889</v>
      </c>
      <c r="N24" s="639">
        <f>RELAÇ_TUDO!N17</f>
        <v>4691.0937824887505</v>
      </c>
      <c r="O24" s="639">
        <f>RELAÇ_TUDO!O17</f>
        <v>0.71799999999999997</v>
      </c>
      <c r="P24" s="636" t="s">
        <v>25</v>
      </c>
      <c r="Q24" s="638">
        <f>RELAÇ_TUDO!Q17</f>
        <v>69.93364373091697</v>
      </c>
      <c r="R24" s="639">
        <f>RELAÇ_TUDO!R17</f>
        <v>782</v>
      </c>
      <c r="S24" s="639" t="e">
        <f>RELAÇ_TUDO!S17</f>
        <v>#DIV/0!</v>
      </c>
      <c r="T24" s="639">
        <f>RELAÇ_TUDO!T17</f>
        <v>105.91068289366405</v>
      </c>
      <c r="U24" s="639" t="e">
        <f>RELAÇ_TUDO!U17</f>
        <v>#DIV/0!</v>
      </c>
      <c r="V24" s="639">
        <f>RELAÇ_TUDO!V17</f>
        <v>5506.5224679450048</v>
      </c>
      <c r="W24" s="639">
        <f>RELAÇ_TUDO!W17</f>
        <v>0.72899999999999998</v>
      </c>
      <c r="X24" s="636" t="s">
        <v>25</v>
      </c>
      <c r="Y24" s="638">
        <f>RELAÇ_TUDO!Y21</f>
        <v>87.607658078562764</v>
      </c>
      <c r="Z24" s="639">
        <f>RELAÇ_TUDO!Z21</f>
        <v>650</v>
      </c>
      <c r="AA24" s="639" t="e">
        <f>RELAÇ_TUDO!AA21</f>
        <v>#DIV/0!</v>
      </c>
      <c r="AB24" s="639">
        <f>RELAÇ_TUDO!AB21</f>
        <v>132.26382767447635</v>
      </c>
      <c r="AC24" s="639" t="e">
        <f>RELAÇ_TUDO!AC21</f>
        <v>#DIV/0!</v>
      </c>
      <c r="AD24" s="639">
        <f>RELAÇ_TUDO!AD21</f>
        <v>8711.6965033609304</v>
      </c>
      <c r="AE24" s="639">
        <f>RELAÇ_TUDO!AE21</f>
        <v>0.77</v>
      </c>
      <c r="AF24" s="636" t="s">
        <v>29</v>
      </c>
      <c r="AG24" s="638" t="e">
        <f>RELAÇ_TUDO!AG21</f>
        <v>#DIV/0!</v>
      </c>
      <c r="AH24" s="639">
        <f>RELAÇ_TUDO!AH21</f>
        <v>664</v>
      </c>
      <c r="AI24" s="639" t="e">
        <f>RELAÇ_TUDO!AI21</f>
        <v>#DIV/0!</v>
      </c>
      <c r="AJ24" s="639">
        <f>RELAÇ_TUDO!AJ21</f>
        <v>115.37592743827214</v>
      </c>
      <c r="AK24" s="639" t="e">
        <f>RELAÇ_TUDO!AK21</f>
        <v>#DIV/0!</v>
      </c>
      <c r="AL24" s="639">
        <f>RELAÇ_TUDO!AL21</f>
        <v>10039.712851104821</v>
      </c>
      <c r="AM24" s="639">
        <f>RELAÇ_TUDO!AM21</f>
        <v>0.78425925925925932</v>
      </c>
      <c r="AN24" s="636" t="s">
        <v>29</v>
      </c>
    </row>
    <row r="25" spans="1:40">
      <c r="A25" s="638">
        <f>RELAÇ_TUDO!A21</f>
        <v>98.789356793334775</v>
      </c>
      <c r="B25" s="639">
        <f>RELAÇ_TUDO!B21</f>
        <v>534</v>
      </c>
      <c r="C25" s="639">
        <f>RELAÇ_TUDO!C21</f>
        <v>26.438850256590527</v>
      </c>
      <c r="D25" s="639">
        <f>RELAÇ_TUDO!D21</f>
        <v>155.60211315828582</v>
      </c>
      <c r="E25" s="639">
        <f>RELAÇ_TUDO!E21</f>
        <v>0.16991318253946641</v>
      </c>
      <c r="F25" s="639">
        <f>RELAÇ_TUDO!F21</f>
        <v>6289.3902761838071</v>
      </c>
      <c r="G25" s="639">
        <f>RELAÇ_TUDO!G21</f>
        <v>0.69299999999999995</v>
      </c>
      <c r="H25" s="636" t="s">
        <v>29</v>
      </c>
      <c r="I25" s="638">
        <f>RELAÇ_TUDO!I10</f>
        <v>70.133806089867534</v>
      </c>
      <c r="J25" s="639">
        <f>RELAÇ_TUDO!J10</f>
        <v>145</v>
      </c>
      <c r="K25" s="639">
        <f>RELAÇ_TUDO!K10</f>
        <v>32.187959927099818</v>
      </c>
      <c r="L25" s="639">
        <f>RELAÇ_TUDO!L10</f>
        <v>125.91505509869135</v>
      </c>
      <c r="M25" s="639">
        <f>RELAÇ_TUDO!M10</f>
        <v>0.25563233802241614</v>
      </c>
      <c r="N25" s="639">
        <f>RELAÇ_TUDO!N10</f>
        <v>8124.5822097863684</v>
      </c>
      <c r="O25" s="639">
        <f>RELAÇ_TUDO!O10</f>
        <v>0.75</v>
      </c>
      <c r="P25" s="636" t="s">
        <v>18</v>
      </c>
      <c r="Q25" s="638">
        <f>RELAÇ_TUDO!Q10</f>
        <v>68.261468448644123</v>
      </c>
      <c r="R25" s="639">
        <f>RELAÇ_TUDO!R10</f>
        <v>134</v>
      </c>
      <c r="S25" s="639" t="e">
        <f>RELAÇ_TUDO!S10</f>
        <v>#DIV/0!</v>
      </c>
      <c r="T25" s="639">
        <f>RELAÇ_TUDO!T10</f>
        <v>103.21348245370798</v>
      </c>
      <c r="U25" s="639" t="e">
        <f>RELAÇ_TUDO!U10</f>
        <v>#DIV/0!</v>
      </c>
      <c r="V25" s="639">
        <f>RELAÇ_TUDO!V10</f>
        <v>9074.3462149707557</v>
      </c>
      <c r="W25" s="639">
        <f>RELAÇ_TUDO!W10</f>
        <v>0.78400000000000003</v>
      </c>
      <c r="X25" s="636" t="s">
        <v>18</v>
      </c>
      <c r="Y25" s="638">
        <f>RELAÇ_TUDO!Y15</f>
        <v>92.362812529116027</v>
      </c>
      <c r="Z25" s="639">
        <f>RELAÇ_TUDO!Z15</f>
        <v>2423</v>
      </c>
      <c r="AA25" s="639" t="e">
        <f>RELAÇ_TUDO!AA15</f>
        <v>#DIV/0!</v>
      </c>
      <c r="AB25" s="639">
        <f>RELAÇ_TUDO!AB15</f>
        <v>120.42115098367132</v>
      </c>
      <c r="AC25" s="639" t="e">
        <f>RELAÇ_TUDO!AC15</f>
        <v>#DIV/0!</v>
      </c>
      <c r="AD25" s="639">
        <f>RELAÇ_TUDO!AD15</f>
        <v>6149.0343365611461</v>
      </c>
      <c r="AE25" s="639">
        <f>RELAÇ_TUDO!AE15</f>
        <v>0.749</v>
      </c>
      <c r="AF25" s="636" t="s">
        <v>23</v>
      </c>
      <c r="AG25" s="638" t="e">
        <f>RELAÇ_TUDO!AG17</f>
        <v>#DIV/0!</v>
      </c>
      <c r="AH25" s="639">
        <f>RELAÇ_TUDO!AH17</f>
        <v>1004</v>
      </c>
      <c r="AI25" s="639" t="e">
        <f>RELAÇ_TUDO!AI17</f>
        <v>#DIV/0!</v>
      </c>
      <c r="AJ25" s="639">
        <f>RELAÇ_TUDO!AJ17</f>
        <v>104.68310942200118</v>
      </c>
      <c r="AK25" s="639" t="e">
        <f>RELAÇ_TUDO!AK17</f>
        <v>#DIV/0!</v>
      </c>
      <c r="AL25" s="639">
        <f>RELAÇ_TUDO!AL17</f>
        <v>6750.8886547482662</v>
      </c>
      <c r="AM25" s="639">
        <f>RELAÇ_TUDO!AM17</f>
        <v>0.77572565157750351</v>
      </c>
      <c r="AN25" s="636" t="s">
        <v>25</v>
      </c>
    </row>
    <row r="26" spans="1:40">
      <c r="A26" s="638">
        <f>RELAÇ_TUDO!A16</f>
        <v>109.72309229216644</v>
      </c>
      <c r="B26" s="639">
        <f>RELAÇ_TUDO!B16</f>
        <v>1109</v>
      </c>
      <c r="C26" s="639">
        <f>RELAÇ_TUDO!C16</f>
        <v>17.417632580930345</v>
      </c>
      <c r="D26" s="639">
        <f>RELAÇ_TUDO!D16</f>
        <v>184.73665448415329</v>
      </c>
      <c r="E26" s="639">
        <f>RELAÇ_TUDO!E16</f>
        <v>9.4283576962927149E-2</v>
      </c>
      <c r="F26" s="639">
        <f>RELAÇ_TUDO!F16</f>
        <v>3587.9037869469803</v>
      </c>
      <c r="G26" s="639">
        <f>RELAÇ_TUDO!G16</f>
        <v>0.64700000000000002</v>
      </c>
      <c r="H26" s="636" t="s">
        <v>24</v>
      </c>
      <c r="I26" s="638">
        <f>RELAÇ_TUDO!I15</f>
        <v>98.185049616271556</v>
      </c>
      <c r="J26" s="639">
        <f>RELAÇ_TUDO!J15</f>
        <v>2015</v>
      </c>
      <c r="K26" s="639">
        <f>RELAÇ_TUDO!K15</f>
        <v>23.839436485411625</v>
      </c>
      <c r="L26" s="639">
        <f>RELAÇ_TUDO!L15</f>
        <v>128.81292655297887</v>
      </c>
      <c r="M26" s="639">
        <f>RELAÇ_TUDO!M15</f>
        <v>0.18507021867566073</v>
      </c>
      <c r="N26" s="639">
        <f>RELAÇ_TUDO!N15</f>
        <v>5055.4343913483863</v>
      </c>
      <c r="O26" s="639">
        <f>RELAÇ_TUDO!O15</f>
        <v>0.72299999999999998</v>
      </c>
      <c r="P26" s="636" t="s">
        <v>23</v>
      </c>
      <c r="Q26" s="638">
        <f>RELAÇ_TUDO!Q16</f>
        <v>103.61290461588878</v>
      </c>
      <c r="R26" s="639">
        <f>RELAÇ_TUDO!R16</f>
        <v>1463</v>
      </c>
      <c r="S26" s="639" t="e">
        <f>RELAÇ_TUDO!S16</f>
        <v>#DIV/0!</v>
      </c>
      <c r="T26" s="639">
        <f>RELAÇ_TUDO!T16</f>
        <v>170.90123240464925</v>
      </c>
      <c r="U26" s="639" t="e">
        <f>RELAÇ_TUDO!U16</f>
        <v>#DIV/0!</v>
      </c>
      <c r="V26" s="639">
        <f>RELAÇ_TUDO!V16</f>
        <v>4627.7096023896001</v>
      </c>
      <c r="W26" s="639">
        <f>RELAÇ_TUDO!W16</f>
        <v>0.70699999999999996</v>
      </c>
      <c r="X26" s="636" t="s">
        <v>24</v>
      </c>
      <c r="Y26" s="638">
        <f>RELAÇ_TUDO!Y10</f>
        <v>69.357024764846102</v>
      </c>
      <c r="Z26" s="639">
        <f>RELAÇ_TUDO!Z10</f>
        <v>148</v>
      </c>
      <c r="AA26" s="639" t="e">
        <f>RELAÇ_TUDO!AA10</f>
        <v>#DIV/0!</v>
      </c>
      <c r="AB26" s="639">
        <f>RELAÇ_TUDO!AB10</f>
        <v>103.24813037169326</v>
      </c>
      <c r="AC26" s="639" t="e">
        <f>RELAÇ_TUDO!AC10</f>
        <v>#DIV/0!</v>
      </c>
      <c r="AD26" s="639">
        <f>RELAÇ_TUDO!AD10</f>
        <v>10534.079373995637</v>
      </c>
      <c r="AE26" s="639">
        <f>RELAÇ_TUDO!AE10</f>
        <v>0.78200000000000003</v>
      </c>
      <c r="AF26" s="636" t="s">
        <v>18</v>
      </c>
      <c r="AG26" s="638" t="e">
        <f>RELAÇ_TUDO!AG15</f>
        <v>#DIV/0!</v>
      </c>
      <c r="AH26" s="639">
        <f>RELAÇ_TUDO!AH15</f>
        <v>2321</v>
      </c>
      <c r="AI26" s="639" t="e">
        <f>RELAÇ_TUDO!AI15</f>
        <v>#DIV/0!</v>
      </c>
      <c r="AJ26" s="639">
        <f>RELAÇ_TUDO!AJ15</f>
        <v>97.341254280435919</v>
      </c>
      <c r="AK26" s="639" t="e">
        <f>RELAÇ_TUDO!AK15</f>
        <v>#DIV/0!</v>
      </c>
      <c r="AL26" s="639">
        <f>RELAÇ_TUDO!AL15</f>
        <v>6709.9911337240246</v>
      </c>
      <c r="AM26" s="639">
        <f>RELAÇ_TUDO!AM15</f>
        <v>0.76744322845417245</v>
      </c>
      <c r="AN26" s="636" t="s">
        <v>23</v>
      </c>
    </row>
    <row r="27" spans="1:40">
      <c r="A27" s="638">
        <f>RELAÇ_TUDO!A15</f>
        <v>87.414276859853416</v>
      </c>
      <c r="B27" s="639">
        <f>RELAÇ_TUDO!B15</f>
        <v>1515</v>
      </c>
      <c r="C27" s="639">
        <f>RELAÇ_TUDO!C15</f>
        <v>17.723962446257786</v>
      </c>
      <c r="D27" s="639">
        <f>RELAÇ_TUDO!D15</f>
        <v>110.11502841185782</v>
      </c>
      <c r="E27" s="639">
        <f>RELAÇ_TUDO!E15</f>
        <v>0.16095861484016261</v>
      </c>
      <c r="F27" s="639">
        <f>RELAÇ_TUDO!F15</f>
        <v>4621.8243891120437</v>
      </c>
      <c r="G27" s="639">
        <f>RELAÇ_TUDO!G15</f>
        <v>0.7</v>
      </c>
      <c r="H27" s="636" t="s">
        <v>23</v>
      </c>
      <c r="I27" s="638">
        <f>RELAÇ_TUDO!I16</f>
        <v>103.55776849232811</v>
      </c>
      <c r="J27" s="639">
        <f>RELAÇ_TUDO!J16</f>
        <v>1275</v>
      </c>
      <c r="K27" s="639">
        <f>RELAÇ_TUDO!K16</f>
        <v>19.392257302857931</v>
      </c>
      <c r="L27" s="639">
        <f>RELAÇ_TUDO!L16</f>
        <v>179.57038313981982</v>
      </c>
      <c r="M27" s="639">
        <f>RELAÇ_TUDO!M16</f>
        <v>0.1079925150449695</v>
      </c>
      <c r="N27" s="639">
        <f>RELAÇ_TUDO!N16</f>
        <v>4150.9476443656422</v>
      </c>
      <c r="O27" s="639">
        <f>RELAÇ_TUDO!O16</f>
        <v>0.68300000000000005</v>
      </c>
      <c r="P27" s="636" t="s">
        <v>24</v>
      </c>
      <c r="Q27" s="638">
        <f>RELAÇ_TUDO!Q15</f>
        <v>89.890178268564256</v>
      </c>
      <c r="R27" s="639">
        <f>RELAÇ_TUDO!R15</f>
        <v>2041</v>
      </c>
      <c r="S27" s="639" t="e">
        <f>RELAÇ_TUDO!S15</f>
        <v>#DIV/0!</v>
      </c>
      <c r="T27" s="639">
        <f>RELAÇ_TUDO!T15</f>
        <v>114.02788850631288</v>
      </c>
      <c r="U27" s="639" t="e">
        <f>RELAÇ_TUDO!U15</f>
        <v>#DIV/0!</v>
      </c>
      <c r="V27" s="639">
        <f>RELAÇ_TUDO!V15</f>
        <v>5634.9736562503022</v>
      </c>
      <c r="W27" s="639">
        <f>RELAÇ_TUDO!W15</f>
        <v>0.73099999999999998</v>
      </c>
      <c r="X27" s="636" t="s">
        <v>23</v>
      </c>
      <c r="Y27" s="638">
        <f>RELAÇ_TUDO!Y16</f>
        <v>98.600961169252656</v>
      </c>
      <c r="Z27" s="639">
        <f>RELAÇ_TUDO!Z16</f>
        <v>1652</v>
      </c>
      <c r="AA27" s="639" t="e">
        <f>RELAÇ_TUDO!AA16</f>
        <v>#DIV/0!</v>
      </c>
      <c r="AB27" s="639">
        <f>RELAÇ_TUDO!AB16</f>
        <v>166.22494299852892</v>
      </c>
      <c r="AC27" s="639" t="e">
        <f>RELAÇ_TUDO!AC16</f>
        <v>#DIV/0!</v>
      </c>
      <c r="AD27" s="639">
        <f>RELAÇ_TUDO!AD16</f>
        <v>5165.2316056363534</v>
      </c>
      <c r="AE27" s="639">
        <f>RELAÇ_TUDO!AE16</f>
        <v>0.72399999999999998</v>
      </c>
      <c r="AF27" s="636" t="s">
        <v>24</v>
      </c>
      <c r="AG27" s="638" t="e">
        <f>RELAÇ_TUDO!AG16</f>
        <v>#DIV/0!</v>
      </c>
      <c r="AH27" s="639">
        <f>RELAÇ_TUDO!AH16</f>
        <v>1559</v>
      </c>
      <c r="AI27" s="639" t="e">
        <f>RELAÇ_TUDO!AI16</f>
        <v>#DIV/0!</v>
      </c>
      <c r="AJ27" s="639">
        <f>RELAÇ_TUDO!AJ16</f>
        <v>128.26229680833384</v>
      </c>
      <c r="AK27" s="639" t="e">
        <f>RELAÇ_TUDO!AK16</f>
        <v>#DIV/0!</v>
      </c>
      <c r="AL27" s="639">
        <f>RELAÇ_TUDO!AL16</f>
        <v>5765.1883614495182</v>
      </c>
      <c r="AM27" s="639">
        <f>RELAÇ_TUDO!AM16</f>
        <v>0.74140876944837342</v>
      </c>
      <c r="AN27" s="636" t="s">
        <v>24</v>
      </c>
    </row>
    <row r="28" spans="1:40">
      <c r="A28" s="638">
        <f>RELAÇ_TUDO!A13</f>
        <v>126.21656178900706</v>
      </c>
      <c r="B28" s="639">
        <f>RELAÇ_TUDO!B13</f>
        <v>659</v>
      </c>
      <c r="C28" s="639">
        <f>RELAÇ_TUDO!C13</f>
        <v>20.880193631319148</v>
      </c>
      <c r="D28" s="639">
        <f>RELAÇ_TUDO!D13</f>
        <v>185.88094593374854</v>
      </c>
      <c r="E28" s="639">
        <f>RELAÇ_TUDO!E13</f>
        <v>0.11233100588352528</v>
      </c>
      <c r="F28" s="639">
        <f>RELAÇ_TUDO!F13</f>
        <v>4324.3544300744079</v>
      </c>
      <c r="G28" s="639">
        <f>RELAÇ_TUDO!G13</f>
        <v>0.64600000000000002</v>
      </c>
      <c r="H28" s="636" t="s">
        <v>21</v>
      </c>
      <c r="I28" s="638">
        <f>RELAÇ_TUDO!I13</f>
        <v>127.11658016066335</v>
      </c>
      <c r="J28" s="639">
        <f>RELAÇ_TUDO!J13</f>
        <v>783</v>
      </c>
      <c r="K28" s="639">
        <f>RELAÇ_TUDO!K13</f>
        <v>25.092180917508575</v>
      </c>
      <c r="L28" s="639">
        <f>RELAÇ_TUDO!L13</f>
        <v>195.98665388456561</v>
      </c>
      <c r="M28" s="639">
        <f>RELAÇ_TUDO!M13</f>
        <v>0.12803004908838153</v>
      </c>
      <c r="N28" s="639">
        <f>RELAÇ_TUDO!N13</f>
        <v>4688.2487580077586</v>
      </c>
      <c r="O28" s="639">
        <f>RELAÇ_TUDO!O13</f>
        <v>0.67700000000000005</v>
      </c>
      <c r="P28" s="636" t="s">
        <v>21</v>
      </c>
      <c r="Q28" s="638">
        <f>RELAÇ_TUDO!Q13</f>
        <v>120.9491222124268</v>
      </c>
      <c r="R28" s="639">
        <f>RELAÇ_TUDO!R13</f>
        <v>853</v>
      </c>
      <c r="S28" s="639" t="e">
        <f>RELAÇ_TUDO!S13</f>
        <v>#DIV/0!</v>
      </c>
      <c r="T28" s="639">
        <f>RELAÇ_TUDO!T13</f>
        <v>188.5428708470283</v>
      </c>
      <c r="U28" s="639" t="e">
        <f>RELAÇ_TUDO!U13</f>
        <v>#DIV/0!</v>
      </c>
      <c r="V28" s="639">
        <f>RELAÇ_TUDO!V13</f>
        <v>5162.1873217624461</v>
      </c>
      <c r="W28" s="639">
        <f>RELAÇ_TUDO!W13</f>
        <v>0.7</v>
      </c>
      <c r="X28" s="636" t="s">
        <v>21</v>
      </c>
      <c r="Y28" s="638">
        <f>RELAÇ_TUDO!Y13</f>
        <v>105.82312268814296</v>
      </c>
      <c r="Z28" s="639">
        <f>RELAÇ_TUDO!Z13</f>
        <v>840</v>
      </c>
      <c r="AA28" s="639" t="e">
        <f>RELAÇ_TUDO!AA13</f>
        <v>#DIV/0!</v>
      </c>
      <c r="AB28" s="639">
        <f>RELAÇ_TUDO!AB13</f>
        <v>164.66455477840856</v>
      </c>
      <c r="AC28" s="639" t="e">
        <f>RELAÇ_TUDO!AC13</f>
        <v>#DIV/0!</v>
      </c>
      <c r="AD28" s="639">
        <f>RELAÇ_TUDO!AD13</f>
        <v>5858.3712236805795</v>
      </c>
      <c r="AE28" s="639">
        <f>RELAÇ_TUDO!AE13</f>
        <v>0.72199999999999998</v>
      </c>
      <c r="AF28" s="636" t="s">
        <v>21</v>
      </c>
      <c r="AG28" s="638" t="e">
        <f>RELAÇ_TUDO!AG13</f>
        <v>#DIV/0!</v>
      </c>
      <c r="AH28" s="639">
        <f>RELAÇ_TUDO!AH13</f>
        <v>780</v>
      </c>
      <c r="AI28" s="639" t="e">
        <f>RELAÇ_TUDO!AI13</f>
        <v>#DIV/0!</v>
      </c>
      <c r="AJ28" s="639">
        <f>RELAÇ_TUDO!AJ13</f>
        <v>126.91883377863402</v>
      </c>
      <c r="AK28" s="639" t="e">
        <f>RELAÇ_TUDO!AK13</f>
        <v>#DIV/0!</v>
      </c>
      <c r="AL28" s="639">
        <f>RELAÇ_TUDO!AL13</f>
        <v>6648.4440132116642</v>
      </c>
      <c r="AM28" s="639">
        <f>RELAÇ_TUDO!AM13</f>
        <v>0.74469142857142845</v>
      </c>
      <c r="AN28" s="636" t="s">
        <v>21</v>
      </c>
    </row>
    <row r="29" spans="1:40" ht="15.75" thickBot="1">
      <c r="A29" s="640">
        <f>RELAÇ_TUDO!A19</f>
        <v>127.69799244430486</v>
      </c>
      <c r="B29" s="641">
        <f>RELAÇ_TUDO!B19</f>
        <v>903</v>
      </c>
      <c r="C29" s="641">
        <f>RELAÇ_TUDO!C19</f>
        <v>28.71074449535859</v>
      </c>
      <c r="D29" s="641">
        <f>RELAÇ_TUDO!D19</f>
        <v>195.65570662477654</v>
      </c>
      <c r="E29" s="641">
        <f>RELAÇ_TUDO!E19</f>
        <v>0.14674115562813259</v>
      </c>
      <c r="F29" s="641">
        <f>RELAÇ_TUDO!F19</f>
        <v>3297.2391445571384</v>
      </c>
      <c r="G29" s="641">
        <f>RELAÇ_TUDO!G19</f>
        <v>0.67300000000000004</v>
      </c>
      <c r="H29" s="637" t="s">
        <v>27</v>
      </c>
      <c r="I29" s="640">
        <f>RELAÇ_TUDO!I19</f>
        <v>123.78292293094962</v>
      </c>
      <c r="J29" s="641">
        <f>RELAÇ_TUDO!J19</f>
        <v>1044</v>
      </c>
      <c r="K29" s="641">
        <f>RELAÇ_TUDO!K19</f>
        <v>33.479136469169688</v>
      </c>
      <c r="L29" s="641">
        <f>RELAÇ_TUDO!L19</f>
        <v>195.8323719914689</v>
      </c>
      <c r="M29" s="641">
        <f>RELAÇ_TUDO!M19</f>
        <v>0.17095813183853051</v>
      </c>
      <c r="N29" s="641">
        <f>RELAÇ_TUDO!N19</f>
        <v>3701.239331431866</v>
      </c>
      <c r="O29" s="641">
        <f>RELAÇ_TUDO!O19</f>
        <v>0.70299999999999996</v>
      </c>
      <c r="P29" s="637" t="s">
        <v>27</v>
      </c>
      <c r="Q29" s="640">
        <f>RELAÇ_TUDO!Q19</f>
        <v>120.23241906125917</v>
      </c>
      <c r="R29" s="641">
        <f>RELAÇ_TUDO!R19</f>
        <v>1085</v>
      </c>
      <c r="S29" s="641" t="e">
        <f>RELAÇ_TUDO!S19</f>
        <v>#DIV/0!</v>
      </c>
      <c r="T29" s="641">
        <f>RELAÇ_TUDO!T19</f>
        <v>176.08605333541067</v>
      </c>
      <c r="U29" s="641" t="e">
        <f>RELAÇ_TUDO!U19</f>
        <v>#DIV/0!</v>
      </c>
      <c r="V29" s="641">
        <f>RELAÇ_TUDO!V19</f>
        <v>4211.8719623238612</v>
      </c>
      <c r="W29" s="641">
        <f>RELAÇ_TUDO!W19</f>
        <v>0.72099999999999997</v>
      </c>
      <c r="X29" s="637" t="s">
        <v>27</v>
      </c>
      <c r="Y29" s="640">
        <f>RELAÇ_TUDO!Y19</f>
        <v>108.73951542278395</v>
      </c>
      <c r="Z29" s="641">
        <f>RELAÇ_TUDO!Z19</f>
        <v>1195</v>
      </c>
      <c r="AA29" s="641" t="e">
        <f>RELAÇ_TUDO!AA19</f>
        <v>#DIV/0!</v>
      </c>
      <c r="AB29" s="641">
        <f>RELAÇ_TUDO!AB19</f>
        <v>169.37645369644622</v>
      </c>
      <c r="AC29" s="641" t="e">
        <f>RELAÇ_TUDO!AC19</f>
        <v>#DIV/0!</v>
      </c>
      <c r="AD29" s="641">
        <f>RELAÇ_TUDO!AD19</f>
        <v>4661.5573494030541</v>
      </c>
      <c r="AE29" s="641">
        <f>RELAÇ_TUDO!AE19</f>
        <v>0.74</v>
      </c>
      <c r="AF29" s="637" t="s">
        <v>27</v>
      </c>
      <c r="AG29" s="640" t="e">
        <f>RELAÇ_TUDO!AG19</f>
        <v>#DIV/0!</v>
      </c>
      <c r="AH29" s="641">
        <f>RELAÇ_TUDO!AH19</f>
        <v>1194</v>
      </c>
      <c r="AI29" s="641" t="e">
        <f>RELAÇ_TUDO!AI19</f>
        <v>#DIV/0!</v>
      </c>
      <c r="AJ29" s="641">
        <f>RELAÇ_TUDO!AJ19</f>
        <v>139.57647773965596</v>
      </c>
      <c r="AK29" s="641" t="e">
        <f>RELAÇ_TUDO!AK19</f>
        <v>#DIV/0!</v>
      </c>
      <c r="AL29" s="641">
        <f>RELAÇ_TUDO!AL19</f>
        <v>5159.2539175346246</v>
      </c>
      <c r="AM29" s="641">
        <f>RELAÇ_TUDO!AM19</f>
        <v>0.75950069348127602</v>
      </c>
      <c r="AN29" s="637" t="s">
        <v>27</v>
      </c>
    </row>
    <row r="30" spans="1:40">
      <c r="A30" s="632"/>
      <c r="B30" s="632"/>
      <c r="C30" s="632"/>
      <c r="D30" s="632"/>
      <c r="E30" s="634" t="s">
        <v>503</v>
      </c>
      <c r="F30" s="634" t="s">
        <v>504</v>
      </c>
      <c r="G30" s="634" t="s">
        <v>505</v>
      </c>
      <c r="M30" s="634" t="s">
        <v>503</v>
      </c>
      <c r="N30" s="634" t="s">
        <v>504</v>
      </c>
      <c r="O30" s="634" t="s">
        <v>505</v>
      </c>
      <c r="U30" s="634" t="s">
        <v>503</v>
      </c>
      <c r="V30" s="634" t="s">
        <v>504</v>
      </c>
      <c r="W30" s="634" t="s">
        <v>505</v>
      </c>
      <c r="AC30" s="634" t="s">
        <v>506</v>
      </c>
      <c r="AD30" s="634" t="s">
        <v>507</v>
      </c>
      <c r="AE30" s="634" t="s">
        <v>505</v>
      </c>
      <c r="AK30" s="634" t="s">
        <v>503</v>
      </c>
      <c r="AL30" s="634" t="s">
        <v>504</v>
      </c>
      <c r="AM30" s="634" t="s">
        <v>505</v>
      </c>
    </row>
    <row r="31" spans="1:40">
      <c r="A31" s="632"/>
      <c r="B31" s="632"/>
      <c r="C31" s="632"/>
      <c r="D31" s="632"/>
      <c r="E31" s="632">
        <f>E3*100</f>
        <v>43.701962365294541</v>
      </c>
      <c r="F31" s="642">
        <f>F3/100</f>
        <v>161.57786321470641</v>
      </c>
      <c r="G31" s="632">
        <f>G3*100</f>
        <v>81.399999999999991</v>
      </c>
      <c r="M31" s="632">
        <f>M3*100</f>
        <v>46.980048251912123</v>
      </c>
      <c r="N31" s="642">
        <f>N3/100</f>
        <v>179.75613328189149</v>
      </c>
      <c r="O31" s="632">
        <f>O3*100</f>
        <v>83.3</v>
      </c>
      <c r="U31" s="632" t="e">
        <f>U3*100</f>
        <v>#DIV/0!</v>
      </c>
      <c r="V31" s="642">
        <f>V3/100</f>
        <v>195.50365699760493</v>
      </c>
      <c r="W31" s="632">
        <f>W3*100</f>
        <v>84.2</v>
      </c>
      <c r="AC31" s="632" t="e">
        <f>AC3*200</f>
        <v>#DIV/0!</v>
      </c>
      <c r="AD31" s="642">
        <f>AD3/500</f>
        <v>45.334503090038282</v>
      </c>
      <c r="AE31" s="632">
        <f t="shared" ref="AE31:AE57" si="0">AE3*100</f>
        <v>85.7</v>
      </c>
      <c r="AK31" s="632" t="e">
        <f>AK3*100</f>
        <v>#DIV/0!</v>
      </c>
      <c r="AL31" s="642">
        <f>AL3/100</f>
        <v>262.81057883815811</v>
      </c>
      <c r="AM31" s="632">
        <f>AM3*100</f>
        <v>87.226722090261276</v>
      </c>
    </row>
    <row r="32" spans="1:40">
      <c r="A32" s="632"/>
      <c r="B32" s="632"/>
      <c r="C32" s="632"/>
      <c r="D32" s="632"/>
      <c r="E32" s="632">
        <f t="shared" ref="E32:E57" si="1">E4*100</f>
        <v>38.397405837360715</v>
      </c>
      <c r="F32" s="642">
        <f t="shared" ref="F32:F57" si="2">F4/100</f>
        <v>128.50072058969863</v>
      </c>
      <c r="G32" s="632">
        <f t="shared" ref="G32:G57" si="3">G4*100</f>
        <v>80.900000000000006</v>
      </c>
      <c r="M32" s="632">
        <f t="shared" ref="M32:M57" si="4">M4*100</f>
        <v>41.815819050229344</v>
      </c>
      <c r="N32" s="642">
        <f t="shared" ref="N32:N57" si="5">N4/100</f>
        <v>132.98021312991702</v>
      </c>
      <c r="O32" s="632">
        <f t="shared" ref="O32:O57" si="6">O4*100</f>
        <v>83.2</v>
      </c>
      <c r="U32" s="632" t="e">
        <f t="shared" ref="U32:U57" si="7">U4*100</f>
        <v>#DIV/0!</v>
      </c>
      <c r="V32" s="642">
        <f t="shared" ref="V32:V57" si="8">V4/100</f>
        <v>375.99276296173468</v>
      </c>
      <c r="W32" s="632">
        <f t="shared" ref="W32:W57" si="9">W4*100</f>
        <v>88.2</v>
      </c>
      <c r="AC32" s="632" t="e">
        <f t="shared" ref="AC32:AC57" si="10">AC4*200</f>
        <v>#DIV/0!</v>
      </c>
      <c r="AD32" s="642">
        <f t="shared" ref="AD32:AD57" si="11">AD4/500</f>
        <v>33.377484448152011</v>
      </c>
      <c r="AE32" s="632">
        <f t="shared" si="0"/>
        <v>84.7</v>
      </c>
      <c r="AK32" s="632" t="e">
        <f t="shared" ref="AK32:AK57" si="12">AK4*100</f>
        <v>#DIV/0!</v>
      </c>
      <c r="AL32" s="642">
        <f t="shared" ref="AL32:AL57" si="13">AL4/100</f>
        <v>209.33796692269235</v>
      </c>
      <c r="AM32" s="632">
        <f t="shared" ref="AM32:AM57" si="14">AM4*100</f>
        <v>85.804255319148922</v>
      </c>
    </row>
    <row r="33" spans="1:39">
      <c r="A33" s="632"/>
      <c r="B33" s="632"/>
      <c r="C33" s="632"/>
      <c r="D33" s="632"/>
      <c r="E33" s="632">
        <f t="shared" si="1"/>
        <v>41.687623998612906</v>
      </c>
      <c r="F33" s="642">
        <f t="shared" si="2"/>
        <v>309.91496299239782</v>
      </c>
      <c r="G33" s="632">
        <f t="shared" si="3"/>
        <v>84.6</v>
      </c>
      <c r="M33" s="632">
        <f t="shared" si="4"/>
        <v>33.168742884872579</v>
      </c>
      <c r="N33" s="642">
        <f t="shared" si="5"/>
        <v>100.13762537453182</v>
      </c>
      <c r="O33" s="632">
        <f t="shared" si="6"/>
        <v>80</v>
      </c>
      <c r="U33" s="632" t="e">
        <f t="shared" si="7"/>
        <v>#DIV/0!</v>
      </c>
      <c r="V33" s="642">
        <f t="shared" si="8"/>
        <v>143.04825274705391</v>
      </c>
      <c r="W33" s="632">
        <f t="shared" si="9"/>
        <v>84</v>
      </c>
      <c r="AC33" s="632" t="e">
        <f t="shared" si="10"/>
        <v>#DIV/0!</v>
      </c>
      <c r="AD33" s="642">
        <f t="shared" si="11"/>
        <v>26.085661690633572</v>
      </c>
      <c r="AE33" s="632">
        <f t="shared" si="0"/>
        <v>79.600000000000009</v>
      </c>
      <c r="AK33" s="632" t="e">
        <f t="shared" si="12"/>
        <v>#DIV/0!</v>
      </c>
      <c r="AL33" s="642">
        <f t="shared" si="13"/>
        <v>123.07130094771786</v>
      </c>
      <c r="AM33" s="632">
        <f t="shared" si="14"/>
        <v>81.115335868187586</v>
      </c>
    </row>
    <row r="34" spans="1:39">
      <c r="E34" s="632">
        <f t="shared" si="1"/>
        <v>29.66751934754339</v>
      </c>
      <c r="F34" s="642">
        <f t="shared" si="2"/>
        <v>93.359708461572069</v>
      </c>
      <c r="G34" s="632">
        <f t="shared" si="3"/>
        <v>76.8</v>
      </c>
      <c r="M34" s="632">
        <f t="shared" si="4"/>
        <v>45.684898994615118</v>
      </c>
      <c r="N34" s="642">
        <f t="shared" si="5"/>
        <v>345.14738299306936</v>
      </c>
      <c r="O34" s="632">
        <f t="shared" si="6"/>
        <v>87.4</v>
      </c>
      <c r="U34" s="632" t="e">
        <f t="shared" si="7"/>
        <v>#DIV/0!</v>
      </c>
      <c r="V34" s="642">
        <f t="shared" si="8"/>
        <v>110.24695937721498</v>
      </c>
      <c r="W34" s="632">
        <f t="shared" si="9"/>
        <v>81.3</v>
      </c>
      <c r="AC34" s="632" t="e">
        <f t="shared" si="10"/>
        <v>#DIV/0!</v>
      </c>
      <c r="AD34" s="642">
        <f t="shared" si="11"/>
        <v>25.038798405892848</v>
      </c>
      <c r="AE34" s="632">
        <f t="shared" si="0"/>
        <v>82.5</v>
      </c>
      <c r="AK34" s="632" t="e">
        <f t="shared" si="12"/>
        <v>#DIV/0!</v>
      </c>
      <c r="AL34" s="642">
        <f t="shared" si="13"/>
        <v>143.84606589199376</v>
      </c>
      <c r="AM34" s="632">
        <f t="shared" si="14"/>
        <v>80.818367346938786</v>
      </c>
    </row>
    <row r="35" spans="1:39">
      <c r="E35" s="632">
        <f t="shared" si="1"/>
        <v>12.864812043059427</v>
      </c>
      <c r="F35" s="642">
        <f t="shared" si="2"/>
        <v>96.579742548466001</v>
      </c>
      <c r="G35" s="632">
        <f t="shared" si="3"/>
        <v>71.7</v>
      </c>
      <c r="M35" s="632">
        <f t="shared" si="4"/>
        <v>13.999543626048908</v>
      </c>
      <c r="N35" s="642">
        <f t="shared" si="5"/>
        <v>103.18295712704374</v>
      </c>
      <c r="O35" s="632">
        <f t="shared" si="6"/>
        <v>78</v>
      </c>
      <c r="U35" s="632" t="e">
        <f t="shared" si="7"/>
        <v>#DIV/0!</v>
      </c>
      <c r="V35" s="642">
        <f t="shared" si="8"/>
        <v>70.408595265403406</v>
      </c>
      <c r="W35" s="632">
        <f t="shared" si="9"/>
        <v>76.3</v>
      </c>
      <c r="AC35" s="632" t="e">
        <f t="shared" si="10"/>
        <v>#DIV/0!</v>
      </c>
      <c r="AD35" s="642">
        <f t="shared" si="11"/>
        <v>81.392156298517051</v>
      </c>
      <c r="AE35" s="632">
        <f t="shared" si="0"/>
        <v>90</v>
      </c>
      <c r="AK35" s="632" t="e">
        <f t="shared" si="12"/>
        <v>#DIV/0!</v>
      </c>
      <c r="AL35" s="642">
        <f t="shared" si="13"/>
        <v>194.69941902341296</v>
      </c>
      <c r="AM35" s="632">
        <f t="shared" si="14"/>
        <v>85.40583333333332</v>
      </c>
    </row>
    <row r="36" spans="1:39">
      <c r="E36" s="632">
        <f t="shared" si="1"/>
        <v>47.92657034706729</v>
      </c>
      <c r="F36" s="642">
        <f t="shared" si="2"/>
        <v>134.03291564203718</v>
      </c>
      <c r="G36" s="632">
        <f t="shared" si="3"/>
        <v>80.600000000000009</v>
      </c>
      <c r="M36" s="632">
        <f t="shared" si="4"/>
        <v>50.799528073905208</v>
      </c>
      <c r="N36" s="642">
        <f t="shared" si="5"/>
        <v>145.42791465261678</v>
      </c>
      <c r="O36" s="632">
        <f t="shared" si="6"/>
        <v>84</v>
      </c>
      <c r="U36" s="632" t="e">
        <f t="shared" si="7"/>
        <v>#DIV/0!</v>
      </c>
      <c r="V36" s="642">
        <f t="shared" si="8"/>
        <v>156.33198377044727</v>
      </c>
      <c r="W36" s="632">
        <f t="shared" si="9"/>
        <v>84.8</v>
      </c>
      <c r="AC36" s="632" t="e">
        <f t="shared" si="10"/>
        <v>#DIV/0!</v>
      </c>
      <c r="AD36" s="642">
        <f t="shared" si="11"/>
        <v>38.490158688975029</v>
      </c>
      <c r="AE36" s="632">
        <f t="shared" si="0"/>
        <v>85.2</v>
      </c>
      <c r="AK36" s="632" t="e">
        <f t="shared" si="12"/>
        <v>#DIV/0!</v>
      </c>
      <c r="AL36" s="642">
        <f t="shared" si="13"/>
        <v>440.47942936048162</v>
      </c>
      <c r="AM36" s="632">
        <f t="shared" si="14"/>
        <v>91.83673469387756</v>
      </c>
    </row>
    <row r="37" spans="1:39">
      <c r="E37" s="632">
        <f t="shared" si="1"/>
        <v>12.808218616567038</v>
      </c>
      <c r="F37" s="642">
        <f t="shared" si="2"/>
        <v>57.800613950999463</v>
      </c>
      <c r="G37" s="632">
        <f t="shared" si="3"/>
        <v>69.599999999999994</v>
      </c>
      <c r="M37" s="632">
        <f t="shared" si="4"/>
        <v>26.690124765407024</v>
      </c>
      <c r="N37" s="642">
        <f t="shared" si="5"/>
        <v>160.57400564323567</v>
      </c>
      <c r="O37" s="632">
        <f t="shared" si="6"/>
        <v>83.2</v>
      </c>
      <c r="U37" s="632" t="e">
        <f t="shared" si="7"/>
        <v>#DIV/0!</v>
      </c>
      <c r="V37" s="642">
        <f t="shared" si="8"/>
        <v>118.26214043787441</v>
      </c>
      <c r="W37" s="632">
        <f t="shared" si="9"/>
        <v>78.400000000000006</v>
      </c>
      <c r="AC37" s="632" t="e">
        <f t="shared" si="10"/>
        <v>#DIV/0!</v>
      </c>
      <c r="AD37" s="642">
        <f t="shared" si="11"/>
        <v>20.639961718091733</v>
      </c>
      <c r="AE37" s="632">
        <f t="shared" si="0"/>
        <v>78.400000000000006</v>
      </c>
      <c r="AK37" s="632" t="e">
        <f t="shared" si="12"/>
        <v>#DIV/0!</v>
      </c>
      <c r="AL37" s="642">
        <f t="shared" si="13"/>
        <v>142.16750946069945</v>
      </c>
      <c r="AM37" s="632">
        <f t="shared" si="14"/>
        <v>83.717712177121768</v>
      </c>
    </row>
    <row r="38" spans="1:39">
      <c r="E38" s="632">
        <f t="shared" si="1"/>
        <v>24.788065696854531</v>
      </c>
      <c r="F38" s="642">
        <f t="shared" si="2"/>
        <v>146.63819164048769</v>
      </c>
      <c r="G38" s="632">
        <f t="shared" si="3"/>
        <v>80.2</v>
      </c>
      <c r="M38" s="632">
        <f t="shared" si="4"/>
        <v>32.621739890131202</v>
      </c>
      <c r="N38" s="642">
        <f t="shared" si="5"/>
        <v>83.957365320465712</v>
      </c>
      <c r="O38" s="632">
        <f t="shared" si="6"/>
        <v>77.600000000000009</v>
      </c>
      <c r="U38" s="632" t="e">
        <f t="shared" si="7"/>
        <v>#DIV/0!</v>
      </c>
      <c r="V38" s="642">
        <f t="shared" si="8"/>
        <v>99.56295743205817</v>
      </c>
      <c r="W38" s="632">
        <f t="shared" si="9"/>
        <v>80.7</v>
      </c>
      <c r="AC38" s="632" t="e">
        <f t="shared" si="10"/>
        <v>#DIV/0!</v>
      </c>
      <c r="AD38" s="642">
        <f t="shared" si="11"/>
        <v>35.668006078377495</v>
      </c>
      <c r="AE38" s="632">
        <f t="shared" si="0"/>
        <v>86</v>
      </c>
      <c r="AK38" s="632" t="e">
        <f t="shared" si="12"/>
        <v>#DIV/0!</v>
      </c>
      <c r="AL38" s="642">
        <f t="shared" si="13"/>
        <v>85.689849649541358</v>
      </c>
      <c r="AM38" s="632">
        <f t="shared" si="14"/>
        <v>76.416307277628022</v>
      </c>
    </row>
    <row r="39" spans="1:39">
      <c r="E39" s="632">
        <f t="shared" si="1"/>
        <v>29.646169221449941</v>
      </c>
      <c r="F39" s="642">
        <f t="shared" si="2"/>
        <v>72.085857038599571</v>
      </c>
      <c r="G39" s="632">
        <f t="shared" si="3"/>
        <v>72.899999999999991</v>
      </c>
      <c r="M39" s="632">
        <f t="shared" si="4"/>
        <v>21.444956119376506</v>
      </c>
      <c r="N39" s="642">
        <f t="shared" si="5"/>
        <v>59.503823597379835</v>
      </c>
      <c r="O39" s="632">
        <f t="shared" si="6"/>
        <v>73.8</v>
      </c>
      <c r="U39" s="632" t="e">
        <f t="shared" si="7"/>
        <v>#DIV/0!</v>
      </c>
      <c r="V39" s="642">
        <f t="shared" si="8"/>
        <v>83.892080729590091</v>
      </c>
      <c r="W39" s="632">
        <f t="shared" si="9"/>
        <v>77.900000000000006</v>
      </c>
      <c r="AC39" s="632" t="e">
        <f t="shared" si="10"/>
        <v>#DIV/0!</v>
      </c>
      <c r="AD39" s="642">
        <f t="shared" si="11"/>
        <v>15.214028452381177</v>
      </c>
      <c r="AE39" s="632">
        <f t="shared" si="0"/>
        <v>75.3</v>
      </c>
      <c r="AK39" s="632" t="e">
        <f t="shared" si="12"/>
        <v>#DIV/0!</v>
      </c>
      <c r="AL39" s="642">
        <f t="shared" si="13"/>
        <v>133.93423695553261</v>
      </c>
      <c r="AM39" s="632">
        <f t="shared" si="14"/>
        <v>84.135811648079283</v>
      </c>
    </row>
    <row r="40" spans="1:39">
      <c r="E40" s="632">
        <f t="shared" si="1"/>
        <v>24.060669470957087</v>
      </c>
      <c r="F40" s="642">
        <f t="shared" si="2"/>
        <v>73.60850072250912</v>
      </c>
      <c r="G40" s="632">
        <f t="shared" si="3"/>
        <v>74.900000000000006</v>
      </c>
      <c r="M40" s="632">
        <f t="shared" si="4"/>
        <v>34.884726215288872</v>
      </c>
      <c r="N40" s="642">
        <f t="shared" si="5"/>
        <v>133.65064178760551</v>
      </c>
      <c r="O40" s="632">
        <f t="shared" si="6"/>
        <v>79.600000000000009</v>
      </c>
      <c r="U40" s="632" t="e">
        <f t="shared" si="7"/>
        <v>#DIV/0!</v>
      </c>
      <c r="V40" s="642">
        <f t="shared" si="8"/>
        <v>176.92589854586546</v>
      </c>
      <c r="W40" s="632">
        <f t="shared" si="9"/>
        <v>84.6</v>
      </c>
      <c r="AC40" s="632" t="e">
        <f t="shared" si="10"/>
        <v>#DIV/0!</v>
      </c>
      <c r="AD40" s="642">
        <f t="shared" si="11"/>
        <v>23.09535774366692</v>
      </c>
      <c r="AE40" s="632">
        <f t="shared" si="0"/>
        <v>82.399999999999991</v>
      </c>
      <c r="AK40" s="632" t="e">
        <f t="shared" si="12"/>
        <v>#DIV/0!</v>
      </c>
      <c r="AL40" s="642">
        <f t="shared" si="13"/>
        <v>126.9512020739618</v>
      </c>
      <c r="AM40" s="632">
        <f t="shared" si="14"/>
        <v>78.903209242618743</v>
      </c>
    </row>
    <row r="41" spans="1:39">
      <c r="E41" s="632">
        <f t="shared" si="1"/>
        <v>19.397408120610166</v>
      </c>
      <c r="F41" s="642">
        <f t="shared" si="2"/>
        <v>52.599229536491393</v>
      </c>
      <c r="G41" s="632">
        <f t="shared" si="3"/>
        <v>70.199999999999989</v>
      </c>
      <c r="M41" s="632">
        <f t="shared" si="4"/>
        <v>45.832467648603682</v>
      </c>
      <c r="N41" s="642">
        <f t="shared" si="5"/>
        <v>123.44437083128983</v>
      </c>
      <c r="O41" s="632">
        <f t="shared" si="6"/>
        <v>82</v>
      </c>
      <c r="U41" s="632" t="e">
        <f t="shared" si="7"/>
        <v>#DIV/0!</v>
      </c>
      <c r="V41" s="642">
        <f t="shared" si="8"/>
        <v>67.530361733778264</v>
      </c>
      <c r="W41" s="632">
        <f t="shared" si="9"/>
        <v>74.2</v>
      </c>
      <c r="AC41" s="632" t="e">
        <f t="shared" si="10"/>
        <v>#DIV/0!</v>
      </c>
      <c r="AD41" s="642">
        <f t="shared" si="11"/>
        <v>20.507470548730694</v>
      </c>
      <c r="AE41" s="632">
        <f t="shared" si="0"/>
        <v>80</v>
      </c>
      <c r="AK41" s="632" t="e">
        <f t="shared" si="12"/>
        <v>#DIV/0!</v>
      </c>
      <c r="AL41" s="642">
        <f t="shared" si="13"/>
        <v>203.44631772140124</v>
      </c>
      <c r="AM41" s="632">
        <f t="shared" si="14"/>
        <v>87.21698113207546</v>
      </c>
    </row>
    <row r="42" spans="1:39">
      <c r="E42" s="632">
        <f t="shared" si="1"/>
        <v>17.004668901527701</v>
      </c>
      <c r="F42" s="642">
        <f t="shared" si="2"/>
        <v>62.512143002923018</v>
      </c>
      <c r="G42" s="632">
        <f t="shared" si="3"/>
        <v>69.199999999999989</v>
      </c>
      <c r="M42" s="632">
        <f t="shared" si="4"/>
        <v>36.60575623256517</v>
      </c>
      <c r="N42" s="642">
        <f t="shared" si="5"/>
        <v>89.920203633827967</v>
      </c>
      <c r="O42" s="632">
        <f t="shared" si="6"/>
        <v>80</v>
      </c>
      <c r="U42" s="632" t="e">
        <f t="shared" si="7"/>
        <v>#DIV/0!</v>
      </c>
      <c r="V42" s="642">
        <f t="shared" si="8"/>
        <v>69.18974235381144</v>
      </c>
      <c r="W42" s="632">
        <f t="shared" si="9"/>
        <v>75.400000000000006</v>
      </c>
      <c r="AC42" s="632" t="e">
        <f t="shared" si="10"/>
        <v>#DIV/0!</v>
      </c>
      <c r="AD42" s="642">
        <f t="shared" si="11"/>
        <v>17.578983438483828</v>
      </c>
      <c r="AE42" s="632">
        <f t="shared" si="0"/>
        <v>78</v>
      </c>
      <c r="AK42" s="632" t="e">
        <f t="shared" si="12"/>
        <v>#DIV/0!</v>
      </c>
      <c r="AL42" s="642">
        <f t="shared" si="13"/>
        <v>109.72405342190227</v>
      </c>
      <c r="AM42" s="632">
        <f t="shared" si="14"/>
        <v>79.737876802096991</v>
      </c>
    </row>
    <row r="43" spans="1:39">
      <c r="E43" s="632">
        <f t="shared" si="1"/>
        <v>33.771160729411967</v>
      </c>
      <c r="F43" s="642">
        <f t="shared" si="2"/>
        <v>87.180125647535746</v>
      </c>
      <c r="G43" s="632">
        <f t="shared" si="3"/>
        <v>77</v>
      </c>
      <c r="M43" s="632">
        <f t="shared" si="4"/>
        <v>18.762635316314025</v>
      </c>
      <c r="N43" s="642">
        <f t="shared" si="5"/>
        <v>66.935622062631253</v>
      </c>
      <c r="O43" s="632">
        <f t="shared" si="6"/>
        <v>75.099999999999994</v>
      </c>
      <c r="U43" s="632" t="e">
        <f t="shared" si="7"/>
        <v>#DIV/0!</v>
      </c>
      <c r="V43" s="642">
        <f t="shared" si="8"/>
        <v>131.51984836409983</v>
      </c>
      <c r="W43" s="632">
        <f t="shared" si="9"/>
        <v>82.699999999999989</v>
      </c>
      <c r="AC43" s="632" t="e">
        <f t="shared" si="10"/>
        <v>#DIV/0!</v>
      </c>
      <c r="AD43" s="642">
        <f t="shared" si="11"/>
        <v>24.82236661868215</v>
      </c>
      <c r="AE43" s="632">
        <f t="shared" si="0"/>
        <v>83</v>
      </c>
      <c r="AK43" s="632" t="e">
        <f t="shared" si="12"/>
        <v>#DIV/0!</v>
      </c>
      <c r="AL43" s="642">
        <f t="shared" si="13"/>
        <v>87.648305661058671</v>
      </c>
      <c r="AM43" s="632">
        <f t="shared" si="14"/>
        <v>78.022413793103439</v>
      </c>
    </row>
    <row r="44" spans="1:39">
      <c r="E44" s="632">
        <f t="shared" si="1"/>
        <v>34.440066933553624</v>
      </c>
      <c r="F44" s="642">
        <f t="shared" si="2"/>
        <v>94.612232481103732</v>
      </c>
      <c r="G44" s="632">
        <f t="shared" si="3"/>
        <v>76.900000000000006</v>
      </c>
      <c r="M44" s="632">
        <f t="shared" si="4"/>
        <v>15.710368230658705</v>
      </c>
      <c r="N44" s="642">
        <f t="shared" si="5"/>
        <v>73.349321588002709</v>
      </c>
      <c r="O44" s="632">
        <f t="shared" si="6"/>
        <v>78</v>
      </c>
      <c r="U44" s="632" t="e">
        <f t="shared" si="7"/>
        <v>#DIV/0!</v>
      </c>
      <c r="V44" s="642">
        <f t="shared" si="8"/>
        <v>123.40786324018362</v>
      </c>
      <c r="W44" s="632">
        <f t="shared" si="9"/>
        <v>80.400000000000006</v>
      </c>
      <c r="AC44" s="632" t="e">
        <f t="shared" si="10"/>
        <v>#DIV/0!</v>
      </c>
      <c r="AD44" s="642">
        <f t="shared" si="11"/>
        <v>31.422392217389024</v>
      </c>
      <c r="AE44" s="632">
        <f t="shared" si="0"/>
        <v>84.6</v>
      </c>
      <c r="AK44" s="632" t="e">
        <f t="shared" si="12"/>
        <v>#DIV/0!</v>
      </c>
      <c r="AL44" s="642">
        <f t="shared" si="13"/>
        <v>187.68397792134047</v>
      </c>
      <c r="AM44" s="632">
        <f t="shared" si="14"/>
        <v>86.543651753325264</v>
      </c>
    </row>
    <row r="45" spans="1:39">
      <c r="E45" s="632">
        <f t="shared" si="1"/>
        <v>31.623816305624263</v>
      </c>
      <c r="F45" s="642">
        <f t="shared" si="2"/>
        <v>134.44588457402133</v>
      </c>
      <c r="G45" s="632">
        <f t="shared" si="3"/>
        <v>76.7</v>
      </c>
      <c r="M45" s="632">
        <f t="shared" si="4"/>
        <v>15.152373854829303</v>
      </c>
      <c r="N45" s="642">
        <f t="shared" si="5"/>
        <v>65.810449836799279</v>
      </c>
      <c r="O45" s="632">
        <f t="shared" si="6"/>
        <v>74.2</v>
      </c>
      <c r="U45" s="632" t="e">
        <f t="shared" si="7"/>
        <v>#DIV/0!</v>
      </c>
      <c r="V45" s="642">
        <f t="shared" si="8"/>
        <v>85.429410648245678</v>
      </c>
      <c r="W45" s="632">
        <f t="shared" si="9"/>
        <v>78.900000000000006</v>
      </c>
      <c r="AC45" s="632" t="e">
        <f t="shared" si="10"/>
        <v>#DIV/0!</v>
      </c>
      <c r="AD45" s="642">
        <f t="shared" si="11"/>
        <v>15.574804893078774</v>
      </c>
      <c r="AE45" s="632">
        <f t="shared" si="0"/>
        <v>76.7</v>
      </c>
      <c r="AK45" s="632" t="e">
        <f t="shared" si="12"/>
        <v>#DIV/0!</v>
      </c>
      <c r="AL45" s="642">
        <f t="shared" si="13"/>
        <v>145.42202721963292</v>
      </c>
      <c r="AM45" s="632">
        <f t="shared" si="14"/>
        <v>84.527607361963192</v>
      </c>
    </row>
    <row r="46" spans="1:39">
      <c r="E46" s="632">
        <f t="shared" si="1"/>
        <v>41.66284866839824</v>
      </c>
      <c r="F46" s="642">
        <f t="shared" si="2"/>
        <v>120.79826715677055</v>
      </c>
      <c r="G46" s="632">
        <f t="shared" si="3"/>
        <v>80.300000000000011</v>
      </c>
      <c r="M46" s="632">
        <f t="shared" si="4"/>
        <v>33.378691942308173</v>
      </c>
      <c r="N46" s="642">
        <f t="shared" si="5"/>
        <v>138.54906640322051</v>
      </c>
      <c r="O46" s="632">
        <f t="shared" si="6"/>
        <v>80.2</v>
      </c>
      <c r="U46" s="632" t="e">
        <f t="shared" si="7"/>
        <v>#DIV/0!</v>
      </c>
      <c r="V46" s="642">
        <f t="shared" si="8"/>
        <v>105.92444217919032</v>
      </c>
      <c r="W46" s="632">
        <f t="shared" si="9"/>
        <v>81.5</v>
      </c>
      <c r="AC46" s="632" t="e">
        <f t="shared" si="10"/>
        <v>#DIV/0!</v>
      </c>
      <c r="AD46" s="642">
        <f t="shared" si="11"/>
        <v>29.907161256883828</v>
      </c>
      <c r="AE46" s="632">
        <f t="shared" si="0"/>
        <v>80.800000000000011</v>
      </c>
      <c r="AK46" s="632" t="e">
        <f t="shared" si="12"/>
        <v>#DIV/0!</v>
      </c>
      <c r="AL46" s="642">
        <f t="shared" si="13"/>
        <v>181.19556383219376</v>
      </c>
      <c r="AM46" s="632">
        <f t="shared" si="14"/>
        <v>81.201990049751259</v>
      </c>
    </row>
    <row r="47" spans="1:39">
      <c r="E47" s="632">
        <f t="shared" si="1"/>
        <v>30.75311419766717</v>
      </c>
      <c r="F47" s="642">
        <f t="shared" si="2"/>
        <v>119.97944357415641</v>
      </c>
      <c r="G47" s="632">
        <f t="shared" si="3"/>
        <v>78.7</v>
      </c>
      <c r="M47" s="632">
        <f t="shared" si="4"/>
        <v>36.349745857941777</v>
      </c>
      <c r="N47" s="642">
        <f t="shared" si="5"/>
        <v>95.611214806163659</v>
      </c>
      <c r="O47" s="632">
        <f t="shared" si="6"/>
        <v>80.2</v>
      </c>
      <c r="U47" s="632" t="e">
        <f t="shared" si="7"/>
        <v>#DIV/0!</v>
      </c>
      <c r="V47" s="642">
        <f t="shared" si="8"/>
        <v>152.34758093902639</v>
      </c>
      <c r="W47" s="632">
        <f t="shared" si="9"/>
        <v>80.800000000000011</v>
      </c>
      <c r="AC47" s="632" t="e">
        <f t="shared" si="10"/>
        <v>#DIV/0!</v>
      </c>
      <c r="AD47" s="642">
        <f t="shared" si="11"/>
        <v>14.013624647103606</v>
      </c>
      <c r="AE47" s="632">
        <f t="shared" si="0"/>
        <v>78.2</v>
      </c>
      <c r="AK47" s="632" t="e">
        <f t="shared" si="12"/>
        <v>#DIV/0!</v>
      </c>
      <c r="AL47" s="642">
        <f t="shared" si="13"/>
        <v>82.474877189030437</v>
      </c>
      <c r="AM47" s="632">
        <f t="shared" si="14"/>
        <v>75.111050477489769</v>
      </c>
    </row>
    <row r="48" spans="1:39">
      <c r="E48" s="632">
        <f t="shared" si="1"/>
        <v>14.669322238659957</v>
      </c>
      <c r="F48" s="642">
        <f t="shared" si="2"/>
        <v>70.261710838753217</v>
      </c>
      <c r="G48" s="632">
        <f t="shared" si="3"/>
        <v>73.2</v>
      </c>
      <c r="M48" s="632">
        <f t="shared" si="4"/>
        <v>25.902294634047614</v>
      </c>
      <c r="N48" s="642">
        <f t="shared" si="5"/>
        <v>69.393669653715577</v>
      </c>
      <c r="O48" s="632">
        <f t="shared" si="6"/>
        <v>75.599999999999994</v>
      </c>
      <c r="U48" s="632" t="e">
        <f t="shared" si="7"/>
        <v>#DIV/0!</v>
      </c>
      <c r="V48" s="642">
        <f t="shared" si="8"/>
        <v>72.083418004449683</v>
      </c>
      <c r="W48" s="632">
        <f t="shared" si="9"/>
        <v>76.900000000000006</v>
      </c>
      <c r="AC48" s="632" t="e">
        <f t="shared" si="10"/>
        <v>#DIV/0!</v>
      </c>
      <c r="AD48" s="642">
        <f t="shared" si="11"/>
        <v>17.841464292578603</v>
      </c>
      <c r="AE48" s="632">
        <f t="shared" si="0"/>
        <v>78.400000000000006</v>
      </c>
      <c r="AK48" s="632" t="e">
        <f t="shared" si="12"/>
        <v>#DIV/0!</v>
      </c>
      <c r="AL48" s="642">
        <f t="shared" si="13"/>
        <v>110.39912399954024</v>
      </c>
      <c r="AM48" s="632">
        <f t="shared" si="14"/>
        <v>79.929258777633294</v>
      </c>
    </row>
    <row r="49" spans="5:39">
      <c r="E49" s="632">
        <f t="shared" si="1"/>
        <v>10.381102728406425</v>
      </c>
      <c r="F49" s="642">
        <f t="shared" si="2"/>
        <v>51.91519151869943</v>
      </c>
      <c r="G49" s="632">
        <f t="shared" si="3"/>
        <v>72</v>
      </c>
      <c r="M49" s="632">
        <f t="shared" si="4"/>
        <v>18.836015371246948</v>
      </c>
      <c r="N49" s="642">
        <f t="shared" si="5"/>
        <v>68.236091110891763</v>
      </c>
      <c r="O49" s="632">
        <f t="shared" si="6"/>
        <v>74.2</v>
      </c>
      <c r="U49" s="632" t="e">
        <f t="shared" si="7"/>
        <v>#DIV/0!</v>
      </c>
      <c r="V49" s="642">
        <f t="shared" si="8"/>
        <v>75.593452813064602</v>
      </c>
      <c r="W49" s="632">
        <f t="shared" si="9"/>
        <v>75.599999999999994</v>
      </c>
      <c r="AC49" s="632" t="e">
        <f t="shared" si="10"/>
        <v>#DIV/0!</v>
      </c>
      <c r="AD49" s="642">
        <f t="shared" si="11"/>
        <v>36.005833077518609</v>
      </c>
      <c r="AE49" s="632">
        <f t="shared" si="0"/>
        <v>82.1</v>
      </c>
      <c r="AK49" s="632" t="e">
        <f t="shared" si="12"/>
        <v>#DIV/0!</v>
      </c>
      <c r="AL49" s="642">
        <f t="shared" si="13"/>
        <v>78.677893718142855</v>
      </c>
      <c r="AM49" s="632">
        <f t="shared" si="14"/>
        <v>80.042408376963365</v>
      </c>
    </row>
    <row r="50" spans="5:39">
      <c r="E50" s="632">
        <f t="shared" si="1"/>
        <v>16.481834140379494</v>
      </c>
      <c r="F50" s="642">
        <f t="shared" si="2"/>
        <v>52.872867923541804</v>
      </c>
      <c r="G50" s="632">
        <f t="shared" si="3"/>
        <v>70.5</v>
      </c>
      <c r="M50" s="632">
        <f t="shared" si="4"/>
        <v>11.625564845824147</v>
      </c>
      <c r="N50" s="642">
        <f t="shared" si="5"/>
        <v>56.123169799428496</v>
      </c>
      <c r="O50" s="632">
        <f t="shared" si="6"/>
        <v>75.5</v>
      </c>
      <c r="U50" s="632" t="e">
        <f t="shared" si="7"/>
        <v>#DIV/0!</v>
      </c>
      <c r="V50" s="642">
        <f t="shared" si="8"/>
        <v>65.26629823052825</v>
      </c>
      <c r="W50" s="632">
        <f t="shared" si="9"/>
        <v>73.3</v>
      </c>
      <c r="AC50" s="632" t="e">
        <f t="shared" si="10"/>
        <v>#DIV/0!</v>
      </c>
      <c r="AD50" s="642">
        <f t="shared" si="11"/>
        <v>14.673554349434838</v>
      </c>
      <c r="AE50" s="632">
        <f t="shared" si="0"/>
        <v>74.2</v>
      </c>
      <c r="AK50" s="632" t="e">
        <f t="shared" si="12"/>
        <v>#DIV/0!</v>
      </c>
      <c r="AL50" s="642">
        <f t="shared" si="13"/>
        <v>212.74049899830632</v>
      </c>
      <c r="AM50" s="632">
        <f t="shared" si="14"/>
        <v>83.420915841584147</v>
      </c>
    </row>
    <row r="51" spans="5:39">
      <c r="E51" s="632">
        <f t="shared" si="1"/>
        <v>15.150344009502504</v>
      </c>
      <c r="F51" s="642">
        <f t="shared" si="2"/>
        <v>42.099006119720727</v>
      </c>
      <c r="G51" s="632">
        <f t="shared" si="3"/>
        <v>67.800000000000011</v>
      </c>
      <c r="M51" s="632">
        <f t="shared" si="4"/>
        <v>18.5550917825013</v>
      </c>
      <c r="N51" s="642">
        <f t="shared" si="5"/>
        <v>59.334631639152995</v>
      </c>
      <c r="O51" s="632">
        <f t="shared" si="6"/>
        <v>71.8</v>
      </c>
      <c r="U51" s="632" t="e">
        <f t="shared" si="7"/>
        <v>#DIV/0!</v>
      </c>
      <c r="V51" s="642">
        <f t="shared" si="8"/>
        <v>62.400525252185517</v>
      </c>
      <c r="W51" s="632">
        <f t="shared" si="9"/>
        <v>76.400000000000006</v>
      </c>
      <c r="AC51" s="632" t="e">
        <f t="shared" si="10"/>
        <v>#DIV/0!</v>
      </c>
      <c r="AD51" s="642">
        <f t="shared" si="11"/>
        <v>12.194083820601916</v>
      </c>
      <c r="AE51" s="632">
        <f t="shared" si="0"/>
        <v>75.2</v>
      </c>
      <c r="AK51" s="632" t="e">
        <f t="shared" si="12"/>
        <v>#DIV/0!</v>
      </c>
      <c r="AL51" s="642">
        <f t="shared" si="13"/>
        <v>122.28630650500028</v>
      </c>
      <c r="AM51" s="632">
        <f t="shared" si="14"/>
        <v>78.000510204081635</v>
      </c>
    </row>
    <row r="52" spans="5:39">
      <c r="E52" s="632">
        <f t="shared" si="1"/>
        <v>24.97138297435961</v>
      </c>
      <c r="F52" s="642">
        <f t="shared" si="2"/>
        <v>65.559377856698887</v>
      </c>
      <c r="G52" s="632">
        <f t="shared" si="3"/>
        <v>72.099999999999994</v>
      </c>
      <c r="M52" s="632">
        <f t="shared" si="4"/>
        <v>17.16936658907089</v>
      </c>
      <c r="N52" s="642">
        <f t="shared" si="5"/>
        <v>46.910937824887505</v>
      </c>
      <c r="O52" s="632">
        <f t="shared" si="6"/>
        <v>71.8</v>
      </c>
      <c r="U52" s="632" t="e">
        <f t="shared" si="7"/>
        <v>#DIV/0!</v>
      </c>
      <c r="V52" s="642">
        <f t="shared" si="8"/>
        <v>55.065224679450047</v>
      </c>
      <c r="W52" s="632">
        <f t="shared" si="9"/>
        <v>72.899999999999991</v>
      </c>
      <c r="AC52" s="632" t="e">
        <f t="shared" si="10"/>
        <v>#DIV/0!</v>
      </c>
      <c r="AD52" s="642">
        <f t="shared" si="11"/>
        <v>17.423393006721859</v>
      </c>
      <c r="AE52" s="632">
        <f t="shared" si="0"/>
        <v>77</v>
      </c>
      <c r="AK52" s="632" t="e">
        <f t="shared" si="12"/>
        <v>#DIV/0!</v>
      </c>
      <c r="AL52" s="642">
        <f t="shared" si="13"/>
        <v>100.39712851104821</v>
      </c>
      <c r="AM52" s="632">
        <f t="shared" si="14"/>
        <v>78.425925925925938</v>
      </c>
    </row>
    <row r="53" spans="5:39">
      <c r="E53" s="632">
        <f t="shared" si="1"/>
        <v>16.991318253946641</v>
      </c>
      <c r="F53" s="642">
        <f t="shared" si="2"/>
        <v>62.893902761838071</v>
      </c>
      <c r="G53" s="632">
        <f t="shared" si="3"/>
        <v>69.3</v>
      </c>
      <c r="M53" s="632">
        <f t="shared" si="4"/>
        <v>25.563233802241612</v>
      </c>
      <c r="N53" s="642">
        <f t="shared" si="5"/>
        <v>81.24582209786368</v>
      </c>
      <c r="O53" s="632">
        <f t="shared" si="6"/>
        <v>75</v>
      </c>
      <c r="U53" s="632" t="e">
        <f t="shared" si="7"/>
        <v>#DIV/0!</v>
      </c>
      <c r="V53" s="642">
        <f t="shared" si="8"/>
        <v>90.743462149707554</v>
      </c>
      <c r="W53" s="632">
        <f t="shared" si="9"/>
        <v>78.400000000000006</v>
      </c>
      <c r="AC53" s="632" t="e">
        <f t="shared" si="10"/>
        <v>#DIV/0!</v>
      </c>
      <c r="AD53" s="642">
        <f t="shared" si="11"/>
        <v>12.298068673122293</v>
      </c>
      <c r="AE53" s="632">
        <f t="shared" si="0"/>
        <v>74.900000000000006</v>
      </c>
      <c r="AK53" s="632" t="e">
        <f t="shared" si="12"/>
        <v>#DIV/0!</v>
      </c>
      <c r="AL53" s="642">
        <f t="shared" si="13"/>
        <v>67.50888654748266</v>
      </c>
      <c r="AM53" s="632">
        <f t="shared" si="14"/>
        <v>77.572565157750347</v>
      </c>
    </row>
    <row r="54" spans="5:39">
      <c r="E54" s="632">
        <f t="shared" si="1"/>
        <v>9.4283576962927143</v>
      </c>
      <c r="F54" s="642">
        <f t="shared" si="2"/>
        <v>35.879037869469805</v>
      </c>
      <c r="G54" s="632">
        <f t="shared" si="3"/>
        <v>64.7</v>
      </c>
      <c r="M54" s="632">
        <f t="shared" si="4"/>
        <v>18.507021867566074</v>
      </c>
      <c r="N54" s="642">
        <f t="shared" si="5"/>
        <v>50.554343913483862</v>
      </c>
      <c r="O54" s="632">
        <f t="shared" si="6"/>
        <v>72.3</v>
      </c>
      <c r="U54" s="632" t="e">
        <f t="shared" si="7"/>
        <v>#DIV/0!</v>
      </c>
      <c r="V54" s="642">
        <f t="shared" si="8"/>
        <v>46.277096023896</v>
      </c>
      <c r="W54" s="632">
        <f t="shared" si="9"/>
        <v>70.7</v>
      </c>
      <c r="AC54" s="632" t="e">
        <f t="shared" si="10"/>
        <v>#DIV/0!</v>
      </c>
      <c r="AD54" s="642">
        <f t="shared" si="11"/>
        <v>21.068158747991273</v>
      </c>
      <c r="AE54" s="632">
        <f t="shared" si="0"/>
        <v>78.2</v>
      </c>
      <c r="AK54" s="632" t="e">
        <f t="shared" si="12"/>
        <v>#DIV/0!</v>
      </c>
      <c r="AL54" s="642">
        <f t="shared" si="13"/>
        <v>67.099911337240243</v>
      </c>
      <c r="AM54" s="632">
        <f t="shared" si="14"/>
        <v>76.744322845417244</v>
      </c>
    </row>
    <row r="55" spans="5:39">
      <c r="E55" s="632">
        <f t="shared" si="1"/>
        <v>16.095861484016261</v>
      </c>
      <c r="F55" s="642">
        <f t="shared" si="2"/>
        <v>46.218243891120437</v>
      </c>
      <c r="G55" s="632">
        <f t="shared" si="3"/>
        <v>70</v>
      </c>
      <c r="M55" s="632">
        <f t="shared" si="4"/>
        <v>10.799251504496949</v>
      </c>
      <c r="N55" s="642">
        <f t="shared" si="5"/>
        <v>41.509476443656425</v>
      </c>
      <c r="O55" s="632">
        <f t="shared" si="6"/>
        <v>68.300000000000011</v>
      </c>
      <c r="U55" s="632" t="e">
        <f t="shared" si="7"/>
        <v>#DIV/0!</v>
      </c>
      <c r="V55" s="642">
        <f t="shared" si="8"/>
        <v>56.349736562503018</v>
      </c>
      <c r="W55" s="632">
        <f t="shared" si="9"/>
        <v>73.099999999999994</v>
      </c>
      <c r="AC55" s="632" t="e">
        <f t="shared" si="10"/>
        <v>#DIV/0!</v>
      </c>
      <c r="AD55" s="642">
        <f t="shared" si="11"/>
        <v>10.330463211272706</v>
      </c>
      <c r="AE55" s="632">
        <f t="shared" si="0"/>
        <v>72.399999999999991</v>
      </c>
      <c r="AK55" s="632" t="e">
        <f t="shared" si="12"/>
        <v>#DIV/0!</v>
      </c>
      <c r="AL55" s="642">
        <f t="shared" si="13"/>
        <v>57.651883614495183</v>
      </c>
      <c r="AM55" s="632">
        <f t="shared" si="14"/>
        <v>74.140876944837345</v>
      </c>
    </row>
    <row r="56" spans="5:39">
      <c r="E56" s="632">
        <f t="shared" si="1"/>
        <v>11.233100588352528</v>
      </c>
      <c r="F56" s="642">
        <f t="shared" si="2"/>
        <v>43.243544300744077</v>
      </c>
      <c r="G56" s="632">
        <f t="shared" si="3"/>
        <v>64.600000000000009</v>
      </c>
      <c r="M56" s="632">
        <f t="shared" si="4"/>
        <v>12.803004908838153</v>
      </c>
      <c r="N56" s="642">
        <f t="shared" si="5"/>
        <v>46.882487580077587</v>
      </c>
      <c r="O56" s="632">
        <f t="shared" si="6"/>
        <v>67.7</v>
      </c>
      <c r="U56" s="632" t="e">
        <f t="shared" si="7"/>
        <v>#DIV/0!</v>
      </c>
      <c r="V56" s="642">
        <f t="shared" si="8"/>
        <v>51.621873217624461</v>
      </c>
      <c r="W56" s="632">
        <f t="shared" si="9"/>
        <v>70</v>
      </c>
      <c r="AC56" s="632" t="e">
        <f t="shared" si="10"/>
        <v>#DIV/0!</v>
      </c>
      <c r="AD56" s="642">
        <f t="shared" si="11"/>
        <v>11.71674244736116</v>
      </c>
      <c r="AE56" s="632">
        <f t="shared" si="0"/>
        <v>72.2</v>
      </c>
      <c r="AK56" s="632" t="e">
        <f t="shared" si="12"/>
        <v>#DIV/0!</v>
      </c>
      <c r="AL56" s="642">
        <f t="shared" si="13"/>
        <v>66.484440132116646</v>
      </c>
      <c r="AM56" s="632">
        <f t="shared" si="14"/>
        <v>74.469142857142842</v>
      </c>
    </row>
    <row r="57" spans="5:39">
      <c r="E57" s="632">
        <f t="shared" si="1"/>
        <v>14.674115562813258</v>
      </c>
      <c r="F57" s="642">
        <f t="shared" si="2"/>
        <v>32.972391445571382</v>
      </c>
      <c r="G57" s="632">
        <f t="shared" si="3"/>
        <v>67.300000000000011</v>
      </c>
      <c r="M57" s="632">
        <f t="shared" si="4"/>
        <v>17.09581318385305</v>
      </c>
      <c r="N57" s="642">
        <f t="shared" si="5"/>
        <v>37.012393314318658</v>
      </c>
      <c r="O57" s="632">
        <f t="shared" si="6"/>
        <v>70.3</v>
      </c>
      <c r="U57" s="632" t="e">
        <f t="shared" si="7"/>
        <v>#DIV/0!</v>
      </c>
      <c r="V57" s="642">
        <f t="shared" si="8"/>
        <v>42.118719623238611</v>
      </c>
      <c r="W57" s="632">
        <f t="shared" si="9"/>
        <v>72.099999999999994</v>
      </c>
      <c r="AC57" s="632" t="e">
        <f t="shared" si="10"/>
        <v>#DIV/0!</v>
      </c>
      <c r="AD57" s="642">
        <f t="shared" si="11"/>
        <v>9.3231146988061084</v>
      </c>
      <c r="AE57" s="632">
        <f t="shared" si="0"/>
        <v>74</v>
      </c>
      <c r="AK57" s="632" t="e">
        <f t="shared" si="12"/>
        <v>#DIV/0!</v>
      </c>
      <c r="AL57" s="642">
        <f t="shared" si="13"/>
        <v>51.592539175346246</v>
      </c>
      <c r="AM57" s="632">
        <f t="shared" si="14"/>
        <v>75.950069348127599</v>
      </c>
    </row>
    <row r="58" spans="5:39">
      <c r="E58" s="632"/>
    </row>
    <row r="59" spans="5:39">
      <c r="E59" s="632"/>
    </row>
    <row r="60" spans="5:39">
      <c r="E60" s="632"/>
    </row>
  </sheetData>
  <autoFilter ref="Y2:AF29" xr:uid="{00000000-0009-0000-0000-00002E000000}">
    <sortState xmlns:xlrd2="http://schemas.microsoft.com/office/spreadsheetml/2017/richdata2" ref="Y3:AF57">
      <sortCondition ref="Y2:Y29"/>
    </sortState>
  </autoFilter>
  <sortState xmlns:xlrd2="http://schemas.microsoft.com/office/spreadsheetml/2017/richdata2" ref="AG3:AN29">
    <sortCondition ref="AG3"/>
  </sortState>
  <pageMargins left="0.511811024" right="0.511811024" top="0.78740157499999996" bottom="0.78740157499999996" header="0.31496062000000002" footer="0.31496062000000002"/>
  <pageSetup paperSize="9"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D5:F32"/>
  <sheetViews>
    <sheetView topLeftCell="G6" workbookViewId="0">
      <selection activeCell="G6" sqref="G6"/>
    </sheetView>
  </sheetViews>
  <sheetFormatPr defaultColWidth="8.85546875" defaultRowHeight="15"/>
  <cols>
    <col min="4" max="4" width="20" customWidth="1"/>
  </cols>
  <sheetData>
    <row r="5" spans="4:6">
      <c r="D5" t="s">
        <v>508</v>
      </c>
      <c r="E5" t="s">
        <v>506</v>
      </c>
      <c r="F5" t="s">
        <v>509</v>
      </c>
    </row>
    <row r="6" spans="4:6">
      <c r="D6" s="636" t="s">
        <v>27</v>
      </c>
      <c r="E6">
        <v>24.483801600267231</v>
      </c>
      <c r="F6">
        <v>46.615573494030542</v>
      </c>
    </row>
    <row r="7" spans="4:6">
      <c r="D7" s="636" t="s">
        <v>24</v>
      </c>
      <c r="E7">
        <v>15.210797844951287</v>
      </c>
      <c r="F7">
        <v>51.652316056363532</v>
      </c>
    </row>
    <row r="8" spans="4:6">
      <c r="D8" s="636" t="s">
        <v>21</v>
      </c>
      <c r="E8">
        <v>19.54566096595423</v>
      </c>
      <c r="F8">
        <v>58.583712236805795</v>
      </c>
    </row>
    <row r="9" spans="4:6">
      <c r="D9" s="636" t="s">
        <v>25</v>
      </c>
      <c r="E9">
        <v>25.88721652082911</v>
      </c>
      <c r="F9">
        <v>60.970419103009583</v>
      </c>
    </row>
    <row r="10" spans="4:6">
      <c r="D10" s="636" t="s">
        <v>23</v>
      </c>
      <c r="E10">
        <v>27.968548854471813</v>
      </c>
      <c r="F10">
        <v>61.490343365611459</v>
      </c>
    </row>
    <row r="11" spans="4:6">
      <c r="D11" s="636" t="s">
        <v>16</v>
      </c>
      <c r="E11">
        <v>17.164883661388647</v>
      </c>
      <c r="F11">
        <v>70.06812323551803</v>
      </c>
    </row>
    <row r="12" spans="4:6">
      <c r="D12" s="636" t="s">
        <v>26</v>
      </c>
      <c r="E12">
        <v>28.856408921659604</v>
      </c>
      <c r="F12">
        <v>73.367771747174189</v>
      </c>
    </row>
    <row r="13" spans="4:6">
      <c r="D13" s="636" t="s">
        <v>28</v>
      </c>
      <c r="E13">
        <v>33.341071934622221</v>
      </c>
      <c r="F13">
        <v>76.070142261905886</v>
      </c>
    </row>
    <row r="14" spans="4:6">
      <c r="D14" s="636" t="s">
        <v>22</v>
      </c>
      <c r="E14">
        <v>22.198529072930821</v>
      </c>
      <c r="F14">
        <v>77.874024465393873</v>
      </c>
    </row>
    <row r="15" spans="4:6">
      <c r="D15" s="636" t="s">
        <v>29</v>
      </c>
      <c r="E15">
        <v>28.583526356943683</v>
      </c>
      <c r="F15">
        <v>87.116965033609304</v>
      </c>
    </row>
    <row r="16" spans="4:6">
      <c r="D16" s="636" t="s">
        <v>13</v>
      </c>
      <c r="E16">
        <v>26.706773928952714</v>
      </c>
      <c r="F16">
        <v>87.894917192419143</v>
      </c>
    </row>
    <row r="17" spans="4:6">
      <c r="D17" s="636" t="s">
        <v>19</v>
      </c>
      <c r="E17">
        <v>40.444657363478548</v>
      </c>
      <c r="F17">
        <v>89.20732146289302</v>
      </c>
    </row>
    <row r="18" spans="4:6">
      <c r="D18" s="636" t="s">
        <v>14</v>
      </c>
      <c r="E18">
        <v>23.421272531932672</v>
      </c>
      <c r="F18">
        <v>102.53735274365346</v>
      </c>
    </row>
    <row r="19" spans="4:6">
      <c r="D19" s="636" t="s">
        <v>17</v>
      </c>
      <c r="E19">
        <v>45.506522845209545</v>
      </c>
      <c r="F19">
        <v>103.19980859045867</v>
      </c>
    </row>
    <row r="20" spans="4:6">
      <c r="D20" s="636" t="s">
        <v>18</v>
      </c>
      <c r="E20">
        <v>40.309573517690431</v>
      </c>
      <c r="F20">
        <v>105.34079373995637</v>
      </c>
    </row>
    <row r="21" spans="4:6">
      <c r="D21" s="636" t="s">
        <v>41</v>
      </c>
      <c r="E21">
        <v>57.999674693741277</v>
      </c>
      <c r="F21">
        <v>115.47678871833459</v>
      </c>
    </row>
    <row r="22" spans="4:6">
      <c r="D22" s="636" t="s">
        <v>43</v>
      </c>
      <c r="E22">
        <v>60.575152397240437</v>
      </c>
      <c r="F22">
        <v>124.11183309341075</v>
      </c>
    </row>
    <row r="23" spans="4:6">
      <c r="D23" s="636" t="s">
        <v>32</v>
      </c>
      <c r="E23">
        <v>52.199002144347531</v>
      </c>
      <c r="F23">
        <v>125.19399202946424</v>
      </c>
    </row>
    <row r="24" spans="4:6">
      <c r="D24" s="636" t="s">
        <v>15</v>
      </c>
      <c r="E24">
        <v>21.895316163880416</v>
      </c>
      <c r="F24">
        <v>130.42830845316786</v>
      </c>
    </row>
    <row r="25" spans="4:6">
      <c r="D25" s="636" t="s">
        <v>42</v>
      </c>
      <c r="E25">
        <v>53.745874502406146</v>
      </c>
      <c r="F25">
        <v>149.53580628441915</v>
      </c>
    </row>
    <row r="26" spans="4:6">
      <c r="D26" s="636" t="s">
        <v>36</v>
      </c>
      <c r="E26">
        <v>74.954225830777261</v>
      </c>
      <c r="F26">
        <v>157.11196108694512</v>
      </c>
    </row>
    <row r="27" spans="4:6">
      <c r="D27" s="636" t="s">
        <v>37</v>
      </c>
      <c r="E27">
        <v>68.11417037978245</v>
      </c>
      <c r="F27">
        <v>166.88742224076006</v>
      </c>
    </row>
    <row r="28" spans="4:6">
      <c r="D28" s="636" t="s">
        <v>38</v>
      </c>
      <c r="E28">
        <v>85.749029094676359</v>
      </c>
      <c r="F28">
        <v>178.3400303918875</v>
      </c>
    </row>
    <row r="29" spans="4:6">
      <c r="D29" s="636" t="s">
        <v>31</v>
      </c>
      <c r="E29">
        <v>51.506430071551314</v>
      </c>
      <c r="F29">
        <v>180.02916538759305</v>
      </c>
    </row>
    <row r="30" spans="4:6">
      <c r="D30" s="636" t="s">
        <v>33</v>
      </c>
      <c r="E30">
        <v>45.297173765082086</v>
      </c>
      <c r="F30">
        <v>192.45079344487516</v>
      </c>
    </row>
    <row r="31" spans="4:6">
      <c r="D31" s="636" t="s">
        <v>34</v>
      </c>
      <c r="E31">
        <v>77.33748583414652</v>
      </c>
      <c r="F31">
        <v>226.67251545019141</v>
      </c>
    </row>
    <row r="32" spans="4:6" ht="15.75" thickBot="1">
      <c r="D32" s="637" t="s">
        <v>40</v>
      </c>
      <c r="E32">
        <v>78.547743600846815</v>
      </c>
      <c r="F32">
        <v>406.96078149258523</v>
      </c>
    </row>
  </sheetData>
  <autoFilter ref="D5:F5" xr:uid="{00000000-0009-0000-0000-00002F000000}">
    <sortState xmlns:xlrd2="http://schemas.microsoft.com/office/spreadsheetml/2017/richdata2" ref="D6:F32">
      <sortCondition ref="F5"/>
    </sortState>
  </autoFilter>
  <pageMargins left="0.511811024" right="0.511811024" top="0.78740157499999996" bottom="0.78740157499999996" header="0.31496062000000002" footer="0.3149606200000000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CB876"/>
  <sheetViews>
    <sheetView topLeftCell="E1" zoomScale="110" zoomScaleNormal="110" zoomScalePageLayoutView="110" workbookViewId="0">
      <selection activeCell="K5" sqref="K5"/>
    </sheetView>
  </sheetViews>
  <sheetFormatPr defaultColWidth="8.85546875" defaultRowHeight="15"/>
  <cols>
    <col min="1" max="1" width="19" style="3" customWidth="1"/>
    <col min="2" max="2" width="13.42578125" style="3" bestFit="1" customWidth="1"/>
    <col min="3" max="3" width="8.7109375" style="3" bestFit="1" customWidth="1"/>
    <col min="4" max="4" width="18.28515625" style="3" customWidth="1"/>
    <col min="5" max="5" width="18.28515625" style="740" bestFit="1" customWidth="1"/>
    <col min="6" max="6" width="9" style="3" bestFit="1" customWidth="1"/>
    <col min="7" max="7" width="13.42578125" style="3" bestFit="1" customWidth="1"/>
    <col min="8" max="8" width="5.42578125" style="3" bestFit="1" customWidth="1"/>
    <col min="9" max="9" width="22" style="3" customWidth="1"/>
    <col min="10" max="10" width="13.140625" style="3" bestFit="1" customWidth="1"/>
    <col min="11" max="11" width="8.7109375" style="3" bestFit="1" customWidth="1"/>
    <col min="12" max="12" width="17.7109375" style="3" bestFit="1" customWidth="1"/>
    <col min="13" max="13" width="18" style="3" bestFit="1" customWidth="1"/>
    <col min="14" max="14" width="9" style="3" bestFit="1" customWidth="1"/>
    <col min="15" max="15" width="13.28515625" style="3" bestFit="1" customWidth="1"/>
    <col min="16" max="16" width="8.28515625" style="3" bestFit="1" customWidth="1"/>
    <col min="17" max="17" width="20.42578125" style="3" customWidth="1"/>
    <col min="18" max="18" width="13.140625" style="3" bestFit="1" customWidth="1"/>
    <col min="19" max="19" width="8.7109375" style="3" bestFit="1" customWidth="1"/>
    <col min="20" max="20" width="17.7109375" style="3" bestFit="1" customWidth="1"/>
    <col min="21" max="21" width="18" style="3" bestFit="1" customWidth="1"/>
    <col min="22" max="22" width="9" style="3" bestFit="1" customWidth="1"/>
    <col min="23" max="23" width="13.28515625" style="3" bestFit="1" customWidth="1"/>
    <col min="24" max="24" width="8.28515625" style="3" bestFit="1" customWidth="1"/>
    <col min="25" max="25" width="21.28515625" style="3" customWidth="1"/>
    <col min="26" max="26" width="13.140625" style="3" bestFit="1" customWidth="1"/>
    <col min="27" max="27" width="8.7109375" style="3" bestFit="1" customWidth="1"/>
    <col min="28" max="28" width="17.7109375" style="3" bestFit="1" customWidth="1"/>
    <col min="29" max="29" width="18" style="3" bestFit="1" customWidth="1"/>
    <col min="30" max="30" width="9" style="3" bestFit="1" customWidth="1"/>
    <col min="31" max="31" width="13.28515625" style="3" bestFit="1" customWidth="1"/>
    <col min="32" max="32" width="8.28515625" style="3" bestFit="1" customWidth="1"/>
    <col min="33" max="33" width="20.7109375" style="3" customWidth="1"/>
    <col min="34" max="34" width="13.140625" style="3" bestFit="1" customWidth="1"/>
    <col min="35" max="35" width="8.7109375" style="3" bestFit="1" customWidth="1"/>
    <col min="36" max="36" width="17.7109375" style="3" bestFit="1" customWidth="1"/>
    <col min="37" max="37" width="18" style="3" bestFit="1" customWidth="1"/>
    <col min="38" max="38" width="9" style="3" bestFit="1" customWidth="1"/>
    <col min="39" max="39" width="13.28515625" style="3" bestFit="1" customWidth="1"/>
    <col min="40" max="40" width="8.28515625" style="3" bestFit="1" customWidth="1"/>
    <col min="41" max="80" width="8.85546875" style="1"/>
  </cols>
  <sheetData>
    <row r="1" spans="1:40" ht="15.75" thickBot="1">
      <c r="A1" s="1274">
        <v>2004</v>
      </c>
      <c r="B1" s="1275"/>
      <c r="C1" s="1275"/>
      <c r="D1" s="1275"/>
      <c r="E1" s="1275"/>
      <c r="F1" s="1275"/>
      <c r="G1" s="1275"/>
      <c r="H1" s="1276"/>
      <c r="I1" s="1274">
        <v>2005</v>
      </c>
      <c r="J1" s="1275"/>
      <c r="K1" s="1275"/>
      <c r="L1" s="1275"/>
      <c r="M1" s="1275"/>
      <c r="N1" s="1275"/>
      <c r="O1" s="1275"/>
      <c r="P1" s="1276"/>
      <c r="Q1" s="1274">
        <v>2006</v>
      </c>
      <c r="R1" s="1275"/>
      <c r="S1" s="1275"/>
      <c r="T1" s="1275"/>
      <c r="U1" s="1275"/>
      <c r="V1" s="1275"/>
      <c r="W1" s="1275"/>
      <c r="X1" s="1276"/>
      <c r="Y1" s="1277">
        <v>2007</v>
      </c>
      <c r="Z1" s="1278"/>
      <c r="AA1" s="1278"/>
      <c r="AB1" s="1278"/>
      <c r="AC1" s="1278"/>
      <c r="AD1" s="1278"/>
      <c r="AE1" s="1278"/>
      <c r="AF1" s="1279"/>
      <c r="AG1" s="1277">
        <v>2008</v>
      </c>
      <c r="AH1" s="1278"/>
      <c r="AI1" s="1278"/>
      <c r="AJ1" s="1278"/>
      <c r="AK1" s="1278"/>
      <c r="AL1" s="1278"/>
      <c r="AM1" s="1278"/>
      <c r="AN1" s="1279"/>
    </row>
    <row r="2" spans="1:40">
      <c r="A2" s="667" t="s">
        <v>502</v>
      </c>
      <c r="B2" s="625" t="s">
        <v>496</v>
      </c>
      <c r="C2" s="626" t="s">
        <v>497</v>
      </c>
      <c r="D2" s="626" t="s">
        <v>498</v>
      </c>
      <c r="E2" s="626" t="s">
        <v>499</v>
      </c>
      <c r="F2" s="626" t="s">
        <v>500</v>
      </c>
      <c r="G2" s="626" t="s">
        <v>501</v>
      </c>
      <c r="H2" s="627" t="s">
        <v>490</v>
      </c>
      <c r="I2" s="625" t="s">
        <v>502</v>
      </c>
      <c r="J2" s="626" t="s">
        <v>496</v>
      </c>
      <c r="K2" s="626" t="s">
        <v>497</v>
      </c>
      <c r="L2" s="626" t="s">
        <v>498</v>
      </c>
      <c r="M2" s="626" t="s">
        <v>499</v>
      </c>
      <c r="N2" s="626" t="s">
        <v>500</v>
      </c>
      <c r="O2" s="626" t="s">
        <v>501</v>
      </c>
      <c r="P2" s="627" t="s">
        <v>490</v>
      </c>
      <c r="Q2" s="625" t="s">
        <v>502</v>
      </c>
      <c r="R2" s="626" t="s">
        <v>496</v>
      </c>
      <c r="S2" s="626" t="s">
        <v>497</v>
      </c>
      <c r="T2" s="626" t="s">
        <v>498</v>
      </c>
      <c r="U2" s="626" t="s">
        <v>499</v>
      </c>
      <c r="V2" s="626" t="s">
        <v>500</v>
      </c>
      <c r="W2" s="626" t="s">
        <v>501</v>
      </c>
      <c r="X2" s="627" t="s">
        <v>490</v>
      </c>
      <c r="Y2" s="676" t="s">
        <v>502</v>
      </c>
      <c r="Z2" s="666" t="s">
        <v>496</v>
      </c>
      <c r="AA2" s="666" t="s">
        <v>497</v>
      </c>
      <c r="AB2" s="666" t="s">
        <v>498</v>
      </c>
      <c r="AC2" s="666" t="s">
        <v>499</v>
      </c>
      <c r="AD2" s="666" t="s">
        <v>500</v>
      </c>
      <c r="AE2" s="666" t="s">
        <v>501</v>
      </c>
      <c r="AF2" s="677" t="s">
        <v>490</v>
      </c>
      <c r="AG2" s="676" t="s">
        <v>502</v>
      </c>
      <c r="AH2" s="666" t="s">
        <v>496</v>
      </c>
      <c r="AI2" s="666" t="s">
        <v>497</v>
      </c>
      <c r="AJ2" s="666" t="s">
        <v>498</v>
      </c>
      <c r="AK2" s="666" t="s">
        <v>499</v>
      </c>
      <c r="AL2" s="666" t="s">
        <v>500</v>
      </c>
      <c r="AM2" s="666" t="s">
        <v>501</v>
      </c>
      <c r="AN2" s="677" t="s">
        <v>490</v>
      </c>
    </row>
    <row r="3" spans="1:40">
      <c r="A3" s="668" t="s">
        <v>34</v>
      </c>
      <c r="B3" s="638">
        <f>RELAÇ_TUDO!A26</f>
        <v>33.871336088244782</v>
      </c>
      <c r="C3" s="680">
        <f>RELAÇ_TUDO!B26</f>
        <v>6759</v>
      </c>
      <c r="D3" s="639">
        <f>RELAÇ_TUDO!C26</f>
        <v>16.33236387056871</v>
      </c>
      <c r="E3" s="639">
        <f>RELAÇ_TUDO!D26</f>
        <v>37.372152156578871</v>
      </c>
      <c r="F3" s="639">
        <f>RELAÇ_TUDO!E26</f>
        <v>0.43701962365294544</v>
      </c>
      <c r="G3" s="639">
        <f>RELAÇ_TUDO!F26</f>
        <v>16157.786321470641</v>
      </c>
      <c r="H3" s="671">
        <f>RELAÇ_TUDO!G26</f>
        <v>0.81399999999999995</v>
      </c>
      <c r="I3" s="673" t="s">
        <v>34</v>
      </c>
      <c r="J3" s="639">
        <f>RELAÇ_TUDO!I26</f>
        <v>32.553852908371979</v>
      </c>
      <c r="K3" s="680">
        <f>RELAÇ_TUDO!J26</f>
        <v>7029</v>
      </c>
      <c r="L3" s="639">
        <f>RELAÇ_TUDO!K26</f>
        <v>17.034962193847207</v>
      </c>
      <c r="M3" s="639">
        <f>RELAÇ_TUDO!L26</f>
        <v>36.259992970854114</v>
      </c>
      <c r="N3" s="639">
        <f>RELAÇ_TUDO!M26</f>
        <v>0.46980048251912121</v>
      </c>
      <c r="O3" s="639">
        <f>RELAÇ_TUDO!N26</f>
        <v>17975.613328189149</v>
      </c>
      <c r="P3" s="671">
        <f>RELAÇ_TUDO!O26</f>
        <v>0.83299999999999996</v>
      </c>
      <c r="Q3" s="673" t="s">
        <v>34</v>
      </c>
      <c r="R3" s="639">
        <f>RELAÇ_TUDO!Q26</f>
        <v>31.126948388559306</v>
      </c>
      <c r="S3" s="680">
        <f>RELAÇ_TUDO!R26</f>
        <v>7261</v>
      </c>
      <c r="T3" s="639" t="e">
        <f>RELAÇ_TUDO!S26</f>
        <v>#DIV/0!</v>
      </c>
      <c r="U3" s="639">
        <f>RELAÇ_TUDO!T26</f>
        <v>34.928322857963238</v>
      </c>
      <c r="V3" s="639" t="e">
        <f>RELAÇ_TUDO!U26</f>
        <v>#DIV/0!</v>
      </c>
      <c r="W3" s="639">
        <f>RELAÇ_TUDO!V26</f>
        <v>19550.365699760492</v>
      </c>
      <c r="X3" s="671">
        <f>RELAÇ_TUDO!W26</f>
        <v>0.84199999999999997</v>
      </c>
      <c r="Y3" s="673" t="s">
        <v>34</v>
      </c>
      <c r="Z3" s="639">
        <f>RELAÇ_TUDO!Y26</f>
        <v>28.340955767166871</v>
      </c>
      <c r="AA3" s="680">
        <f>RELAÇ_TUDO!Z26</f>
        <v>6875</v>
      </c>
      <c r="AB3" s="639" t="e">
        <f>RELAÇ_TUDO!AA26</f>
        <v>#DIV/0!</v>
      </c>
      <c r="AC3" s="639">
        <f>RELAÇ_TUDO!AB26</f>
        <v>31.043336045580197</v>
      </c>
      <c r="AD3" s="639" t="e">
        <f>RELAÇ_TUDO!AC26</f>
        <v>#DIV/0!</v>
      </c>
      <c r="AE3" s="639">
        <f>RELAÇ_TUDO!AD26</f>
        <v>22667.251545019142</v>
      </c>
      <c r="AF3" s="639">
        <f>RELAÇ_TUDO!AE26</f>
        <v>0.85699999999999998</v>
      </c>
      <c r="AG3" s="673" t="s">
        <v>34</v>
      </c>
      <c r="AH3" s="639" t="e">
        <f>RELAÇ_TUDO!AG26</f>
        <v>#DIV/0!</v>
      </c>
      <c r="AI3" s="680">
        <f>RELAÇ_TUDO!AH26</f>
        <v>6459</v>
      </c>
      <c r="AJ3" s="639" t="e">
        <f>RELAÇ_TUDO!AI26</f>
        <v>#DIV/0!</v>
      </c>
      <c r="AK3" s="639">
        <f>RELAÇ_TUDO!AJ26</f>
        <v>26.298643634934272</v>
      </c>
      <c r="AL3" s="639" t="e">
        <f>RELAÇ_TUDO!AK26</f>
        <v>#DIV/0!</v>
      </c>
      <c r="AM3" s="639">
        <f>RELAÇ_TUDO!AL26</f>
        <v>26281.057883815811</v>
      </c>
      <c r="AN3" s="639">
        <f>RELAÇ_TUDO!AM26</f>
        <v>0.87226722090261277</v>
      </c>
    </row>
    <row r="4" spans="1:40">
      <c r="A4" s="668"/>
      <c r="B4" s="678" t="s">
        <v>510</v>
      </c>
      <c r="C4" s="678" t="s">
        <v>511</v>
      </c>
      <c r="D4" s="678" t="s">
        <v>512</v>
      </c>
      <c r="E4" s="678" t="s">
        <v>510</v>
      </c>
      <c r="F4" s="678" t="s">
        <v>513</v>
      </c>
      <c r="G4" s="678" t="s">
        <v>514</v>
      </c>
      <c r="H4" s="685" t="s">
        <v>514</v>
      </c>
      <c r="I4" s="673"/>
      <c r="J4" s="678" t="s">
        <v>510</v>
      </c>
      <c r="K4" s="678" t="s">
        <v>511</v>
      </c>
      <c r="L4" s="678" t="s">
        <v>512</v>
      </c>
      <c r="M4" s="678" t="s">
        <v>510</v>
      </c>
      <c r="N4" s="678" t="s">
        <v>513</v>
      </c>
      <c r="O4" s="678" t="s">
        <v>514</v>
      </c>
      <c r="P4" s="685" t="s">
        <v>514</v>
      </c>
      <c r="Q4" s="673"/>
      <c r="R4" s="678" t="s">
        <v>510</v>
      </c>
      <c r="S4" s="678" t="s">
        <v>511</v>
      </c>
      <c r="T4" s="678" t="s">
        <v>512</v>
      </c>
      <c r="U4" s="678" t="s">
        <v>510</v>
      </c>
      <c r="V4" s="678" t="s">
        <v>513</v>
      </c>
      <c r="W4" s="678" t="s">
        <v>514</v>
      </c>
      <c r="X4" s="685" t="s">
        <v>514</v>
      </c>
      <c r="Y4" s="673"/>
      <c r="Z4" s="678" t="s">
        <v>510</v>
      </c>
      <c r="AA4" s="678" t="s">
        <v>511</v>
      </c>
      <c r="AB4" s="678" t="s">
        <v>515</v>
      </c>
      <c r="AC4" s="678" t="s">
        <v>510</v>
      </c>
      <c r="AD4" s="678" t="s">
        <v>513</v>
      </c>
      <c r="AE4" s="678" t="s">
        <v>514</v>
      </c>
      <c r="AF4" s="685" t="s">
        <v>514</v>
      </c>
      <c r="AG4" s="673"/>
      <c r="AH4" s="678" t="s">
        <v>510</v>
      </c>
      <c r="AI4" s="678" t="s">
        <v>511</v>
      </c>
      <c r="AJ4" s="678" t="s">
        <v>516</v>
      </c>
      <c r="AK4" s="678" t="s">
        <v>510</v>
      </c>
      <c r="AL4" s="678" t="s">
        <v>517</v>
      </c>
      <c r="AM4" s="678" t="s">
        <v>514</v>
      </c>
      <c r="AN4" s="678" t="s">
        <v>514</v>
      </c>
    </row>
    <row r="5" spans="1:40" s="665" customFormat="1">
      <c r="A5" s="669" t="s">
        <v>37</v>
      </c>
      <c r="B5" s="663">
        <f>RELAÇ_TUDO!A29</f>
        <v>42.591906538294616</v>
      </c>
      <c r="C5" s="681">
        <f>RELAÇ_TUDO!B29</f>
        <v>1979</v>
      </c>
      <c r="D5" s="664">
        <f>RELAÇ_TUDO!C29</f>
        <v>18.132603851075523</v>
      </c>
      <c r="E5" s="664">
        <f>RELAÇ_TUDO!D29</f>
        <v>47.22351277552319</v>
      </c>
      <c r="F5" s="664">
        <f>RELAÇ_TUDO!E29</f>
        <v>0.38397405837360715</v>
      </c>
      <c r="G5" s="664">
        <f>RELAÇ_TUDO!F29</f>
        <v>12850.072058969863</v>
      </c>
      <c r="H5" s="672">
        <f>RELAÇ_TUDO!G29</f>
        <v>0.80900000000000005</v>
      </c>
      <c r="I5" s="674" t="s">
        <v>37</v>
      </c>
      <c r="J5" s="664">
        <f>RELAÇ_TUDO!I29</f>
        <v>42.888851929114416</v>
      </c>
      <c r="K5" s="681">
        <f>RELAÇ_TUDO!J29</f>
        <v>2181</v>
      </c>
      <c r="L5" s="664">
        <f>RELAÇ_TUDO!K29</f>
        <v>20.39474920770467</v>
      </c>
      <c r="M5" s="664">
        <f>RELAÇ_TUDO!L29</f>
        <v>48.772808164313155</v>
      </c>
      <c r="N5" s="664">
        <f>RELAÇ_TUDO!M29</f>
        <v>0.41815819050229341</v>
      </c>
      <c r="O5" s="664">
        <f>RELAÇ_TUDO!N29</f>
        <v>13298.021312991703</v>
      </c>
      <c r="P5" s="664">
        <f>RELAÇ_TUDO!O29</f>
        <v>0.83199999999999996</v>
      </c>
      <c r="Q5" s="674" t="s">
        <v>40</v>
      </c>
      <c r="R5" s="664">
        <f>RELAÇ_TUDO!Q32</f>
        <v>42.459912832063367</v>
      </c>
      <c r="S5" s="681">
        <f>RELAÇ_TUDO!R32</f>
        <v>641</v>
      </c>
      <c r="T5" s="664" t="e">
        <f>RELAÇ_TUDO!S32</f>
        <v>#DIV/0!</v>
      </c>
      <c r="U5" s="664">
        <f>RELAÇ_TUDO!T32</f>
        <v>50.344241514128591</v>
      </c>
      <c r="V5" s="664" t="e">
        <f>RELAÇ_TUDO!U32</f>
        <v>#DIV/0!</v>
      </c>
      <c r="W5" s="664">
        <f>RELAÇ_TUDO!V32</f>
        <v>37599.27629617347</v>
      </c>
      <c r="X5" s="672">
        <f>RELAÇ_TUDO!W32</f>
        <v>0.88200000000000001</v>
      </c>
      <c r="Y5" s="674" t="s">
        <v>37</v>
      </c>
      <c r="Z5" s="664">
        <f>RELAÇ_TUDO!Y29</f>
        <v>36.20662324196671</v>
      </c>
      <c r="AA5" s="681">
        <f>RELAÇ_TUDO!Z29</f>
        <v>2060</v>
      </c>
      <c r="AB5" s="664" t="e">
        <f>RELAÇ_TUDO!AA29</f>
        <v>#DIV/0!</v>
      </c>
      <c r="AC5" s="664">
        <f>RELAÇ_TUDO!AB29</f>
        <v>40.1905892369602</v>
      </c>
      <c r="AD5" s="664" t="e">
        <f>RELAÇ_TUDO!AC29</f>
        <v>#DIV/0!</v>
      </c>
      <c r="AE5" s="664">
        <f>RELAÇ_TUDO!AD29</f>
        <v>16688.742224076006</v>
      </c>
      <c r="AF5" s="664">
        <f>RELAÇ_TUDO!AE29</f>
        <v>0.84699999999999998</v>
      </c>
      <c r="AG5" s="674" t="s">
        <v>33</v>
      </c>
      <c r="AH5" s="664" t="e">
        <f>RELAÇ_TUDO!AG25</f>
        <v>#DIV/0!</v>
      </c>
      <c r="AI5" s="681">
        <f>RELAÇ_TUDO!AH25</f>
        <v>2619</v>
      </c>
      <c r="AJ5" s="664" t="e">
        <f>RELAÇ_TUDO!AI25</f>
        <v>#DIV/0!</v>
      </c>
      <c r="AK5" s="664">
        <f>RELAÇ_TUDO!AJ25</f>
        <v>47.032296228401329</v>
      </c>
      <c r="AL5" s="664" t="e">
        <f>RELAÇ_TUDO!AK25</f>
        <v>#DIV/0!</v>
      </c>
      <c r="AM5" s="664">
        <f>RELAÇ_TUDO!AL25</f>
        <v>20933.796692269236</v>
      </c>
      <c r="AN5" s="664">
        <f>RELAÇ_TUDO!AM25</f>
        <v>0.85804255319148925</v>
      </c>
    </row>
    <row r="6" spans="1:40" s="665" customFormat="1">
      <c r="A6" s="669"/>
      <c r="B6" s="679" t="s">
        <v>517</v>
      </c>
      <c r="C6" s="679" t="s">
        <v>518</v>
      </c>
      <c r="D6" s="679" t="s">
        <v>519</v>
      </c>
      <c r="E6" s="679" t="s">
        <v>517</v>
      </c>
      <c r="F6" s="679" t="s">
        <v>520</v>
      </c>
      <c r="G6" s="679" t="s">
        <v>514</v>
      </c>
      <c r="H6" s="686" t="s">
        <v>514</v>
      </c>
      <c r="I6" s="674"/>
      <c r="J6" s="679" t="s">
        <v>517</v>
      </c>
      <c r="K6" s="679" t="s">
        <v>518</v>
      </c>
      <c r="L6" s="679" t="s">
        <v>521</v>
      </c>
      <c r="M6" s="679" t="s">
        <v>517</v>
      </c>
      <c r="N6" s="679" t="s">
        <v>520</v>
      </c>
      <c r="O6" s="679" t="s">
        <v>514</v>
      </c>
      <c r="P6" s="686" t="s">
        <v>514</v>
      </c>
      <c r="Q6" s="674"/>
      <c r="R6" s="679" t="s">
        <v>517</v>
      </c>
      <c r="S6" s="679" t="s">
        <v>522</v>
      </c>
      <c r="T6" s="679" t="s">
        <v>523</v>
      </c>
      <c r="U6" s="679" t="s">
        <v>513</v>
      </c>
      <c r="V6" s="679" t="s">
        <v>517</v>
      </c>
      <c r="W6" s="679" t="s">
        <v>514</v>
      </c>
      <c r="X6" s="686" t="s">
        <v>514</v>
      </c>
      <c r="Y6" s="674"/>
      <c r="Z6" s="679" t="s">
        <v>517</v>
      </c>
      <c r="AA6" s="679" t="s">
        <v>524</v>
      </c>
      <c r="AB6" s="679" t="s">
        <v>516</v>
      </c>
      <c r="AC6" s="679" t="s">
        <v>517</v>
      </c>
      <c r="AD6" s="679" t="s">
        <v>520</v>
      </c>
      <c r="AE6" s="679" t="s">
        <v>514</v>
      </c>
      <c r="AF6" s="686" t="s">
        <v>514</v>
      </c>
      <c r="AG6" s="674"/>
      <c r="AH6" s="679" t="s">
        <v>517</v>
      </c>
      <c r="AI6" s="679" t="s">
        <v>518</v>
      </c>
      <c r="AJ6" s="679" t="s">
        <v>525</v>
      </c>
      <c r="AK6" s="679" t="s">
        <v>513</v>
      </c>
      <c r="AL6" s="679" t="s">
        <v>521</v>
      </c>
      <c r="AM6" s="679" t="s">
        <v>514</v>
      </c>
      <c r="AN6" s="679" t="s">
        <v>514</v>
      </c>
    </row>
    <row r="7" spans="1:40">
      <c r="A7" s="668" t="s">
        <v>40</v>
      </c>
      <c r="B7" s="638">
        <f>RELAÇ_TUDO!A32</f>
        <v>44.127427852649333</v>
      </c>
      <c r="C7" s="742">
        <f>RELAÇ_TUDO!B32</f>
        <v>576</v>
      </c>
      <c r="D7" s="638">
        <f>RELAÇ_TUDO!C32</f>
        <v>22.095344480230036</v>
      </c>
      <c r="E7" s="638">
        <f>RELAÇ_TUDO!D32</f>
        <v>53.002167935896821</v>
      </c>
      <c r="F7" s="638">
        <f>RELAÇ_TUDO!E32</f>
        <v>0.41687623998612905</v>
      </c>
      <c r="G7" s="638">
        <f>RELAÇ_TUDO!F32</f>
        <v>30991.496299239781</v>
      </c>
      <c r="H7" s="638">
        <f>RELAÇ_TUDO!G32</f>
        <v>0.84599999999999997</v>
      </c>
      <c r="I7" s="673" t="s">
        <v>32</v>
      </c>
      <c r="J7" s="639">
        <f>RELAÇ_TUDO!I24</f>
        <v>49.921706065738178</v>
      </c>
      <c r="K7" s="680">
        <f>RELAÇ_TUDO!J24</f>
        <v>4286</v>
      </c>
      <c r="L7" s="639">
        <f>RELAÇ_TUDO!K24</f>
        <v>21.870326212805519</v>
      </c>
      <c r="M7" s="639">
        <f>RELAÇ_TUDO!L24</f>
        <v>65.93655445042512</v>
      </c>
      <c r="N7" s="639">
        <f>RELAÇ_TUDO!M24</f>
        <v>0.33168742884872582</v>
      </c>
      <c r="O7" s="639">
        <f>RELAÇ_TUDO!N24</f>
        <v>10013.762537453182</v>
      </c>
      <c r="P7" s="639">
        <f>RELAÇ_TUDO!O24</f>
        <v>0.8</v>
      </c>
      <c r="Q7" s="673" t="s">
        <v>37</v>
      </c>
      <c r="R7" s="639">
        <f>RELAÇ_TUDO!Q29</f>
        <v>38.20562875544433</v>
      </c>
      <c r="S7" s="680">
        <f>RELAÇ_TUDO!R29</f>
        <v>2035</v>
      </c>
      <c r="T7" s="639" t="e">
        <f>RELAÇ_TUDO!S29</f>
        <v>#DIV/0!</v>
      </c>
      <c r="U7" s="639">
        <f>RELAÇ_TUDO!T29</f>
        <v>42.505444247687059</v>
      </c>
      <c r="V7" s="639" t="e">
        <f>RELAÇ_TUDO!U29</f>
        <v>#DIV/0!</v>
      </c>
      <c r="W7" s="639">
        <f>RELAÇ_TUDO!V29</f>
        <v>14304.825274705392</v>
      </c>
      <c r="X7" s="671">
        <f>RELAÇ_TUDO!W29</f>
        <v>0.84</v>
      </c>
      <c r="Y7" s="673" t="s">
        <v>15</v>
      </c>
      <c r="Z7" s="639">
        <f>RELAÇ_TUDO!Y7</f>
        <v>41.04470859312552</v>
      </c>
      <c r="AA7" s="680">
        <f>RELAÇ_TUDO!Z7</f>
        <v>457</v>
      </c>
      <c r="AB7" s="639" t="e">
        <f>RELAÇ_TUDO!AA7</f>
        <v>#DIV/0!</v>
      </c>
      <c r="AC7" s="639">
        <f>RELAÇ_TUDO!AB7</f>
        <v>76.172125669006277</v>
      </c>
      <c r="AD7" s="639" t="e">
        <f>RELAÇ_TUDO!AC7</f>
        <v>#DIV/0!</v>
      </c>
      <c r="AE7" s="639">
        <f>RELAÇ_TUDO!AD7</f>
        <v>13042.830845316787</v>
      </c>
      <c r="AF7" s="639">
        <f>RELAÇ_TUDO!AE7</f>
        <v>0.79600000000000004</v>
      </c>
      <c r="AG7" s="673" t="s">
        <v>14</v>
      </c>
      <c r="AH7" s="639" t="e">
        <f>RELAÇ_TUDO!AG6</f>
        <v>#DIV/0!</v>
      </c>
      <c r="AI7" s="680">
        <f>RELAÇ_TUDO!AH6</f>
        <v>114</v>
      </c>
      <c r="AJ7" s="639" t="e">
        <f>RELAÇ_TUDO!AI6</f>
        <v>#DIV/0!</v>
      </c>
      <c r="AK7" s="639">
        <f>RELAÇ_TUDO!AJ6</f>
        <v>74.688470458744447</v>
      </c>
      <c r="AL7" s="639" t="e">
        <f>RELAÇ_TUDO!AK6</f>
        <v>#DIV/0!</v>
      </c>
      <c r="AM7" s="639">
        <f>RELAÇ_TUDO!AL6</f>
        <v>12307.130094771786</v>
      </c>
      <c r="AN7" s="639">
        <f>RELAÇ_TUDO!AM6</f>
        <v>0.81115335868187588</v>
      </c>
    </row>
    <row r="8" spans="1:40">
      <c r="A8" s="668"/>
      <c r="B8" s="678" t="s">
        <v>513</v>
      </c>
      <c r="C8" s="678" t="s">
        <v>515</v>
      </c>
      <c r="D8" s="678" t="s">
        <v>526</v>
      </c>
      <c r="E8" s="678" t="s">
        <v>513</v>
      </c>
      <c r="F8" s="678" t="s">
        <v>517</v>
      </c>
      <c r="G8" s="678" t="s">
        <v>514</v>
      </c>
      <c r="H8" s="685" t="s">
        <v>514</v>
      </c>
      <c r="I8" s="673"/>
      <c r="J8" s="678" t="s">
        <v>513</v>
      </c>
      <c r="K8" s="683" t="s">
        <v>527</v>
      </c>
      <c r="L8" s="678" t="s">
        <v>522</v>
      </c>
      <c r="M8" s="678" t="s">
        <v>525</v>
      </c>
      <c r="N8" s="678" t="s">
        <v>522</v>
      </c>
      <c r="O8" s="678" t="s">
        <v>514</v>
      </c>
      <c r="P8" s="685" t="s">
        <v>514</v>
      </c>
      <c r="Q8" s="673"/>
      <c r="R8" s="678" t="s">
        <v>513</v>
      </c>
      <c r="S8" s="678" t="s">
        <v>528</v>
      </c>
      <c r="T8" s="678" t="s">
        <v>522</v>
      </c>
      <c r="U8" s="678" t="s">
        <v>517</v>
      </c>
      <c r="V8" s="678" t="s">
        <v>520</v>
      </c>
      <c r="W8" s="678" t="s">
        <v>514</v>
      </c>
      <c r="X8" s="685" t="s">
        <v>514</v>
      </c>
      <c r="Y8" s="673"/>
      <c r="Z8" s="678" t="s">
        <v>513</v>
      </c>
      <c r="AA8" s="682" t="s">
        <v>520</v>
      </c>
      <c r="AB8" s="678" t="s">
        <v>510</v>
      </c>
      <c r="AC8" s="678" t="s">
        <v>515</v>
      </c>
      <c r="AD8" s="678" t="s">
        <v>529</v>
      </c>
      <c r="AE8" s="678" t="s">
        <v>514</v>
      </c>
      <c r="AF8" s="685" t="s">
        <v>514</v>
      </c>
      <c r="AG8" s="673"/>
      <c r="AH8" s="678" t="s">
        <v>513</v>
      </c>
      <c r="AI8" s="678" t="s">
        <v>510</v>
      </c>
      <c r="AJ8" s="678" t="s">
        <v>517</v>
      </c>
      <c r="AK8" s="678" t="s">
        <v>516</v>
      </c>
      <c r="AL8" s="678" t="s">
        <v>524</v>
      </c>
      <c r="AM8" s="678" t="s">
        <v>514</v>
      </c>
      <c r="AN8" s="678" t="s">
        <v>514</v>
      </c>
    </row>
    <row r="9" spans="1:40" s="665" customFormat="1">
      <c r="A9" s="669" t="s">
        <v>32</v>
      </c>
      <c r="B9" s="663">
        <f>RELAÇ_TUDO!A24</f>
        <v>50.66836893725295</v>
      </c>
      <c r="C9" s="743">
        <f>RELAÇ_TUDO!B24</f>
        <v>3863</v>
      </c>
      <c r="D9" s="663">
        <f>RELAÇ_TUDO!C24</f>
        <v>19.282154777551916</v>
      </c>
      <c r="E9" s="663">
        <f>RELAÇ_TUDO!D24</f>
        <v>64.994159274555486</v>
      </c>
      <c r="F9" s="663">
        <f>RELAÇ_TUDO!E24</f>
        <v>0.29667519347543392</v>
      </c>
      <c r="G9" s="663">
        <f>RELAÇ_TUDO!F24</f>
        <v>9335.9708461572063</v>
      </c>
      <c r="H9" s="663">
        <f>RELAÇ_TUDO!G24</f>
        <v>0.76800000000000002</v>
      </c>
      <c r="I9" s="674" t="s">
        <v>40</v>
      </c>
      <c r="J9" s="664">
        <f>RELAÇ_TUDO!I32</f>
        <v>45.092469199936886</v>
      </c>
      <c r="K9" s="681">
        <f>RELAÇ_TUDO!J32</f>
        <v>636</v>
      </c>
      <c r="L9" s="664">
        <f>RELAÇ_TUDO!K32</f>
        <v>24.745541133625924</v>
      </c>
      <c r="M9" s="664">
        <f>RELAÇ_TUDO!L32</f>
        <v>54.165690804181658</v>
      </c>
      <c r="N9" s="664">
        <f>RELAÇ_TUDO!M32</f>
        <v>0.4568489899461512</v>
      </c>
      <c r="O9" s="664">
        <f>RELAÇ_TUDO!N32</f>
        <v>34514.738299306933</v>
      </c>
      <c r="P9" s="664">
        <f>RELAÇ_TUDO!O32</f>
        <v>0.874</v>
      </c>
      <c r="Q9" s="674" t="s">
        <v>32</v>
      </c>
      <c r="R9" s="664">
        <f>RELAÇ_TUDO!Q24</f>
        <v>49.052265221226712</v>
      </c>
      <c r="S9" s="681">
        <f>RELAÇ_TUDO!R24</f>
        <v>4489</v>
      </c>
      <c r="T9" s="664" t="e">
        <f>RELAÇ_TUDO!S24</f>
        <v>#DIV/0!</v>
      </c>
      <c r="U9" s="664">
        <f>RELAÇ_TUDO!T24</f>
        <v>62.793149517776868</v>
      </c>
      <c r="V9" s="664" t="e">
        <f>RELAÇ_TUDO!U24</f>
        <v>#DIV/0!</v>
      </c>
      <c r="W9" s="664">
        <f>RELAÇ_TUDO!V24</f>
        <v>11024.695937721497</v>
      </c>
      <c r="X9" s="664">
        <f>RELAÇ_TUDO!W24</f>
        <v>0.81299999999999994</v>
      </c>
      <c r="Y9" s="674" t="s">
        <v>32</v>
      </c>
      <c r="Z9" s="664">
        <f>RELAÇ_TUDO!Y24</f>
        <v>45.223968131741927</v>
      </c>
      <c r="AA9" s="681">
        <f>RELAÇ_TUDO!Z24</f>
        <v>4394</v>
      </c>
      <c r="AB9" s="664" t="e">
        <f>RELAÇ_TUDO!AA24</f>
        <v>#DIV/0!</v>
      </c>
      <c r="AC9" s="664">
        <f>RELAÇ_TUDO!AB24</f>
        <v>56.555320215862672</v>
      </c>
      <c r="AD9" s="664" t="e">
        <f>RELAÇ_TUDO!AC24</f>
        <v>#DIV/0!</v>
      </c>
      <c r="AE9" s="664">
        <f>RELAÇ_TUDO!AD24</f>
        <v>12519.399202946424</v>
      </c>
      <c r="AF9" s="664">
        <f>RELAÇ_TUDO!AE24</f>
        <v>0.82499999999999996</v>
      </c>
      <c r="AG9" s="674" t="s">
        <v>15</v>
      </c>
      <c r="AH9" s="664" t="e">
        <f>RELAÇ_TUDO!AG7</f>
        <v>#DIV/0!</v>
      </c>
      <c r="AI9" s="681">
        <f>RELAÇ_TUDO!AH7</f>
        <v>453</v>
      </c>
      <c r="AJ9" s="664" t="e">
        <f>RELAÇ_TUDO!AI7</f>
        <v>#DIV/0!</v>
      </c>
      <c r="AK9" s="664">
        <f>RELAÇ_TUDO!AJ7</f>
        <v>64.635891611459812</v>
      </c>
      <c r="AL9" s="664" t="e">
        <f>RELAÇ_TUDO!AK7</f>
        <v>#DIV/0!</v>
      </c>
      <c r="AM9" s="664">
        <f>RELAÇ_TUDO!AL7</f>
        <v>14384.606589199375</v>
      </c>
      <c r="AN9" s="672">
        <f>RELAÇ_TUDO!AM7</f>
        <v>0.80818367346938791</v>
      </c>
    </row>
    <row r="10" spans="1:40" s="665" customFormat="1">
      <c r="A10" s="669"/>
      <c r="B10" s="679" t="s">
        <v>525</v>
      </c>
      <c r="C10" s="679" t="s">
        <v>527</v>
      </c>
      <c r="D10" s="679" t="s">
        <v>522</v>
      </c>
      <c r="E10" s="679" t="s">
        <v>525</v>
      </c>
      <c r="F10" s="679" t="s">
        <v>522</v>
      </c>
      <c r="G10" s="679" t="s">
        <v>514</v>
      </c>
      <c r="H10" s="686" t="s">
        <v>514</v>
      </c>
      <c r="I10" s="674"/>
      <c r="J10" s="679" t="s">
        <v>525</v>
      </c>
      <c r="K10" s="679" t="s">
        <v>516</v>
      </c>
      <c r="L10" s="679" t="s">
        <v>526</v>
      </c>
      <c r="M10" s="679" t="s">
        <v>513</v>
      </c>
      <c r="N10" s="679" t="s">
        <v>517</v>
      </c>
      <c r="O10" s="679" t="s">
        <v>514</v>
      </c>
      <c r="P10" s="686" t="s">
        <v>514</v>
      </c>
      <c r="Q10" s="674"/>
      <c r="R10" s="679" t="s">
        <v>525</v>
      </c>
      <c r="S10" s="679" t="s">
        <v>527</v>
      </c>
      <c r="T10" s="679" t="s">
        <v>515</v>
      </c>
      <c r="U10" s="679" t="s">
        <v>525</v>
      </c>
      <c r="V10" s="679" t="s">
        <v>522</v>
      </c>
      <c r="W10" s="679" t="s">
        <v>514</v>
      </c>
      <c r="X10" s="686" t="s">
        <v>514</v>
      </c>
      <c r="Y10" s="674"/>
      <c r="Z10" s="679" t="s">
        <v>525</v>
      </c>
      <c r="AA10" s="679" t="s">
        <v>527</v>
      </c>
      <c r="AB10" s="679" t="s">
        <v>530</v>
      </c>
      <c r="AC10" s="679" t="s">
        <v>520</v>
      </c>
      <c r="AD10" s="679" t="s">
        <v>522</v>
      </c>
      <c r="AE10" s="679" t="s">
        <v>514</v>
      </c>
      <c r="AF10" s="686" t="s">
        <v>514</v>
      </c>
      <c r="AG10" s="674"/>
      <c r="AH10" s="679" t="s">
        <v>525</v>
      </c>
      <c r="AI10" s="679" t="s">
        <v>525</v>
      </c>
      <c r="AJ10" s="679" t="s">
        <v>510</v>
      </c>
      <c r="AK10" s="679" t="s">
        <v>515</v>
      </c>
      <c r="AL10" s="679" t="s">
        <v>518</v>
      </c>
      <c r="AM10" s="679" t="s">
        <v>514</v>
      </c>
      <c r="AN10" s="679" t="s">
        <v>514</v>
      </c>
    </row>
    <row r="11" spans="1:40">
      <c r="A11" s="668" t="s">
        <v>15</v>
      </c>
      <c r="B11" s="638">
        <f>RELAÇ_TUDO!A7</f>
        <v>40.45893557462017</v>
      </c>
      <c r="C11" s="680">
        <f>RELAÇ_TUDO!B7</f>
        <v>365</v>
      </c>
      <c r="D11" s="639">
        <f>RELAÇ_TUDO!C7</f>
        <v>10.75631004931105</v>
      </c>
      <c r="E11" s="639">
        <f>RELAÇ_TUDO!D7</f>
        <v>83.610316367692974</v>
      </c>
      <c r="F11" s="639">
        <f>RELAÇ_TUDO!E7</f>
        <v>0.12864812043059426</v>
      </c>
      <c r="G11" s="639">
        <f>RELAÇ_TUDO!F7</f>
        <v>9657.9742548466002</v>
      </c>
      <c r="H11" s="671">
        <f>RELAÇ_TUDO!G7</f>
        <v>0.71699999999999997</v>
      </c>
      <c r="I11" s="673" t="s">
        <v>15</v>
      </c>
      <c r="J11" s="639">
        <f>RELAÇ_TUDO!I7</f>
        <v>50.246207503553158</v>
      </c>
      <c r="K11" s="680">
        <f>RELAÇ_TUDO!J7</f>
        <v>467</v>
      </c>
      <c r="L11" s="639">
        <f>RELAÇ_TUDO!K7</f>
        <v>13.40419089060372</v>
      </c>
      <c r="M11" s="639">
        <f>RELAÇ_TUDO!L7</f>
        <v>95.747341832362196</v>
      </c>
      <c r="N11" s="639">
        <f>RELAÇ_TUDO!M7</f>
        <v>0.13999543626048908</v>
      </c>
      <c r="O11" s="639">
        <f>RELAÇ_TUDO!N7</f>
        <v>10318.295712704374</v>
      </c>
      <c r="P11" s="639">
        <f>RELAÇ_TUDO!O7</f>
        <v>0.78</v>
      </c>
      <c r="Q11" s="673" t="s">
        <v>13</v>
      </c>
      <c r="R11" s="639">
        <f>RELAÇ_TUDO!Q5</f>
        <v>61.622473869153353</v>
      </c>
      <c r="S11" s="680">
        <f>RELAÇ_TUDO!R5</f>
        <v>163</v>
      </c>
      <c r="T11" s="639" t="e">
        <f>RELAÇ_TUDO!S5</f>
        <v>#DIV/0!</v>
      </c>
      <c r="U11" s="639">
        <f>RELAÇ_TUDO!T5</f>
        <v>102.98465970835755</v>
      </c>
      <c r="V11" s="639" t="e">
        <f>RELAÇ_TUDO!U5</f>
        <v>#DIV/0!</v>
      </c>
      <c r="W11" s="639">
        <f>RELAÇ_TUDO!V5</f>
        <v>7040.859526540341</v>
      </c>
      <c r="X11" s="639">
        <f>RELAÇ_TUDO!W5</f>
        <v>0.76300000000000001</v>
      </c>
      <c r="Y11" s="673" t="s">
        <v>40</v>
      </c>
      <c r="Z11" s="639">
        <f>RELAÇ_TUDO!Y32</f>
        <v>34.567971751398204</v>
      </c>
      <c r="AA11" s="680">
        <f>RELAÇ_TUDO!Z32</f>
        <v>550</v>
      </c>
      <c r="AB11" s="639" t="e">
        <f>RELAÇ_TUDO!AA32</f>
        <v>#DIV/0!</v>
      </c>
      <c r="AC11" s="639">
        <f>RELAÇ_TUDO!AB32</f>
        <v>40.620864057477782</v>
      </c>
      <c r="AD11" s="639" t="e">
        <f>RELAÇ_TUDO!AC32</f>
        <v>#DIV/0!</v>
      </c>
      <c r="AE11" s="639">
        <f>RELAÇ_TUDO!AD32</f>
        <v>40696.078149258523</v>
      </c>
      <c r="AF11" s="639">
        <f>RELAÇ_TUDO!AE32</f>
        <v>0.9</v>
      </c>
      <c r="AG11" s="673" t="s">
        <v>37</v>
      </c>
      <c r="AH11" s="639" t="e">
        <f>RELAÇ_TUDO!AG29</f>
        <v>#DIV/0!</v>
      </c>
      <c r="AI11" s="680">
        <f>RELAÇ_TUDO!AH29</f>
        <v>1988</v>
      </c>
      <c r="AJ11" s="639" t="e">
        <f>RELAÇ_TUDO!AI29</f>
        <v>#DIV/0!</v>
      </c>
      <c r="AK11" s="639">
        <f>RELAÇ_TUDO!AJ29</f>
        <v>33.77860030519679</v>
      </c>
      <c r="AL11" s="639" t="e">
        <f>RELAÇ_TUDO!AK29</f>
        <v>#DIV/0!</v>
      </c>
      <c r="AM11" s="639">
        <f>RELAÇ_TUDO!AL29</f>
        <v>19469.941902341296</v>
      </c>
      <c r="AN11" s="671">
        <f>RELAÇ_TUDO!AM29</f>
        <v>0.85405833333333325</v>
      </c>
    </row>
    <row r="12" spans="1:40">
      <c r="A12" s="668"/>
      <c r="B12" s="678" t="s">
        <v>520</v>
      </c>
      <c r="C12" s="678" t="s">
        <v>520</v>
      </c>
      <c r="D12" s="678" t="s">
        <v>517</v>
      </c>
      <c r="E12" s="678" t="s">
        <v>531</v>
      </c>
      <c r="F12" s="678" t="s">
        <v>518</v>
      </c>
      <c r="G12" s="678" t="s">
        <v>514</v>
      </c>
      <c r="H12" s="685" t="s">
        <v>514</v>
      </c>
      <c r="I12" s="673"/>
      <c r="J12" s="678" t="s">
        <v>520</v>
      </c>
      <c r="K12" s="678" t="s">
        <v>532</v>
      </c>
      <c r="L12" s="678" t="s">
        <v>510</v>
      </c>
      <c r="M12" s="678" t="s">
        <v>530</v>
      </c>
      <c r="N12" s="678" t="s">
        <v>518</v>
      </c>
      <c r="O12" s="678" t="s">
        <v>514</v>
      </c>
      <c r="P12" s="685" t="s">
        <v>514</v>
      </c>
      <c r="Q12" s="673"/>
      <c r="R12" s="678" t="s">
        <v>520</v>
      </c>
      <c r="S12" s="678" t="s">
        <v>510</v>
      </c>
      <c r="T12" s="678" t="s">
        <v>510</v>
      </c>
      <c r="U12" s="678" t="s">
        <v>522</v>
      </c>
      <c r="V12" s="678" t="s">
        <v>533</v>
      </c>
      <c r="W12" s="678" t="s">
        <v>514</v>
      </c>
      <c r="X12" s="685" t="s">
        <v>514</v>
      </c>
      <c r="Y12" s="673"/>
      <c r="Z12" s="678" t="s">
        <v>520</v>
      </c>
      <c r="AA12" s="678" t="s">
        <v>522</v>
      </c>
      <c r="AB12" s="678" t="s">
        <v>526</v>
      </c>
      <c r="AC12" s="678" t="s">
        <v>513</v>
      </c>
      <c r="AD12" s="678" t="s">
        <v>517</v>
      </c>
      <c r="AE12" s="678" t="s">
        <v>514</v>
      </c>
      <c r="AF12" s="685" t="s">
        <v>514</v>
      </c>
      <c r="AG12" s="673"/>
      <c r="AH12" s="678" t="s">
        <v>520</v>
      </c>
      <c r="AI12" s="678" t="s">
        <v>529</v>
      </c>
      <c r="AJ12" s="678" t="s">
        <v>515</v>
      </c>
      <c r="AK12" s="678" t="s">
        <v>517</v>
      </c>
      <c r="AL12" s="678" t="s">
        <v>520</v>
      </c>
      <c r="AM12" s="678" t="s">
        <v>514</v>
      </c>
      <c r="AN12" s="678" t="s">
        <v>514</v>
      </c>
    </row>
    <row r="13" spans="1:40" s="665" customFormat="1">
      <c r="A13" s="669" t="s">
        <v>38</v>
      </c>
      <c r="B13" s="663">
        <f>RELAÇ_TUDO!A30</f>
        <v>53.074054148577261</v>
      </c>
      <c r="C13" s="743">
        <f>RELAÇ_TUDO!B30</f>
        <v>1812</v>
      </c>
      <c r="D13" s="663">
        <f>RELAÇ_TUDO!C30</f>
        <v>29.614003043443514</v>
      </c>
      <c r="E13" s="663">
        <f>RELAÇ_TUDO!D30</f>
        <v>61.790365613456935</v>
      </c>
      <c r="F13" s="663">
        <f>RELAÇ_TUDO!E30</f>
        <v>0.47926570347067288</v>
      </c>
      <c r="G13" s="663">
        <f>RELAÇ_TUDO!F30</f>
        <v>13403.291564203719</v>
      </c>
      <c r="H13" s="663">
        <f>RELAÇ_TUDO!G30</f>
        <v>0.80600000000000005</v>
      </c>
      <c r="I13" s="674" t="s">
        <v>38</v>
      </c>
      <c r="J13" s="664">
        <f>RELAÇ_TUDO!I30</f>
        <v>48.170244558587974</v>
      </c>
      <c r="K13" s="681">
        <f>RELAÇ_TUDO!J30</f>
        <v>1835</v>
      </c>
      <c r="L13" s="664">
        <f>RELAÇ_TUDO!K30</f>
        <v>29.367348885385077</v>
      </c>
      <c r="M13" s="664">
        <f>RELAÇ_TUDO!L30</f>
        <v>57.810278951135665</v>
      </c>
      <c r="N13" s="664">
        <f>RELAÇ_TUDO!M30</f>
        <v>0.50799528073905209</v>
      </c>
      <c r="O13" s="664">
        <f>RELAÇ_TUDO!N30</f>
        <v>14542.791465261676</v>
      </c>
      <c r="P13" s="664">
        <f>RELAÇ_TUDO!O30</f>
        <v>0.84</v>
      </c>
      <c r="Q13" s="674" t="s">
        <v>38</v>
      </c>
      <c r="R13" s="664">
        <f>RELAÇ_TUDO!Q30</f>
        <v>49.044680391400462</v>
      </c>
      <c r="S13" s="681">
        <f>RELAÇ_TUDO!R30</f>
        <v>1975</v>
      </c>
      <c r="T13" s="664" t="e">
        <f>RELAÇ_TUDO!S30</f>
        <v>#DIV/0!</v>
      </c>
      <c r="U13" s="664">
        <f>RELAÇ_TUDO!T30</f>
        <v>57.439439926198318</v>
      </c>
      <c r="V13" s="664" t="e">
        <f>RELAÇ_TUDO!U30</f>
        <v>#DIV/0!</v>
      </c>
      <c r="W13" s="664">
        <f>RELAÇ_TUDO!V30</f>
        <v>15633.198377044726</v>
      </c>
      <c r="X13" s="664">
        <f>RELAÇ_TUDO!W30</f>
        <v>0.84799999999999998</v>
      </c>
      <c r="Y13" s="674" t="s">
        <v>33</v>
      </c>
      <c r="Z13" s="664">
        <f>RELAÇ_TUDO!Y25</f>
        <v>48.681519992994154</v>
      </c>
      <c r="AA13" s="681">
        <f>RELAÇ_TUDO!Z25</f>
        <v>2992</v>
      </c>
      <c r="AB13" s="664" t="e">
        <f>RELAÇ_TUDO!AA25</f>
        <v>#DIV/0!</v>
      </c>
      <c r="AC13" s="664">
        <f>RELAÇ_TUDO!AB25</f>
        <v>60.355313668098219</v>
      </c>
      <c r="AD13" s="664" t="e">
        <f>RELAÇ_TUDO!AC25</f>
        <v>#DIV/0!</v>
      </c>
      <c r="AE13" s="664">
        <f>RELAÇ_TUDO!AD25</f>
        <v>19245.079344487516</v>
      </c>
      <c r="AF13" s="664">
        <f>RELAÇ_TUDO!AE25</f>
        <v>0.85199999999999998</v>
      </c>
      <c r="AG13" s="674" t="s">
        <v>40</v>
      </c>
      <c r="AH13" s="664" t="e">
        <f>RELAÇ_TUDO!AG32</f>
        <v>#DIV/0!</v>
      </c>
      <c r="AI13" s="681">
        <f>RELAÇ_TUDO!AH32</f>
        <v>536</v>
      </c>
      <c r="AJ13" s="664" t="e">
        <f>RELAÇ_TUDO!AI32</f>
        <v>#DIV/0!</v>
      </c>
      <c r="AK13" s="664">
        <f>RELAÇ_TUDO!AJ32</f>
        <v>35.470614316628172</v>
      </c>
      <c r="AL13" s="664" t="e">
        <f>RELAÇ_TUDO!AK32</f>
        <v>#DIV/0!</v>
      </c>
      <c r="AM13" s="664">
        <f>RELAÇ_TUDO!AL32</f>
        <v>44047.942936048159</v>
      </c>
      <c r="AN13" s="672">
        <f>RELAÇ_TUDO!AM32</f>
        <v>0.91836734693877553</v>
      </c>
    </row>
    <row r="14" spans="1:40" s="665" customFormat="1">
      <c r="A14" s="669"/>
      <c r="B14" s="679" t="s">
        <v>532</v>
      </c>
      <c r="C14" s="679" t="s">
        <v>528</v>
      </c>
      <c r="D14" s="679" t="s">
        <v>529</v>
      </c>
      <c r="E14" s="679" t="s">
        <v>520</v>
      </c>
      <c r="F14" s="679" t="s">
        <v>510</v>
      </c>
      <c r="G14" s="679" t="s">
        <v>514</v>
      </c>
      <c r="H14" s="686" t="s">
        <v>514</v>
      </c>
      <c r="I14" s="674"/>
      <c r="J14" s="679" t="s">
        <v>532</v>
      </c>
      <c r="K14" s="679" t="s">
        <v>528</v>
      </c>
      <c r="L14" s="679" t="s">
        <v>527</v>
      </c>
      <c r="M14" s="679" t="s">
        <v>520</v>
      </c>
      <c r="N14" s="679" t="s">
        <v>510</v>
      </c>
      <c r="O14" s="679" t="s">
        <v>514</v>
      </c>
      <c r="P14" s="686" t="s">
        <v>514</v>
      </c>
      <c r="Q14" s="674"/>
      <c r="R14" s="679" t="s">
        <v>532</v>
      </c>
      <c r="S14" s="679" t="s">
        <v>518</v>
      </c>
      <c r="T14" s="679" t="s">
        <v>511</v>
      </c>
      <c r="U14" s="679" t="s">
        <v>532</v>
      </c>
      <c r="V14" s="679" t="s">
        <v>510</v>
      </c>
      <c r="W14" s="679" t="s">
        <v>514</v>
      </c>
      <c r="X14" s="686" t="s">
        <v>514</v>
      </c>
      <c r="Y14" s="674"/>
      <c r="Z14" s="679" t="s">
        <v>532</v>
      </c>
      <c r="AA14" s="679" t="s">
        <v>529</v>
      </c>
      <c r="AB14" s="679" t="s">
        <v>522</v>
      </c>
      <c r="AC14" s="679" t="s">
        <v>532</v>
      </c>
      <c r="AD14" s="679" t="s">
        <v>521</v>
      </c>
      <c r="AE14" s="679" t="s">
        <v>514</v>
      </c>
      <c r="AF14" s="686" t="s">
        <v>514</v>
      </c>
      <c r="AG14" s="674"/>
      <c r="AH14" s="679" t="s">
        <v>532</v>
      </c>
      <c r="AI14" s="679" t="s">
        <v>516</v>
      </c>
      <c r="AJ14" s="679" t="s">
        <v>523</v>
      </c>
      <c r="AK14" s="679" t="s">
        <v>525</v>
      </c>
      <c r="AL14" s="679" t="s">
        <v>525</v>
      </c>
      <c r="AM14" s="679" t="s">
        <v>514</v>
      </c>
      <c r="AN14" s="679" t="s">
        <v>514</v>
      </c>
    </row>
    <row r="15" spans="1:40">
      <c r="A15" s="668" t="s">
        <v>22</v>
      </c>
      <c r="B15" s="638">
        <f>RELAÇ_TUDO!A14</f>
        <v>59.389401424063209</v>
      </c>
      <c r="C15" s="680">
        <f>RELAÇ_TUDO!B14</f>
        <v>1831</v>
      </c>
      <c r="D15" s="639">
        <f>RELAÇ_TUDO!C14</f>
        <v>12.508966695132365</v>
      </c>
      <c r="E15" s="639">
        <f>RELAÇ_TUDO!D14</f>
        <v>97.663594521664407</v>
      </c>
      <c r="F15" s="639">
        <f>RELAÇ_TUDO!E14</f>
        <v>0.12808218616567038</v>
      </c>
      <c r="G15" s="639">
        <f>RELAÇ_TUDO!F14</f>
        <v>5780.0613950999459</v>
      </c>
      <c r="H15" s="671">
        <f>RELAÇ_TUDO!G14</f>
        <v>0.69599999999999995</v>
      </c>
      <c r="I15" s="673" t="s">
        <v>33</v>
      </c>
      <c r="J15" s="639">
        <f>RELAÇ_TUDO!I25</f>
        <v>52.428711649715972</v>
      </c>
      <c r="K15" s="680">
        <f>RELAÇ_TUDO!J25</f>
        <v>2829</v>
      </c>
      <c r="L15" s="639">
        <f>RELAÇ_TUDO!K25</f>
        <v>17.692386251371097</v>
      </c>
      <c r="M15" s="639">
        <f>RELAÇ_TUDO!L25</f>
        <v>66.288136180997313</v>
      </c>
      <c r="N15" s="639">
        <f>RELAÇ_TUDO!M25</f>
        <v>0.26690124765407025</v>
      </c>
      <c r="O15" s="639">
        <f>RELAÇ_TUDO!N25</f>
        <v>16057.400564323567</v>
      </c>
      <c r="P15" s="639">
        <f>RELAÇ_TUDO!O25</f>
        <v>0.83199999999999996</v>
      </c>
      <c r="Q15" s="673" t="s">
        <v>15</v>
      </c>
      <c r="R15" s="639">
        <f>RELAÇ_TUDO!Q7</f>
        <v>48.416360821514147</v>
      </c>
      <c r="S15" s="680">
        <f>RELAÇ_TUDO!R7</f>
        <v>506</v>
      </c>
      <c r="T15" s="639" t="e">
        <f>RELAÇ_TUDO!S7</f>
        <v>#DIV/0!</v>
      </c>
      <c r="U15" s="639">
        <f>RELAÇ_TUDO!T7</f>
        <v>92.700648354929896</v>
      </c>
      <c r="V15" s="639" t="e">
        <f>RELAÇ_TUDO!U7</f>
        <v>#DIV/0!</v>
      </c>
      <c r="W15" s="639">
        <f>RELAÇ_TUDO!V7</f>
        <v>11826.21404378744</v>
      </c>
      <c r="X15" s="639">
        <f>RELAÇ_TUDO!W7</f>
        <v>0.78400000000000003</v>
      </c>
      <c r="Y15" s="673" t="s">
        <v>17</v>
      </c>
      <c r="Z15" s="639">
        <f>RELAÇ_TUDO!Y9</f>
        <v>66.226425876853952</v>
      </c>
      <c r="AA15" s="680">
        <f>RELAÇ_TUDO!Z9</f>
        <v>663</v>
      </c>
      <c r="AB15" s="639" t="e">
        <f>RELAÇ_TUDO!AA9</f>
        <v>#DIV/0!</v>
      </c>
      <c r="AC15" s="639">
        <f>RELAÇ_TUDO!AB9</f>
        <v>102.14803607689913</v>
      </c>
      <c r="AD15" s="639" t="e">
        <f>RELAÇ_TUDO!AC9</f>
        <v>#DIV/0!</v>
      </c>
      <c r="AE15" s="639">
        <f>RELAÇ_TUDO!AD9</f>
        <v>10319.980859045867</v>
      </c>
      <c r="AF15" s="639">
        <f>RELAÇ_TUDO!AE9</f>
        <v>0.78400000000000003</v>
      </c>
      <c r="AG15" s="673" t="s">
        <v>32</v>
      </c>
      <c r="AH15" s="639" t="e">
        <f>RELAÇ_TUDO!AG24</f>
        <v>#DIV/0!</v>
      </c>
      <c r="AI15" s="680">
        <f>RELAÇ_TUDO!AH24</f>
        <v>4158</v>
      </c>
      <c r="AJ15" s="639" t="e">
        <f>RELAÇ_TUDO!AI24</f>
        <v>#DIV/0!</v>
      </c>
      <c r="AK15" s="639">
        <f>RELAÇ_TUDO!AJ24</f>
        <v>46.799749185759772</v>
      </c>
      <c r="AL15" s="639" t="e">
        <f>RELAÇ_TUDO!AK24</f>
        <v>#DIV/0!</v>
      </c>
      <c r="AM15" s="639">
        <f>RELAÇ_TUDO!AL24</f>
        <v>14216.750946069944</v>
      </c>
      <c r="AN15" s="671">
        <f>RELAÇ_TUDO!AM24</f>
        <v>0.83717712177121772</v>
      </c>
    </row>
    <row r="16" spans="1:40">
      <c r="A16" s="668"/>
      <c r="B16" s="678" t="s">
        <v>534</v>
      </c>
      <c r="C16" s="678" t="s">
        <v>535</v>
      </c>
      <c r="D16" s="678" t="s">
        <v>510</v>
      </c>
      <c r="E16" s="678" t="s">
        <v>512</v>
      </c>
      <c r="F16" s="678" t="s">
        <v>529</v>
      </c>
      <c r="G16" s="678" t="s">
        <v>514</v>
      </c>
      <c r="H16" s="685" t="s">
        <v>514</v>
      </c>
      <c r="I16" s="673"/>
      <c r="J16" s="678" t="s">
        <v>534</v>
      </c>
      <c r="K16" s="678" t="s">
        <v>529</v>
      </c>
      <c r="L16" s="678" t="s">
        <v>530</v>
      </c>
      <c r="M16" s="678" t="s">
        <v>534</v>
      </c>
      <c r="N16" s="678" t="s">
        <v>515</v>
      </c>
      <c r="O16" s="678" t="s">
        <v>514</v>
      </c>
      <c r="P16" s="671"/>
      <c r="Q16" s="673"/>
      <c r="R16" s="678" t="s">
        <v>534</v>
      </c>
      <c r="S16" s="678" t="s">
        <v>534</v>
      </c>
      <c r="T16" s="678" t="s">
        <v>513</v>
      </c>
      <c r="U16" s="678" t="s">
        <v>536</v>
      </c>
      <c r="V16" s="678" t="s">
        <v>518</v>
      </c>
      <c r="W16" s="678" t="s">
        <v>514</v>
      </c>
      <c r="X16" s="671"/>
      <c r="Y16" s="673"/>
      <c r="Z16" s="678" t="s">
        <v>534</v>
      </c>
      <c r="AA16" s="678" t="s">
        <v>525</v>
      </c>
      <c r="AB16" s="678" t="s">
        <v>523</v>
      </c>
      <c r="AC16" s="678" t="s">
        <v>521</v>
      </c>
      <c r="AD16" s="678" t="s">
        <v>515</v>
      </c>
      <c r="AE16" s="678" t="s">
        <v>514</v>
      </c>
      <c r="AF16" s="671"/>
      <c r="AG16" s="673"/>
      <c r="AH16" s="678" t="s">
        <v>534</v>
      </c>
      <c r="AI16" s="678" t="s">
        <v>527</v>
      </c>
      <c r="AJ16" s="678" t="s">
        <v>530</v>
      </c>
      <c r="AK16" s="678" t="s">
        <v>532</v>
      </c>
      <c r="AL16" s="678" t="s">
        <v>516</v>
      </c>
      <c r="AM16" s="678" t="s">
        <v>514</v>
      </c>
      <c r="AN16" s="671"/>
    </row>
    <row r="17" spans="1:40" s="665" customFormat="1">
      <c r="A17" s="669" t="s">
        <v>33</v>
      </c>
      <c r="B17" s="663">
        <f>RELAÇ_TUDO!A25</f>
        <v>44.980154170670126</v>
      </c>
      <c r="C17" s="743">
        <f>RELAÇ_TUDO!B25</f>
        <v>2284</v>
      </c>
      <c r="D17" s="663">
        <f>RELAÇ_TUDO!C25</f>
        <v>14.265739751683688</v>
      </c>
      <c r="E17" s="663">
        <f>RELAÇ_TUDO!D25</f>
        <v>57.550838884108387</v>
      </c>
      <c r="F17" s="663">
        <f>RELAÇ_TUDO!E25</f>
        <v>0.2478806569685453</v>
      </c>
      <c r="G17" s="663">
        <f>RELAÇ_TUDO!F25</f>
        <v>14663.819164048769</v>
      </c>
      <c r="H17" s="663">
        <f>RELAÇ_TUDO!G25</f>
        <v>0.80200000000000005</v>
      </c>
      <c r="I17" s="674" t="s">
        <v>17</v>
      </c>
      <c r="J17" s="664">
        <f>RELAÇ_TUDO!I9</f>
        <v>67.090830837959714</v>
      </c>
      <c r="K17" s="681">
        <f>RELAÇ_TUDO!J9</f>
        <v>597</v>
      </c>
      <c r="L17" s="664">
        <f>RELAÇ_TUDO!K9</f>
        <v>38.210225363525169</v>
      </c>
      <c r="M17" s="664">
        <f>RELAÇ_TUDO!L9</f>
        <v>117.13116925159657</v>
      </c>
      <c r="N17" s="664">
        <f>RELAÇ_TUDO!M9</f>
        <v>0.32621739890131202</v>
      </c>
      <c r="O17" s="664">
        <f>RELAÇ_TUDO!N9</f>
        <v>8395.7365320465706</v>
      </c>
      <c r="P17" s="664">
        <f>RELAÇ_TUDO!O9</f>
        <v>0.77600000000000002</v>
      </c>
      <c r="Q17" s="674" t="s">
        <v>41</v>
      </c>
      <c r="R17" s="664">
        <f>RELAÇ_TUDO!Q33</f>
        <v>54.15946940233912</v>
      </c>
      <c r="S17" s="681">
        <f>RELAÇ_TUDO!R33</f>
        <v>1822</v>
      </c>
      <c r="T17" s="664" t="e">
        <f>RELAÇ_TUDO!S33</f>
        <v>#DIV/0!</v>
      </c>
      <c r="U17" s="664">
        <f>RELAÇ_TUDO!T33</f>
        <v>74.919580697064603</v>
      </c>
      <c r="V17" s="664" t="e">
        <f>RELAÇ_TUDO!U33</f>
        <v>#DIV/0!</v>
      </c>
      <c r="W17" s="664">
        <f>RELAÇ_TUDO!V33</f>
        <v>9956.2957432058174</v>
      </c>
      <c r="X17" s="664">
        <f>RELAÇ_TUDO!W33</f>
        <v>0.80700000000000005</v>
      </c>
      <c r="Y17" s="674" t="s">
        <v>38</v>
      </c>
      <c r="Z17" s="664">
        <f>RELAÇ_TUDO!Y30</f>
        <v>43.807245783993459</v>
      </c>
      <c r="AA17" s="681">
        <f>RELAÇ_TUDO!Z30</f>
        <v>1890</v>
      </c>
      <c r="AB17" s="664" t="e">
        <f>RELAÇ_TUDO!AA30</f>
        <v>#DIV/0!</v>
      </c>
      <c r="AC17" s="664">
        <f>RELAÇ_TUDO!AB30</f>
        <v>51.164077511682464</v>
      </c>
      <c r="AD17" s="664" t="e">
        <f>RELAÇ_TUDO!AC30</f>
        <v>#DIV/0!</v>
      </c>
      <c r="AE17" s="664">
        <f>RELAÇ_TUDO!AD30</f>
        <v>17834.003039188749</v>
      </c>
      <c r="AF17" s="664">
        <f>RELAÇ_TUDO!AE30</f>
        <v>0.86</v>
      </c>
      <c r="AG17" s="674" t="s">
        <v>28</v>
      </c>
      <c r="AH17" s="664" t="e">
        <f>RELAÇ_TUDO!AG20</f>
        <v>#DIV/0!</v>
      </c>
      <c r="AI17" s="681">
        <f>RELAÇ_TUDO!AH20</f>
        <v>602</v>
      </c>
      <c r="AJ17" s="664" t="e">
        <f>RELAÇ_TUDO!AI20</f>
        <v>#DIV/0!</v>
      </c>
      <c r="AK17" s="664">
        <f>RELAÇ_TUDO!AJ20</f>
        <v>62.235151695597743</v>
      </c>
      <c r="AL17" s="664" t="e">
        <f>RELAÇ_TUDO!AK20</f>
        <v>#DIV/0!</v>
      </c>
      <c r="AM17" s="664">
        <f>RELAÇ_TUDO!AL20</f>
        <v>8568.9849649541356</v>
      </c>
      <c r="AN17" s="672">
        <f>RELAÇ_TUDO!AM20</f>
        <v>0.76416307277628026</v>
      </c>
    </row>
    <row r="18" spans="1:40" s="665" customFormat="1">
      <c r="A18" s="669"/>
      <c r="B18" s="679" t="s">
        <v>512</v>
      </c>
      <c r="C18" s="679" t="s">
        <v>529</v>
      </c>
      <c r="D18" s="679" t="s">
        <v>515</v>
      </c>
      <c r="E18" s="679" t="s">
        <v>532</v>
      </c>
      <c r="F18" s="679" t="s">
        <v>515</v>
      </c>
      <c r="G18" s="679" t="s">
        <v>514</v>
      </c>
      <c r="H18" s="686" t="s">
        <v>514</v>
      </c>
      <c r="I18" s="674"/>
      <c r="J18" s="679" t="s">
        <v>512</v>
      </c>
      <c r="K18" s="679" t="s">
        <v>525</v>
      </c>
      <c r="L18" s="679" t="s">
        <v>535</v>
      </c>
      <c r="M18" s="679" t="s">
        <v>516</v>
      </c>
      <c r="N18" s="679" t="s">
        <v>521</v>
      </c>
      <c r="O18" s="679" t="s">
        <v>514</v>
      </c>
      <c r="P18" s="686" t="s">
        <v>514</v>
      </c>
      <c r="Q18" s="674"/>
      <c r="R18" s="679" t="s">
        <v>512</v>
      </c>
      <c r="S18" s="679" t="s">
        <v>535</v>
      </c>
      <c r="T18" s="679" t="s">
        <v>535</v>
      </c>
      <c r="U18" s="679" t="s">
        <v>512</v>
      </c>
      <c r="V18" s="679" t="s">
        <v>534</v>
      </c>
      <c r="W18" s="679" t="s">
        <v>514</v>
      </c>
      <c r="X18" s="686" t="s">
        <v>514</v>
      </c>
      <c r="Y18" s="674"/>
      <c r="Z18" s="679" t="s">
        <v>512</v>
      </c>
      <c r="AA18" s="679" t="s">
        <v>528</v>
      </c>
      <c r="AB18" s="679" t="s">
        <v>537</v>
      </c>
      <c r="AC18" s="679" t="s">
        <v>525</v>
      </c>
      <c r="AD18" s="679" t="s">
        <v>510</v>
      </c>
      <c r="AE18" s="679" t="s">
        <v>514</v>
      </c>
      <c r="AF18" s="686" t="s">
        <v>514</v>
      </c>
      <c r="AG18" s="674"/>
      <c r="AH18" s="679" t="s">
        <v>512</v>
      </c>
      <c r="AI18" s="679" t="s">
        <v>532</v>
      </c>
      <c r="AJ18" s="679" t="s">
        <v>520</v>
      </c>
      <c r="AK18" s="679" t="s">
        <v>512</v>
      </c>
      <c r="AL18" s="679" t="s">
        <v>536</v>
      </c>
      <c r="AM18" s="679" t="s">
        <v>514</v>
      </c>
      <c r="AN18" s="679" t="s">
        <v>514</v>
      </c>
    </row>
    <row r="19" spans="1:40">
      <c r="A19" s="668" t="s">
        <v>17</v>
      </c>
      <c r="B19" s="638">
        <f>RELAÇ_TUDO!A9</f>
        <v>61.879304441709152</v>
      </c>
      <c r="C19" s="680">
        <f>RELAÇ_TUDO!B9</f>
        <v>488</v>
      </c>
      <c r="D19" s="639">
        <f>RELAÇ_TUDO!C9</f>
        <v>32.448728681417983</v>
      </c>
      <c r="E19" s="639">
        <f>RELAÇ_TUDO!D9</f>
        <v>109.45336120506356</v>
      </c>
      <c r="F19" s="639">
        <f>RELAÇ_TUDO!E9</f>
        <v>0.29646169221449942</v>
      </c>
      <c r="G19" s="639">
        <f>RELAÇ_TUDO!F9</f>
        <v>7208.585703859957</v>
      </c>
      <c r="H19" s="671">
        <f>RELAÇ_TUDO!G9</f>
        <v>0.72899999999999998</v>
      </c>
      <c r="I19" s="673" t="s">
        <v>28</v>
      </c>
      <c r="J19" s="639">
        <f>RELAÇ_TUDO!I20</f>
        <v>65.515785446387611</v>
      </c>
      <c r="K19" s="680">
        <f>RELAÇ_TUDO!J20</f>
        <v>649</v>
      </c>
      <c r="L19" s="639">
        <f>RELAÇ_TUDO!K20</f>
        <v>20.485936515061265</v>
      </c>
      <c r="M19" s="639">
        <f>RELAÇ_TUDO!L20</f>
        <v>95.527994559761666</v>
      </c>
      <c r="N19" s="639">
        <f>RELAÇ_TUDO!M20</f>
        <v>0.21444956119376507</v>
      </c>
      <c r="O19" s="639">
        <f>RELAÇ_TUDO!N20</f>
        <v>5950.3823597379833</v>
      </c>
      <c r="P19" s="639">
        <f>RELAÇ_TUDO!O20</f>
        <v>0.73799999999999999</v>
      </c>
      <c r="Q19" s="673" t="s">
        <v>17</v>
      </c>
      <c r="R19" s="639">
        <f>RELAÇ_TUDO!Q9</f>
        <v>61.441338634516249</v>
      </c>
      <c r="S19" s="680">
        <f>RELAÇ_TUDO!R9</f>
        <v>581</v>
      </c>
      <c r="T19" s="639" t="e">
        <f>RELAÇ_TUDO!S9</f>
        <v>#DIV/0!</v>
      </c>
      <c r="U19" s="639">
        <f>RELAÇ_TUDO!T9</f>
        <v>99.745400294944233</v>
      </c>
      <c r="V19" s="639" t="e">
        <f>RELAÇ_TUDO!U9</f>
        <v>#DIV/0!</v>
      </c>
      <c r="W19" s="639">
        <f>RELAÇ_TUDO!V9</f>
        <v>8389.2080729590089</v>
      </c>
      <c r="X19" s="639">
        <f>RELAÇ_TUDO!W9</f>
        <v>0.77900000000000003</v>
      </c>
      <c r="Y19" s="673" t="s">
        <v>28</v>
      </c>
      <c r="Z19" s="639">
        <f>RELAÇ_TUDO!Y20</f>
        <v>47.759013413159124</v>
      </c>
      <c r="AA19" s="680">
        <f>RELAÇ_TUDO!Z20</f>
        <v>600</v>
      </c>
      <c r="AB19" s="639" t="e">
        <f>RELAÇ_TUDO!AA20</f>
        <v>#DIV/0!</v>
      </c>
      <c r="AC19" s="639">
        <f>RELAÇ_TUDO!AB20</f>
        <v>71.993462993560186</v>
      </c>
      <c r="AD19" s="639" t="e">
        <f>RELAÇ_TUDO!AC20</f>
        <v>#DIV/0!</v>
      </c>
      <c r="AE19" s="639">
        <f>RELAÇ_TUDO!AD20</f>
        <v>7607.0142261905885</v>
      </c>
      <c r="AF19" s="639">
        <f>RELAÇ_TUDO!AE20</f>
        <v>0.753</v>
      </c>
      <c r="AG19" s="673" t="s">
        <v>41</v>
      </c>
      <c r="AH19" s="639" t="e">
        <f>RELAÇ_TUDO!AG33</f>
        <v>#DIV/0!</v>
      </c>
      <c r="AI19" s="680">
        <f>RELAÇ_TUDO!AH33</f>
        <v>1988</v>
      </c>
      <c r="AJ19" s="639" t="e">
        <f>RELAÇ_TUDO!AI33</f>
        <v>#DIV/0!</v>
      </c>
      <c r="AK19" s="639">
        <f>RELAÇ_TUDO!AJ33</f>
        <v>62.730981279156651</v>
      </c>
      <c r="AL19" s="639" t="e">
        <f>RELAÇ_TUDO!AK33</f>
        <v>#DIV/0!</v>
      </c>
      <c r="AM19" s="639">
        <f>RELAÇ_TUDO!AL33</f>
        <v>13393.423695553261</v>
      </c>
      <c r="AN19" s="639">
        <f>RELAÇ_TUDO!AM33</f>
        <v>0.84135811648079284</v>
      </c>
    </row>
    <row r="20" spans="1:40">
      <c r="A20" s="668"/>
      <c r="B20" s="678" t="s">
        <v>522</v>
      </c>
      <c r="C20" s="678" t="s">
        <v>525</v>
      </c>
      <c r="D20" s="678" t="s">
        <v>535</v>
      </c>
      <c r="E20" s="678" t="s">
        <v>536</v>
      </c>
      <c r="F20" s="678" t="s">
        <v>521</v>
      </c>
      <c r="G20" s="678" t="s">
        <v>514</v>
      </c>
      <c r="H20" s="685" t="s">
        <v>514</v>
      </c>
      <c r="I20" s="673"/>
      <c r="J20" s="678" t="s">
        <v>522</v>
      </c>
      <c r="K20" s="678" t="s">
        <v>512</v>
      </c>
      <c r="L20" s="678" t="s">
        <v>532</v>
      </c>
      <c r="M20" s="678" t="s">
        <v>522</v>
      </c>
      <c r="N20" s="678" t="s">
        <v>536</v>
      </c>
      <c r="O20" s="678" t="s">
        <v>514</v>
      </c>
      <c r="P20" s="685" t="s">
        <v>514</v>
      </c>
      <c r="Q20" s="673"/>
      <c r="R20" s="678" t="s">
        <v>522</v>
      </c>
      <c r="S20" s="678" t="s">
        <v>532</v>
      </c>
      <c r="T20" s="678" t="s">
        <v>526</v>
      </c>
      <c r="U20" s="678" t="s">
        <v>531</v>
      </c>
      <c r="V20" s="678" t="s">
        <v>521</v>
      </c>
      <c r="W20" s="678" t="s">
        <v>514</v>
      </c>
      <c r="X20" s="685" t="s">
        <v>514</v>
      </c>
      <c r="Y20" s="673"/>
      <c r="Z20" s="678" t="s">
        <v>522</v>
      </c>
      <c r="AA20" s="678" t="s">
        <v>512</v>
      </c>
      <c r="AB20" s="678" t="s">
        <v>520</v>
      </c>
      <c r="AC20" s="678" t="s">
        <v>522</v>
      </c>
      <c r="AD20" s="678" t="s">
        <v>536</v>
      </c>
      <c r="AE20" s="678" t="s">
        <v>514</v>
      </c>
      <c r="AF20" s="685" t="s">
        <v>514</v>
      </c>
      <c r="AG20" s="673"/>
      <c r="AH20" s="678" t="s">
        <v>522</v>
      </c>
      <c r="AI20" s="678" t="s">
        <v>533</v>
      </c>
      <c r="AJ20" s="678" t="s">
        <v>535</v>
      </c>
      <c r="AK20" s="678" t="s">
        <v>522</v>
      </c>
      <c r="AL20" s="678" t="s">
        <v>534</v>
      </c>
      <c r="AM20" s="678" t="s">
        <v>514</v>
      </c>
      <c r="AN20" s="678" t="s">
        <v>514</v>
      </c>
    </row>
    <row r="21" spans="1:40" s="665" customFormat="1">
      <c r="A21" s="669" t="s">
        <v>18</v>
      </c>
      <c r="B21" s="663">
        <f>RELAÇ_TUDO!A10</f>
        <v>76.581625090385202</v>
      </c>
      <c r="C21" s="743">
        <f>RELAÇ_TUDO!B10</f>
        <v>126</v>
      </c>
      <c r="D21" s="663">
        <f>RELAÇ_TUDO!C10</f>
        <v>29.893451198940916</v>
      </c>
      <c r="E21" s="663">
        <f>RELAÇ_TUDO!D10</f>
        <v>124.24197603904747</v>
      </c>
      <c r="F21" s="663">
        <f>RELAÇ_TUDO!E10</f>
        <v>0.24060669470957088</v>
      </c>
      <c r="G21" s="663">
        <f>RELAÇ_TUDO!F10</f>
        <v>7360.8500722509125</v>
      </c>
      <c r="H21" s="663">
        <f>RELAÇ_TUDO!G10</f>
        <v>0.749</v>
      </c>
      <c r="I21" s="674" t="s">
        <v>42</v>
      </c>
      <c r="J21" s="664">
        <f>RELAÇ_TUDO!I34</f>
        <v>64.340445896427383</v>
      </c>
      <c r="K21" s="681">
        <f>RELAÇ_TUDO!J34</f>
        <v>1103</v>
      </c>
      <c r="L21" s="664">
        <f>RELAÇ_TUDO!K34</f>
        <v>36.341208030517386</v>
      </c>
      <c r="M21" s="664">
        <f>RELAÇ_TUDO!L34</f>
        <v>104.17512755077948</v>
      </c>
      <c r="N21" s="664">
        <f>RELAÇ_TUDO!M34</f>
        <v>0.34884726215288875</v>
      </c>
      <c r="O21" s="664">
        <f>RELAÇ_TUDO!N34</f>
        <v>13365.064178760551</v>
      </c>
      <c r="P21" s="664">
        <f>RELAÇ_TUDO!O34</f>
        <v>0.79600000000000004</v>
      </c>
      <c r="Q21" s="674" t="s">
        <v>33</v>
      </c>
      <c r="R21" s="664">
        <f>RELAÇ_TUDO!Q25</f>
        <v>45.881403193876267</v>
      </c>
      <c r="S21" s="681">
        <f>RELAÇ_TUDO!R25</f>
        <v>2704</v>
      </c>
      <c r="T21" s="664" t="e">
        <f>RELAÇ_TUDO!S25</f>
        <v>#DIV/0!</v>
      </c>
      <c r="U21" s="664">
        <f>RELAÇ_TUDO!T25</f>
        <v>58.693993524993246</v>
      </c>
      <c r="V21" s="664" t="e">
        <f>RELAÇ_TUDO!U25</f>
        <v>#DIV/0!</v>
      </c>
      <c r="W21" s="664">
        <f>RELAÇ_TUDO!V25</f>
        <v>17692.589854586546</v>
      </c>
      <c r="X21" s="664">
        <f>RELAÇ_TUDO!W25</f>
        <v>0.84599999999999997</v>
      </c>
      <c r="Y21" s="674" t="s">
        <v>41</v>
      </c>
      <c r="Z21" s="664">
        <f>RELAÇ_TUDO!Y33</f>
        <v>53.540938598303377</v>
      </c>
      <c r="AA21" s="681">
        <f>RELAÇ_TUDO!Z33</f>
        <v>2025</v>
      </c>
      <c r="AB21" s="664" t="e">
        <f>RELAÇ_TUDO!AA33</f>
        <v>#DIV/0!</v>
      </c>
      <c r="AC21" s="664">
        <f>RELAÇ_TUDO!AB33</f>
        <v>76.330698510703257</v>
      </c>
      <c r="AD21" s="664" t="e">
        <f>RELAÇ_TUDO!AC33</f>
        <v>#DIV/0!</v>
      </c>
      <c r="AE21" s="664">
        <f>RELAÇ_TUDO!AD33</f>
        <v>11547.678871833459</v>
      </c>
      <c r="AF21" s="664">
        <f>RELAÇ_TUDO!AE33</f>
        <v>0.82399999999999995</v>
      </c>
      <c r="AG21" s="674" t="s">
        <v>17</v>
      </c>
      <c r="AH21" s="664" t="e">
        <f>RELAÇ_TUDO!AG9</f>
        <v>#DIV/0!</v>
      </c>
      <c r="AI21" s="681">
        <f>RELAÇ_TUDO!AH9</f>
        <v>535</v>
      </c>
      <c r="AJ21" s="664" t="e">
        <f>RELAÇ_TUDO!AI9</f>
        <v>#DIV/0!</v>
      </c>
      <c r="AK21" s="664">
        <f>RELAÇ_TUDO!AJ9</f>
        <v>70.551807444995958</v>
      </c>
      <c r="AL21" s="664" t="e">
        <f>RELAÇ_TUDO!AK9</f>
        <v>#DIV/0!</v>
      </c>
      <c r="AM21" s="664">
        <f>RELAÇ_TUDO!AL9</f>
        <v>12695.120207396179</v>
      </c>
      <c r="AN21" s="664">
        <f>RELAÇ_TUDO!AM9</f>
        <v>0.78903209242618744</v>
      </c>
    </row>
    <row r="22" spans="1:40" s="665" customFormat="1">
      <c r="A22" s="669"/>
      <c r="B22" s="679" t="s">
        <v>516</v>
      </c>
      <c r="C22" s="679" t="s">
        <v>510</v>
      </c>
      <c r="D22" s="679" t="s">
        <v>530</v>
      </c>
      <c r="E22" s="679" t="s">
        <v>516</v>
      </c>
      <c r="F22" s="679" t="s">
        <v>530</v>
      </c>
      <c r="G22" s="679" t="s">
        <v>514</v>
      </c>
      <c r="H22" s="686" t="s">
        <v>514</v>
      </c>
      <c r="I22" s="674"/>
      <c r="J22" s="679" t="s">
        <v>516</v>
      </c>
      <c r="K22" s="679" t="s">
        <v>519</v>
      </c>
      <c r="L22" s="679" t="s">
        <v>537</v>
      </c>
      <c r="M22" s="679" t="s">
        <v>536</v>
      </c>
      <c r="N22" s="679" t="s">
        <v>512</v>
      </c>
      <c r="O22" s="679" t="s">
        <v>514</v>
      </c>
      <c r="P22" s="686" t="s">
        <v>514</v>
      </c>
      <c r="Q22" s="674"/>
      <c r="R22" s="679" t="s">
        <v>516</v>
      </c>
      <c r="S22" s="679" t="s">
        <v>537</v>
      </c>
      <c r="T22" s="679" t="s">
        <v>536</v>
      </c>
      <c r="U22" s="679" t="s">
        <v>534</v>
      </c>
      <c r="V22" s="679" t="s">
        <v>515</v>
      </c>
      <c r="W22" s="679" t="s">
        <v>514</v>
      </c>
      <c r="X22" s="686" t="s">
        <v>514</v>
      </c>
      <c r="Y22" s="674"/>
      <c r="Z22" s="679" t="s">
        <v>516</v>
      </c>
      <c r="AA22" s="679" t="s">
        <v>535</v>
      </c>
      <c r="AB22" s="679" t="s">
        <v>535</v>
      </c>
      <c r="AC22" s="679" t="s">
        <v>512</v>
      </c>
      <c r="AD22" s="679" t="s">
        <v>534</v>
      </c>
      <c r="AE22" s="679" t="s">
        <v>514</v>
      </c>
      <c r="AF22" s="686" t="s">
        <v>514</v>
      </c>
      <c r="AG22" s="674"/>
      <c r="AH22" s="679" t="s">
        <v>516</v>
      </c>
      <c r="AI22" s="679" t="s">
        <v>520</v>
      </c>
      <c r="AJ22" s="679" t="s">
        <v>526</v>
      </c>
      <c r="AK22" s="679" t="s">
        <v>536</v>
      </c>
      <c r="AL22" s="679" t="s">
        <v>515</v>
      </c>
      <c r="AM22" s="679" t="s">
        <v>514</v>
      </c>
      <c r="AN22" s="679" t="s">
        <v>514</v>
      </c>
    </row>
    <row r="23" spans="1:40" ht="26.25">
      <c r="A23" s="668" t="s">
        <v>28</v>
      </c>
      <c r="B23" s="638">
        <f>RELAÇ_TUDO!A20</f>
        <v>56.706595269995972</v>
      </c>
      <c r="C23" s="680">
        <f>RELAÇ_TUDO!B20</f>
        <v>501</v>
      </c>
      <c r="D23" s="639">
        <f>RELAÇ_TUDO!C20</f>
        <v>15.967384465934016</v>
      </c>
      <c r="E23" s="639">
        <f>RELAÇ_TUDO!D20</f>
        <v>82.317103226633279</v>
      </c>
      <c r="F23" s="639">
        <f>RELAÇ_TUDO!E20</f>
        <v>0.19397408120610166</v>
      </c>
      <c r="G23" s="639">
        <f>RELAÇ_TUDO!F20</f>
        <v>5259.9229536491393</v>
      </c>
      <c r="H23" s="671">
        <f>RELAÇ_TUDO!G20</f>
        <v>0.70199999999999996</v>
      </c>
      <c r="I23" s="673" t="s">
        <v>36</v>
      </c>
      <c r="J23" s="639">
        <f>RELAÇ_TUDO!I28</f>
        <v>65.451044350021931</v>
      </c>
      <c r="K23" s="680">
        <f>RELAÇ_TUDO!J28</f>
        <v>3388</v>
      </c>
      <c r="L23" s="639">
        <f>RELAÇ_TUDO!K28</f>
        <v>32.438044579524238</v>
      </c>
      <c r="M23" s="639">
        <f>RELAÇ_TUDO!L28</f>
        <v>70.775252225618473</v>
      </c>
      <c r="N23" s="639">
        <f>RELAÇ_TUDO!M28</f>
        <v>0.45832467648603681</v>
      </c>
      <c r="O23" s="639">
        <f>RELAÇ_TUDO!N28</f>
        <v>12344.437083128983</v>
      </c>
      <c r="P23" s="639">
        <f>RELAÇ_TUDO!O28</f>
        <v>0.82</v>
      </c>
      <c r="Q23" s="673" t="s">
        <v>28</v>
      </c>
      <c r="R23" s="639">
        <f>RELAÇ_TUDO!Q20</f>
        <v>53.289581884030049</v>
      </c>
      <c r="S23" s="680">
        <f>RELAÇ_TUDO!R20</f>
        <v>590</v>
      </c>
      <c r="T23" s="639" t="e">
        <f>RELAÇ_TUDO!S20</f>
        <v>#DIV/0!</v>
      </c>
      <c r="U23" s="639">
        <f>RELAÇ_TUDO!T20</f>
        <v>78.060500857342447</v>
      </c>
      <c r="V23" s="639" t="e">
        <f>RELAÇ_TUDO!U20</f>
        <v>#DIV/0!</v>
      </c>
      <c r="W23" s="639">
        <f>RELAÇ_TUDO!V20</f>
        <v>6753.0361733778263</v>
      </c>
      <c r="X23" s="639">
        <f>RELAÇ_TUDO!W20</f>
        <v>0.74199999999999999</v>
      </c>
      <c r="Y23" s="673" t="s">
        <v>14</v>
      </c>
      <c r="Z23" s="639">
        <f>RELAÇ_TUDO!Y6</f>
        <v>39.912310749223145</v>
      </c>
      <c r="AA23" s="680">
        <f>RELAÇ_TUDO!Z6</f>
        <v>122</v>
      </c>
      <c r="AB23" s="639" t="e">
        <f>RELAÇ_TUDO!AA6</f>
        <v>#DIV/0!</v>
      </c>
      <c r="AC23" s="639">
        <f>RELAÇ_TUDO!AB6</f>
        <v>91.34129450080485</v>
      </c>
      <c r="AD23" s="639" t="e">
        <f>RELAÇ_TUDO!AC6</f>
        <v>#DIV/0!</v>
      </c>
      <c r="AE23" s="639">
        <f>RELAÇ_TUDO!AD6</f>
        <v>10253.735274365346</v>
      </c>
      <c r="AF23" s="639">
        <f>RELAÇ_TUDO!AE6</f>
        <v>0.8</v>
      </c>
      <c r="AG23" s="673" t="s">
        <v>38</v>
      </c>
      <c r="AH23" s="639" t="e">
        <f>RELAÇ_TUDO!AG30</f>
        <v>#DIV/0!</v>
      </c>
      <c r="AI23" s="680">
        <f>RELAÇ_TUDO!AH30</f>
        <v>1666</v>
      </c>
      <c r="AJ23" s="639" t="e">
        <f>RELAÇ_TUDO!AI30</f>
        <v>#DIV/0!</v>
      </c>
      <c r="AK23" s="639">
        <f>RELAÇ_TUDO!AJ30</f>
        <v>39.654817429553788</v>
      </c>
      <c r="AL23" s="639" t="e">
        <f>RELAÇ_TUDO!AK30</f>
        <v>#DIV/0!</v>
      </c>
      <c r="AM23" s="639">
        <f>RELAÇ_TUDO!AL30</f>
        <v>20344.631772140125</v>
      </c>
      <c r="AN23" s="639">
        <f>RELAÇ_TUDO!AM30</f>
        <v>0.87216981132075466</v>
      </c>
    </row>
    <row r="24" spans="1:40">
      <c r="A24" s="668"/>
      <c r="B24" s="678" t="s">
        <v>515</v>
      </c>
      <c r="C24" s="678" t="s">
        <v>532</v>
      </c>
      <c r="D24" s="678" t="s">
        <v>532</v>
      </c>
      <c r="E24" s="678" t="s">
        <v>522</v>
      </c>
      <c r="F24" s="678" t="s">
        <v>536</v>
      </c>
      <c r="G24" s="678" t="s">
        <v>514</v>
      </c>
      <c r="H24" s="685" t="s">
        <v>514</v>
      </c>
      <c r="I24" s="673"/>
      <c r="J24" s="678" t="s">
        <v>515</v>
      </c>
      <c r="K24" s="678" t="s">
        <v>537</v>
      </c>
      <c r="L24" s="678" t="s">
        <v>529</v>
      </c>
      <c r="M24" s="678" t="s">
        <v>532</v>
      </c>
      <c r="N24" s="678" t="s">
        <v>525</v>
      </c>
      <c r="O24" s="678" t="s">
        <v>514</v>
      </c>
      <c r="P24" s="685" t="s">
        <v>514</v>
      </c>
      <c r="Q24" s="673"/>
      <c r="R24" s="678" t="s">
        <v>515</v>
      </c>
      <c r="S24" s="678" t="s">
        <v>512</v>
      </c>
      <c r="T24" s="678" t="s">
        <v>532</v>
      </c>
      <c r="U24" s="678" t="s">
        <v>515</v>
      </c>
      <c r="V24" s="678" t="s">
        <v>536</v>
      </c>
      <c r="W24" s="678" t="s">
        <v>514</v>
      </c>
      <c r="X24" s="685" t="s">
        <v>514</v>
      </c>
      <c r="Y24" s="673"/>
      <c r="Z24" s="678" t="s">
        <v>515</v>
      </c>
      <c r="AA24" s="678" t="s">
        <v>517</v>
      </c>
      <c r="AB24" s="678" t="s">
        <v>532</v>
      </c>
      <c r="AC24" s="678" t="s">
        <v>535</v>
      </c>
      <c r="AD24" s="678" t="s">
        <v>528</v>
      </c>
      <c r="AE24" s="678" t="s">
        <v>514</v>
      </c>
      <c r="AF24" s="685" t="s">
        <v>514</v>
      </c>
      <c r="AG24" s="673"/>
      <c r="AH24" s="678" t="s">
        <v>515</v>
      </c>
      <c r="AI24" s="678" t="s">
        <v>528</v>
      </c>
      <c r="AJ24" s="678" t="s">
        <v>529</v>
      </c>
      <c r="AK24" s="678" t="s">
        <v>520</v>
      </c>
      <c r="AL24" s="678" t="s">
        <v>510</v>
      </c>
      <c r="AM24" s="678" t="s">
        <v>514</v>
      </c>
      <c r="AN24" s="678" t="s">
        <v>514</v>
      </c>
    </row>
    <row r="25" spans="1:40" s="665" customFormat="1">
      <c r="A25" s="669" t="s">
        <v>13</v>
      </c>
      <c r="B25" s="663">
        <f>RELAÇ_TUDO!A5</f>
        <v>60.580812704081495</v>
      </c>
      <c r="C25" s="743">
        <f>RELAÇ_TUDO!B5</f>
        <v>119</v>
      </c>
      <c r="D25" s="663">
        <f>RELAÇ_TUDO!C5</f>
        <v>17.217207368964754</v>
      </c>
      <c r="E25" s="663">
        <f>RELAÇ_TUDO!D5</f>
        <v>101.24988300958896</v>
      </c>
      <c r="F25" s="663">
        <f>RELAÇ_TUDO!E5</f>
        <v>0.170046689015277</v>
      </c>
      <c r="G25" s="663">
        <f>RELAÇ_TUDO!F5</f>
        <v>6251.2143002923021</v>
      </c>
      <c r="H25" s="663">
        <f>RELAÇ_TUDO!G5</f>
        <v>0.69199999999999995</v>
      </c>
      <c r="I25" s="674" t="s">
        <v>41</v>
      </c>
      <c r="J25" s="664">
        <f>RELAÇ_TUDO!I33</f>
        <v>61.354676118471417</v>
      </c>
      <c r="K25" s="681">
        <f>RELAÇ_TUDO!J33</f>
        <v>1923</v>
      </c>
      <c r="L25" s="664">
        <f>RELAÇ_TUDO!K33</f>
        <v>32.029778533152736</v>
      </c>
      <c r="M25" s="664">
        <f>RELAÇ_TUDO!L33</f>
        <v>87.499294727473597</v>
      </c>
      <c r="N25" s="664">
        <f>RELAÇ_TUDO!M33</f>
        <v>0.36605756232565173</v>
      </c>
      <c r="O25" s="664">
        <f>RELAÇ_TUDO!N33</f>
        <v>8992.0203633827969</v>
      </c>
      <c r="P25" s="664">
        <f>RELAÇ_TUDO!O33</f>
        <v>0.8</v>
      </c>
      <c r="Q25" s="674" t="s">
        <v>22</v>
      </c>
      <c r="R25" s="664">
        <f>RELAÇ_TUDO!Q14</f>
        <v>67.85183092614858</v>
      </c>
      <c r="S25" s="681">
        <f>RELAÇ_TUDO!R14</f>
        <v>2620</v>
      </c>
      <c r="T25" s="664" t="e">
        <f>RELAÇ_TUDO!S14</f>
        <v>#DIV/0!</v>
      </c>
      <c r="U25" s="664">
        <f>RELAÇ_TUDO!T14</f>
        <v>109.11974517624088</v>
      </c>
      <c r="V25" s="664" t="e">
        <f>RELAÇ_TUDO!U14</f>
        <v>#DIV/0!</v>
      </c>
      <c r="W25" s="664">
        <f>RELAÇ_TUDO!V14</f>
        <v>6918.9742353811434</v>
      </c>
      <c r="X25" s="664">
        <f>RELAÇ_TUDO!W14</f>
        <v>0.754</v>
      </c>
      <c r="Y25" s="674" t="s">
        <v>13</v>
      </c>
      <c r="Z25" s="664">
        <f>RELAÇ_TUDO!Y5</f>
        <v>50.528436004315623</v>
      </c>
      <c r="AA25" s="681">
        <f>RELAÇ_TUDO!Z5</f>
        <v>157</v>
      </c>
      <c r="AB25" s="664" t="e">
        <f>RELAÇ_TUDO!AA5</f>
        <v>#DIV/0!</v>
      </c>
      <c r="AC25" s="664">
        <f>RELAÇ_TUDO!AB5</f>
        <v>88.946801880913256</v>
      </c>
      <c r="AD25" s="664" t="e">
        <f>RELAÇ_TUDO!AC5</f>
        <v>#DIV/0!</v>
      </c>
      <c r="AE25" s="664">
        <f>RELAÇ_TUDO!AD5</f>
        <v>8789.4917192419143</v>
      </c>
      <c r="AF25" s="664">
        <f>RELAÇ_TUDO!AE5</f>
        <v>0.78</v>
      </c>
      <c r="AG25" s="674" t="s">
        <v>13</v>
      </c>
      <c r="AH25" s="664" t="e">
        <f>RELAÇ_TUDO!AG5</f>
        <v>#DIV/0!</v>
      </c>
      <c r="AI25" s="681">
        <f>RELAÇ_TUDO!AH5</f>
        <v>128</v>
      </c>
      <c r="AJ25" s="664" t="e">
        <f>RELAÇ_TUDO!AI5</f>
        <v>#DIV/0!</v>
      </c>
      <c r="AK25" s="664">
        <f>RELAÇ_TUDO!AJ5</f>
        <v>62.203258867609108</v>
      </c>
      <c r="AL25" s="664" t="e">
        <f>RELAÇ_TUDO!AK5</f>
        <v>#DIV/0!</v>
      </c>
      <c r="AM25" s="664">
        <f>RELAÇ_TUDO!AL5</f>
        <v>10972.405342190226</v>
      </c>
      <c r="AN25" s="664">
        <f>RELAÇ_TUDO!AM5</f>
        <v>0.79737876802096985</v>
      </c>
    </row>
    <row r="26" spans="1:40" s="665" customFormat="1">
      <c r="A26" s="669"/>
      <c r="B26" s="679" t="s">
        <v>521</v>
      </c>
      <c r="C26" s="679" t="s">
        <v>517</v>
      </c>
      <c r="D26" s="679" t="s">
        <v>520</v>
      </c>
      <c r="E26" s="679" t="s">
        <v>519</v>
      </c>
      <c r="F26" s="679" t="s">
        <v>533</v>
      </c>
      <c r="G26" s="679" t="s">
        <v>514</v>
      </c>
      <c r="H26" s="686" t="s">
        <v>514</v>
      </c>
      <c r="I26" s="674"/>
      <c r="J26" s="679" t="s">
        <v>521</v>
      </c>
      <c r="K26" s="679" t="s">
        <v>533</v>
      </c>
      <c r="L26" s="679" t="s">
        <v>524</v>
      </c>
      <c r="M26" s="679" t="s">
        <v>512</v>
      </c>
      <c r="N26" s="679" t="s">
        <v>534</v>
      </c>
      <c r="O26" s="679" t="s">
        <v>514</v>
      </c>
      <c r="P26" s="686" t="s">
        <v>514</v>
      </c>
      <c r="Q26" s="674"/>
      <c r="R26" s="679" t="s">
        <v>521</v>
      </c>
      <c r="S26" s="679" t="s">
        <v>524</v>
      </c>
      <c r="T26" s="679" t="s">
        <v>517</v>
      </c>
      <c r="U26" s="679" t="s">
        <v>519</v>
      </c>
      <c r="V26" s="679" t="s">
        <v>529</v>
      </c>
      <c r="W26" s="679" t="s">
        <v>514</v>
      </c>
      <c r="X26" s="686" t="s">
        <v>514</v>
      </c>
      <c r="Y26" s="674"/>
      <c r="Z26" s="679" t="s">
        <v>521</v>
      </c>
      <c r="AA26" s="679" t="s">
        <v>510</v>
      </c>
      <c r="AB26" s="679" t="s">
        <v>513</v>
      </c>
      <c r="AC26" s="679" t="s">
        <v>530</v>
      </c>
      <c r="AD26" s="679" t="s">
        <v>533</v>
      </c>
      <c r="AE26" s="679" t="s">
        <v>514</v>
      </c>
      <c r="AF26" s="686" t="s">
        <v>514</v>
      </c>
      <c r="AG26" s="674"/>
      <c r="AH26" s="679" t="s">
        <v>521</v>
      </c>
      <c r="AI26" s="679" t="s">
        <v>517</v>
      </c>
      <c r="AJ26" s="679" t="s">
        <v>512</v>
      </c>
      <c r="AK26" s="679" t="s">
        <v>531</v>
      </c>
      <c r="AL26" s="679" t="s">
        <v>523</v>
      </c>
      <c r="AM26" s="679" t="s">
        <v>514</v>
      </c>
      <c r="AN26" s="679" t="s">
        <v>514</v>
      </c>
    </row>
    <row r="27" spans="1:40">
      <c r="A27" s="668" t="s">
        <v>41</v>
      </c>
      <c r="B27" s="638">
        <f>RELAÇ_TUDO!A33</f>
        <v>61.362279426386621</v>
      </c>
      <c r="C27" s="742">
        <f>RELAÇ_TUDO!B33</f>
        <v>1677</v>
      </c>
      <c r="D27" s="638">
        <f>RELAÇ_TUDO!C33</f>
        <v>28.297550515430519</v>
      </c>
      <c r="E27" s="638">
        <f>RELAÇ_TUDO!D33</f>
        <v>83.7920577920368</v>
      </c>
      <c r="F27" s="638">
        <f>RELAÇ_TUDO!E33</f>
        <v>0.3377116072941197</v>
      </c>
      <c r="G27" s="638">
        <f>RELAÇ_TUDO!F33</f>
        <v>8718.0125647535751</v>
      </c>
      <c r="H27" s="638">
        <f>RELAÇ_TUDO!G33</f>
        <v>0.77</v>
      </c>
      <c r="I27" s="673" t="s">
        <v>13</v>
      </c>
      <c r="J27" s="639">
        <f>RELAÇ_TUDO!I5</f>
        <v>57.145053874874257</v>
      </c>
      <c r="K27" s="680">
        <f>RELAÇ_TUDO!J5</f>
        <v>138</v>
      </c>
      <c r="L27" s="639">
        <f>RELAÇ_TUDO!K5</f>
        <v>18.812392731872965</v>
      </c>
      <c r="M27" s="639">
        <f>RELAÇ_TUDO!L5</f>
        <v>100.26519417299379</v>
      </c>
      <c r="N27" s="639">
        <f>RELAÇ_TUDO!M5</f>
        <v>0.18762635316314025</v>
      </c>
      <c r="O27" s="639">
        <f>RELAÇ_TUDO!N5</f>
        <v>6693.5622062631255</v>
      </c>
      <c r="P27" s="639">
        <f>RELAÇ_TUDO!O5</f>
        <v>0.751</v>
      </c>
      <c r="Q27" s="673" t="s">
        <v>36</v>
      </c>
      <c r="R27" s="639">
        <f>RELAÇ_TUDO!Q28</f>
        <v>59.251472325955625</v>
      </c>
      <c r="S27" s="680">
        <f>RELAÇ_TUDO!R28</f>
        <v>3313</v>
      </c>
      <c r="T27" s="639" t="e">
        <f>RELAÇ_TUDO!S28</f>
        <v>#DIV/0!</v>
      </c>
      <c r="U27" s="639">
        <f>RELAÇ_TUDO!T28</f>
        <v>64.100678890619051</v>
      </c>
      <c r="V27" s="639" t="e">
        <f>RELAÇ_TUDO!U28</f>
        <v>#DIV/0!</v>
      </c>
      <c r="W27" s="639">
        <f>RELAÇ_TUDO!V28</f>
        <v>13151.984836409982</v>
      </c>
      <c r="X27" s="639">
        <f>RELAÇ_TUDO!W28</f>
        <v>0.82699999999999996</v>
      </c>
      <c r="Y27" s="673" t="s">
        <v>36</v>
      </c>
      <c r="Z27" s="639">
        <f>RELAÇ_TUDO!Y28</f>
        <v>57.755266806049733</v>
      </c>
      <c r="AA27" s="680">
        <f>RELAÇ_TUDO!Z28</f>
        <v>3584</v>
      </c>
      <c r="AB27" s="639" t="e">
        <f>RELAÇ_TUDO!AA28</f>
        <v>#DIV/0!</v>
      </c>
      <c r="AC27" s="639">
        <f>RELAÇ_TUDO!AB28</f>
        <v>64.648202125201422</v>
      </c>
      <c r="AD27" s="639" t="e">
        <f>RELAÇ_TUDO!AC28</f>
        <v>#DIV/0!</v>
      </c>
      <c r="AE27" s="639">
        <f>RELAÇ_TUDO!AD28</f>
        <v>15711.196108694512</v>
      </c>
      <c r="AF27" s="639">
        <f>RELAÇ_TUDO!AE28</f>
        <v>0.84599999999999997</v>
      </c>
      <c r="AG27" s="673" t="s">
        <v>22</v>
      </c>
      <c r="AH27" s="639" t="e">
        <f>RELAÇ_TUDO!AG14</f>
        <v>#DIV/0!</v>
      </c>
      <c r="AI27" s="680">
        <f>RELAÇ_TUDO!AH14</f>
        <v>2660</v>
      </c>
      <c r="AJ27" s="639" t="e">
        <f>RELAÇ_TUDO!AI14</f>
        <v>#DIV/0!</v>
      </c>
      <c r="AK27" s="639">
        <f>RELAÇ_TUDO!AJ14</f>
        <v>84.22183143855321</v>
      </c>
      <c r="AL27" s="639" t="e">
        <f>RELAÇ_TUDO!AK14</f>
        <v>#DIV/0!</v>
      </c>
      <c r="AM27" s="639">
        <f>RELAÇ_TUDO!AL14</f>
        <v>8764.8305661058675</v>
      </c>
      <c r="AN27" s="639">
        <f>RELAÇ_TUDO!AM14</f>
        <v>0.7802241379310344</v>
      </c>
    </row>
    <row r="28" spans="1:40">
      <c r="A28" s="668"/>
      <c r="B28" s="678" t="s">
        <v>530</v>
      </c>
      <c r="C28" s="678" t="s">
        <v>526</v>
      </c>
      <c r="D28" s="678" t="s">
        <v>528</v>
      </c>
      <c r="E28" s="678" t="s">
        <v>515</v>
      </c>
      <c r="F28" s="678" t="s">
        <v>534</v>
      </c>
      <c r="G28" s="678" t="s">
        <v>514</v>
      </c>
      <c r="H28" s="685" t="s">
        <v>514</v>
      </c>
      <c r="I28" s="673"/>
      <c r="J28" s="678" t="s">
        <v>530</v>
      </c>
      <c r="K28" s="678" t="s">
        <v>510</v>
      </c>
      <c r="L28" s="678" t="s">
        <v>525</v>
      </c>
      <c r="M28" s="678" t="s">
        <v>519</v>
      </c>
      <c r="N28" s="678" t="s">
        <v>533</v>
      </c>
      <c r="O28" s="678" t="s">
        <v>514</v>
      </c>
      <c r="P28" s="685" t="s">
        <v>514</v>
      </c>
      <c r="Q28" s="673"/>
      <c r="R28" s="678" t="s">
        <v>530</v>
      </c>
      <c r="S28" s="678" t="s">
        <v>529</v>
      </c>
      <c r="T28" s="678" t="s">
        <v>529</v>
      </c>
      <c r="U28" s="678" t="s">
        <v>520</v>
      </c>
      <c r="V28" s="678" t="s">
        <v>525</v>
      </c>
      <c r="W28" s="678" t="s">
        <v>514</v>
      </c>
      <c r="X28" s="685" t="s">
        <v>514</v>
      </c>
      <c r="Y28" s="673"/>
      <c r="Z28" s="678" t="s">
        <v>530</v>
      </c>
      <c r="AA28" s="678" t="s">
        <v>537</v>
      </c>
      <c r="AB28" s="678" t="s">
        <v>518</v>
      </c>
      <c r="AC28" s="678" t="s">
        <v>534</v>
      </c>
      <c r="AD28" s="678" t="s">
        <v>525</v>
      </c>
      <c r="AE28" s="678" t="s">
        <v>514</v>
      </c>
      <c r="AF28" s="685" t="s">
        <v>514</v>
      </c>
      <c r="AG28" s="673"/>
      <c r="AH28" s="678" t="s">
        <v>530</v>
      </c>
      <c r="AI28" s="678" t="s">
        <v>524</v>
      </c>
      <c r="AJ28" s="678" t="s">
        <v>513</v>
      </c>
      <c r="AK28" s="678" t="s">
        <v>519</v>
      </c>
      <c r="AL28" s="678" t="s">
        <v>529</v>
      </c>
      <c r="AM28" s="678" t="s">
        <v>514</v>
      </c>
      <c r="AN28" s="678" t="s">
        <v>514</v>
      </c>
    </row>
    <row r="29" spans="1:40" s="665" customFormat="1">
      <c r="A29" s="669" t="s">
        <v>43</v>
      </c>
      <c r="B29" s="663">
        <f>RELAÇ_TUDO!A35</f>
        <v>61.671773112392003</v>
      </c>
      <c r="C29" s="743">
        <f>RELAÇ_TUDO!B35</f>
        <v>701</v>
      </c>
      <c r="D29" s="663">
        <f>RELAÇ_TUDO!C35</f>
        <v>29.696469043231449</v>
      </c>
      <c r="E29" s="663">
        <f>RELAÇ_TUDO!D35</f>
        <v>86.226513730434519</v>
      </c>
      <c r="F29" s="663">
        <f>RELAÇ_TUDO!E35</f>
        <v>0.3444006693355362</v>
      </c>
      <c r="G29" s="663">
        <f>RELAÇ_TUDO!F35</f>
        <v>9461.2232481103729</v>
      </c>
      <c r="H29" s="663">
        <f>RELAÇ_TUDO!G35</f>
        <v>0.76900000000000002</v>
      </c>
      <c r="I29" s="674" t="s">
        <v>14</v>
      </c>
      <c r="J29" s="664">
        <f>RELAÇ_TUDO!I6</f>
        <v>53.251059702799004</v>
      </c>
      <c r="K29" s="681">
        <f>RELAÇ_TUDO!J6</f>
        <v>121</v>
      </c>
      <c r="L29" s="664">
        <f>RELAÇ_TUDO!K6</f>
        <v>18.072487102816023</v>
      </c>
      <c r="M29" s="664">
        <f>RELAÇ_TUDO!L6</f>
        <v>115.0354137947426</v>
      </c>
      <c r="N29" s="664">
        <f>RELAÇ_TUDO!M6</f>
        <v>0.15710368230658706</v>
      </c>
      <c r="O29" s="664">
        <f>RELAÇ_TUDO!N6</f>
        <v>7334.9321588002713</v>
      </c>
      <c r="P29" s="664">
        <f>RELAÇ_TUDO!O6</f>
        <v>0.78</v>
      </c>
      <c r="Q29" s="674" t="s">
        <v>538</v>
      </c>
      <c r="R29" s="664">
        <f>RELAÇ_TUDO!Q34</f>
        <v>56.880851212351189</v>
      </c>
      <c r="S29" s="681">
        <f>RELAÇ_TUDO!R34</f>
        <v>1071</v>
      </c>
      <c r="T29" s="664" t="e">
        <f>RELAÇ_TUDO!S34</f>
        <v>#DIV/0!</v>
      </c>
      <c r="U29" s="664">
        <f>RELAÇ_TUDO!T34</f>
        <v>90.498502254012649</v>
      </c>
      <c r="V29" s="664" t="e">
        <f>RELAÇ_TUDO!U34</f>
        <v>#DIV/0!</v>
      </c>
      <c r="W29" s="664">
        <f>RELAÇ_TUDO!V34</f>
        <v>12340.786324018361</v>
      </c>
      <c r="X29" s="664">
        <f>RELAÇ_TUDO!W34</f>
        <v>0.80400000000000005</v>
      </c>
      <c r="Y29" s="674" t="s">
        <v>22</v>
      </c>
      <c r="Z29" s="664">
        <f>RELAÇ_TUDO!Y14</f>
        <v>65.777244631779013</v>
      </c>
      <c r="AA29" s="681">
        <f>RELAÇ_TUDO!Z14</f>
        <v>2834</v>
      </c>
      <c r="AB29" s="664" t="e">
        <f>RELAÇ_TUDO!AA14</f>
        <v>#DIV/0!</v>
      </c>
      <c r="AC29" s="664">
        <f>RELAÇ_TUDO!AB14</f>
        <v>106.19852378805713</v>
      </c>
      <c r="AD29" s="664" t="e">
        <f>RELAÇ_TUDO!AC14</f>
        <v>#DIV/0!</v>
      </c>
      <c r="AE29" s="664">
        <f>RELAÇ_TUDO!AD14</f>
        <v>7787.4024465393868</v>
      </c>
      <c r="AF29" s="664">
        <f>RELAÇ_TUDO!AE14</f>
        <v>0.76700000000000002</v>
      </c>
      <c r="AG29" s="674" t="s">
        <v>36</v>
      </c>
      <c r="AH29" s="664" t="e">
        <f>RELAÇ_TUDO!AG28</f>
        <v>#DIV/0!</v>
      </c>
      <c r="AI29" s="681">
        <f>RELAÇ_TUDO!AH28</f>
        <v>3116</v>
      </c>
      <c r="AJ29" s="664" t="e">
        <f>RELAÇ_TUDO!AI28</f>
        <v>#DIV/0!</v>
      </c>
      <c r="AK29" s="664">
        <f>RELAÇ_TUDO!AJ28</f>
        <v>49.061725980813335</v>
      </c>
      <c r="AL29" s="664" t="e">
        <f>RELAÇ_TUDO!AK28</f>
        <v>#DIV/0!</v>
      </c>
      <c r="AM29" s="664">
        <f>RELAÇ_TUDO!AL28</f>
        <v>18768.397792134048</v>
      </c>
      <c r="AN29" s="672">
        <f>RELAÇ_TUDO!AM28</f>
        <v>0.86543651753325268</v>
      </c>
    </row>
    <row r="30" spans="1:40" s="665" customFormat="1">
      <c r="A30" s="669"/>
      <c r="B30" s="679" t="s">
        <v>519</v>
      </c>
      <c r="C30" s="679" t="s">
        <v>530</v>
      </c>
      <c r="D30" s="679" t="s">
        <v>537</v>
      </c>
      <c r="E30" s="679" t="s">
        <v>521</v>
      </c>
      <c r="F30" s="679" t="s">
        <v>532</v>
      </c>
      <c r="G30" s="679" t="s">
        <v>514</v>
      </c>
      <c r="H30" s="686" t="s">
        <v>514</v>
      </c>
      <c r="I30" s="674"/>
      <c r="J30" s="679" t="s">
        <v>519</v>
      </c>
      <c r="K30" s="679" t="s">
        <v>513</v>
      </c>
      <c r="L30" s="679" t="s">
        <v>515</v>
      </c>
      <c r="M30" s="679" t="s">
        <v>518</v>
      </c>
      <c r="N30" s="679" t="s">
        <v>528</v>
      </c>
      <c r="O30" s="679" t="s">
        <v>514</v>
      </c>
      <c r="P30" s="686" t="s">
        <v>514</v>
      </c>
      <c r="Q30" s="674"/>
      <c r="R30" s="679" t="s">
        <v>519</v>
      </c>
      <c r="S30" s="679" t="s">
        <v>536</v>
      </c>
      <c r="T30" s="679" t="s">
        <v>527</v>
      </c>
      <c r="U30" s="679" t="s">
        <v>530</v>
      </c>
      <c r="V30" s="679" t="s">
        <v>512</v>
      </c>
      <c r="W30" s="679" t="s">
        <v>514</v>
      </c>
      <c r="X30" s="686" t="s">
        <v>514</v>
      </c>
      <c r="Y30" s="674"/>
      <c r="Z30" s="679" t="s">
        <v>519</v>
      </c>
      <c r="AA30" s="679" t="s">
        <v>518</v>
      </c>
      <c r="AB30" s="679" t="s">
        <v>517</v>
      </c>
      <c r="AC30" s="679" t="s">
        <v>523</v>
      </c>
      <c r="AD30" s="679" t="s">
        <v>518</v>
      </c>
      <c r="AE30" s="679" t="s">
        <v>514</v>
      </c>
      <c r="AF30" s="686" t="s">
        <v>514</v>
      </c>
      <c r="AG30" s="674"/>
      <c r="AH30" s="679" t="s">
        <v>519</v>
      </c>
      <c r="AI30" s="679" t="s">
        <v>537</v>
      </c>
      <c r="AJ30" s="679" t="s">
        <v>518</v>
      </c>
      <c r="AK30" s="679" t="s">
        <v>534</v>
      </c>
      <c r="AL30" s="679" t="s">
        <v>513</v>
      </c>
      <c r="AM30" s="679" t="s">
        <v>514</v>
      </c>
      <c r="AN30" s="679" t="s">
        <v>514</v>
      </c>
    </row>
    <row r="31" spans="1:40">
      <c r="A31" s="668" t="s">
        <v>42</v>
      </c>
      <c r="B31" s="638">
        <f>RELAÇ_TUDO!A34</f>
        <v>71.024828835045952</v>
      </c>
      <c r="C31" s="742">
        <f>RELAÇ_TUDO!B34</f>
        <v>1105</v>
      </c>
      <c r="D31" s="638">
        <f>RELAÇ_TUDO!C34</f>
        <v>36.812166337689163</v>
      </c>
      <c r="E31" s="638">
        <f>RELAÇ_TUDO!D34</f>
        <v>116.40646398247056</v>
      </c>
      <c r="F31" s="638">
        <f>RELAÇ_TUDO!E34</f>
        <v>0.31623816305624264</v>
      </c>
      <c r="G31" s="638">
        <f>RELAÇ_TUDO!F34</f>
        <v>13444.588457402135</v>
      </c>
      <c r="H31" s="638">
        <f>RELAÇ_TUDO!G34</f>
        <v>0.76700000000000002</v>
      </c>
      <c r="I31" s="673" t="s">
        <v>22</v>
      </c>
      <c r="J31" s="639">
        <f>RELAÇ_TUDO!I14</f>
        <v>74.121763185967197</v>
      </c>
      <c r="K31" s="680">
        <f>RELAÇ_TUDO!J14</f>
        <v>2601</v>
      </c>
      <c r="L31" s="639">
        <f>RELAÇ_TUDO!K14</f>
        <v>18.556163535661863</v>
      </c>
      <c r="M31" s="639">
        <f>RELAÇ_TUDO!L14</f>
        <v>122.46373877415728</v>
      </c>
      <c r="N31" s="639">
        <f>RELAÇ_TUDO!M14</f>
        <v>0.15152373854829304</v>
      </c>
      <c r="O31" s="639">
        <f>RELAÇ_TUDO!N14</f>
        <v>6581.044983679928</v>
      </c>
      <c r="P31" s="671">
        <f>RELAÇ_TUDO!O14</f>
        <v>0.74199999999999999</v>
      </c>
      <c r="Q31" s="673" t="s">
        <v>14</v>
      </c>
      <c r="R31" s="639">
        <f>RELAÇ_TUDO!Q6</f>
        <v>58.911619379056383</v>
      </c>
      <c r="S31" s="680">
        <f>RELAÇ_TUDO!R6</f>
        <v>150</v>
      </c>
      <c r="T31" s="639" t="e">
        <f>RELAÇ_TUDO!S6</f>
        <v>#DIV/0!</v>
      </c>
      <c r="U31" s="639">
        <f>RELAÇ_TUDO!T6</f>
        <v>123.58800701979879</v>
      </c>
      <c r="V31" s="639" t="e">
        <f>RELAÇ_TUDO!U6</f>
        <v>#DIV/0!</v>
      </c>
      <c r="W31" s="639">
        <f>RELAÇ_TUDO!V6</f>
        <v>8542.9410648245685</v>
      </c>
      <c r="X31" s="639">
        <f>RELAÇ_TUDO!W6</f>
        <v>0.78900000000000003</v>
      </c>
      <c r="Y31" s="673" t="s">
        <v>42</v>
      </c>
      <c r="Z31" s="639">
        <f>RELAÇ_TUDO!Y34</f>
        <v>51.075241159273041</v>
      </c>
      <c r="AA31" s="680">
        <f>RELAÇ_TUDO!Z34</f>
        <v>1143</v>
      </c>
      <c r="AB31" s="639" t="e">
        <f>RELAÇ_TUDO!AA34</f>
        <v>#DIV/0!</v>
      </c>
      <c r="AC31" s="639">
        <f>RELAÇ_TUDO!AB34</f>
        <v>87.736939631151756</v>
      </c>
      <c r="AD31" s="639" t="e">
        <f>RELAÇ_TUDO!AC34</f>
        <v>#DIV/0!</v>
      </c>
      <c r="AE31" s="639">
        <f>RELAÇ_TUDO!AD34</f>
        <v>14953.580628441914</v>
      </c>
      <c r="AF31" s="639">
        <f>RELAÇ_TUDO!AE34</f>
        <v>0.80800000000000005</v>
      </c>
      <c r="AG31" s="673" t="s">
        <v>43</v>
      </c>
      <c r="AH31" s="639" t="e">
        <f>RELAÇ_TUDO!AG35</f>
        <v>#DIV/0!</v>
      </c>
      <c r="AI31" s="680">
        <f>RELAÇ_TUDO!AH35</f>
        <v>828</v>
      </c>
      <c r="AJ31" s="639" t="e">
        <f>RELAÇ_TUDO!AI35</f>
        <v>#DIV/0!</v>
      </c>
      <c r="AK31" s="639">
        <f>RELAÇ_TUDO!AJ35</f>
        <v>66.07091132374029</v>
      </c>
      <c r="AL31" s="639" t="e">
        <f>RELAÇ_TUDO!AK35</f>
        <v>#DIV/0!</v>
      </c>
      <c r="AM31" s="639">
        <f>RELAÇ_TUDO!AL35</f>
        <v>14542.202721963293</v>
      </c>
      <c r="AN31" s="671">
        <f>RELAÇ_TUDO!AM35</f>
        <v>0.84527607361963197</v>
      </c>
    </row>
    <row r="32" spans="1:40">
      <c r="A32" s="668"/>
      <c r="B32" s="678" t="s">
        <v>536</v>
      </c>
      <c r="C32" s="678" t="s">
        <v>523</v>
      </c>
      <c r="D32" s="678" t="s">
        <v>527</v>
      </c>
      <c r="E32" s="678" t="s">
        <v>535</v>
      </c>
      <c r="F32" s="678" t="s">
        <v>512</v>
      </c>
      <c r="G32" s="678" t="s">
        <v>514</v>
      </c>
      <c r="H32" s="685" t="s">
        <v>514</v>
      </c>
      <c r="I32" s="673"/>
      <c r="J32" s="678" t="s">
        <v>536</v>
      </c>
      <c r="K32" s="678" t="s">
        <v>524</v>
      </c>
      <c r="L32" s="678" t="s">
        <v>517</v>
      </c>
      <c r="M32" s="678" t="s">
        <v>523</v>
      </c>
      <c r="N32" s="678" t="s">
        <v>529</v>
      </c>
      <c r="O32" s="678" t="s">
        <v>514</v>
      </c>
      <c r="P32" s="685" t="s">
        <v>514</v>
      </c>
      <c r="Q32" s="673"/>
      <c r="R32" s="678" t="s">
        <v>536</v>
      </c>
      <c r="S32" s="678" t="s">
        <v>513</v>
      </c>
      <c r="T32" s="678" t="s">
        <v>530</v>
      </c>
      <c r="U32" s="678" t="s">
        <v>518</v>
      </c>
      <c r="V32" s="678" t="s">
        <v>528</v>
      </c>
      <c r="W32" s="678" t="s">
        <v>514</v>
      </c>
      <c r="X32" s="685" t="s">
        <v>514</v>
      </c>
      <c r="Y32" s="673"/>
      <c r="Z32" s="678" t="s">
        <v>536</v>
      </c>
      <c r="AA32" s="678" t="s">
        <v>519</v>
      </c>
      <c r="AB32" s="678" t="s">
        <v>529</v>
      </c>
      <c r="AC32" s="678" t="s">
        <v>519</v>
      </c>
      <c r="AD32" s="678" t="s">
        <v>512</v>
      </c>
      <c r="AE32" s="678" t="s">
        <v>514</v>
      </c>
      <c r="AF32" s="685" t="s">
        <v>514</v>
      </c>
      <c r="AG32" s="673"/>
      <c r="AH32" s="678" t="s">
        <v>536</v>
      </c>
      <c r="AI32" s="678" t="s">
        <v>515</v>
      </c>
      <c r="AJ32" s="678" t="s">
        <v>528</v>
      </c>
      <c r="AK32" s="678" t="s">
        <v>521</v>
      </c>
      <c r="AL32" s="678" t="s">
        <v>532</v>
      </c>
      <c r="AM32" s="678" t="s">
        <v>514</v>
      </c>
      <c r="AN32" s="678" t="s">
        <v>514</v>
      </c>
    </row>
    <row r="33" spans="1:40" s="665" customFormat="1">
      <c r="A33" s="669" t="s">
        <v>36</v>
      </c>
      <c r="B33" s="663">
        <f>RELAÇ_TUDO!A28</f>
        <v>68.948812741832583</v>
      </c>
      <c r="C33" s="743">
        <f>RELAÇ_TUDO!B28</f>
        <v>3079</v>
      </c>
      <c r="D33" s="663">
        <f>RELAÇ_TUDO!C28</f>
        <v>28.812785952161978</v>
      </c>
      <c r="E33" s="663">
        <f>RELAÇ_TUDO!D28</f>
        <v>69.157023278671801</v>
      </c>
      <c r="F33" s="663">
        <f>RELAÇ_TUDO!E28</f>
        <v>0.41662848668398239</v>
      </c>
      <c r="G33" s="663">
        <f>RELAÇ_TUDO!F28</f>
        <v>12079.826715677054</v>
      </c>
      <c r="H33" s="663">
        <f>RELAÇ_TUDO!G28</f>
        <v>0.80300000000000005</v>
      </c>
      <c r="I33" s="674" t="s">
        <v>31</v>
      </c>
      <c r="J33" s="664">
        <f>RELAÇ_TUDO!I23</f>
        <v>82.510033291374668</v>
      </c>
      <c r="K33" s="681">
        <f>RELAÇ_TUDO!J23</f>
        <v>1143</v>
      </c>
      <c r="L33" s="664">
        <f>RELAÇ_TUDO!K23</f>
        <v>32.518224999943101</v>
      </c>
      <c r="M33" s="664">
        <f>RELAÇ_TUDO!L23</f>
        <v>97.422107062037341</v>
      </c>
      <c r="N33" s="664">
        <f>RELAÇ_TUDO!M23</f>
        <v>0.33378691942308175</v>
      </c>
      <c r="O33" s="664">
        <f>RELAÇ_TUDO!N23</f>
        <v>13854.906640322049</v>
      </c>
      <c r="P33" s="664">
        <f>RELAÇ_TUDO!O23</f>
        <v>0.80200000000000005</v>
      </c>
      <c r="Q33" s="674" t="s">
        <v>43</v>
      </c>
      <c r="R33" s="664">
        <f>RELAÇ_TUDO!Q35</f>
        <v>60.212796120635311</v>
      </c>
      <c r="S33" s="681">
        <f>RELAÇ_TUDO!R35</f>
        <v>845</v>
      </c>
      <c r="T33" s="664" t="e">
        <f>RELAÇ_TUDO!S35</f>
        <v>#DIV/0!</v>
      </c>
      <c r="U33" s="664">
        <f>RELAÇ_TUDO!T35</f>
        <v>86.141600480354114</v>
      </c>
      <c r="V33" s="664" t="e">
        <f>RELAÇ_TUDO!U35</f>
        <v>#DIV/0!</v>
      </c>
      <c r="W33" s="664">
        <f>RELAÇ_TUDO!V35</f>
        <v>10592.444217919032</v>
      </c>
      <c r="X33" s="664">
        <f>RELAÇ_TUDO!W35</f>
        <v>0.81499999999999995</v>
      </c>
      <c r="Y33" s="674" t="s">
        <v>43</v>
      </c>
      <c r="Z33" s="664">
        <f>RELAÇ_TUDO!Y35</f>
        <v>51.534074919171474</v>
      </c>
      <c r="AA33" s="681">
        <f>RELAÇ_TUDO!Z35</f>
        <v>806</v>
      </c>
      <c r="AB33" s="664" t="e">
        <f>RELAÇ_TUDO!AA35</f>
        <v>#DIV/0!</v>
      </c>
      <c r="AC33" s="664">
        <f>RELAÇ_TUDO!AB35</f>
        <v>75.417886203205356</v>
      </c>
      <c r="AD33" s="664" t="e">
        <f>RELAÇ_TUDO!AC35</f>
        <v>#DIV/0!</v>
      </c>
      <c r="AE33" s="664">
        <f>RELAÇ_TUDO!AD35</f>
        <v>12411.183309341075</v>
      </c>
      <c r="AF33" s="664">
        <f>RELAÇ_TUDO!AE35</f>
        <v>0.83</v>
      </c>
      <c r="AG33" s="674" t="s">
        <v>42</v>
      </c>
      <c r="AH33" s="664" t="e">
        <f>RELAÇ_TUDO!AG34</f>
        <v>#DIV/0!</v>
      </c>
      <c r="AI33" s="681">
        <f>RELAÇ_TUDO!AH34</f>
        <v>1192</v>
      </c>
      <c r="AJ33" s="664" t="e">
        <f>RELAÇ_TUDO!AI34</f>
        <v>#DIV/0!</v>
      </c>
      <c r="AK33" s="664">
        <f>RELAÇ_TUDO!AJ34</f>
        <v>76.130185171347208</v>
      </c>
      <c r="AL33" s="664" t="e">
        <f>RELAÇ_TUDO!AK34</f>
        <v>#DIV/0!</v>
      </c>
      <c r="AM33" s="664">
        <f>RELAÇ_TUDO!AL34</f>
        <v>18119.556383219377</v>
      </c>
      <c r="AN33" s="672">
        <f>RELAÇ_TUDO!AM34</f>
        <v>0.8120199004975126</v>
      </c>
    </row>
    <row r="34" spans="1:40" s="665" customFormat="1">
      <c r="A34" s="669"/>
      <c r="B34" s="679" t="s">
        <v>531</v>
      </c>
      <c r="C34" s="684" t="s">
        <v>537</v>
      </c>
      <c r="D34" s="679" t="s">
        <v>518</v>
      </c>
      <c r="E34" s="679" t="s">
        <v>534</v>
      </c>
      <c r="F34" s="679" t="s">
        <v>525</v>
      </c>
      <c r="G34" s="679" t="s">
        <v>514</v>
      </c>
      <c r="H34" s="686" t="s">
        <v>514</v>
      </c>
      <c r="I34" s="674"/>
      <c r="J34" s="679" t="s">
        <v>531</v>
      </c>
      <c r="K34" s="679" t="s">
        <v>536</v>
      </c>
      <c r="L34" s="679" t="s">
        <v>533</v>
      </c>
      <c r="M34" s="679" t="s">
        <v>515</v>
      </c>
      <c r="N34" s="679" t="s">
        <v>516</v>
      </c>
      <c r="O34" s="679" t="s">
        <v>514</v>
      </c>
      <c r="P34" s="686" t="s">
        <v>514</v>
      </c>
      <c r="Q34" s="674"/>
      <c r="R34" s="679" t="s">
        <v>531</v>
      </c>
      <c r="S34" s="679" t="s">
        <v>515</v>
      </c>
      <c r="T34" s="679" t="s">
        <v>537</v>
      </c>
      <c r="U34" s="679" t="s">
        <v>516</v>
      </c>
      <c r="V34" s="679" t="s">
        <v>532</v>
      </c>
      <c r="W34" s="679" t="s">
        <v>514</v>
      </c>
      <c r="X34" s="686" t="s">
        <v>514</v>
      </c>
      <c r="Y34" s="674"/>
      <c r="Z34" s="679" t="s">
        <v>531</v>
      </c>
      <c r="AA34" s="679" t="s">
        <v>515</v>
      </c>
      <c r="AB34" s="679" t="s">
        <v>524</v>
      </c>
      <c r="AC34" s="679" t="s">
        <v>516</v>
      </c>
      <c r="AD34" s="679" t="s">
        <v>532</v>
      </c>
      <c r="AE34" s="679" t="s">
        <v>514</v>
      </c>
      <c r="AF34" s="686" t="s">
        <v>514</v>
      </c>
      <c r="AG34" s="674"/>
      <c r="AH34" s="679" t="s">
        <v>531</v>
      </c>
      <c r="AI34" s="679" t="s">
        <v>519</v>
      </c>
      <c r="AJ34" s="679" t="s">
        <v>527</v>
      </c>
      <c r="AK34" s="679" t="s">
        <v>535</v>
      </c>
      <c r="AL34" s="679" t="s">
        <v>512</v>
      </c>
      <c r="AM34" s="679" t="s">
        <v>514</v>
      </c>
      <c r="AN34" s="679" t="s">
        <v>514</v>
      </c>
    </row>
    <row r="35" spans="1:40">
      <c r="A35" s="668" t="s">
        <v>31</v>
      </c>
      <c r="B35" s="638">
        <f>RELAÇ_TUDO!A23</f>
        <v>77.945784401925593</v>
      </c>
      <c r="C35" s="742">
        <f>RELAÇ_TUDO!B23</f>
        <v>958</v>
      </c>
      <c r="D35" s="638">
        <f>RELAÇ_TUDO!C23</f>
        <v>27.472732309481763</v>
      </c>
      <c r="E35" s="638">
        <f>RELAÇ_TUDO!D23</f>
        <v>89.333171700593994</v>
      </c>
      <c r="F35" s="638">
        <f>RELAÇ_TUDO!E23</f>
        <v>0.3075311419766717</v>
      </c>
      <c r="G35" s="638">
        <f>RELAÇ_TUDO!F23</f>
        <v>11997.944357415641</v>
      </c>
      <c r="H35" s="638">
        <f>RELAÇ_TUDO!G23</f>
        <v>0.78700000000000003</v>
      </c>
      <c r="I35" s="673" t="s">
        <v>43</v>
      </c>
      <c r="J35" s="639">
        <f>RELAÇ_TUDO!I35</f>
        <v>60.9046418119527</v>
      </c>
      <c r="K35" s="680">
        <f>RELAÇ_TUDO!J35</f>
        <v>778</v>
      </c>
      <c r="L35" s="639">
        <f>RELAÇ_TUDO!K35</f>
        <v>31.767757278001358</v>
      </c>
      <c r="M35" s="639">
        <f>RELAÇ_TUDO!L35</f>
        <v>87.394716326636072</v>
      </c>
      <c r="N35" s="639">
        <f>RELAÇ_TUDO!M35</f>
        <v>0.36349745857941779</v>
      </c>
      <c r="O35" s="639">
        <f>RELAÇ_TUDO!N35</f>
        <v>9561.1214806163662</v>
      </c>
      <c r="P35" s="639">
        <f>RELAÇ_TUDO!O35</f>
        <v>0.80200000000000005</v>
      </c>
      <c r="Q35" s="673" t="s">
        <v>31</v>
      </c>
      <c r="R35" s="639">
        <f>RELAÇ_TUDO!Q23</f>
        <v>75.588369172687365</v>
      </c>
      <c r="S35" s="680">
        <f>RELAÇ_TUDO!R23</f>
        <v>1154</v>
      </c>
      <c r="T35" s="639" t="e">
        <f>RELAÇ_TUDO!S23</f>
        <v>#DIV/0!</v>
      </c>
      <c r="U35" s="639">
        <f>RELAÇ_TUDO!T23</f>
        <v>90.652003142183815</v>
      </c>
      <c r="V35" s="639" t="e">
        <f>RELAÇ_TUDO!U23</f>
        <v>#DIV/0!</v>
      </c>
      <c r="W35" s="639">
        <f>RELAÇ_TUDO!V23</f>
        <v>15234.758093902639</v>
      </c>
      <c r="X35" s="639">
        <f>RELAÇ_TUDO!W23</f>
        <v>0.80800000000000005</v>
      </c>
      <c r="Y35" s="673" t="s">
        <v>16</v>
      </c>
      <c r="Z35" s="639">
        <f>RELAÇ_TUDO!Y8</f>
        <v>64.273818260982523</v>
      </c>
      <c r="AA35" s="680">
        <f>RELAÇ_TUDO!Z8</f>
        <v>1512</v>
      </c>
      <c r="AB35" s="639" t="e">
        <f>RELAÇ_TUDO!AA8</f>
        <v>#DIV/0!</v>
      </c>
      <c r="AC35" s="639">
        <f>RELAÇ_TUDO!AB8</f>
        <v>130.82074443233142</v>
      </c>
      <c r="AD35" s="639" t="e">
        <f>RELAÇ_TUDO!AC8</f>
        <v>#DIV/0!</v>
      </c>
      <c r="AE35" s="639">
        <f>RELAÇ_TUDO!AD8</f>
        <v>7006.8123235518033</v>
      </c>
      <c r="AF35" s="639">
        <f>RELAÇ_TUDO!AE8</f>
        <v>0.78200000000000003</v>
      </c>
      <c r="AG35" s="673" t="s">
        <v>26</v>
      </c>
      <c r="AH35" s="639" t="e">
        <f>RELAÇ_TUDO!AG18</f>
        <v>#DIV/0!</v>
      </c>
      <c r="AI35" s="680">
        <f>RELAÇ_TUDO!AH18</f>
        <v>1854</v>
      </c>
      <c r="AJ35" s="639" t="e">
        <f>RELAÇ_TUDO!AI18</f>
        <v>#DIV/0!</v>
      </c>
      <c r="AK35" s="639">
        <f>RELAÇ_TUDO!AJ18</f>
        <v>77.355138525779623</v>
      </c>
      <c r="AL35" s="639" t="e">
        <f>RELAÇ_TUDO!AK18</f>
        <v>#DIV/0!</v>
      </c>
      <c r="AM35" s="639">
        <f>RELAÇ_TUDO!AL18</f>
        <v>8247.4877189030431</v>
      </c>
      <c r="AN35" s="671">
        <f>RELAÇ_TUDO!AM18</f>
        <v>0.75111050477489771</v>
      </c>
    </row>
    <row r="36" spans="1:40">
      <c r="A36" s="668"/>
      <c r="B36" s="678" t="s">
        <v>523</v>
      </c>
      <c r="C36" s="678" t="s">
        <v>531</v>
      </c>
      <c r="D36" s="678" t="s">
        <v>524</v>
      </c>
      <c r="E36" s="678" t="s">
        <v>530</v>
      </c>
      <c r="F36" s="678" t="s">
        <v>516</v>
      </c>
      <c r="G36" s="678" t="s">
        <v>514</v>
      </c>
      <c r="H36" s="685" t="s">
        <v>514</v>
      </c>
      <c r="I36" s="673"/>
      <c r="J36" s="678" t="s">
        <v>523</v>
      </c>
      <c r="K36" s="678" t="s">
        <v>530</v>
      </c>
      <c r="L36" s="678" t="s">
        <v>511</v>
      </c>
      <c r="M36" s="678" t="s">
        <v>521</v>
      </c>
      <c r="N36" s="678" t="s">
        <v>532</v>
      </c>
      <c r="O36" s="678" t="s">
        <v>514</v>
      </c>
      <c r="P36" s="685" t="s">
        <v>514</v>
      </c>
      <c r="Q36" s="673"/>
      <c r="R36" s="678" t="s">
        <v>523</v>
      </c>
      <c r="S36" s="678" t="s">
        <v>531</v>
      </c>
      <c r="T36" s="678" t="s">
        <v>528</v>
      </c>
      <c r="U36" s="678" t="s">
        <v>521</v>
      </c>
      <c r="V36" s="678" t="s">
        <v>516</v>
      </c>
      <c r="W36" s="678" t="s">
        <v>514</v>
      </c>
      <c r="X36" s="685" t="s">
        <v>514</v>
      </c>
      <c r="Y36" s="673"/>
      <c r="Z36" s="678" t="s">
        <v>523</v>
      </c>
      <c r="AA36" s="678" t="s">
        <v>523</v>
      </c>
      <c r="AB36" s="678" t="s">
        <v>525</v>
      </c>
      <c r="AC36" s="678" t="s">
        <v>529</v>
      </c>
      <c r="AD36" s="678" t="s">
        <v>527</v>
      </c>
      <c r="AE36" s="678" t="s">
        <v>514</v>
      </c>
      <c r="AF36" s="685" t="s">
        <v>514</v>
      </c>
      <c r="AG36" s="673"/>
      <c r="AH36" s="678" t="s">
        <v>523</v>
      </c>
      <c r="AI36" s="678" t="s">
        <v>535</v>
      </c>
      <c r="AJ36" s="678" t="s">
        <v>534</v>
      </c>
      <c r="AK36" s="678" t="s">
        <v>530</v>
      </c>
      <c r="AL36" s="678" t="s">
        <v>535</v>
      </c>
      <c r="AM36" s="678" t="s">
        <v>514</v>
      </c>
      <c r="AN36" s="678" t="s">
        <v>514</v>
      </c>
    </row>
    <row r="37" spans="1:40" s="665" customFormat="1">
      <c r="A37" s="669" t="s">
        <v>14</v>
      </c>
      <c r="B37" s="663">
        <f>RELAÇ_TUDO!A6</f>
        <v>52.806405052168515</v>
      </c>
      <c r="C37" s="743">
        <f>RELAÇ_TUDO!B6</f>
        <v>107</v>
      </c>
      <c r="D37" s="663">
        <f>RELAÇ_TUDO!C6</f>
        <v>17.07609394724285</v>
      </c>
      <c r="E37" s="663">
        <f>RELAÇ_TUDO!D6</f>
        <v>116.40683645383436</v>
      </c>
      <c r="F37" s="663">
        <f>RELAÇ_TUDO!E6</f>
        <v>0.14669322238659957</v>
      </c>
      <c r="G37" s="663">
        <f>RELAÇ_TUDO!F6</f>
        <v>7026.1710838753215</v>
      </c>
      <c r="H37" s="663">
        <f>RELAÇ_TUDO!G6</f>
        <v>0.73199999999999998</v>
      </c>
      <c r="I37" s="674" t="s">
        <v>19</v>
      </c>
      <c r="J37" s="664">
        <f>RELAÇ_TUDO!I11</f>
        <v>75.006725529793059</v>
      </c>
      <c r="K37" s="681">
        <f>RELAÇ_TUDO!J11</f>
        <v>523</v>
      </c>
      <c r="L37" s="664">
        <f>RELAÇ_TUDO!K11</f>
        <v>37.804177253161491</v>
      </c>
      <c r="M37" s="664">
        <f>RELAÇ_TUDO!L11</f>
        <v>145.94914383943919</v>
      </c>
      <c r="N37" s="664">
        <f>RELAÇ_TUDO!M11</f>
        <v>0.25902294634047612</v>
      </c>
      <c r="O37" s="664">
        <f>RELAÇ_TUDO!N11</f>
        <v>6939.3669653715579</v>
      </c>
      <c r="P37" s="664">
        <f>RELAÇ_TUDO!O11</f>
        <v>0.75600000000000001</v>
      </c>
      <c r="Q37" s="674" t="s">
        <v>19</v>
      </c>
      <c r="R37" s="664">
        <f>RELAÇ_TUDO!Q11</f>
        <v>71.257133699634267</v>
      </c>
      <c r="S37" s="681">
        <f>RELAÇ_TUDO!R11</f>
        <v>528</v>
      </c>
      <c r="T37" s="664" t="e">
        <f>RELAÇ_TUDO!S11</f>
        <v>#DIV/0!</v>
      </c>
      <c r="U37" s="664">
        <f>RELAÇ_TUDO!T11</f>
        <v>132.07990834454844</v>
      </c>
      <c r="V37" s="664" t="e">
        <f>RELAÇ_TUDO!U11</f>
        <v>#DIV/0!</v>
      </c>
      <c r="W37" s="664">
        <f>RELAÇ_TUDO!V11</f>
        <v>7208.3418004449686</v>
      </c>
      <c r="X37" s="664">
        <f>RELAÇ_TUDO!W11</f>
        <v>0.76900000000000002</v>
      </c>
      <c r="Y37" s="674" t="s">
        <v>19</v>
      </c>
      <c r="Z37" s="664">
        <f>RELAÇ_TUDO!Y11</f>
        <v>64.881143222824164</v>
      </c>
      <c r="AA37" s="681">
        <f>RELAÇ_TUDO!Z11</f>
        <v>544</v>
      </c>
      <c r="AB37" s="664" t="e">
        <f>RELAÇ_TUDO!AA11</f>
        <v>#DIV/0!</v>
      </c>
      <c r="AC37" s="664">
        <f>RELAÇ_TUDO!AB11</f>
        <v>123.37307428011584</v>
      </c>
      <c r="AD37" s="664" t="e">
        <f>RELAÇ_TUDO!AC11</f>
        <v>#DIV/0!</v>
      </c>
      <c r="AE37" s="664">
        <f>RELAÇ_TUDO!AD11</f>
        <v>8920.7321462893015</v>
      </c>
      <c r="AF37" s="664">
        <f>RELAÇ_TUDO!AE11</f>
        <v>0.78400000000000003</v>
      </c>
      <c r="AG37" s="674" t="s">
        <v>19</v>
      </c>
      <c r="AH37" s="664" t="e">
        <f>RELAÇ_TUDO!AG11</f>
        <v>#DIV/0!</v>
      </c>
      <c r="AI37" s="681">
        <f>RELAÇ_TUDO!AH11</f>
        <v>496</v>
      </c>
      <c r="AJ37" s="664" t="e">
        <f>RELAÇ_TUDO!AI11</f>
        <v>#DIV/0!</v>
      </c>
      <c r="AK37" s="664">
        <f>RELAÇ_TUDO!AJ11</f>
        <v>94.079622467579512</v>
      </c>
      <c r="AL37" s="664" t="e">
        <f>RELAÇ_TUDO!AK11</f>
        <v>#DIV/0!</v>
      </c>
      <c r="AM37" s="664">
        <f>RELAÇ_TUDO!AL11</f>
        <v>11039.912399954024</v>
      </c>
      <c r="AN37" s="672">
        <f>RELAÇ_TUDO!AM11</f>
        <v>0.79929258777633294</v>
      </c>
    </row>
    <row r="38" spans="1:40" s="665" customFormat="1">
      <c r="A38" s="669"/>
      <c r="B38" s="679" t="s">
        <v>535</v>
      </c>
      <c r="C38" s="679" t="s">
        <v>513</v>
      </c>
      <c r="D38" s="679" t="s">
        <v>523</v>
      </c>
      <c r="E38" s="679" t="s">
        <v>537</v>
      </c>
      <c r="F38" s="679" t="s">
        <v>528</v>
      </c>
      <c r="G38" s="679" t="s">
        <v>514</v>
      </c>
      <c r="H38" s="686" t="s">
        <v>514</v>
      </c>
      <c r="I38" s="674"/>
      <c r="J38" s="679" t="s">
        <v>535</v>
      </c>
      <c r="K38" s="744" t="s">
        <v>520</v>
      </c>
      <c r="L38" s="679" t="s">
        <v>518</v>
      </c>
      <c r="M38" s="679" t="s">
        <v>528</v>
      </c>
      <c r="N38" s="679" t="s">
        <v>519</v>
      </c>
      <c r="O38" s="679" t="s">
        <v>514</v>
      </c>
      <c r="P38" s="686" t="s">
        <v>514</v>
      </c>
      <c r="Q38" s="674"/>
      <c r="R38" s="679" t="s">
        <v>535</v>
      </c>
      <c r="S38" s="679" t="s">
        <v>525</v>
      </c>
      <c r="T38" s="679" t="s">
        <v>524</v>
      </c>
      <c r="U38" s="679" t="s">
        <v>533</v>
      </c>
      <c r="V38" s="679" t="s">
        <v>530</v>
      </c>
      <c r="W38" s="679" t="s">
        <v>514</v>
      </c>
      <c r="X38" s="686" t="s">
        <v>514</v>
      </c>
      <c r="Y38" s="674"/>
      <c r="Z38" s="679" t="s">
        <v>535</v>
      </c>
      <c r="AA38" s="679" t="s">
        <v>532</v>
      </c>
      <c r="AB38" s="679" t="s">
        <v>527</v>
      </c>
      <c r="AC38" s="679" t="s">
        <v>528</v>
      </c>
      <c r="AD38" s="679" t="s">
        <v>530</v>
      </c>
      <c r="AE38" s="679" t="s">
        <v>514</v>
      </c>
      <c r="AF38" s="686" t="s">
        <v>514</v>
      </c>
      <c r="AG38" s="674"/>
      <c r="AH38" s="679" t="s">
        <v>535</v>
      </c>
      <c r="AI38" s="679" t="s">
        <v>534</v>
      </c>
      <c r="AJ38" s="679" t="s">
        <v>511</v>
      </c>
      <c r="AK38" s="679" t="s">
        <v>524</v>
      </c>
      <c r="AL38" s="679" t="s">
        <v>530</v>
      </c>
      <c r="AM38" s="679" t="s">
        <v>514</v>
      </c>
      <c r="AN38" s="679" t="s">
        <v>514</v>
      </c>
    </row>
    <row r="39" spans="1:40">
      <c r="A39" s="668" t="s">
        <v>16</v>
      </c>
      <c r="B39" s="638">
        <f>RELAÇ_TUDO!A8</f>
        <v>64.895170641801073</v>
      </c>
      <c r="C39" s="742">
        <f>RELAÇ_TUDO!B8</f>
        <v>1010</v>
      </c>
      <c r="D39" s="638">
        <f>RELAÇ_TUDO!C8</f>
        <v>13.59163541151233</v>
      </c>
      <c r="E39" s="638">
        <f>RELAÇ_TUDO!D8</f>
        <v>130.92670178786244</v>
      </c>
      <c r="F39" s="638">
        <f>RELAÇ_TUDO!E8</f>
        <v>0.10381102728406424</v>
      </c>
      <c r="G39" s="638">
        <f>RELAÇ_TUDO!F8</f>
        <v>5191.519151869943</v>
      </c>
      <c r="H39" s="638">
        <f>RELAÇ_TUDO!G8</f>
        <v>0.72</v>
      </c>
      <c r="I39" s="673" t="s">
        <v>29</v>
      </c>
      <c r="J39" s="639">
        <f>RELAÇ_TUDO!I21</f>
        <v>101.86185844929328</v>
      </c>
      <c r="K39" s="680">
        <f>RELAÇ_TUDO!J21</f>
        <v>627</v>
      </c>
      <c r="L39" s="639">
        <f>RELAÇ_TUDO!K21</f>
        <v>30.318899699567268</v>
      </c>
      <c r="M39" s="639">
        <f>RELAÇ_TUDO!L21</f>
        <v>160.96238563198915</v>
      </c>
      <c r="N39" s="639">
        <f>RELAÇ_TUDO!M21</f>
        <v>0.18836015371246947</v>
      </c>
      <c r="O39" s="639">
        <f>RELAÇ_TUDO!N21</f>
        <v>6823.6091110891757</v>
      </c>
      <c r="P39" s="639">
        <f>RELAÇ_TUDO!O21</f>
        <v>0.74199999999999999</v>
      </c>
      <c r="Q39" s="673" t="s">
        <v>29</v>
      </c>
      <c r="R39" s="639">
        <f>RELAÇ_TUDO!Q21</f>
        <v>88.055675302305247</v>
      </c>
      <c r="S39" s="680">
        <f>RELAÇ_TUDO!R21</f>
        <v>590</v>
      </c>
      <c r="T39" s="639" t="e">
        <f>RELAÇ_TUDO!S21</f>
        <v>#DIV/0!</v>
      </c>
      <c r="U39" s="639">
        <f>RELAÇ_TUDO!T21</f>
        <v>133.48204892682696</v>
      </c>
      <c r="V39" s="639" t="e">
        <f>RELAÇ_TUDO!U21</f>
        <v>#DIV/0!</v>
      </c>
      <c r="W39" s="639">
        <f>RELAÇ_TUDO!V21</f>
        <v>7559.3452813064605</v>
      </c>
      <c r="X39" s="639">
        <f>RELAÇ_TUDO!W21</f>
        <v>0.75600000000000001</v>
      </c>
      <c r="Y39" s="673" t="s">
        <v>31</v>
      </c>
      <c r="Z39" s="639">
        <f>RELAÇ_TUDO!Y23</f>
        <v>69.360389861280126</v>
      </c>
      <c r="AA39" s="680">
        <f>RELAÇ_TUDO!Z23</f>
        <v>1182</v>
      </c>
      <c r="AB39" s="639" t="e">
        <f>RELAÇ_TUDO!AA23</f>
        <v>#DIV/0!</v>
      </c>
      <c r="AC39" s="639">
        <f>RELAÇ_TUDO!AB23</f>
        <v>85.749543140653188</v>
      </c>
      <c r="AD39" s="639" t="e">
        <f>RELAÇ_TUDO!AC23</f>
        <v>#DIV/0!</v>
      </c>
      <c r="AE39" s="639">
        <f>RELAÇ_TUDO!AD23</f>
        <v>18002.916538759306</v>
      </c>
      <c r="AF39" s="639">
        <f>RELAÇ_TUDO!AE23</f>
        <v>0.82099999999999995</v>
      </c>
      <c r="AG39" s="673" t="s">
        <v>16</v>
      </c>
      <c r="AH39" s="639" t="e">
        <f>RELAÇ_TUDO!AG8</f>
        <v>#DIV/0!</v>
      </c>
      <c r="AI39" s="680">
        <f>RELAÇ_TUDO!AH8</f>
        <v>1546</v>
      </c>
      <c r="AJ39" s="639" t="e">
        <f>RELAÇ_TUDO!AI8</f>
        <v>#DIV/0!</v>
      </c>
      <c r="AK39" s="639">
        <f>RELAÇ_TUDO!AJ8</f>
        <v>108.23639781426886</v>
      </c>
      <c r="AL39" s="639" t="e">
        <f>RELAÇ_TUDO!AK8</f>
        <v>#DIV/0!</v>
      </c>
      <c r="AM39" s="639">
        <f>RELAÇ_TUDO!AL8</f>
        <v>7867.7893718142859</v>
      </c>
      <c r="AN39" s="671">
        <f>RELAÇ_TUDO!AM8</f>
        <v>0.80042408376963359</v>
      </c>
    </row>
    <row r="40" spans="1:40">
      <c r="A40" s="668"/>
      <c r="B40" s="678" t="s">
        <v>533</v>
      </c>
      <c r="C40" s="678" t="s">
        <v>536</v>
      </c>
      <c r="D40" s="678" t="s">
        <v>525</v>
      </c>
      <c r="E40" s="678" t="s">
        <v>524</v>
      </c>
      <c r="F40" s="678" t="s">
        <v>527</v>
      </c>
      <c r="G40" s="678" t="s">
        <v>514</v>
      </c>
      <c r="H40" s="685" t="s">
        <v>514</v>
      </c>
      <c r="I40" s="673"/>
      <c r="J40" s="678" t="s">
        <v>533</v>
      </c>
      <c r="K40" s="678" t="s">
        <v>534</v>
      </c>
      <c r="L40" s="678" t="s">
        <v>519</v>
      </c>
      <c r="M40" s="678" t="s">
        <v>535</v>
      </c>
      <c r="N40" s="678" t="s">
        <v>523</v>
      </c>
      <c r="O40" s="678" t="s">
        <v>514</v>
      </c>
      <c r="P40" s="685" t="s">
        <v>514</v>
      </c>
      <c r="Q40" s="673"/>
      <c r="R40" s="678" t="s">
        <v>533</v>
      </c>
      <c r="S40" s="678" t="s">
        <v>520</v>
      </c>
      <c r="T40" s="678" t="s">
        <v>516</v>
      </c>
      <c r="U40" s="678" t="s">
        <v>535</v>
      </c>
      <c r="V40" s="678" t="s">
        <v>523</v>
      </c>
      <c r="W40" s="678" t="s">
        <v>514</v>
      </c>
      <c r="X40" s="685" t="s">
        <v>514</v>
      </c>
      <c r="Y40" s="673"/>
      <c r="Z40" s="678" t="s">
        <v>533</v>
      </c>
      <c r="AA40" s="678" t="s">
        <v>531</v>
      </c>
      <c r="AB40" s="678" t="s">
        <v>528</v>
      </c>
      <c r="AC40" s="678" t="s">
        <v>536</v>
      </c>
      <c r="AD40" s="678" t="s">
        <v>516</v>
      </c>
      <c r="AE40" s="678" t="s">
        <v>514</v>
      </c>
      <c r="AF40" s="685" t="s">
        <v>514</v>
      </c>
      <c r="AG40" s="673"/>
      <c r="AH40" s="678" t="s">
        <v>533</v>
      </c>
      <c r="AI40" s="678" t="s">
        <v>531</v>
      </c>
      <c r="AJ40" s="678" t="s">
        <v>532</v>
      </c>
      <c r="AK40" s="678" t="s">
        <v>529</v>
      </c>
      <c r="AL40" s="678" t="s">
        <v>527</v>
      </c>
      <c r="AM40" s="678" t="s">
        <v>514</v>
      </c>
      <c r="AN40" s="678" t="s">
        <v>514</v>
      </c>
    </row>
    <row r="41" spans="1:40" s="665" customFormat="1">
      <c r="A41" s="669" t="s">
        <v>26</v>
      </c>
      <c r="B41" s="663">
        <f>RELAÇ_TUDO!A18</f>
        <v>91.039666633478745</v>
      </c>
      <c r="C41" s="681">
        <f>RELAÇ_TUDO!B18</f>
        <v>1740</v>
      </c>
      <c r="D41" s="664">
        <f>RELAÇ_TUDO!C18</f>
        <v>19.749570900846031</v>
      </c>
      <c r="E41" s="664">
        <f>RELAÇ_TUDO!D18</f>
        <v>119.82629319427974</v>
      </c>
      <c r="F41" s="664">
        <f>RELAÇ_TUDO!E18</f>
        <v>0.16481834140379495</v>
      </c>
      <c r="G41" s="664">
        <f>RELAÇ_TUDO!F18</f>
        <v>5287.2867923541808</v>
      </c>
      <c r="H41" s="672">
        <f>RELAÇ_TUDO!G18</f>
        <v>0.70499999999999996</v>
      </c>
      <c r="I41" s="674" t="s">
        <v>16</v>
      </c>
      <c r="J41" s="664">
        <f>RELAÇ_TUDO!I8</f>
        <v>74.73655490008268</v>
      </c>
      <c r="K41" s="681">
        <f>RELAÇ_TUDO!J8</f>
        <v>1341</v>
      </c>
      <c r="L41" s="664">
        <f>RELAÇ_TUDO!K8</f>
        <v>17.688840241280531</v>
      </c>
      <c r="M41" s="664">
        <f>RELAÇ_TUDO!L8</f>
        <v>152.15467356525292</v>
      </c>
      <c r="N41" s="664">
        <f>RELAÇ_TUDO!M8</f>
        <v>0.11625564845824148</v>
      </c>
      <c r="O41" s="664">
        <f>RELAÇ_TUDO!N8</f>
        <v>5612.3169799428497</v>
      </c>
      <c r="P41" s="664">
        <f>RELAÇ_TUDO!O8</f>
        <v>0.755</v>
      </c>
      <c r="Q41" s="674" t="s">
        <v>26</v>
      </c>
      <c r="R41" s="664">
        <f>RELAÇ_TUDO!Q18</f>
        <v>77.029086975493371</v>
      </c>
      <c r="S41" s="681">
        <f>RELAÇ_TUDO!R18</f>
        <v>1950</v>
      </c>
      <c r="T41" s="664" t="e">
        <f>RELAÇ_TUDO!S18</f>
        <v>#DIV/0!</v>
      </c>
      <c r="U41" s="664">
        <f>RELAÇ_TUDO!T18</f>
        <v>105.68905196920383</v>
      </c>
      <c r="V41" s="664" t="e">
        <f>RELAÇ_TUDO!U18</f>
        <v>#DIV/0!</v>
      </c>
      <c r="W41" s="664">
        <f>RELAÇ_TUDO!V18</f>
        <v>6526.6298230528255</v>
      </c>
      <c r="X41" s="664">
        <f>RELAÇ_TUDO!W18</f>
        <v>0.73299999999999998</v>
      </c>
      <c r="Y41" s="674" t="s">
        <v>26</v>
      </c>
      <c r="Z41" s="664">
        <f>RELAÇ_TUDO!Y18</f>
        <v>70.990937874127255</v>
      </c>
      <c r="AA41" s="681">
        <f>RELAÇ_TUDO!Z18</f>
        <v>2048</v>
      </c>
      <c r="AB41" s="664" t="e">
        <f>RELAÇ_TUDO!AA18</f>
        <v>#DIV/0!</v>
      </c>
      <c r="AC41" s="664">
        <f>RELAÇ_TUDO!AB18</f>
        <v>99.517718089823489</v>
      </c>
      <c r="AD41" s="664" t="e">
        <f>RELAÇ_TUDO!AC18</f>
        <v>#DIV/0!</v>
      </c>
      <c r="AE41" s="664">
        <f>RELAÇ_TUDO!AD18</f>
        <v>7336.7771747174193</v>
      </c>
      <c r="AF41" s="664">
        <f>RELAÇ_TUDO!AE18</f>
        <v>0.74199999999999999</v>
      </c>
      <c r="AG41" s="674" t="s">
        <v>539</v>
      </c>
      <c r="AH41" s="664" t="e">
        <f>RELAÇ_TUDO!AG23</f>
        <v>#DIV/0!</v>
      </c>
      <c r="AI41" s="681">
        <f>RELAÇ_TUDO!AH23</f>
        <v>1112</v>
      </c>
      <c r="AJ41" s="664" t="e">
        <f>RELAÇ_TUDO!AI23</f>
        <v>#DIV/0!</v>
      </c>
      <c r="AK41" s="664">
        <f>RELAÇ_TUDO!AJ23</f>
        <v>70.154364838026694</v>
      </c>
      <c r="AL41" s="664" t="e">
        <f>RELAÇ_TUDO!AK23</f>
        <v>#DIV/0!</v>
      </c>
      <c r="AM41" s="664">
        <f>RELAÇ_TUDO!AL23</f>
        <v>21274.049899830632</v>
      </c>
      <c r="AN41" s="672">
        <f>RELAÇ_TUDO!AM23</f>
        <v>0.83420915841584142</v>
      </c>
    </row>
    <row r="42" spans="1:40" s="665" customFormat="1">
      <c r="A42" s="669"/>
      <c r="B42" s="679" t="s">
        <v>526</v>
      </c>
      <c r="C42" s="679" t="s">
        <v>533</v>
      </c>
      <c r="D42" s="679" t="s">
        <v>534</v>
      </c>
      <c r="E42" s="679" t="s">
        <v>523</v>
      </c>
      <c r="F42" s="679" t="s">
        <v>523</v>
      </c>
      <c r="G42" s="679" t="s">
        <v>514</v>
      </c>
      <c r="H42" s="686" t="s">
        <v>514</v>
      </c>
      <c r="I42" s="674"/>
      <c r="J42" s="679" t="s">
        <v>526</v>
      </c>
      <c r="K42" s="679" t="s">
        <v>523</v>
      </c>
      <c r="L42" s="679" t="s">
        <v>513</v>
      </c>
      <c r="M42" s="679" t="s">
        <v>529</v>
      </c>
      <c r="N42" s="679" t="s">
        <v>527</v>
      </c>
      <c r="O42" s="679" t="s">
        <v>514</v>
      </c>
      <c r="P42" s="686" t="s">
        <v>514</v>
      </c>
      <c r="Q42" s="674"/>
      <c r="R42" s="679" t="s">
        <v>526</v>
      </c>
      <c r="S42" s="679" t="s">
        <v>533</v>
      </c>
      <c r="T42" s="679" t="s">
        <v>534</v>
      </c>
      <c r="U42" s="679" t="s">
        <v>523</v>
      </c>
      <c r="V42" s="679" t="s">
        <v>531</v>
      </c>
      <c r="W42" s="679" t="s">
        <v>514</v>
      </c>
      <c r="X42" s="686" t="s">
        <v>514</v>
      </c>
      <c r="Y42" s="674"/>
      <c r="Z42" s="679" t="s">
        <v>526</v>
      </c>
      <c r="AA42" s="679" t="s">
        <v>533</v>
      </c>
      <c r="AB42" s="679" t="s">
        <v>512</v>
      </c>
      <c r="AC42" s="679" t="s">
        <v>531</v>
      </c>
      <c r="AD42" s="679" t="s">
        <v>531</v>
      </c>
      <c r="AE42" s="679" t="s">
        <v>514</v>
      </c>
      <c r="AF42" s="686" t="s">
        <v>514</v>
      </c>
      <c r="AG42" s="674"/>
      <c r="AH42" s="679" t="s">
        <v>526</v>
      </c>
      <c r="AI42" s="679" t="s">
        <v>536</v>
      </c>
      <c r="AJ42" s="679" t="s">
        <v>537</v>
      </c>
      <c r="AK42" s="679" t="s">
        <v>523</v>
      </c>
      <c r="AL42" s="679" t="s">
        <v>522</v>
      </c>
      <c r="AM42" s="679" t="s">
        <v>514</v>
      </c>
      <c r="AN42" s="679" t="s">
        <v>514</v>
      </c>
    </row>
    <row r="43" spans="1:40">
      <c r="A43" s="668" t="s">
        <v>25</v>
      </c>
      <c r="B43" s="638">
        <f>RELAÇ_TUDO!A17</f>
        <v>88.353209147742191</v>
      </c>
      <c r="C43" s="680">
        <f>RELAÇ_TUDO!B17</f>
        <v>774</v>
      </c>
      <c r="D43" s="639">
        <f>RELAÇ_TUDO!C17</f>
        <v>20.530754486659518</v>
      </c>
      <c r="E43" s="639">
        <f>RELAÇ_TUDO!D17</f>
        <v>135.5134541749174</v>
      </c>
      <c r="F43" s="639">
        <f>RELAÇ_TUDO!E17</f>
        <v>0.15150344009502503</v>
      </c>
      <c r="G43" s="639">
        <f>RELAÇ_TUDO!F17</f>
        <v>4209.9006119720725</v>
      </c>
      <c r="H43" s="671">
        <f>RELAÇ_TUDO!G17</f>
        <v>0.67800000000000005</v>
      </c>
      <c r="I43" s="673" t="s">
        <v>26</v>
      </c>
      <c r="J43" s="639">
        <f>RELAÇ_TUDO!I18</f>
        <v>85.228533013382815</v>
      </c>
      <c r="K43" s="680">
        <f>RELAÇ_TUDO!J18</f>
        <v>1939</v>
      </c>
      <c r="L43" s="639">
        <f>RELAÇ_TUDO!K18</f>
        <v>22.042988260716143</v>
      </c>
      <c r="M43" s="639">
        <f>RELAÇ_TUDO!L18</f>
        <v>118.79751670915562</v>
      </c>
      <c r="N43" s="639">
        <f>RELAÇ_TUDO!M18</f>
        <v>0.18555091782501301</v>
      </c>
      <c r="O43" s="639">
        <f>RELAÇ_TUDO!N18</f>
        <v>5933.4631639152994</v>
      </c>
      <c r="P43" s="671">
        <f>RELAÇ_TUDO!O18</f>
        <v>0.71799999999999997</v>
      </c>
      <c r="Q43" s="673" t="s">
        <v>16</v>
      </c>
      <c r="R43" s="639">
        <f>RELAÇ_TUDO!Q8</f>
        <v>66.770543810762803</v>
      </c>
      <c r="S43" s="680">
        <f>RELAÇ_TUDO!R8</f>
        <v>1349</v>
      </c>
      <c r="T43" s="639" t="e">
        <f>RELAÇ_TUDO!S8</f>
        <v>#DIV/0!</v>
      </c>
      <c r="U43" s="639">
        <f>RELAÇ_TUDO!T8</f>
        <v>133.37116632046846</v>
      </c>
      <c r="V43" s="639" t="e">
        <f>RELAÇ_TUDO!U8</f>
        <v>#DIV/0!</v>
      </c>
      <c r="W43" s="639">
        <f>RELAÇ_TUDO!V8</f>
        <v>6240.0525252185516</v>
      </c>
      <c r="X43" s="639">
        <f>RELAÇ_TUDO!W8</f>
        <v>0.76400000000000001</v>
      </c>
      <c r="Y43" s="673" t="s">
        <v>25</v>
      </c>
      <c r="Z43" s="639">
        <f>RELAÇ_TUDO!Y17</f>
        <v>77.18054836496546</v>
      </c>
      <c r="AA43" s="680">
        <f>RELAÇ_TUDO!Z17</f>
        <v>970</v>
      </c>
      <c r="AB43" s="639" t="e">
        <f>RELAÇ_TUDO!AA17</f>
        <v>#DIV/0!</v>
      </c>
      <c r="AC43" s="639">
        <f>RELAÇ_TUDO!AB17</f>
        <v>116.86352749545799</v>
      </c>
      <c r="AD43" s="639" t="e">
        <f>RELAÇ_TUDO!AC17</f>
        <v>#DIV/0!</v>
      </c>
      <c r="AE43" s="639">
        <f>RELAÇ_TUDO!AD17</f>
        <v>6097.0419103009581</v>
      </c>
      <c r="AF43" s="639">
        <f>RELAÇ_TUDO!AE17</f>
        <v>0.752</v>
      </c>
      <c r="AG43" s="673" t="s">
        <v>18</v>
      </c>
      <c r="AH43" s="639" t="e">
        <f>RELAÇ_TUDO!AG10</f>
        <v>#DIV/0!</v>
      </c>
      <c r="AI43" s="680">
        <f>RELAÇ_TUDO!AH10</f>
        <v>151</v>
      </c>
      <c r="AJ43" s="639" t="e">
        <f>RELAÇ_TUDO!AI10</f>
        <v>#DIV/0!</v>
      </c>
      <c r="AK43" s="639">
        <f>RELAÇ_TUDO!AJ10</f>
        <v>91.32751498436545</v>
      </c>
      <c r="AL43" s="639" t="e">
        <f>RELAÇ_TUDO!AK10</f>
        <v>#DIV/0!</v>
      </c>
      <c r="AM43" s="639">
        <f>RELAÇ_TUDO!AL10</f>
        <v>12228.630650500028</v>
      </c>
      <c r="AN43" s="671">
        <f>RELAÇ_TUDO!AM10</f>
        <v>0.78000510204081641</v>
      </c>
    </row>
    <row r="44" spans="1:40">
      <c r="A44" s="668"/>
      <c r="B44" s="678" t="s">
        <v>524</v>
      </c>
      <c r="C44" s="678" t="s">
        <v>521</v>
      </c>
      <c r="D44" s="678" t="s">
        <v>516</v>
      </c>
      <c r="E44" s="678" t="s">
        <v>533</v>
      </c>
      <c r="F44" s="678" t="s">
        <v>526</v>
      </c>
      <c r="G44" s="678" t="s">
        <v>514</v>
      </c>
      <c r="H44" s="685" t="s">
        <v>514</v>
      </c>
      <c r="I44" s="673"/>
      <c r="J44" s="678" t="s">
        <v>524</v>
      </c>
      <c r="K44" s="678" t="s">
        <v>535</v>
      </c>
      <c r="L44" s="678" t="s">
        <v>534</v>
      </c>
      <c r="M44" s="678" t="s">
        <v>531</v>
      </c>
      <c r="N44" s="678" t="s">
        <v>531</v>
      </c>
      <c r="O44" s="678" t="s">
        <v>514</v>
      </c>
      <c r="P44" s="685" t="s">
        <v>514</v>
      </c>
      <c r="Q44" s="673"/>
      <c r="R44" s="678" t="s">
        <v>524</v>
      </c>
      <c r="S44" s="678" t="s">
        <v>523</v>
      </c>
      <c r="T44" s="678" t="s">
        <v>520</v>
      </c>
      <c r="U44" s="678" t="s">
        <v>529</v>
      </c>
      <c r="V44" s="678" t="s">
        <v>527</v>
      </c>
      <c r="W44" s="678" t="s">
        <v>514</v>
      </c>
      <c r="X44" s="685" t="s">
        <v>514</v>
      </c>
      <c r="Y44" s="673"/>
      <c r="Z44" s="678" t="s">
        <v>524</v>
      </c>
      <c r="AA44" s="678" t="s">
        <v>521</v>
      </c>
      <c r="AB44" s="678" t="s">
        <v>521</v>
      </c>
      <c r="AC44" s="678" t="s">
        <v>526</v>
      </c>
      <c r="AD44" s="678" t="s">
        <v>526</v>
      </c>
      <c r="AE44" s="678" t="s">
        <v>514</v>
      </c>
      <c r="AF44" s="685" t="s">
        <v>514</v>
      </c>
      <c r="AG44" s="673"/>
      <c r="AH44" s="678" t="s">
        <v>524</v>
      </c>
      <c r="AI44" s="678" t="s">
        <v>513</v>
      </c>
      <c r="AJ44" s="678" t="s">
        <v>524</v>
      </c>
      <c r="AK44" s="678" t="s">
        <v>533</v>
      </c>
      <c r="AL44" s="678" t="s">
        <v>519</v>
      </c>
      <c r="AM44" s="678" t="s">
        <v>514</v>
      </c>
      <c r="AN44" s="678" t="s">
        <v>514</v>
      </c>
    </row>
    <row r="45" spans="1:40" s="665" customFormat="1">
      <c r="A45" s="669" t="s">
        <v>19</v>
      </c>
      <c r="B45" s="663">
        <f>RELAÇ_TUDO!A11</f>
        <v>74.916719274056945</v>
      </c>
      <c r="C45" s="743">
        <f>RELAÇ_TUDO!B11</f>
        <v>450</v>
      </c>
      <c r="D45" s="663">
        <f>RELAÇ_TUDO!C11</f>
        <v>34.828023091753266</v>
      </c>
      <c r="E45" s="663">
        <f>RELAÇ_TUDO!D11</f>
        <v>139.47174302486317</v>
      </c>
      <c r="F45" s="663">
        <f>RELAÇ_TUDO!E11</f>
        <v>0.2497138297435961</v>
      </c>
      <c r="G45" s="663">
        <f>RELAÇ_TUDO!F11</f>
        <v>6555.9377856698884</v>
      </c>
      <c r="H45" s="663">
        <f>RELAÇ_TUDO!G11</f>
        <v>0.72099999999999997</v>
      </c>
      <c r="I45" s="674" t="s">
        <v>25</v>
      </c>
      <c r="J45" s="664">
        <f>RELAÇ_TUDO!I17</f>
        <v>81.628092778416672</v>
      </c>
      <c r="K45" s="681">
        <f>RELAÇ_TUDO!J17</f>
        <v>829</v>
      </c>
      <c r="L45" s="664">
        <f>RELAÇ_TUDO!K17</f>
        <v>22.009659824644871</v>
      </c>
      <c r="M45" s="664">
        <f>RELAÇ_TUDO!L17</f>
        <v>128.19144905820264</v>
      </c>
      <c r="N45" s="664">
        <f>RELAÇ_TUDO!M17</f>
        <v>0.17169366589070889</v>
      </c>
      <c r="O45" s="664">
        <f>RELAÇ_TUDO!N17</f>
        <v>4691.0937824887505</v>
      </c>
      <c r="P45" s="672">
        <f>RELAÇ_TUDO!O17</f>
        <v>0.71799999999999997</v>
      </c>
      <c r="Q45" s="674" t="s">
        <v>540</v>
      </c>
      <c r="R45" s="664">
        <f>RELAÇ_TUDO!Q17</f>
        <v>69.93364373091697</v>
      </c>
      <c r="S45" s="681">
        <f>RELAÇ_TUDO!R17</f>
        <v>782</v>
      </c>
      <c r="T45" s="664" t="e">
        <f>RELAÇ_TUDO!S17</f>
        <v>#DIV/0!</v>
      </c>
      <c r="U45" s="664">
        <f>RELAÇ_TUDO!T17</f>
        <v>105.91068289366405</v>
      </c>
      <c r="V45" s="664" t="e">
        <f>RELAÇ_TUDO!U17</f>
        <v>#DIV/0!</v>
      </c>
      <c r="W45" s="664">
        <f>RELAÇ_TUDO!V17</f>
        <v>5506.5224679450048</v>
      </c>
      <c r="X45" s="664">
        <f>RELAÇ_TUDO!W17</f>
        <v>0.72899999999999998</v>
      </c>
      <c r="Y45" s="674" t="s">
        <v>29</v>
      </c>
      <c r="Z45" s="664">
        <f>RELAÇ_TUDO!Y21</f>
        <v>87.607658078562764</v>
      </c>
      <c r="AA45" s="681">
        <f>RELAÇ_TUDO!Z21</f>
        <v>650</v>
      </c>
      <c r="AB45" s="664" t="e">
        <f>RELAÇ_TUDO!AA21</f>
        <v>#DIV/0!</v>
      </c>
      <c r="AC45" s="664">
        <f>RELAÇ_TUDO!AB21</f>
        <v>132.26382767447635</v>
      </c>
      <c r="AD45" s="664" t="e">
        <f>RELAÇ_TUDO!AC21</f>
        <v>#DIV/0!</v>
      </c>
      <c r="AE45" s="664">
        <f>RELAÇ_TUDO!AD21</f>
        <v>8711.6965033609304</v>
      </c>
      <c r="AF45" s="664">
        <f>RELAÇ_TUDO!AE21</f>
        <v>0.77</v>
      </c>
      <c r="AG45" s="674" t="s">
        <v>29</v>
      </c>
      <c r="AH45" s="664" t="e">
        <f>RELAÇ_TUDO!AG21</f>
        <v>#DIV/0!</v>
      </c>
      <c r="AI45" s="681">
        <f>RELAÇ_TUDO!AH21</f>
        <v>664</v>
      </c>
      <c r="AJ45" s="664" t="e">
        <f>RELAÇ_TUDO!AI21</f>
        <v>#DIV/0!</v>
      </c>
      <c r="AK45" s="664">
        <f>RELAÇ_TUDO!AJ21</f>
        <v>115.37592743827214</v>
      </c>
      <c r="AL45" s="664" t="e">
        <f>RELAÇ_TUDO!AK21</f>
        <v>#DIV/0!</v>
      </c>
      <c r="AM45" s="664">
        <f>RELAÇ_TUDO!AL21</f>
        <v>10039.712851104821</v>
      </c>
      <c r="AN45" s="672">
        <f>RELAÇ_TUDO!AM21</f>
        <v>0.78425925925925932</v>
      </c>
    </row>
    <row r="46" spans="1:40" s="665" customFormat="1">
      <c r="A46" s="669"/>
      <c r="B46" s="679" t="s">
        <v>528</v>
      </c>
      <c r="C46" s="679" t="s">
        <v>512</v>
      </c>
      <c r="D46" s="679" t="s">
        <v>511</v>
      </c>
      <c r="E46" s="679" t="s">
        <v>511</v>
      </c>
      <c r="F46" s="679" t="s">
        <v>519</v>
      </c>
      <c r="G46" s="679" t="s">
        <v>514</v>
      </c>
      <c r="H46" s="686" t="s">
        <v>514</v>
      </c>
      <c r="I46" s="674"/>
      <c r="J46" s="679" t="s">
        <v>528</v>
      </c>
      <c r="K46" s="679" t="s">
        <v>521</v>
      </c>
      <c r="L46" s="679" t="s">
        <v>516</v>
      </c>
      <c r="M46" s="679" t="s">
        <v>526</v>
      </c>
      <c r="N46" s="679" t="s">
        <v>526</v>
      </c>
      <c r="O46" s="679" t="s">
        <v>514</v>
      </c>
      <c r="P46" s="686" t="s">
        <v>514</v>
      </c>
      <c r="Q46" s="674"/>
      <c r="R46" s="679" t="s">
        <v>528</v>
      </c>
      <c r="S46" s="679" t="s">
        <v>521</v>
      </c>
      <c r="T46" s="679" t="s">
        <v>519</v>
      </c>
      <c r="U46" s="679" t="s">
        <v>528</v>
      </c>
      <c r="V46" s="679" t="s">
        <v>526</v>
      </c>
      <c r="W46" s="679" t="s">
        <v>514</v>
      </c>
      <c r="X46" s="686" t="s">
        <v>514</v>
      </c>
      <c r="Y46" s="674"/>
      <c r="Z46" s="679" t="s">
        <v>528</v>
      </c>
      <c r="AA46" s="679" t="s">
        <v>534</v>
      </c>
      <c r="AB46" s="679" t="s">
        <v>531</v>
      </c>
      <c r="AC46" s="679" t="s">
        <v>524</v>
      </c>
      <c r="AD46" s="679" t="s">
        <v>523</v>
      </c>
      <c r="AE46" s="679" t="s">
        <v>514</v>
      </c>
      <c r="AF46" s="686" t="s">
        <v>514</v>
      </c>
      <c r="AG46" s="674"/>
      <c r="AH46" s="679" t="s">
        <v>528</v>
      </c>
      <c r="AI46" s="679" t="s">
        <v>512</v>
      </c>
      <c r="AJ46" s="679" t="s">
        <v>531</v>
      </c>
      <c r="AK46" s="679" t="s">
        <v>518</v>
      </c>
      <c r="AL46" s="679" t="s">
        <v>531</v>
      </c>
      <c r="AM46" s="679" t="s">
        <v>514</v>
      </c>
      <c r="AN46" s="679" t="s">
        <v>514</v>
      </c>
    </row>
    <row r="47" spans="1:40">
      <c r="A47" s="668" t="s">
        <v>29</v>
      </c>
      <c r="B47" s="638">
        <f>RELAÇ_TUDO!A21</f>
        <v>98.789356793334775</v>
      </c>
      <c r="C47" s="742">
        <f>RELAÇ_TUDO!B21</f>
        <v>534</v>
      </c>
      <c r="D47" s="638">
        <f>RELAÇ_TUDO!C21</f>
        <v>26.438850256590527</v>
      </c>
      <c r="E47" s="638">
        <f>RELAÇ_TUDO!D21</f>
        <v>155.60211315828582</v>
      </c>
      <c r="F47" s="638">
        <f>RELAÇ_TUDO!E21</f>
        <v>0.16991318253946641</v>
      </c>
      <c r="G47" s="638">
        <f>RELAÇ_TUDO!F21</f>
        <v>6289.3902761838071</v>
      </c>
      <c r="H47" s="638">
        <f>RELAÇ_TUDO!G21</f>
        <v>0.69299999999999995</v>
      </c>
      <c r="I47" s="673" t="s">
        <v>18</v>
      </c>
      <c r="J47" s="639">
        <f>RELAÇ_TUDO!I10</f>
        <v>70.133806089867534</v>
      </c>
      <c r="K47" s="680">
        <f>RELAÇ_TUDO!J10</f>
        <v>145</v>
      </c>
      <c r="L47" s="639">
        <f>RELAÇ_TUDO!K10</f>
        <v>32.187959927099818</v>
      </c>
      <c r="M47" s="639">
        <f>RELAÇ_TUDO!L10</f>
        <v>125.91505509869135</v>
      </c>
      <c r="N47" s="639">
        <f>RELAÇ_TUDO!M10</f>
        <v>0.25563233802241614</v>
      </c>
      <c r="O47" s="639">
        <f>RELAÇ_TUDO!N10</f>
        <v>8124.5822097863684</v>
      </c>
      <c r="P47" s="671">
        <f>RELAÇ_TUDO!O10</f>
        <v>0.75</v>
      </c>
      <c r="Q47" s="673" t="s">
        <v>18</v>
      </c>
      <c r="R47" s="639">
        <f>RELAÇ_TUDO!Q10</f>
        <v>68.261468448644123</v>
      </c>
      <c r="S47" s="680">
        <f>RELAÇ_TUDO!R10</f>
        <v>134</v>
      </c>
      <c r="T47" s="639" t="e">
        <f>RELAÇ_TUDO!S10</f>
        <v>#DIV/0!</v>
      </c>
      <c r="U47" s="639">
        <f>RELAÇ_TUDO!T10</f>
        <v>103.21348245370798</v>
      </c>
      <c r="V47" s="639" t="e">
        <f>RELAÇ_TUDO!U10</f>
        <v>#DIV/0!</v>
      </c>
      <c r="W47" s="639">
        <f>RELAÇ_TUDO!V10</f>
        <v>9074.3462149707557</v>
      </c>
      <c r="X47" s="639">
        <f>RELAÇ_TUDO!W10</f>
        <v>0.78400000000000003</v>
      </c>
      <c r="Y47" s="673" t="s">
        <v>23</v>
      </c>
      <c r="Z47" s="639">
        <f>RELAÇ_TUDO!Y15</f>
        <v>92.362812529116027</v>
      </c>
      <c r="AA47" s="680">
        <f>RELAÇ_TUDO!Z15</f>
        <v>2423</v>
      </c>
      <c r="AB47" s="639" t="e">
        <f>RELAÇ_TUDO!AA15</f>
        <v>#DIV/0!</v>
      </c>
      <c r="AC47" s="639">
        <f>RELAÇ_TUDO!AB15</f>
        <v>120.42115098367132</v>
      </c>
      <c r="AD47" s="639" t="e">
        <f>RELAÇ_TUDO!AC15</f>
        <v>#DIV/0!</v>
      </c>
      <c r="AE47" s="639">
        <f>RELAÇ_TUDO!AD15</f>
        <v>6149.0343365611461</v>
      </c>
      <c r="AF47" s="639">
        <f>RELAÇ_TUDO!AE15</f>
        <v>0.749</v>
      </c>
      <c r="AG47" s="673" t="s">
        <v>25</v>
      </c>
      <c r="AH47" s="639" t="e">
        <f>RELAÇ_TUDO!AG17</f>
        <v>#DIV/0!</v>
      </c>
      <c r="AI47" s="680">
        <f>RELAÇ_TUDO!AH17</f>
        <v>1004</v>
      </c>
      <c r="AJ47" s="639" t="e">
        <f>RELAÇ_TUDO!AI17</f>
        <v>#DIV/0!</v>
      </c>
      <c r="AK47" s="639">
        <f>RELAÇ_TUDO!AJ17</f>
        <v>104.68310942200118</v>
      </c>
      <c r="AL47" s="639" t="e">
        <f>RELAÇ_TUDO!AK17</f>
        <v>#DIV/0!</v>
      </c>
      <c r="AM47" s="639">
        <f>RELAÇ_TUDO!AL17</f>
        <v>6750.8886547482662</v>
      </c>
      <c r="AN47" s="671">
        <f>RELAÇ_TUDO!AM17</f>
        <v>0.77572565157750351</v>
      </c>
    </row>
    <row r="48" spans="1:40">
      <c r="A48" s="668"/>
      <c r="B48" s="678" t="s">
        <v>518</v>
      </c>
      <c r="C48" s="678" t="s">
        <v>534</v>
      </c>
      <c r="D48" s="678" t="s">
        <v>533</v>
      </c>
      <c r="E48" s="678" t="s">
        <v>528</v>
      </c>
      <c r="F48" s="678" t="s">
        <v>531</v>
      </c>
      <c r="G48" s="678" t="s">
        <v>514</v>
      </c>
      <c r="H48" s="685" t="s">
        <v>514</v>
      </c>
      <c r="I48" s="673"/>
      <c r="J48" s="678" t="s">
        <v>518</v>
      </c>
      <c r="K48" s="678" t="s">
        <v>517</v>
      </c>
      <c r="L48" s="678" t="s">
        <v>528</v>
      </c>
      <c r="M48" s="678" t="s">
        <v>533</v>
      </c>
      <c r="N48" s="678" t="s">
        <v>530</v>
      </c>
      <c r="O48" s="678" t="s">
        <v>514</v>
      </c>
      <c r="P48" s="685" t="s">
        <v>514</v>
      </c>
      <c r="Q48" s="673"/>
      <c r="R48" s="678" t="s">
        <v>518</v>
      </c>
      <c r="S48" s="678" t="s">
        <v>517</v>
      </c>
      <c r="T48" s="678" t="s">
        <v>518</v>
      </c>
      <c r="U48" s="678" t="s">
        <v>526</v>
      </c>
      <c r="V48" s="678" t="s">
        <v>519</v>
      </c>
      <c r="W48" s="678" t="s">
        <v>514</v>
      </c>
      <c r="X48" s="685" t="s">
        <v>514</v>
      </c>
      <c r="Y48" s="673"/>
      <c r="Z48" s="678" t="s">
        <v>518</v>
      </c>
      <c r="AA48" s="678" t="s">
        <v>526</v>
      </c>
      <c r="AB48" s="678" t="s">
        <v>519</v>
      </c>
      <c r="AC48" s="678" t="s">
        <v>533</v>
      </c>
      <c r="AD48" s="678" t="s">
        <v>535</v>
      </c>
      <c r="AE48" s="678" t="s">
        <v>514</v>
      </c>
      <c r="AF48" s="685" t="s">
        <v>514</v>
      </c>
      <c r="AG48" s="673"/>
      <c r="AH48" s="678" t="s">
        <v>518</v>
      </c>
      <c r="AI48" s="678" t="s">
        <v>521</v>
      </c>
      <c r="AJ48" s="678" t="s">
        <v>536</v>
      </c>
      <c r="AK48" s="678" t="s">
        <v>528</v>
      </c>
      <c r="AL48" s="678" t="s">
        <v>526</v>
      </c>
      <c r="AM48" s="678" t="s">
        <v>514</v>
      </c>
      <c r="AN48" s="678" t="s">
        <v>514</v>
      </c>
    </row>
    <row r="49" spans="1:40" s="665" customFormat="1">
      <c r="A49" s="669" t="s">
        <v>144</v>
      </c>
      <c r="B49" s="663">
        <f>RELAÇ_TUDO!A16</f>
        <v>109.72309229216644</v>
      </c>
      <c r="C49" s="743">
        <f>RELAÇ_TUDO!B16</f>
        <v>1109</v>
      </c>
      <c r="D49" s="663">
        <f>RELAÇ_TUDO!C16</f>
        <v>17.417632580930345</v>
      </c>
      <c r="E49" s="663">
        <f>RELAÇ_TUDO!D16</f>
        <v>184.73665448415329</v>
      </c>
      <c r="F49" s="663">
        <f>RELAÇ_TUDO!E16</f>
        <v>9.4283576962927149E-2</v>
      </c>
      <c r="G49" s="663">
        <f>RELAÇ_TUDO!F16</f>
        <v>3587.9037869469803</v>
      </c>
      <c r="H49" s="663">
        <f>RELAÇ_TUDO!G16</f>
        <v>0.64700000000000002</v>
      </c>
      <c r="I49" s="674" t="s">
        <v>23</v>
      </c>
      <c r="J49" s="664">
        <f>RELAÇ_TUDO!I15</f>
        <v>98.185049616271556</v>
      </c>
      <c r="K49" s="681">
        <f>RELAÇ_TUDO!J15</f>
        <v>2015</v>
      </c>
      <c r="L49" s="664">
        <f>RELAÇ_TUDO!K15</f>
        <v>23.839436485411625</v>
      </c>
      <c r="M49" s="664">
        <f>RELAÇ_TUDO!L15</f>
        <v>128.81292655297887</v>
      </c>
      <c r="N49" s="664">
        <f>RELAÇ_TUDO!M15</f>
        <v>0.18507021867566073</v>
      </c>
      <c r="O49" s="664">
        <f>RELAÇ_TUDO!N15</f>
        <v>5055.4343913483863</v>
      </c>
      <c r="P49" s="664">
        <f>RELAÇ_TUDO!O15</f>
        <v>0.72299999999999998</v>
      </c>
      <c r="Q49" s="674" t="s">
        <v>24</v>
      </c>
      <c r="R49" s="664">
        <f>RELAÇ_TUDO!Q16</f>
        <v>103.61290461588878</v>
      </c>
      <c r="S49" s="681">
        <f>RELAÇ_TUDO!R16</f>
        <v>1463</v>
      </c>
      <c r="T49" s="664" t="e">
        <f>RELAÇ_TUDO!S16</f>
        <v>#DIV/0!</v>
      </c>
      <c r="U49" s="664">
        <f>RELAÇ_TUDO!T16</f>
        <v>170.90123240464925</v>
      </c>
      <c r="V49" s="664" t="e">
        <f>RELAÇ_TUDO!U16</f>
        <v>#DIV/0!</v>
      </c>
      <c r="W49" s="664">
        <f>RELAÇ_TUDO!V16</f>
        <v>4627.7096023896001</v>
      </c>
      <c r="X49" s="664">
        <f>RELAÇ_TUDO!W16</f>
        <v>0.70699999999999996</v>
      </c>
      <c r="Y49" s="674" t="s">
        <v>24</v>
      </c>
      <c r="Z49" s="664">
        <f>RELAÇ_TUDO!Y16</f>
        <v>98.600961169252656</v>
      </c>
      <c r="AA49" s="681">
        <f>RELAÇ_TUDO!Z16</f>
        <v>1652</v>
      </c>
      <c r="AB49" s="664" t="e">
        <f>RELAÇ_TUDO!AA16</f>
        <v>#DIV/0!</v>
      </c>
      <c r="AC49" s="664">
        <f>RELAÇ_TUDO!AB16</f>
        <v>166.22494299852892</v>
      </c>
      <c r="AD49" s="664" t="e">
        <f>RELAÇ_TUDO!AC16</f>
        <v>#DIV/0!</v>
      </c>
      <c r="AE49" s="664">
        <f>RELAÇ_TUDO!AD16</f>
        <v>5165.2316056363534</v>
      </c>
      <c r="AF49" s="664">
        <f>RELAÇ_TUDO!AE16</f>
        <v>0.72399999999999998</v>
      </c>
      <c r="AG49" s="674" t="s">
        <v>23</v>
      </c>
      <c r="AH49" s="664" t="e">
        <f>RELAÇ_TUDO!AG15</f>
        <v>#DIV/0!</v>
      </c>
      <c r="AI49" s="681">
        <f>RELAÇ_TUDO!AH15</f>
        <v>2321</v>
      </c>
      <c r="AJ49" s="664" t="e">
        <f>RELAÇ_TUDO!AI15</f>
        <v>#DIV/0!</v>
      </c>
      <c r="AK49" s="664">
        <f>RELAÇ_TUDO!AJ15</f>
        <v>97.341254280435919</v>
      </c>
      <c r="AL49" s="664" t="e">
        <f>RELAÇ_TUDO!AK15</f>
        <v>#DIV/0!</v>
      </c>
      <c r="AM49" s="664">
        <f>RELAÇ_TUDO!AL15</f>
        <v>6709.9911337240246</v>
      </c>
      <c r="AN49" s="672">
        <f>RELAÇ_TUDO!AM15</f>
        <v>0.76744322845417245</v>
      </c>
    </row>
    <row r="50" spans="1:40" s="665" customFormat="1">
      <c r="A50" s="669"/>
      <c r="B50" s="679" t="s">
        <v>529</v>
      </c>
      <c r="C50" s="679" t="s">
        <v>519</v>
      </c>
      <c r="D50" s="679" t="s">
        <v>513</v>
      </c>
      <c r="E50" s="679" t="s">
        <v>529</v>
      </c>
      <c r="F50" s="679" t="s">
        <v>511</v>
      </c>
      <c r="G50" s="679" t="s">
        <v>514</v>
      </c>
      <c r="H50" s="686" t="s">
        <v>514</v>
      </c>
      <c r="I50" s="674"/>
      <c r="J50" s="679" t="s">
        <v>529</v>
      </c>
      <c r="K50" s="679" t="s">
        <v>526</v>
      </c>
      <c r="L50" s="679" t="s">
        <v>531</v>
      </c>
      <c r="M50" s="679" t="s">
        <v>524</v>
      </c>
      <c r="N50" s="679" t="s">
        <v>535</v>
      </c>
      <c r="O50" s="679" t="s">
        <v>514</v>
      </c>
      <c r="P50" s="686" t="s">
        <v>514</v>
      </c>
      <c r="Q50" s="674"/>
      <c r="R50" s="679" t="s">
        <v>529</v>
      </c>
      <c r="S50" s="679" t="s">
        <v>519</v>
      </c>
      <c r="T50" s="679" t="s">
        <v>525</v>
      </c>
      <c r="U50" s="679" t="s">
        <v>537</v>
      </c>
      <c r="V50" s="679" t="s">
        <v>511</v>
      </c>
      <c r="W50" s="679" t="s">
        <v>514</v>
      </c>
      <c r="X50" s="686" t="s">
        <v>514</v>
      </c>
      <c r="Y50" s="674"/>
      <c r="Z50" s="679" t="s">
        <v>529</v>
      </c>
      <c r="AA50" s="679" t="s">
        <v>536</v>
      </c>
      <c r="AB50" s="679" t="s">
        <v>534</v>
      </c>
      <c r="AC50" s="679" t="s">
        <v>527</v>
      </c>
      <c r="AD50" s="679" t="s">
        <v>511</v>
      </c>
      <c r="AE50" s="679" t="s">
        <v>514</v>
      </c>
      <c r="AF50" s="686" t="s">
        <v>514</v>
      </c>
      <c r="AG50" s="674"/>
      <c r="AH50" s="679" t="s">
        <v>529</v>
      </c>
      <c r="AI50" s="679" t="s">
        <v>526</v>
      </c>
      <c r="AJ50" s="679" t="s">
        <v>519</v>
      </c>
      <c r="AK50" s="679" t="s">
        <v>526</v>
      </c>
      <c r="AL50" s="679" t="s">
        <v>533</v>
      </c>
      <c r="AM50" s="679" t="s">
        <v>514</v>
      </c>
      <c r="AN50" s="679" t="s">
        <v>514</v>
      </c>
    </row>
    <row r="51" spans="1:40">
      <c r="A51" s="668" t="s">
        <v>23</v>
      </c>
      <c r="B51" s="638">
        <f>RELAÇ_TUDO!A15</f>
        <v>87.414276859853416</v>
      </c>
      <c r="C51" s="742">
        <f>RELAÇ_TUDO!B15</f>
        <v>1515</v>
      </c>
      <c r="D51" s="638">
        <f>RELAÇ_TUDO!C15</f>
        <v>17.723962446257786</v>
      </c>
      <c r="E51" s="638">
        <f>RELAÇ_TUDO!D15</f>
        <v>110.11502841185782</v>
      </c>
      <c r="F51" s="638">
        <f>RELAÇ_TUDO!E15</f>
        <v>0.16095861484016261</v>
      </c>
      <c r="G51" s="638">
        <f>RELAÇ_TUDO!F15</f>
        <v>4621.8243891120437</v>
      </c>
      <c r="H51" s="638">
        <f>RELAÇ_TUDO!G15</f>
        <v>0.7</v>
      </c>
      <c r="I51" s="673" t="s">
        <v>24</v>
      </c>
      <c r="J51" s="639">
        <f>RELAÇ_TUDO!I16</f>
        <v>103.55776849232811</v>
      </c>
      <c r="K51" s="680">
        <f>RELAÇ_TUDO!J16</f>
        <v>1275</v>
      </c>
      <c r="L51" s="639">
        <f>RELAÇ_TUDO!K16</f>
        <v>19.392257302857931</v>
      </c>
      <c r="M51" s="639">
        <f>RELAÇ_TUDO!L16</f>
        <v>179.57038313981982</v>
      </c>
      <c r="N51" s="639">
        <f>RELAÇ_TUDO!M16</f>
        <v>0.1079925150449695</v>
      </c>
      <c r="O51" s="639">
        <f>RELAÇ_TUDO!N16</f>
        <v>4150.9476443656422</v>
      </c>
      <c r="P51" s="639">
        <f>RELAÇ_TUDO!O16</f>
        <v>0.68300000000000005</v>
      </c>
      <c r="Q51" s="673" t="s">
        <v>23</v>
      </c>
      <c r="R51" s="639">
        <f>RELAÇ_TUDO!Q15</f>
        <v>89.890178268564256</v>
      </c>
      <c r="S51" s="680">
        <f>RELAÇ_TUDO!R15</f>
        <v>2041</v>
      </c>
      <c r="T51" s="639" t="e">
        <f>RELAÇ_TUDO!S15</f>
        <v>#DIV/0!</v>
      </c>
      <c r="U51" s="639">
        <f>RELAÇ_TUDO!T15</f>
        <v>114.02788850631288</v>
      </c>
      <c r="V51" s="639" t="e">
        <f>RELAÇ_TUDO!U15</f>
        <v>#DIV/0!</v>
      </c>
      <c r="W51" s="639">
        <f>RELAÇ_TUDO!V15</f>
        <v>5634.9736562503022</v>
      </c>
      <c r="X51" s="671">
        <f>RELAÇ_TUDO!W15</f>
        <v>0.73099999999999998</v>
      </c>
      <c r="Y51" s="673" t="s">
        <v>18</v>
      </c>
      <c r="Z51" s="639">
        <f>RELAÇ_TUDO!Y10</f>
        <v>69.357024764846102</v>
      </c>
      <c r="AA51" s="680">
        <f>RELAÇ_TUDO!Z10</f>
        <v>148</v>
      </c>
      <c r="AB51" s="639" t="e">
        <f>RELAÇ_TUDO!AA10</f>
        <v>#DIV/0!</v>
      </c>
      <c r="AC51" s="639">
        <f>RELAÇ_TUDO!AB10</f>
        <v>103.24813037169326</v>
      </c>
      <c r="AD51" s="639" t="e">
        <f>RELAÇ_TUDO!AC10</f>
        <v>#DIV/0!</v>
      </c>
      <c r="AE51" s="639">
        <f>RELAÇ_TUDO!AD10</f>
        <v>10534.079373995637</v>
      </c>
      <c r="AF51" s="639">
        <f>RELAÇ_TUDO!AE10</f>
        <v>0.78200000000000003</v>
      </c>
      <c r="AG51" s="673" t="s">
        <v>24</v>
      </c>
      <c r="AH51" s="639" t="e">
        <f>RELAÇ_TUDO!AG16</f>
        <v>#DIV/0!</v>
      </c>
      <c r="AI51" s="680">
        <f>RELAÇ_TUDO!AH16</f>
        <v>1559</v>
      </c>
      <c r="AJ51" s="639" t="e">
        <f>RELAÇ_TUDO!AI16</f>
        <v>#DIV/0!</v>
      </c>
      <c r="AK51" s="639">
        <f>RELAÇ_TUDO!AJ16</f>
        <v>128.26229680833384</v>
      </c>
      <c r="AL51" s="639" t="e">
        <f>RELAÇ_TUDO!AK16</f>
        <v>#DIV/0!</v>
      </c>
      <c r="AM51" s="639">
        <f>RELAÇ_TUDO!AL16</f>
        <v>5765.1883614495182</v>
      </c>
      <c r="AN51" s="671">
        <f>RELAÇ_TUDO!AM16</f>
        <v>0.74140876944837342</v>
      </c>
    </row>
    <row r="52" spans="1:40">
      <c r="A52" s="668"/>
      <c r="B52" s="678" t="s">
        <v>537</v>
      </c>
      <c r="C52" s="678" t="s">
        <v>524</v>
      </c>
      <c r="D52" s="678" t="s">
        <v>531</v>
      </c>
      <c r="E52" s="678" t="s">
        <v>526</v>
      </c>
      <c r="F52" s="678" t="s">
        <v>535</v>
      </c>
      <c r="G52" s="678" t="s">
        <v>514</v>
      </c>
      <c r="H52" s="685" t="s">
        <v>514</v>
      </c>
      <c r="I52" s="673"/>
      <c r="J52" s="678" t="s">
        <v>537</v>
      </c>
      <c r="K52" s="678" t="s">
        <v>531</v>
      </c>
      <c r="L52" s="678" t="s">
        <v>520</v>
      </c>
      <c r="M52" s="678" t="s">
        <v>511</v>
      </c>
      <c r="N52" s="678" t="s">
        <v>511</v>
      </c>
      <c r="O52" s="678" t="s">
        <v>514</v>
      </c>
      <c r="P52" s="685" t="s">
        <v>514</v>
      </c>
      <c r="Q52" s="673"/>
      <c r="R52" s="678" t="s">
        <v>537</v>
      </c>
      <c r="S52" s="678" t="s">
        <v>526</v>
      </c>
      <c r="T52" s="678" t="s">
        <v>531</v>
      </c>
      <c r="U52" s="678" t="s">
        <v>524</v>
      </c>
      <c r="V52" s="678" t="s">
        <v>535</v>
      </c>
      <c r="W52" s="678" t="s">
        <v>514</v>
      </c>
      <c r="X52" s="685" t="s">
        <v>514</v>
      </c>
      <c r="Y52" s="673"/>
      <c r="Z52" s="678" t="s">
        <v>537</v>
      </c>
      <c r="AA52" s="678" t="s">
        <v>513</v>
      </c>
      <c r="AB52" s="678" t="s">
        <v>511</v>
      </c>
      <c r="AC52" s="678" t="s">
        <v>518</v>
      </c>
      <c r="AD52" s="678" t="s">
        <v>519</v>
      </c>
      <c r="AE52" s="678" t="s">
        <v>514</v>
      </c>
      <c r="AF52" s="685" t="s">
        <v>514</v>
      </c>
      <c r="AG52" s="673"/>
      <c r="AH52" s="678" t="s">
        <v>537</v>
      </c>
      <c r="AI52" s="678" t="s">
        <v>523</v>
      </c>
      <c r="AJ52" s="678" t="s">
        <v>522</v>
      </c>
      <c r="AK52" s="678" t="s">
        <v>511</v>
      </c>
      <c r="AL52" s="678" t="s">
        <v>511</v>
      </c>
      <c r="AM52" s="678" t="s">
        <v>514</v>
      </c>
      <c r="AN52" s="678" t="s">
        <v>514</v>
      </c>
    </row>
    <row r="53" spans="1:40" s="665" customFormat="1">
      <c r="A53" s="669" t="s">
        <v>21</v>
      </c>
      <c r="B53" s="663">
        <f>RELAÇ_TUDO!A13</f>
        <v>126.21656178900706</v>
      </c>
      <c r="C53" s="743">
        <f>RELAÇ_TUDO!B13</f>
        <v>659</v>
      </c>
      <c r="D53" s="663">
        <f>RELAÇ_TUDO!C13</f>
        <v>20.880193631319148</v>
      </c>
      <c r="E53" s="638">
        <f>RELAÇ_TUDO!D13</f>
        <v>185.88094593374854</v>
      </c>
      <c r="F53" s="663">
        <f>RELAÇ_TUDO!E13</f>
        <v>0.11233100588352528</v>
      </c>
      <c r="G53" s="663">
        <f>RELAÇ_TUDO!F13</f>
        <v>4324.3544300744079</v>
      </c>
      <c r="H53" s="663">
        <f>RELAÇ_TUDO!G13</f>
        <v>0.64600000000000002</v>
      </c>
      <c r="I53" s="674" t="s">
        <v>21</v>
      </c>
      <c r="J53" s="664">
        <f>RELAÇ_TUDO!I13</f>
        <v>127.11658016066335</v>
      </c>
      <c r="K53" s="681">
        <f>RELAÇ_TUDO!J13</f>
        <v>783</v>
      </c>
      <c r="L53" s="664">
        <f>RELAÇ_TUDO!K13</f>
        <v>25.092180917508575</v>
      </c>
      <c r="M53" s="664">
        <f>RELAÇ_TUDO!L13</f>
        <v>195.98665388456561</v>
      </c>
      <c r="N53" s="664">
        <f>RELAÇ_TUDO!M13</f>
        <v>0.12803004908838153</v>
      </c>
      <c r="O53" s="664">
        <f>RELAÇ_TUDO!N13</f>
        <v>4688.2487580077586</v>
      </c>
      <c r="P53" s="672">
        <f>RELAÇ_TUDO!O13</f>
        <v>0.67700000000000005</v>
      </c>
      <c r="Q53" s="674" t="s">
        <v>21</v>
      </c>
      <c r="R53" s="664">
        <f>RELAÇ_TUDO!Q13</f>
        <v>120.9491222124268</v>
      </c>
      <c r="S53" s="681">
        <f>RELAÇ_TUDO!R13</f>
        <v>853</v>
      </c>
      <c r="T53" s="664" t="e">
        <f>RELAÇ_TUDO!S13</f>
        <v>#DIV/0!</v>
      </c>
      <c r="U53" s="664">
        <f>RELAÇ_TUDO!T13</f>
        <v>188.5428708470283</v>
      </c>
      <c r="V53" s="664" t="e">
        <f>RELAÇ_TUDO!U13</f>
        <v>#DIV/0!</v>
      </c>
      <c r="W53" s="664">
        <f>RELAÇ_TUDO!V13</f>
        <v>5162.1873217624461</v>
      </c>
      <c r="X53" s="672">
        <f>RELAÇ_TUDO!W13</f>
        <v>0.7</v>
      </c>
      <c r="Y53" s="674" t="s">
        <v>21</v>
      </c>
      <c r="Z53" s="664">
        <f>RELAÇ_TUDO!Y13</f>
        <v>105.82312268814296</v>
      </c>
      <c r="AA53" s="681">
        <f>RELAÇ_TUDO!Z13</f>
        <v>840</v>
      </c>
      <c r="AB53" s="664" t="e">
        <f>RELAÇ_TUDO!AA13</f>
        <v>#DIV/0!</v>
      </c>
      <c r="AC53" s="664">
        <f>RELAÇ_TUDO!AB13</f>
        <v>164.66455477840856</v>
      </c>
      <c r="AD53" s="664" t="e">
        <f>RELAÇ_TUDO!AC13</f>
        <v>#DIV/0!</v>
      </c>
      <c r="AE53" s="664">
        <f>RELAÇ_TUDO!AD13</f>
        <v>5858.3712236805795</v>
      </c>
      <c r="AF53" s="664">
        <f>RELAÇ_TUDO!AE13</f>
        <v>0.72199999999999998</v>
      </c>
      <c r="AG53" s="674" t="s">
        <v>21</v>
      </c>
      <c r="AH53" s="664" t="e">
        <f>RELAÇ_TUDO!AG13</f>
        <v>#DIV/0!</v>
      </c>
      <c r="AI53" s="681">
        <f>RELAÇ_TUDO!AH13</f>
        <v>780</v>
      </c>
      <c r="AJ53" s="664" t="e">
        <f>RELAÇ_TUDO!AI13</f>
        <v>#DIV/0!</v>
      </c>
      <c r="AK53" s="664">
        <f>RELAÇ_TUDO!AJ13</f>
        <v>126.91883377863402</v>
      </c>
      <c r="AL53" s="664" t="e">
        <f>RELAÇ_TUDO!AK13</f>
        <v>#DIV/0!</v>
      </c>
      <c r="AM53" s="664">
        <f>RELAÇ_TUDO!AL13</f>
        <v>6648.4440132116642</v>
      </c>
      <c r="AN53" s="672">
        <f>RELAÇ_TUDO!AM13</f>
        <v>0.74469142857142845</v>
      </c>
    </row>
    <row r="54" spans="1:40" s="665" customFormat="1">
      <c r="A54" s="669"/>
      <c r="B54" s="679" t="s">
        <v>527</v>
      </c>
      <c r="C54" s="679" t="s">
        <v>522</v>
      </c>
      <c r="D54" s="679" t="s">
        <v>521</v>
      </c>
      <c r="E54" s="678" t="s">
        <v>527</v>
      </c>
      <c r="F54" s="679" t="s">
        <v>537</v>
      </c>
      <c r="G54" s="679" t="s">
        <v>514</v>
      </c>
      <c r="H54" s="686" t="s">
        <v>514</v>
      </c>
      <c r="I54" s="674"/>
      <c r="J54" s="679" t="s">
        <v>527</v>
      </c>
      <c r="K54" s="679" t="s">
        <v>522</v>
      </c>
      <c r="L54" s="679" t="s">
        <v>536</v>
      </c>
      <c r="M54" s="679" t="s">
        <v>527</v>
      </c>
      <c r="N54" s="679" t="s">
        <v>537</v>
      </c>
      <c r="O54" s="679" t="s">
        <v>514</v>
      </c>
      <c r="P54" s="686" t="s">
        <v>514</v>
      </c>
      <c r="Q54" s="674"/>
      <c r="R54" s="679" t="s">
        <v>527</v>
      </c>
      <c r="S54" s="679" t="s">
        <v>516</v>
      </c>
      <c r="T54" s="679" t="s">
        <v>521</v>
      </c>
      <c r="U54" s="679" t="s">
        <v>527</v>
      </c>
      <c r="V54" s="679" t="s">
        <v>537</v>
      </c>
      <c r="W54" s="679" t="s">
        <v>514</v>
      </c>
      <c r="X54" s="686" t="s">
        <v>514</v>
      </c>
      <c r="Y54" s="674"/>
      <c r="Z54" s="679" t="s">
        <v>527</v>
      </c>
      <c r="AA54" s="679" t="s">
        <v>516</v>
      </c>
      <c r="AB54" s="679" t="s">
        <v>536</v>
      </c>
      <c r="AC54" s="679" t="s">
        <v>511</v>
      </c>
      <c r="AD54" s="679" t="s">
        <v>537</v>
      </c>
      <c r="AE54" s="679" t="s">
        <v>514</v>
      </c>
      <c r="AF54" s="686" t="s">
        <v>514</v>
      </c>
      <c r="AG54" s="674"/>
      <c r="AH54" s="679" t="s">
        <v>527</v>
      </c>
      <c r="AI54" s="679" t="s">
        <v>522</v>
      </c>
      <c r="AJ54" s="679" t="s">
        <v>521</v>
      </c>
      <c r="AK54" s="679" t="s">
        <v>537</v>
      </c>
      <c r="AL54" s="679" t="s">
        <v>537</v>
      </c>
      <c r="AM54" s="679" t="s">
        <v>514</v>
      </c>
      <c r="AN54" s="679" t="s">
        <v>514</v>
      </c>
    </row>
    <row r="55" spans="1:40">
      <c r="A55" s="668" t="s">
        <v>27</v>
      </c>
      <c r="B55" s="638">
        <f>RELAÇ_TUDO!A19</f>
        <v>127.69799244430486</v>
      </c>
      <c r="C55" s="742">
        <f>RELAÇ_TUDO!B19</f>
        <v>903</v>
      </c>
      <c r="D55" s="638">
        <f>RELAÇ_TUDO!C19</f>
        <v>28.71074449535859</v>
      </c>
      <c r="E55" s="638">
        <f>RELAÇ_TUDO!D19</f>
        <v>195.65570662477654</v>
      </c>
      <c r="F55" s="638">
        <f>RELAÇ_TUDO!E19</f>
        <v>0.14674115562813259</v>
      </c>
      <c r="G55" s="638">
        <f>RELAÇ_TUDO!F19</f>
        <v>3297.2391445571384</v>
      </c>
      <c r="H55" s="638">
        <f>RELAÇ_TUDO!G19</f>
        <v>0.67300000000000004</v>
      </c>
      <c r="I55" s="673" t="s">
        <v>27</v>
      </c>
      <c r="J55" s="639">
        <f>RELAÇ_TUDO!I19</f>
        <v>123.78292293094962</v>
      </c>
      <c r="K55" s="680">
        <f>RELAÇ_TUDO!J19</f>
        <v>1044</v>
      </c>
      <c r="L55" s="639">
        <f>RELAÇ_TUDO!K19</f>
        <v>33.479136469169688</v>
      </c>
      <c r="M55" s="639">
        <f>RELAÇ_TUDO!L19</f>
        <v>195.8323719914689</v>
      </c>
      <c r="N55" s="639">
        <f>RELAÇ_TUDO!M19</f>
        <v>0.17095813183853051</v>
      </c>
      <c r="O55" s="639">
        <f>RELAÇ_TUDO!N19</f>
        <v>3701.239331431866</v>
      </c>
      <c r="P55" s="671">
        <f>RELAÇ_TUDO!O19</f>
        <v>0.70299999999999996</v>
      </c>
      <c r="Q55" s="673" t="s">
        <v>27</v>
      </c>
      <c r="R55" s="639">
        <f>RELAÇ_TUDO!Q19</f>
        <v>120.23241906125917</v>
      </c>
      <c r="S55" s="680">
        <f>RELAÇ_TUDO!R19</f>
        <v>1085</v>
      </c>
      <c r="T55" s="639" t="e">
        <f>RELAÇ_TUDO!S19</f>
        <v>#DIV/0!</v>
      </c>
      <c r="U55" s="639">
        <f>RELAÇ_TUDO!T19</f>
        <v>176.08605333541067</v>
      </c>
      <c r="V55" s="639" t="e">
        <f>RELAÇ_TUDO!U19</f>
        <v>#DIV/0!</v>
      </c>
      <c r="W55" s="639">
        <f>RELAÇ_TUDO!V19</f>
        <v>4211.8719623238612</v>
      </c>
      <c r="X55" s="671">
        <f>RELAÇ_TUDO!W19</f>
        <v>0.72099999999999997</v>
      </c>
      <c r="Y55" s="673" t="s">
        <v>27</v>
      </c>
      <c r="Z55" s="639">
        <f>RELAÇ_TUDO!Y19</f>
        <v>108.73951542278395</v>
      </c>
      <c r="AA55" s="680">
        <f>RELAÇ_TUDO!Z19</f>
        <v>1195</v>
      </c>
      <c r="AB55" s="639" t="e">
        <f>RELAÇ_TUDO!AA19</f>
        <v>#DIV/0!</v>
      </c>
      <c r="AC55" s="639">
        <f>RELAÇ_TUDO!AB19</f>
        <v>169.37645369644622</v>
      </c>
      <c r="AD55" s="639" t="e">
        <f>RELAÇ_TUDO!AC19</f>
        <v>#DIV/0!</v>
      </c>
      <c r="AE55" s="639">
        <f>RELAÇ_TUDO!AD19</f>
        <v>4661.5573494030541</v>
      </c>
      <c r="AF55" s="639">
        <f>RELAÇ_TUDO!AE19</f>
        <v>0.74</v>
      </c>
      <c r="AG55" s="673" t="s">
        <v>27</v>
      </c>
      <c r="AH55" s="639" t="e">
        <f>RELAÇ_TUDO!AG19</f>
        <v>#DIV/0!</v>
      </c>
      <c r="AI55" s="680">
        <f>RELAÇ_TUDO!AH19</f>
        <v>1194</v>
      </c>
      <c r="AJ55" s="639" t="e">
        <f>RELAÇ_TUDO!AI19</f>
        <v>#DIV/0!</v>
      </c>
      <c r="AK55" s="639">
        <f>RELAÇ_TUDO!AJ19</f>
        <v>139.57647773965596</v>
      </c>
      <c r="AL55" s="639" t="e">
        <f>RELAÇ_TUDO!AK19</f>
        <v>#DIV/0!</v>
      </c>
      <c r="AM55" s="639">
        <f>RELAÇ_TUDO!AL19</f>
        <v>5159.2539175346246</v>
      </c>
      <c r="AN55" s="671">
        <f>RELAÇ_TUDO!AM19</f>
        <v>0.75950069348127602</v>
      </c>
    </row>
    <row r="56" spans="1:40" ht="15.75" thickBot="1">
      <c r="A56" s="670"/>
      <c r="B56" s="687" t="s">
        <v>511</v>
      </c>
      <c r="C56" s="687" t="s">
        <v>516</v>
      </c>
      <c r="D56" s="687" t="s">
        <v>536</v>
      </c>
      <c r="E56" s="687" t="s">
        <v>518</v>
      </c>
      <c r="F56" s="687" t="s">
        <v>524</v>
      </c>
      <c r="G56" s="687" t="s">
        <v>514</v>
      </c>
      <c r="H56" s="688" t="s">
        <v>514</v>
      </c>
      <c r="I56" s="675"/>
      <c r="J56" s="687" t="s">
        <v>511</v>
      </c>
      <c r="K56" s="687" t="s">
        <v>515</v>
      </c>
      <c r="L56" s="687" t="s">
        <v>523</v>
      </c>
      <c r="M56" s="687" t="s">
        <v>537</v>
      </c>
      <c r="N56" s="687" t="s">
        <v>524</v>
      </c>
      <c r="O56" s="687" t="s">
        <v>514</v>
      </c>
      <c r="P56" s="688" t="s">
        <v>514</v>
      </c>
      <c r="Q56" s="675"/>
      <c r="R56" s="687" t="s">
        <v>511</v>
      </c>
      <c r="S56" s="687" t="s">
        <v>530</v>
      </c>
      <c r="T56" s="687" t="s">
        <v>533</v>
      </c>
      <c r="U56" s="687" t="s">
        <v>511</v>
      </c>
      <c r="V56" s="687" t="s">
        <v>524</v>
      </c>
      <c r="W56" s="687" t="s">
        <v>514</v>
      </c>
      <c r="X56" s="688" t="s">
        <v>514</v>
      </c>
      <c r="Y56" s="675"/>
      <c r="Z56" s="687" t="s">
        <v>511</v>
      </c>
      <c r="AA56" s="687" t="s">
        <v>530</v>
      </c>
      <c r="AB56" s="687" t="s">
        <v>533</v>
      </c>
      <c r="AC56" s="687" t="s">
        <v>537</v>
      </c>
      <c r="AD56" s="687" t="s">
        <v>524</v>
      </c>
      <c r="AE56" s="687" t="s">
        <v>514</v>
      </c>
      <c r="AF56" s="688" t="s">
        <v>514</v>
      </c>
      <c r="AG56" s="675"/>
      <c r="AH56" s="678" t="s">
        <v>511</v>
      </c>
      <c r="AI56" s="678" t="s">
        <v>530</v>
      </c>
      <c r="AJ56" s="678" t="s">
        <v>533</v>
      </c>
      <c r="AK56" s="678" t="s">
        <v>527</v>
      </c>
      <c r="AL56" s="678" t="s">
        <v>528</v>
      </c>
      <c r="AM56" s="678" t="s">
        <v>514</v>
      </c>
      <c r="AN56" s="678" t="s">
        <v>514</v>
      </c>
    </row>
    <row r="57" spans="1:40">
      <c r="E57" s="3"/>
    </row>
    <row r="58" spans="1:40">
      <c r="E58" s="3"/>
    </row>
    <row r="59" spans="1:40">
      <c r="E59" s="3"/>
    </row>
    <row r="60" spans="1:40">
      <c r="E60" s="3"/>
    </row>
    <row r="61" spans="1:40">
      <c r="E61" s="3"/>
    </row>
    <row r="62" spans="1:40">
      <c r="E62" s="3"/>
    </row>
    <row r="63" spans="1:40">
      <c r="E63" s="3"/>
    </row>
    <row r="64" spans="1:40">
      <c r="E64" s="3"/>
    </row>
    <row r="65" spans="5:13">
      <c r="E65" s="3"/>
    </row>
    <row r="66" spans="5:13">
      <c r="E66" s="3"/>
    </row>
    <row r="67" spans="5:13" ht="15.75">
      <c r="E67" s="3"/>
      <c r="M67" s="741"/>
    </row>
    <row r="68" spans="5:13">
      <c r="E68" s="3"/>
    </row>
    <row r="69" spans="5:13">
      <c r="E69" s="3"/>
    </row>
    <row r="70" spans="5:13">
      <c r="E70" s="3"/>
    </row>
    <row r="71" spans="5:13">
      <c r="E71" s="3"/>
    </row>
    <row r="72" spans="5:13">
      <c r="E72" s="3"/>
    </row>
    <row r="73" spans="5:13">
      <c r="E73" s="3"/>
    </row>
    <row r="74" spans="5:13">
      <c r="E74" s="3"/>
    </row>
    <row r="75" spans="5:13">
      <c r="E75" s="3"/>
    </row>
    <row r="76" spans="5:13">
      <c r="E76" s="3"/>
    </row>
    <row r="77" spans="5:13">
      <c r="E77" s="3"/>
    </row>
    <row r="78" spans="5:13">
      <c r="E78" s="3"/>
    </row>
    <row r="79" spans="5:13">
      <c r="E79" s="3"/>
    </row>
    <row r="80" spans="5:13">
      <c r="E80" s="3"/>
    </row>
    <row r="81" spans="5:5">
      <c r="E81" s="3"/>
    </row>
    <row r="82" spans="5:5">
      <c r="E82" s="3"/>
    </row>
    <row r="83" spans="5:5">
      <c r="E83" s="3"/>
    </row>
    <row r="84" spans="5:5">
      <c r="E84" s="3"/>
    </row>
    <row r="85" spans="5:5">
      <c r="E85" s="3"/>
    </row>
    <row r="86" spans="5:5">
      <c r="E86" s="3"/>
    </row>
    <row r="87" spans="5:5">
      <c r="E87" s="3"/>
    </row>
    <row r="88" spans="5:5">
      <c r="E88" s="3"/>
    </row>
    <row r="89" spans="5:5">
      <c r="E89" s="3"/>
    </row>
    <row r="90" spans="5:5">
      <c r="E90" s="3"/>
    </row>
    <row r="91" spans="5:5">
      <c r="E91" s="3"/>
    </row>
    <row r="92" spans="5:5">
      <c r="E92" s="3"/>
    </row>
    <row r="93" spans="5:5">
      <c r="E93" s="3"/>
    </row>
    <row r="94" spans="5:5">
      <c r="E94" s="3"/>
    </row>
    <row r="95" spans="5:5">
      <c r="E95" s="3"/>
    </row>
    <row r="96" spans="5:5">
      <c r="E96" s="3"/>
    </row>
    <row r="97" spans="5:5">
      <c r="E97" s="3"/>
    </row>
    <row r="98" spans="5:5">
      <c r="E98" s="3"/>
    </row>
    <row r="99" spans="5:5">
      <c r="E99" s="3"/>
    </row>
    <row r="100" spans="5:5">
      <c r="E100" s="3"/>
    </row>
    <row r="101" spans="5:5">
      <c r="E101" s="3"/>
    </row>
    <row r="102" spans="5:5">
      <c r="E102" s="3"/>
    </row>
    <row r="103" spans="5:5">
      <c r="E103" s="3"/>
    </row>
    <row r="104" spans="5:5">
      <c r="E104" s="3"/>
    </row>
    <row r="105" spans="5:5">
      <c r="E105" s="3"/>
    </row>
    <row r="106" spans="5:5">
      <c r="E106" s="3"/>
    </row>
    <row r="107" spans="5:5">
      <c r="E107" s="3"/>
    </row>
    <row r="108" spans="5:5">
      <c r="E108" s="3"/>
    </row>
    <row r="109" spans="5:5">
      <c r="E109" s="3"/>
    </row>
    <row r="110" spans="5:5">
      <c r="E110" s="3"/>
    </row>
    <row r="111" spans="5:5">
      <c r="E111" s="3"/>
    </row>
    <row r="112" spans="5:5">
      <c r="E112" s="3"/>
    </row>
    <row r="113" spans="5:5">
      <c r="E113" s="3"/>
    </row>
    <row r="114" spans="5:5">
      <c r="E114" s="3"/>
    </row>
    <row r="115" spans="5:5">
      <c r="E115" s="3"/>
    </row>
    <row r="116" spans="5:5">
      <c r="E116" s="3"/>
    </row>
    <row r="117" spans="5:5">
      <c r="E117" s="3"/>
    </row>
    <row r="118" spans="5:5">
      <c r="E118" s="3"/>
    </row>
    <row r="119" spans="5:5">
      <c r="E119" s="3"/>
    </row>
    <row r="120" spans="5:5">
      <c r="E120" s="3"/>
    </row>
    <row r="121" spans="5:5">
      <c r="E121" s="3"/>
    </row>
    <row r="122" spans="5:5">
      <c r="E122" s="3"/>
    </row>
    <row r="123" spans="5:5">
      <c r="E123" s="3"/>
    </row>
    <row r="124" spans="5:5">
      <c r="E124" s="3"/>
    </row>
    <row r="125" spans="5:5">
      <c r="E125" s="3"/>
    </row>
    <row r="126" spans="5:5">
      <c r="E126" s="3"/>
    </row>
    <row r="127" spans="5:5">
      <c r="E127" s="3"/>
    </row>
    <row r="128" spans="5:5">
      <c r="E128" s="3"/>
    </row>
    <row r="129" spans="5:5">
      <c r="E129" s="3"/>
    </row>
    <row r="130" spans="5:5">
      <c r="E130" s="3"/>
    </row>
    <row r="131" spans="5:5">
      <c r="E131" s="3"/>
    </row>
    <row r="132" spans="5:5">
      <c r="E132" s="3"/>
    </row>
    <row r="133" spans="5:5">
      <c r="E133" s="3"/>
    </row>
    <row r="134" spans="5:5">
      <c r="E134" s="3"/>
    </row>
    <row r="135" spans="5:5">
      <c r="E135" s="3"/>
    </row>
    <row r="136" spans="5:5">
      <c r="E136" s="3"/>
    </row>
    <row r="137" spans="5:5">
      <c r="E137" s="3"/>
    </row>
    <row r="138" spans="5:5">
      <c r="E138" s="3"/>
    </row>
    <row r="139" spans="5:5">
      <c r="E139" s="3"/>
    </row>
    <row r="140" spans="5:5">
      <c r="E140" s="3"/>
    </row>
    <row r="141" spans="5:5">
      <c r="E141" s="3"/>
    </row>
    <row r="142" spans="5:5">
      <c r="E142" s="3"/>
    </row>
    <row r="143" spans="5:5">
      <c r="E143" s="3"/>
    </row>
    <row r="144" spans="5:5">
      <c r="E144" s="3"/>
    </row>
    <row r="145" spans="5:5">
      <c r="E145" s="3"/>
    </row>
    <row r="146" spans="5:5">
      <c r="E146" s="3"/>
    </row>
    <row r="147" spans="5:5">
      <c r="E147" s="3"/>
    </row>
    <row r="148" spans="5:5">
      <c r="E148" s="3"/>
    </row>
    <row r="149" spans="5:5">
      <c r="E149" s="3"/>
    </row>
    <row r="150" spans="5:5">
      <c r="E150" s="3"/>
    </row>
    <row r="151" spans="5:5">
      <c r="E151" s="3"/>
    </row>
    <row r="152" spans="5:5">
      <c r="E152" s="3"/>
    </row>
    <row r="153" spans="5:5">
      <c r="E153" s="3"/>
    </row>
    <row r="154" spans="5:5">
      <c r="E154" s="3"/>
    </row>
    <row r="155" spans="5:5">
      <c r="E155" s="3"/>
    </row>
    <row r="156" spans="5:5">
      <c r="E156" s="3"/>
    </row>
    <row r="157" spans="5:5">
      <c r="E157" s="3"/>
    </row>
    <row r="158" spans="5:5">
      <c r="E158" s="3"/>
    </row>
    <row r="159" spans="5:5">
      <c r="E159" s="3"/>
    </row>
    <row r="160" spans="5:5">
      <c r="E160" s="3"/>
    </row>
    <row r="161" spans="5:5">
      <c r="E161" s="3"/>
    </row>
    <row r="162" spans="5:5">
      <c r="E162" s="3"/>
    </row>
    <row r="163" spans="5:5">
      <c r="E163" s="3"/>
    </row>
    <row r="164" spans="5:5">
      <c r="E164" s="3"/>
    </row>
    <row r="165" spans="5:5">
      <c r="E165" s="3"/>
    </row>
    <row r="166" spans="5:5">
      <c r="E166" s="3"/>
    </row>
    <row r="167" spans="5:5">
      <c r="E167" s="3"/>
    </row>
    <row r="168" spans="5:5">
      <c r="E168" s="3"/>
    </row>
    <row r="169" spans="5:5">
      <c r="E169" s="3"/>
    </row>
    <row r="170" spans="5:5">
      <c r="E170" s="3"/>
    </row>
    <row r="171" spans="5:5">
      <c r="E171" s="3"/>
    </row>
    <row r="172" spans="5:5">
      <c r="E172" s="3"/>
    </row>
    <row r="173" spans="5:5">
      <c r="E173" s="3"/>
    </row>
    <row r="174" spans="5:5">
      <c r="E174" s="3"/>
    </row>
    <row r="175" spans="5:5">
      <c r="E175" s="3"/>
    </row>
    <row r="176" spans="5:5">
      <c r="E176" s="3"/>
    </row>
    <row r="177" spans="5:5">
      <c r="E177" s="3"/>
    </row>
    <row r="178" spans="5:5">
      <c r="E178" s="3"/>
    </row>
    <row r="179" spans="5:5">
      <c r="E179" s="3"/>
    </row>
    <row r="180" spans="5:5">
      <c r="E180" s="3"/>
    </row>
    <row r="181" spans="5:5">
      <c r="E181" s="3"/>
    </row>
    <row r="182" spans="5:5">
      <c r="E182" s="3"/>
    </row>
    <row r="183" spans="5:5">
      <c r="E183" s="3"/>
    </row>
    <row r="184" spans="5:5">
      <c r="E184" s="3"/>
    </row>
    <row r="185" spans="5:5">
      <c r="E185" s="3"/>
    </row>
    <row r="186" spans="5:5">
      <c r="E186" s="3"/>
    </row>
    <row r="187" spans="5:5">
      <c r="E187" s="3"/>
    </row>
    <row r="188" spans="5:5">
      <c r="E188" s="3"/>
    </row>
    <row r="189" spans="5:5">
      <c r="E189" s="3"/>
    </row>
    <row r="190" spans="5:5">
      <c r="E190" s="3"/>
    </row>
    <row r="191" spans="5:5">
      <c r="E191" s="3"/>
    </row>
    <row r="192" spans="5:5">
      <c r="E192" s="3"/>
    </row>
    <row r="193" spans="5:5">
      <c r="E193" s="3"/>
    </row>
    <row r="194" spans="5:5">
      <c r="E194" s="3"/>
    </row>
    <row r="195" spans="5:5">
      <c r="E195" s="3"/>
    </row>
    <row r="196" spans="5:5">
      <c r="E196" s="3"/>
    </row>
    <row r="197" spans="5:5">
      <c r="E197" s="3"/>
    </row>
    <row r="198" spans="5:5">
      <c r="E198" s="3"/>
    </row>
    <row r="199" spans="5:5">
      <c r="E199" s="3"/>
    </row>
    <row r="200" spans="5:5">
      <c r="E200" s="3"/>
    </row>
    <row r="201" spans="5:5">
      <c r="E201" s="3"/>
    </row>
    <row r="202" spans="5:5">
      <c r="E202" s="3"/>
    </row>
    <row r="203" spans="5:5">
      <c r="E203" s="3"/>
    </row>
    <row r="204" spans="5:5">
      <c r="E204" s="3"/>
    </row>
    <row r="205" spans="5:5">
      <c r="E205" s="3"/>
    </row>
    <row r="206" spans="5:5">
      <c r="E206" s="3"/>
    </row>
    <row r="207" spans="5:5">
      <c r="E207" s="3"/>
    </row>
    <row r="208" spans="5:5">
      <c r="E208" s="3"/>
    </row>
    <row r="209" spans="5:5">
      <c r="E209" s="3"/>
    </row>
    <row r="210" spans="5:5">
      <c r="E210" s="3"/>
    </row>
    <row r="211" spans="5:5">
      <c r="E211" s="3"/>
    </row>
    <row r="212" spans="5:5">
      <c r="E212" s="3"/>
    </row>
    <row r="213" spans="5:5">
      <c r="E213" s="3"/>
    </row>
    <row r="214" spans="5:5">
      <c r="E214" s="3"/>
    </row>
    <row r="215" spans="5:5">
      <c r="E215" s="3"/>
    </row>
    <row r="216" spans="5:5">
      <c r="E216" s="3"/>
    </row>
    <row r="217" spans="5:5">
      <c r="E217" s="3"/>
    </row>
    <row r="218" spans="5:5">
      <c r="E218" s="3"/>
    </row>
    <row r="219" spans="5:5">
      <c r="E219" s="3"/>
    </row>
    <row r="220" spans="5:5">
      <c r="E220" s="3"/>
    </row>
    <row r="221" spans="5:5">
      <c r="E221" s="3"/>
    </row>
    <row r="222" spans="5:5">
      <c r="E222" s="3"/>
    </row>
    <row r="223" spans="5:5">
      <c r="E223" s="3"/>
    </row>
    <row r="224" spans="5:5">
      <c r="E224" s="3"/>
    </row>
    <row r="225" spans="5:5">
      <c r="E225" s="3"/>
    </row>
    <row r="226" spans="5:5">
      <c r="E226" s="3"/>
    </row>
    <row r="227" spans="5:5">
      <c r="E227" s="3"/>
    </row>
    <row r="228" spans="5:5">
      <c r="E228" s="3"/>
    </row>
    <row r="229" spans="5:5">
      <c r="E229" s="3"/>
    </row>
    <row r="230" spans="5:5">
      <c r="E230" s="3"/>
    </row>
    <row r="231" spans="5:5">
      <c r="E231" s="3"/>
    </row>
    <row r="232" spans="5:5">
      <c r="E232" s="3"/>
    </row>
    <row r="233" spans="5:5">
      <c r="E233" s="3"/>
    </row>
    <row r="234" spans="5:5">
      <c r="E234" s="3"/>
    </row>
    <row r="235" spans="5:5">
      <c r="E235" s="3"/>
    </row>
    <row r="236" spans="5:5">
      <c r="E236" s="3"/>
    </row>
    <row r="237" spans="5:5">
      <c r="E237" s="3"/>
    </row>
    <row r="238" spans="5:5">
      <c r="E238" s="3"/>
    </row>
    <row r="239" spans="5:5">
      <c r="E239" s="3"/>
    </row>
    <row r="240" spans="5:5">
      <c r="E240" s="3"/>
    </row>
    <row r="241" spans="5:5">
      <c r="E241" s="3"/>
    </row>
    <row r="242" spans="5:5">
      <c r="E242" s="3"/>
    </row>
    <row r="243" spans="5:5">
      <c r="E243" s="3"/>
    </row>
    <row r="244" spans="5:5">
      <c r="E244" s="3"/>
    </row>
    <row r="245" spans="5:5">
      <c r="E245" s="3"/>
    </row>
    <row r="246" spans="5:5">
      <c r="E246" s="3"/>
    </row>
    <row r="247" spans="5:5">
      <c r="E247" s="3"/>
    </row>
    <row r="248" spans="5:5">
      <c r="E248" s="3"/>
    </row>
    <row r="249" spans="5:5">
      <c r="E249" s="3"/>
    </row>
    <row r="250" spans="5:5">
      <c r="E250" s="3"/>
    </row>
    <row r="251" spans="5:5">
      <c r="E251" s="3"/>
    </row>
    <row r="252" spans="5:5">
      <c r="E252" s="3"/>
    </row>
    <row r="253" spans="5:5">
      <c r="E253" s="3"/>
    </row>
    <row r="254" spans="5:5">
      <c r="E254" s="3"/>
    </row>
    <row r="255" spans="5:5">
      <c r="E255" s="3"/>
    </row>
    <row r="256" spans="5:5">
      <c r="E256" s="3"/>
    </row>
    <row r="257" spans="5:5">
      <c r="E257" s="3"/>
    </row>
    <row r="258" spans="5:5">
      <c r="E258" s="3"/>
    </row>
    <row r="259" spans="5:5">
      <c r="E259" s="3"/>
    </row>
    <row r="260" spans="5:5">
      <c r="E260" s="3"/>
    </row>
    <row r="261" spans="5:5">
      <c r="E261" s="3"/>
    </row>
    <row r="262" spans="5:5">
      <c r="E262" s="3"/>
    </row>
    <row r="263" spans="5:5">
      <c r="E263" s="3"/>
    </row>
    <row r="264" spans="5:5">
      <c r="E264" s="3"/>
    </row>
    <row r="265" spans="5:5">
      <c r="E265" s="3"/>
    </row>
    <row r="266" spans="5:5">
      <c r="E266" s="3"/>
    </row>
    <row r="267" spans="5:5">
      <c r="E267" s="3"/>
    </row>
    <row r="268" spans="5:5">
      <c r="E268" s="3"/>
    </row>
    <row r="269" spans="5:5">
      <c r="E269" s="3"/>
    </row>
    <row r="270" spans="5:5">
      <c r="E270" s="3"/>
    </row>
    <row r="271" spans="5:5">
      <c r="E271" s="3"/>
    </row>
    <row r="272" spans="5:5">
      <c r="E272" s="3"/>
    </row>
    <row r="273" spans="5:5">
      <c r="E273" s="3"/>
    </row>
    <row r="274" spans="5:5">
      <c r="E274" s="3"/>
    </row>
    <row r="275" spans="5:5">
      <c r="E275" s="3"/>
    </row>
    <row r="276" spans="5:5">
      <c r="E276" s="3"/>
    </row>
    <row r="277" spans="5:5">
      <c r="E277" s="3"/>
    </row>
    <row r="278" spans="5:5">
      <c r="E278" s="3"/>
    </row>
    <row r="279" spans="5:5">
      <c r="E279" s="3"/>
    </row>
    <row r="280" spans="5:5">
      <c r="E280" s="3"/>
    </row>
    <row r="281" spans="5:5">
      <c r="E281" s="3"/>
    </row>
    <row r="282" spans="5:5">
      <c r="E282" s="3"/>
    </row>
    <row r="283" spans="5:5">
      <c r="E283" s="3"/>
    </row>
    <row r="284" spans="5:5">
      <c r="E284" s="3"/>
    </row>
    <row r="285" spans="5:5">
      <c r="E285" s="3"/>
    </row>
    <row r="286" spans="5:5">
      <c r="E286" s="3"/>
    </row>
    <row r="287" spans="5:5">
      <c r="E287" s="3"/>
    </row>
    <row r="288" spans="5:5">
      <c r="E288" s="3"/>
    </row>
    <row r="289" spans="5:5">
      <c r="E289" s="3"/>
    </row>
    <row r="290" spans="5:5">
      <c r="E290" s="3"/>
    </row>
    <row r="291" spans="5:5">
      <c r="E291" s="3"/>
    </row>
    <row r="292" spans="5:5">
      <c r="E292" s="3"/>
    </row>
    <row r="293" spans="5:5">
      <c r="E293" s="3"/>
    </row>
    <row r="294" spans="5:5">
      <c r="E294" s="3"/>
    </row>
    <row r="295" spans="5:5">
      <c r="E295" s="3"/>
    </row>
    <row r="296" spans="5:5">
      <c r="E296" s="3"/>
    </row>
    <row r="297" spans="5:5">
      <c r="E297" s="3"/>
    </row>
    <row r="298" spans="5:5">
      <c r="E298" s="3"/>
    </row>
    <row r="299" spans="5:5">
      <c r="E299" s="3"/>
    </row>
    <row r="300" spans="5:5">
      <c r="E300" s="3"/>
    </row>
    <row r="301" spans="5:5">
      <c r="E301" s="3"/>
    </row>
    <row r="302" spans="5:5">
      <c r="E302" s="3"/>
    </row>
    <row r="303" spans="5:5">
      <c r="E303" s="3"/>
    </row>
    <row r="304" spans="5:5">
      <c r="E304" s="3"/>
    </row>
    <row r="305" spans="5:5">
      <c r="E305" s="3"/>
    </row>
    <row r="306" spans="5:5">
      <c r="E306" s="3"/>
    </row>
    <row r="307" spans="5:5">
      <c r="E307" s="3"/>
    </row>
    <row r="308" spans="5:5">
      <c r="E308" s="3"/>
    </row>
    <row r="309" spans="5:5">
      <c r="E309" s="3"/>
    </row>
    <row r="310" spans="5:5">
      <c r="E310" s="3"/>
    </row>
    <row r="311" spans="5:5">
      <c r="E311" s="3"/>
    </row>
    <row r="312" spans="5:5">
      <c r="E312" s="3"/>
    </row>
    <row r="313" spans="5:5">
      <c r="E313" s="3"/>
    </row>
    <row r="314" spans="5:5">
      <c r="E314" s="3"/>
    </row>
    <row r="315" spans="5:5">
      <c r="E315" s="3"/>
    </row>
    <row r="316" spans="5:5">
      <c r="E316" s="3"/>
    </row>
    <row r="317" spans="5:5">
      <c r="E317" s="3"/>
    </row>
    <row r="318" spans="5:5">
      <c r="E318" s="3"/>
    </row>
    <row r="319" spans="5:5">
      <c r="E319" s="3"/>
    </row>
    <row r="320" spans="5:5">
      <c r="E320" s="3"/>
    </row>
    <row r="321" spans="5:5">
      <c r="E321" s="3"/>
    </row>
    <row r="322" spans="5:5">
      <c r="E322" s="3"/>
    </row>
    <row r="323" spans="5:5">
      <c r="E323" s="3"/>
    </row>
    <row r="324" spans="5:5">
      <c r="E324" s="3"/>
    </row>
    <row r="325" spans="5:5">
      <c r="E325" s="3"/>
    </row>
    <row r="326" spans="5:5">
      <c r="E326" s="3"/>
    </row>
    <row r="327" spans="5:5">
      <c r="E327" s="3"/>
    </row>
    <row r="328" spans="5:5">
      <c r="E328" s="3"/>
    </row>
    <row r="329" spans="5:5">
      <c r="E329" s="3"/>
    </row>
    <row r="330" spans="5:5">
      <c r="E330" s="3"/>
    </row>
    <row r="331" spans="5:5">
      <c r="E331" s="3"/>
    </row>
    <row r="332" spans="5:5">
      <c r="E332" s="3"/>
    </row>
    <row r="333" spans="5:5">
      <c r="E333" s="3"/>
    </row>
    <row r="334" spans="5:5">
      <c r="E334" s="3"/>
    </row>
    <row r="335" spans="5:5">
      <c r="E335" s="3"/>
    </row>
    <row r="336" spans="5:5">
      <c r="E336" s="3"/>
    </row>
    <row r="337" spans="5:5">
      <c r="E337" s="3"/>
    </row>
    <row r="338" spans="5:5">
      <c r="E338" s="3"/>
    </row>
    <row r="339" spans="5:5">
      <c r="E339" s="3"/>
    </row>
    <row r="340" spans="5:5">
      <c r="E340" s="3"/>
    </row>
    <row r="341" spans="5:5">
      <c r="E341" s="3"/>
    </row>
    <row r="342" spans="5:5">
      <c r="E342" s="3"/>
    </row>
    <row r="343" spans="5:5">
      <c r="E343" s="3"/>
    </row>
    <row r="344" spans="5:5">
      <c r="E344" s="3"/>
    </row>
    <row r="345" spans="5:5">
      <c r="E345" s="3"/>
    </row>
    <row r="346" spans="5:5">
      <c r="E346" s="3"/>
    </row>
    <row r="347" spans="5:5">
      <c r="E347" s="3"/>
    </row>
    <row r="348" spans="5:5">
      <c r="E348" s="3"/>
    </row>
    <row r="349" spans="5:5">
      <c r="E349" s="3"/>
    </row>
    <row r="350" spans="5:5">
      <c r="E350" s="3"/>
    </row>
    <row r="351" spans="5:5">
      <c r="E351" s="3"/>
    </row>
    <row r="352" spans="5:5">
      <c r="E352" s="3"/>
    </row>
    <row r="353" spans="5:5">
      <c r="E353" s="3"/>
    </row>
    <row r="354" spans="5:5">
      <c r="E354" s="3"/>
    </row>
    <row r="355" spans="5:5">
      <c r="E355" s="3"/>
    </row>
    <row r="356" spans="5:5">
      <c r="E356" s="3"/>
    </row>
    <row r="357" spans="5:5">
      <c r="E357" s="3"/>
    </row>
    <row r="358" spans="5:5">
      <c r="E358" s="3"/>
    </row>
    <row r="359" spans="5:5">
      <c r="E359" s="3"/>
    </row>
    <row r="360" spans="5:5">
      <c r="E360" s="3"/>
    </row>
    <row r="361" spans="5:5">
      <c r="E361" s="3"/>
    </row>
    <row r="362" spans="5:5">
      <c r="E362" s="3"/>
    </row>
    <row r="363" spans="5:5">
      <c r="E363" s="3"/>
    </row>
    <row r="364" spans="5:5">
      <c r="E364" s="3"/>
    </row>
    <row r="365" spans="5:5">
      <c r="E365" s="3"/>
    </row>
    <row r="366" spans="5:5">
      <c r="E366" s="3"/>
    </row>
    <row r="367" spans="5:5">
      <c r="E367" s="3"/>
    </row>
    <row r="368" spans="5:5">
      <c r="E368" s="3"/>
    </row>
    <row r="369" spans="5:5">
      <c r="E369" s="3"/>
    </row>
    <row r="370" spans="5:5">
      <c r="E370" s="3"/>
    </row>
    <row r="371" spans="5:5">
      <c r="E371" s="3"/>
    </row>
    <row r="372" spans="5:5">
      <c r="E372" s="3"/>
    </row>
    <row r="373" spans="5:5">
      <c r="E373" s="3"/>
    </row>
    <row r="374" spans="5:5">
      <c r="E374" s="3"/>
    </row>
    <row r="375" spans="5:5">
      <c r="E375" s="3"/>
    </row>
    <row r="376" spans="5:5">
      <c r="E376" s="3"/>
    </row>
    <row r="377" spans="5:5">
      <c r="E377" s="3"/>
    </row>
    <row r="378" spans="5:5">
      <c r="E378" s="3"/>
    </row>
    <row r="379" spans="5:5">
      <c r="E379" s="3"/>
    </row>
    <row r="380" spans="5:5">
      <c r="E380" s="3"/>
    </row>
    <row r="381" spans="5:5">
      <c r="E381" s="3"/>
    </row>
    <row r="382" spans="5:5">
      <c r="E382" s="3"/>
    </row>
    <row r="383" spans="5:5">
      <c r="E383" s="3"/>
    </row>
    <row r="384" spans="5:5">
      <c r="E384" s="3"/>
    </row>
    <row r="385" spans="5:5">
      <c r="E385" s="3"/>
    </row>
    <row r="386" spans="5:5">
      <c r="E386" s="3"/>
    </row>
    <row r="387" spans="5:5">
      <c r="E387" s="3"/>
    </row>
    <row r="388" spans="5:5">
      <c r="E388" s="3"/>
    </row>
    <row r="389" spans="5:5">
      <c r="E389" s="3"/>
    </row>
    <row r="390" spans="5:5">
      <c r="E390" s="3"/>
    </row>
    <row r="391" spans="5:5">
      <c r="E391" s="3"/>
    </row>
    <row r="392" spans="5:5">
      <c r="E392" s="3"/>
    </row>
    <row r="393" spans="5:5">
      <c r="E393" s="3"/>
    </row>
    <row r="394" spans="5:5">
      <c r="E394" s="3"/>
    </row>
    <row r="395" spans="5:5">
      <c r="E395" s="3"/>
    </row>
    <row r="396" spans="5:5">
      <c r="E396" s="3"/>
    </row>
    <row r="397" spans="5:5">
      <c r="E397" s="3"/>
    </row>
    <row r="398" spans="5:5">
      <c r="E398" s="3"/>
    </row>
    <row r="399" spans="5:5">
      <c r="E399" s="3"/>
    </row>
    <row r="400" spans="5:5">
      <c r="E400" s="3"/>
    </row>
    <row r="401" spans="5:5">
      <c r="E401" s="3"/>
    </row>
    <row r="402" spans="5:5">
      <c r="E402" s="3"/>
    </row>
    <row r="403" spans="5:5">
      <c r="E403" s="3"/>
    </row>
    <row r="404" spans="5:5">
      <c r="E404" s="3"/>
    </row>
    <row r="405" spans="5:5">
      <c r="E405" s="3"/>
    </row>
    <row r="406" spans="5:5">
      <c r="E406" s="3"/>
    </row>
    <row r="407" spans="5:5">
      <c r="E407" s="3"/>
    </row>
    <row r="408" spans="5:5">
      <c r="E408" s="3"/>
    </row>
    <row r="409" spans="5:5">
      <c r="E409" s="3"/>
    </row>
    <row r="410" spans="5:5">
      <c r="E410" s="3"/>
    </row>
    <row r="411" spans="5:5">
      <c r="E411" s="3"/>
    </row>
    <row r="412" spans="5:5">
      <c r="E412" s="3"/>
    </row>
    <row r="413" spans="5:5">
      <c r="E413" s="3"/>
    </row>
    <row r="414" spans="5:5">
      <c r="E414" s="3"/>
    </row>
    <row r="415" spans="5:5">
      <c r="E415" s="3"/>
    </row>
    <row r="416" spans="5:5">
      <c r="E416" s="3"/>
    </row>
    <row r="417" spans="5:5">
      <c r="E417" s="3"/>
    </row>
    <row r="418" spans="5:5">
      <c r="E418" s="3"/>
    </row>
    <row r="419" spans="5:5">
      <c r="E419" s="3"/>
    </row>
    <row r="420" spans="5:5">
      <c r="E420" s="3"/>
    </row>
    <row r="421" spans="5:5">
      <c r="E421" s="3"/>
    </row>
    <row r="422" spans="5:5">
      <c r="E422" s="3"/>
    </row>
    <row r="423" spans="5:5">
      <c r="E423" s="3"/>
    </row>
    <row r="424" spans="5:5">
      <c r="E424" s="3"/>
    </row>
    <row r="425" spans="5:5">
      <c r="E425" s="3"/>
    </row>
    <row r="426" spans="5:5">
      <c r="E426" s="3"/>
    </row>
    <row r="427" spans="5:5">
      <c r="E427" s="3"/>
    </row>
    <row r="428" spans="5:5">
      <c r="E428" s="3"/>
    </row>
    <row r="429" spans="5:5">
      <c r="E429" s="3"/>
    </row>
    <row r="430" spans="5:5">
      <c r="E430" s="3"/>
    </row>
    <row r="431" spans="5:5">
      <c r="E431" s="3"/>
    </row>
    <row r="432" spans="5:5">
      <c r="E432" s="3"/>
    </row>
    <row r="433" spans="5:5">
      <c r="E433" s="3"/>
    </row>
    <row r="434" spans="5:5">
      <c r="E434" s="3"/>
    </row>
    <row r="435" spans="5:5">
      <c r="E435" s="3"/>
    </row>
    <row r="436" spans="5:5">
      <c r="E436" s="3"/>
    </row>
    <row r="437" spans="5:5">
      <c r="E437" s="3"/>
    </row>
    <row r="438" spans="5:5">
      <c r="E438" s="3"/>
    </row>
    <row r="439" spans="5:5">
      <c r="E439" s="3"/>
    </row>
    <row r="440" spans="5:5">
      <c r="E440" s="3"/>
    </row>
    <row r="441" spans="5:5">
      <c r="E441" s="3"/>
    </row>
    <row r="442" spans="5:5">
      <c r="E442" s="3"/>
    </row>
    <row r="443" spans="5:5">
      <c r="E443" s="3"/>
    </row>
    <row r="444" spans="5:5">
      <c r="E444" s="3"/>
    </row>
    <row r="445" spans="5:5">
      <c r="E445" s="3"/>
    </row>
    <row r="446" spans="5:5">
      <c r="E446" s="3"/>
    </row>
    <row r="447" spans="5:5">
      <c r="E447" s="3"/>
    </row>
    <row r="448" spans="5:5">
      <c r="E448" s="3"/>
    </row>
    <row r="449" spans="5:5">
      <c r="E449" s="3"/>
    </row>
    <row r="450" spans="5:5">
      <c r="E450" s="3"/>
    </row>
    <row r="451" spans="5:5">
      <c r="E451" s="3"/>
    </row>
    <row r="452" spans="5:5">
      <c r="E452" s="3"/>
    </row>
    <row r="453" spans="5:5">
      <c r="E453" s="3"/>
    </row>
    <row r="454" spans="5:5">
      <c r="E454" s="3"/>
    </row>
    <row r="455" spans="5:5">
      <c r="E455" s="3"/>
    </row>
    <row r="456" spans="5:5">
      <c r="E456" s="3"/>
    </row>
    <row r="457" spans="5:5">
      <c r="E457" s="3"/>
    </row>
    <row r="458" spans="5:5">
      <c r="E458" s="3"/>
    </row>
    <row r="459" spans="5:5">
      <c r="E459" s="3"/>
    </row>
    <row r="460" spans="5:5">
      <c r="E460" s="3"/>
    </row>
    <row r="461" spans="5:5">
      <c r="E461" s="3"/>
    </row>
    <row r="462" spans="5:5">
      <c r="E462" s="3"/>
    </row>
    <row r="463" spans="5:5">
      <c r="E463" s="3"/>
    </row>
    <row r="464" spans="5:5">
      <c r="E464" s="3"/>
    </row>
    <row r="465" spans="5:5">
      <c r="E465" s="3"/>
    </row>
    <row r="466" spans="5:5">
      <c r="E466" s="3"/>
    </row>
    <row r="467" spans="5:5">
      <c r="E467" s="3"/>
    </row>
    <row r="468" spans="5:5">
      <c r="E468" s="3"/>
    </row>
    <row r="469" spans="5:5">
      <c r="E469" s="3"/>
    </row>
    <row r="470" spans="5:5">
      <c r="E470" s="3"/>
    </row>
    <row r="471" spans="5:5">
      <c r="E471" s="3"/>
    </row>
    <row r="472" spans="5:5">
      <c r="E472" s="3"/>
    </row>
    <row r="473" spans="5:5">
      <c r="E473" s="3"/>
    </row>
    <row r="474" spans="5:5">
      <c r="E474" s="3"/>
    </row>
    <row r="475" spans="5:5">
      <c r="E475" s="3"/>
    </row>
    <row r="476" spans="5:5">
      <c r="E476" s="3"/>
    </row>
    <row r="477" spans="5:5">
      <c r="E477" s="3"/>
    </row>
    <row r="478" spans="5:5">
      <c r="E478" s="3"/>
    </row>
    <row r="479" spans="5:5">
      <c r="E479" s="3"/>
    </row>
    <row r="480" spans="5:5">
      <c r="E480" s="3"/>
    </row>
    <row r="481" spans="5:5">
      <c r="E481" s="3"/>
    </row>
    <row r="482" spans="5:5">
      <c r="E482" s="3"/>
    </row>
    <row r="483" spans="5:5">
      <c r="E483" s="3"/>
    </row>
    <row r="484" spans="5:5">
      <c r="E484" s="3"/>
    </row>
    <row r="485" spans="5:5">
      <c r="E485" s="3"/>
    </row>
    <row r="486" spans="5:5">
      <c r="E486" s="3"/>
    </row>
    <row r="487" spans="5:5">
      <c r="E487" s="3"/>
    </row>
    <row r="488" spans="5:5">
      <c r="E488" s="3"/>
    </row>
    <row r="489" spans="5:5">
      <c r="E489" s="3"/>
    </row>
    <row r="490" spans="5:5">
      <c r="E490" s="3"/>
    </row>
    <row r="491" spans="5:5">
      <c r="E491" s="3"/>
    </row>
    <row r="492" spans="5:5">
      <c r="E492" s="3"/>
    </row>
    <row r="493" spans="5:5">
      <c r="E493" s="3"/>
    </row>
    <row r="494" spans="5:5">
      <c r="E494" s="3"/>
    </row>
    <row r="495" spans="5:5">
      <c r="E495" s="3"/>
    </row>
    <row r="496" spans="5:5">
      <c r="E496" s="3"/>
    </row>
    <row r="497" spans="5:5">
      <c r="E497" s="3"/>
    </row>
    <row r="498" spans="5:5">
      <c r="E498" s="3"/>
    </row>
    <row r="499" spans="5:5">
      <c r="E499" s="3"/>
    </row>
    <row r="500" spans="5:5">
      <c r="E500" s="3"/>
    </row>
    <row r="501" spans="5:5">
      <c r="E501" s="3"/>
    </row>
    <row r="502" spans="5:5">
      <c r="E502" s="3"/>
    </row>
    <row r="503" spans="5:5">
      <c r="E503" s="3"/>
    </row>
    <row r="504" spans="5:5">
      <c r="E504" s="3"/>
    </row>
    <row r="505" spans="5:5">
      <c r="E505" s="3"/>
    </row>
    <row r="506" spans="5:5">
      <c r="E506" s="3"/>
    </row>
    <row r="507" spans="5:5">
      <c r="E507" s="3"/>
    </row>
    <row r="508" spans="5:5">
      <c r="E508" s="3"/>
    </row>
    <row r="509" spans="5:5">
      <c r="E509" s="3"/>
    </row>
    <row r="510" spans="5:5">
      <c r="E510" s="3"/>
    </row>
    <row r="511" spans="5:5">
      <c r="E511" s="3"/>
    </row>
    <row r="512" spans="5:5">
      <c r="E512" s="3"/>
    </row>
    <row r="513" spans="5:5">
      <c r="E513" s="3"/>
    </row>
    <row r="514" spans="5:5">
      <c r="E514" s="3"/>
    </row>
    <row r="515" spans="5:5">
      <c r="E515" s="3"/>
    </row>
    <row r="516" spans="5:5">
      <c r="E516" s="3"/>
    </row>
    <row r="517" spans="5:5">
      <c r="E517" s="3"/>
    </row>
    <row r="518" spans="5:5">
      <c r="E518" s="3"/>
    </row>
    <row r="519" spans="5:5">
      <c r="E519" s="3"/>
    </row>
    <row r="520" spans="5:5">
      <c r="E520" s="3"/>
    </row>
    <row r="521" spans="5:5">
      <c r="E521" s="3"/>
    </row>
    <row r="522" spans="5:5">
      <c r="E522" s="3"/>
    </row>
    <row r="523" spans="5:5">
      <c r="E523" s="3"/>
    </row>
    <row r="524" spans="5:5">
      <c r="E524" s="3"/>
    </row>
    <row r="525" spans="5:5">
      <c r="E525" s="3"/>
    </row>
    <row r="526" spans="5:5">
      <c r="E526" s="3"/>
    </row>
    <row r="527" spans="5:5">
      <c r="E527" s="3"/>
    </row>
    <row r="528" spans="5:5">
      <c r="E528" s="3"/>
    </row>
    <row r="529" spans="5:5">
      <c r="E529" s="3"/>
    </row>
    <row r="530" spans="5:5">
      <c r="E530" s="3"/>
    </row>
    <row r="531" spans="5:5">
      <c r="E531" s="3"/>
    </row>
    <row r="532" spans="5:5">
      <c r="E532" s="3"/>
    </row>
    <row r="533" spans="5:5">
      <c r="E533" s="3"/>
    </row>
    <row r="534" spans="5:5">
      <c r="E534" s="3"/>
    </row>
    <row r="535" spans="5:5">
      <c r="E535" s="3"/>
    </row>
    <row r="536" spans="5:5">
      <c r="E536" s="3"/>
    </row>
    <row r="537" spans="5:5">
      <c r="E537" s="3"/>
    </row>
    <row r="538" spans="5:5">
      <c r="E538" s="3"/>
    </row>
    <row r="539" spans="5:5">
      <c r="E539" s="3"/>
    </row>
    <row r="540" spans="5:5">
      <c r="E540" s="3"/>
    </row>
    <row r="541" spans="5:5">
      <c r="E541" s="3"/>
    </row>
    <row r="542" spans="5:5">
      <c r="E542" s="3"/>
    </row>
    <row r="543" spans="5:5">
      <c r="E543" s="3"/>
    </row>
    <row r="544" spans="5:5">
      <c r="E544" s="3"/>
    </row>
    <row r="545" spans="5:5">
      <c r="E545" s="3"/>
    </row>
    <row r="546" spans="5:5">
      <c r="E546" s="3"/>
    </row>
    <row r="547" spans="5:5">
      <c r="E547" s="3"/>
    </row>
    <row r="548" spans="5:5">
      <c r="E548" s="3"/>
    </row>
    <row r="549" spans="5:5">
      <c r="E549" s="3"/>
    </row>
    <row r="550" spans="5:5">
      <c r="E550" s="3"/>
    </row>
    <row r="551" spans="5:5">
      <c r="E551" s="3"/>
    </row>
    <row r="552" spans="5:5">
      <c r="E552" s="3"/>
    </row>
    <row r="553" spans="5:5">
      <c r="E553" s="3"/>
    </row>
    <row r="554" spans="5:5">
      <c r="E554" s="3"/>
    </row>
    <row r="555" spans="5:5">
      <c r="E555" s="3"/>
    </row>
    <row r="556" spans="5:5">
      <c r="E556" s="3"/>
    </row>
    <row r="557" spans="5:5">
      <c r="E557" s="3"/>
    </row>
    <row r="558" spans="5:5">
      <c r="E558" s="3"/>
    </row>
    <row r="559" spans="5:5">
      <c r="E559" s="3"/>
    </row>
    <row r="560" spans="5:5">
      <c r="E560" s="3"/>
    </row>
    <row r="561" spans="5:5">
      <c r="E561" s="3"/>
    </row>
    <row r="562" spans="5:5">
      <c r="E562" s="3"/>
    </row>
    <row r="563" spans="5:5">
      <c r="E563" s="3"/>
    </row>
    <row r="564" spans="5:5">
      <c r="E564" s="3"/>
    </row>
    <row r="565" spans="5:5">
      <c r="E565" s="3"/>
    </row>
    <row r="566" spans="5:5">
      <c r="E566" s="3"/>
    </row>
    <row r="567" spans="5:5">
      <c r="E567" s="3"/>
    </row>
    <row r="568" spans="5:5">
      <c r="E568" s="3"/>
    </row>
    <row r="569" spans="5:5">
      <c r="E569" s="3"/>
    </row>
    <row r="570" spans="5:5">
      <c r="E570" s="3"/>
    </row>
    <row r="571" spans="5:5">
      <c r="E571" s="3"/>
    </row>
    <row r="572" spans="5:5">
      <c r="E572" s="3"/>
    </row>
    <row r="573" spans="5:5">
      <c r="E573" s="3"/>
    </row>
    <row r="574" spans="5:5">
      <c r="E574" s="3"/>
    </row>
    <row r="575" spans="5:5">
      <c r="E575" s="3"/>
    </row>
    <row r="576" spans="5:5">
      <c r="E576" s="3"/>
    </row>
    <row r="577" spans="5:5">
      <c r="E577" s="3"/>
    </row>
    <row r="578" spans="5:5">
      <c r="E578" s="3"/>
    </row>
    <row r="579" spans="5:5">
      <c r="E579" s="3"/>
    </row>
    <row r="580" spans="5:5">
      <c r="E580" s="3"/>
    </row>
    <row r="581" spans="5:5">
      <c r="E581" s="3"/>
    </row>
    <row r="582" spans="5:5">
      <c r="E582" s="3"/>
    </row>
    <row r="583" spans="5:5">
      <c r="E583" s="3"/>
    </row>
    <row r="584" spans="5:5">
      <c r="E584" s="3"/>
    </row>
    <row r="585" spans="5:5">
      <c r="E585" s="3"/>
    </row>
    <row r="586" spans="5:5">
      <c r="E586" s="3"/>
    </row>
    <row r="587" spans="5:5">
      <c r="E587" s="3"/>
    </row>
    <row r="588" spans="5:5">
      <c r="E588" s="3"/>
    </row>
    <row r="589" spans="5:5">
      <c r="E589" s="3"/>
    </row>
    <row r="590" spans="5:5">
      <c r="E590" s="3"/>
    </row>
    <row r="591" spans="5:5">
      <c r="E591" s="3"/>
    </row>
    <row r="592" spans="5:5">
      <c r="E592" s="3"/>
    </row>
    <row r="593" spans="5:5">
      <c r="E593" s="3"/>
    </row>
    <row r="594" spans="5:5">
      <c r="E594" s="3"/>
    </row>
    <row r="595" spans="5:5">
      <c r="E595" s="3"/>
    </row>
    <row r="596" spans="5:5">
      <c r="E596" s="3"/>
    </row>
    <row r="597" spans="5:5">
      <c r="E597" s="3"/>
    </row>
    <row r="598" spans="5:5">
      <c r="E598" s="3"/>
    </row>
    <row r="599" spans="5:5">
      <c r="E599" s="3"/>
    </row>
    <row r="600" spans="5:5">
      <c r="E600" s="3"/>
    </row>
    <row r="601" spans="5:5">
      <c r="E601" s="3"/>
    </row>
    <row r="602" spans="5:5">
      <c r="E602" s="3"/>
    </row>
    <row r="603" spans="5:5">
      <c r="E603" s="3"/>
    </row>
    <row r="604" spans="5:5">
      <c r="E604" s="3"/>
    </row>
    <row r="605" spans="5:5">
      <c r="E605" s="3"/>
    </row>
    <row r="606" spans="5:5">
      <c r="E606" s="3"/>
    </row>
    <row r="607" spans="5:5">
      <c r="E607" s="3"/>
    </row>
    <row r="608" spans="5:5">
      <c r="E608" s="3"/>
    </row>
    <row r="609" spans="5:5">
      <c r="E609" s="3"/>
    </row>
    <row r="610" spans="5:5">
      <c r="E610" s="3"/>
    </row>
    <row r="611" spans="5:5">
      <c r="E611" s="3"/>
    </row>
    <row r="612" spans="5:5">
      <c r="E612" s="3"/>
    </row>
    <row r="613" spans="5:5">
      <c r="E613" s="3"/>
    </row>
    <row r="614" spans="5:5">
      <c r="E614" s="3"/>
    </row>
    <row r="615" spans="5:5">
      <c r="E615" s="3"/>
    </row>
    <row r="616" spans="5:5">
      <c r="E616" s="3"/>
    </row>
    <row r="617" spans="5:5">
      <c r="E617" s="3"/>
    </row>
    <row r="618" spans="5:5">
      <c r="E618" s="3"/>
    </row>
    <row r="619" spans="5:5">
      <c r="E619" s="3"/>
    </row>
    <row r="620" spans="5:5">
      <c r="E620" s="3"/>
    </row>
    <row r="621" spans="5:5">
      <c r="E621" s="3"/>
    </row>
    <row r="622" spans="5:5">
      <c r="E622" s="3"/>
    </row>
    <row r="623" spans="5:5">
      <c r="E623" s="3"/>
    </row>
    <row r="624" spans="5:5">
      <c r="E624" s="3"/>
    </row>
    <row r="625" spans="5:5">
      <c r="E625" s="3"/>
    </row>
    <row r="626" spans="5:5">
      <c r="E626" s="3"/>
    </row>
    <row r="627" spans="5:5">
      <c r="E627" s="3"/>
    </row>
    <row r="628" spans="5:5">
      <c r="E628" s="3"/>
    </row>
    <row r="629" spans="5:5">
      <c r="E629" s="3"/>
    </row>
    <row r="630" spans="5:5">
      <c r="E630" s="3"/>
    </row>
    <row r="631" spans="5:5">
      <c r="E631" s="3"/>
    </row>
    <row r="632" spans="5:5">
      <c r="E632" s="3"/>
    </row>
    <row r="633" spans="5:5">
      <c r="E633" s="3"/>
    </row>
    <row r="634" spans="5:5">
      <c r="E634" s="3"/>
    </row>
    <row r="635" spans="5:5">
      <c r="E635" s="3"/>
    </row>
    <row r="636" spans="5:5">
      <c r="E636" s="3"/>
    </row>
    <row r="637" spans="5:5">
      <c r="E637" s="3"/>
    </row>
    <row r="638" spans="5:5">
      <c r="E638" s="3"/>
    </row>
    <row r="639" spans="5:5">
      <c r="E639" s="3"/>
    </row>
    <row r="640" spans="5:5">
      <c r="E640" s="3"/>
    </row>
    <row r="641" spans="5:5">
      <c r="E641" s="3"/>
    </row>
    <row r="642" spans="5:5">
      <c r="E642" s="3"/>
    </row>
    <row r="643" spans="5:5">
      <c r="E643" s="3"/>
    </row>
    <row r="644" spans="5:5">
      <c r="E644" s="3"/>
    </row>
    <row r="645" spans="5:5">
      <c r="E645" s="3"/>
    </row>
    <row r="646" spans="5:5">
      <c r="E646" s="3"/>
    </row>
    <row r="647" spans="5:5">
      <c r="E647" s="3"/>
    </row>
    <row r="648" spans="5:5">
      <c r="E648" s="3"/>
    </row>
    <row r="649" spans="5:5">
      <c r="E649" s="3"/>
    </row>
    <row r="650" spans="5:5">
      <c r="E650" s="3"/>
    </row>
    <row r="651" spans="5:5">
      <c r="E651" s="3"/>
    </row>
    <row r="652" spans="5:5">
      <c r="E652" s="3"/>
    </row>
    <row r="653" spans="5:5">
      <c r="E653" s="3"/>
    </row>
    <row r="654" spans="5:5">
      <c r="E654" s="3"/>
    </row>
    <row r="655" spans="5:5">
      <c r="E655" s="3"/>
    </row>
    <row r="656" spans="5:5">
      <c r="E656" s="3"/>
    </row>
    <row r="657" spans="5:5">
      <c r="E657" s="3"/>
    </row>
    <row r="658" spans="5:5">
      <c r="E658" s="3"/>
    </row>
    <row r="659" spans="5:5">
      <c r="E659" s="3"/>
    </row>
    <row r="660" spans="5:5">
      <c r="E660" s="3"/>
    </row>
    <row r="661" spans="5:5">
      <c r="E661" s="3"/>
    </row>
    <row r="662" spans="5:5">
      <c r="E662" s="3"/>
    </row>
    <row r="663" spans="5:5">
      <c r="E663" s="3"/>
    </row>
    <row r="664" spans="5:5">
      <c r="E664" s="3"/>
    </row>
    <row r="665" spans="5:5">
      <c r="E665" s="3"/>
    </row>
    <row r="666" spans="5:5">
      <c r="E666" s="3"/>
    </row>
    <row r="667" spans="5:5">
      <c r="E667" s="3"/>
    </row>
    <row r="668" spans="5:5">
      <c r="E668" s="3"/>
    </row>
    <row r="669" spans="5:5">
      <c r="E669" s="3"/>
    </row>
    <row r="670" spans="5:5">
      <c r="E670" s="3"/>
    </row>
    <row r="671" spans="5:5">
      <c r="E671" s="3"/>
    </row>
    <row r="672" spans="5:5">
      <c r="E672" s="3"/>
    </row>
    <row r="673" spans="5:5">
      <c r="E673" s="3"/>
    </row>
    <row r="674" spans="5:5">
      <c r="E674" s="3"/>
    </row>
    <row r="675" spans="5:5">
      <c r="E675" s="3"/>
    </row>
    <row r="676" spans="5:5">
      <c r="E676" s="3"/>
    </row>
    <row r="677" spans="5:5">
      <c r="E677" s="3"/>
    </row>
    <row r="678" spans="5:5">
      <c r="E678" s="3"/>
    </row>
    <row r="679" spans="5:5">
      <c r="E679" s="3"/>
    </row>
    <row r="680" spans="5:5">
      <c r="E680" s="3"/>
    </row>
    <row r="681" spans="5:5">
      <c r="E681" s="3"/>
    </row>
    <row r="682" spans="5:5">
      <c r="E682" s="3"/>
    </row>
    <row r="683" spans="5:5">
      <c r="E683" s="3"/>
    </row>
    <row r="684" spans="5:5">
      <c r="E684" s="3"/>
    </row>
    <row r="685" spans="5:5">
      <c r="E685" s="3"/>
    </row>
    <row r="686" spans="5:5">
      <c r="E686" s="3"/>
    </row>
    <row r="687" spans="5:5">
      <c r="E687" s="3"/>
    </row>
    <row r="688" spans="5:5">
      <c r="E688" s="3"/>
    </row>
    <row r="689" spans="5:5">
      <c r="E689" s="3"/>
    </row>
    <row r="690" spans="5:5">
      <c r="E690" s="3"/>
    </row>
    <row r="691" spans="5:5">
      <c r="E691" s="3"/>
    </row>
    <row r="692" spans="5:5">
      <c r="E692" s="3"/>
    </row>
    <row r="693" spans="5:5">
      <c r="E693" s="3"/>
    </row>
    <row r="694" spans="5:5">
      <c r="E694" s="3"/>
    </row>
    <row r="695" spans="5:5">
      <c r="E695" s="3"/>
    </row>
    <row r="696" spans="5:5">
      <c r="E696" s="3"/>
    </row>
    <row r="697" spans="5:5">
      <c r="E697" s="3"/>
    </row>
    <row r="698" spans="5:5">
      <c r="E698" s="3"/>
    </row>
    <row r="699" spans="5:5">
      <c r="E699" s="3"/>
    </row>
    <row r="700" spans="5:5">
      <c r="E700" s="3"/>
    </row>
    <row r="701" spans="5:5">
      <c r="E701" s="3"/>
    </row>
    <row r="702" spans="5:5">
      <c r="E702" s="3"/>
    </row>
    <row r="703" spans="5:5">
      <c r="E703" s="3"/>
    </row>
    <row r="704" spans="5:5">
      <c r="E704" s="3"/>
    </row>
    <row r="705" spans="5:5">
      <c r="E705" s="3"/>
    </row>
    <row r="706" spans="5:5">
      <c r="E706" s="3"/>
    </row>
    <row r="707" spans="5:5">
      <c r="E707" s="3"/>
    </row>
    <row r="708" spans="5:5">
      <c r="E708" s="3"/>
    </row>
    <row r="709" spans="5:5">
      <c r="E709" s="3"/>
    </row>
    <row r="710" spans="5:5">
      <c r="E710" s="3"/>
    </row>
    <row r="711" spans="5:5">
      <c r="E711" s="3"/>
    </row>
    <row r="712" spans="5:5">
      <c r="E712" s="3"/>
    </row>
    <row r="713" spans="5:5">
      <c r="E713" s="3"/>
    </row>
    <row r="714" spans="5:5">
      <c r="E714" s="3"/>
    </row>
    <row r="715" spans="5:5">
      <c r="E715" s="3"/>
    </row>
    <row r="716" spans="5:5">
      <c r="E716" s="3"/>
    </row>
    <row r="717" spans="5:5">
      <c r="E717" s="3"/>
    </row>
    <row r="718" spans="5:5">
      <c r="E718" s="3"/>
    </row>
    <row r="719" spans="5:5">
      <c r="E719" s="3"/>
    </row>
    <row r="720" spans="5:5">
      <c r="E720" s="3"/>
    </row>
    <row r="721" spans="5:5">
      <c r="E721" s="3"/>
    </row>
    <row r="722" spans="5:5">
      <c r="E722" s="3"/>
    </row>
    <row r="723" spans="5:5">
      <c r="E723" s="3"/>
    </row>
    <row r="724" spans="5:5">
      <c r="E724" s="3"/>
    </row>
    <row r="725" spans="5:5">
      <c r="E725" s="3"/>
    </row>
    <row r="726" spans="5:5">
      <c r="E726" s="3"/>
    </row>
    <row r="727" spans="5:5">
      <c r="E727" s="3"/>
    </row>
    <row r="728" spans="5:5">
      <c r="E728" s="3"/>
    </row>
    <row r="729" spans="5:5">
      <c r="E729" s="3"/>
    </row>
    <row r="730" spans="5:5">
      <c r="E730" s="3"/>
    </row>
    <row r="731" spans="5:5">
      <c r="E731" s="3"/>
    </row>
    <row r="732" spans="5:5">
      <c r="E732" s="3"/>
    </row>
    <row r="733" spans="5:5">
      <c r="E733" s="3"/>
    </row>
    <row r="734" spans="5:5">
      <c r="E734" s="3"/>
    </row>
    <row r="735" spans="5:5">
      <c r="E735" s="3"/>
    </row>
    <row r="736" spans="5:5">
      <c r="E736" s="3"/>
    </row>
    <row r="737" spans="5:5">
      <c r="E737" s="3"/>
    </row>
    <row r="738" spans="5:5">
      <c r="E738" s="3"/>
    </row>
    <row r="739" spans="5:5">
      <c r="E739" s="3"/>
    </row>
    <row r="740" spans="5:5">
      <c r="E740" s="3"/>
    </row>
    <row r="741" spans="5:5">
      <c r="E741" s="3"/>
    </row>
    <row r="742" spans="5:5">
      <c r="E742" s="3"/>
    </row>
    <row r="743" spans="5:5">
      <c r="E743" s="3"/>
    </row>
    <row r="744" spans="5:5">
      <c r="E744" s="3"/>
    </row>
    <row r="745" spans="5:5">
      <c r="E745" s="3"/>
    </row>
    <row r="746" spans="5:5">
      <c r="E746" s="3"/>
    </row>
    <row r="747" spans="5:5">
      <c r="E747" s="3"/>
    </row>
    <row r="748" spans="5:5">
      <c r="E748" s="3"/>
    </row>
    <row r="749" spans="5:5">
      <c r="E749" s="3"/>
    </row>
    <row r="750" spans="5:5">
      <c r="E750" s="3"/>
    </row>
    <row r="751" spans="5:5">
      <c r="E751" s="3"/>
    </row>
    <row r="752" spans="5:5">
      <c r="E752" s="3"/>
    </row>
    <row r="753" spans="5:5">
      <c r="E753" s="3"/>
    </row>
    <row r="754" spans="5:5">
      <c r="E754" s="3"/>
    </row>
    <row r="755" spans="5:5">
      <c r="E755" s="3"/>
    </row>
    <row r="756" spans="5:5">
      <c r="E756" s="3"/>
    </row>
    <row r="757" spans="5:5">
      <c r="E757" s="3"/>
    </row>
    <row r="758" spans="5:5">
      <c r="E758" s="3"/>
    </row>
    <row r="759" spans="5:5">
      <c r="E759" s="3"/>
    </row>
    <row r="760" spans="5:5">
      <c r="E760" s="3"/>
    </row>
    <row r="761" spans="5:5">
      <c r="E761" s="3"/>
    </row>
    <row r="762" spans="5:5">
      <c r="E762" s="3"/>
    </row>
    <row r="763" spans="5:5">
      <c r="E763" s="3"/>
    </row>
    <row r="764" spans="5:5">
      <c r="E764" s="3"/>
    </row>
    <row r="765" spans="5:5">
      <c r="E765" s="3"/>
    </row>
    <row r="766" spans="5:5">
      <c r="E766" s="3"/>
    </row>
    <row r="767" spans="5:5">
      <c r="E767" s="3"/>
    </row>
    <row r="768" spans="5:5">
      <c r="E768" s="3"/>
    </row>
    <row r="769" spans="5:5">
      <c r="E769" s="3"/>
    </row>
    <row r="770" spans="5:5">
      <c r="E770" s="3"/>
    </row>
    <row r="771" spans="5:5">
      <c r="E771" s="3"/>
    </row>
    <row r="772" spans="5:5">
      <c r="E772" s="3"/>
    </row>
    <row r="773" spans="5:5">
      <c r="E773" s="3"/>
    </row>
    <row r="774" spans="5:5">
      <c r="E774" s="3"/>
    </row>
    <row r="775" spans="5:5">
      <c r="E775" s="3"/>
    </row>
    <row r="776" spans="5:5">
      <c r="E776" s="3"/>
    </row>
    <row r="777" spans="5:5">
      <c r="E777" s="3"/>
    </row>
    <row r="778" spans="5:5">
      <c r="E778" s="3"/>
    </row>
    <row r="779" spans="5:5">
      <c r="E779" s="3"/>
    </row>
    <row r="780" spans="5:5">
      <c r="E780" s="3"/>
    </row>
    <row r="781" spans="5:5">
      <c r="E781" s="3"/>
    </row>
    <row r="782" spans="5:5">
      <c r="E782" s="3"/>
    </row>
    <row r="783" spans="5:5">
      <c r="E783" s="3"/>
    </row>
    <row r="784" spans="5:5">
      <c r="E784" s="3"/>
    </row>
    <row r="785" spans="5:5">
      <c r="E785" s="3"/>
    </row>
    <row r="786" spans="5:5">
      <c r="E786" s="3"/>
    </row>
    <row r="787" spans="5:5">
      <c r="E787" s="3"/>
    </row>
    <row r="788" spans="5:5">
      <c r="E788" s="3"/>
    </row>
    <row r="789" spans="5:5">
      <c r="E789" s="3"/>
    </row>
    <row r="790" spans="5:5">
      <c r="E790" s="3"/>
    </row>
    <row r="791" spans="5:5">
      <c r="E791" s="3"/>
    </row>
    <row r="792" spans="5:5">
      <c r="E792" s="3"/>
    </row>
    <row r="793" spans="5:5">
      <c r="E793" s="3"/>
    </row>
    <row r="794" spans="5:5">
      <c r="E794" s="3"/>
    </row>
    <row r="795" spans="5:5">
      <c r="E795" s="3"/>
    </row>
    <row r="796" spans="5:5">
      <c r="E796" s="3"/>
    </row>
    <row r="797" spans="5:5">
      <c r="E797" s="3"/>
    </row>
    <row r="798" spans="5:5">
      <c r="E798" s="3"/>
    </row>
    <row r="799" spans="5:5">
      <c r="E799" s="3"/>
    </row>
    <row r="800" spans="5:5">
      <c r="E800" s="3"/>
    </row>
    <row r="801" spans="5:5">
      <c r="E801" s="3"/>
    </row>
    <row r="802" spans="5:5">
      <c r="E802" s="3"/>
    </row>
    <row r="803" spans="5:5">
      <c r="E803" s="3"/>
    </row>
    <row r="804" spans="5:5">
      <c r="E804" s="3"/>
    </row>
    <row r="805" spans="5:5">
      <c r="E805" s="3"/>
    </row>
    <row r="806" spans="5:5">
      <c r="E806" s="3"/>
    </row>
    <row r="807" spans="5:5">
      <c r="E807" s="3"/>
    </row>
    <row r="808" spans="5:5">
      <c r="E808" s="3"/>
    </row>
    <row r="809" spans="5:5">
      <c r="E809" s="3"/>
    </row>
    <row r="810" spans="5:5">
      <c r="E810" s="3"/>
    </row>
    <row r="811" spans="5:5">
      <c r="E811" s="3"/>
    </row>
    <row r="812" spans="5:5">
      <c r="E812" s="3"/>
    </row>
    <row r="813" spans="5:5">
      <c r="E813" s="3"/>
    </row>
    <row r="814" spans="5:5">
      <c r="E814" s="3"/>
    </row>
    <row r="815" spans="5:5">
      <c r="E815" s="3"/>
    </row>
    <row r="816" spans="5:5">
      <c r="E816" s="3"/>
    </row>
    <row r="817" spans="5:5">
      <c r="E817" s="3"/>
    </row>
    <row r="818" spans="5:5">
      <c r="E818" s="3"/>
    </row>
    <row r="819" spans="5:5">
      <c r="E819" s="3"/>
    </row>
    <row r="820" spans="5:5">
      <c r="E820" s="3"/>
    </row>
    <row r="821" spans="5:5">
      <c r="E821" s="3"/>
    </row>
    <row r="822" spans="5:5">
      <c r="E822" s="3"/>
    </row>
    <row r="823" spans="5:5">
      <c r="E823" s="3"/>
    </row>
    <row r="824" spans="5:5">
      <c r="E824" s="3"/>
    </row>
    <row r="825" spans="5:5">
      <c r="E825" s="3"/>
    </row>
    <row r="826" spans="5:5">
      <c r="E826" s="3"/>
    </row>
    <row r="827" spans="5:5">
      <c r="E827" s="3"/>
    </row>
    <row r="828" spans="5:5">
      <c r="E828" s="3"/>
    </row>
    <row r="829" spans="5:5">
      <c r="E829" s="3"/>
    </row>
    <row r="830" spans="5:5">
      <c r="E830" s="3"/>
    </row>
    <row r="831" spans="5:5">
      <c r="E831" s="3"/>
    </row>
    <row r="832" spans="5:5">
      <c r="E832" s="3"/>
    </row>
    <row r="833" spans="5:5">
      <c r="E833" s="3"/>
    </row>
    <row r="834" spans="5:5">
      <c r="E834" s="3"/>
    </row>
    <row r="835" spans="5:5">
      <c r="E835" s="3"/>
    </row>
    <row r="836" spans="5:5">
      <c r="E836" s="3"/>
    </row>
    <row r="837" spans="5:5">
      <c r="E837" s="3"/>
    </row>
    <row r="838" spans="5:5">
      <c r="E838" s="3"/>
    </row>
    <row r="839" spans="5:5">
      <c r="E839" s="3"/>
    </row>
    <row r="840" spans="5:5">
      <c r="E840" s="3"/>
    </row>
    <row r="841" spans="5:5">
      <c r="E841" s="3"/>
    </row>
    <row r="842" spans="5:5">
      <c r="E842" s="3"/>
    </row>
    <row r="843" spans="5:5">
      <c r="E843" s="3"/>
    </row>
    <row r="844" spans="5:5">
      <c r="E844" s="3"/>
    </row>
    <row r="845" spans="5:5">
      <c r="E845" s="3"/>
    </row>
    <row r="846" spans="5:5">
      <c r="E846" s="3"/>
    </row>
    <row r="847" spans="5:5">
      <c r="E847" s="3"/>
    </row>
    <row r="848" spans="5:5">
      <c r="E848" s="3"/>
    </row>
    <row r="849" spans="5:5">
      <c r="E849" s="3"/>
    </row>
    <row r="850" spans="5:5">
      <c r="E850" s="3"/>
    </row>
    <row r="851" spans="5:5">
      <c r="E851" s="3"/>
    </row>
    <row r="852" spans="5:5">
      <c r="E852" s="3"/>
    </row>
    <row r="853" spans="5:5">
      <c r="E853" s="3"/>
    </row>
    <row r="854" spans="5:5">
      <c r="E854" s="3"/>
    </row>
    <row r="855" spans="5:5">
      <c r="E855" s="3"/>
    </row>
    <row r="856" spans="5:5">
      <c r="E856" s="3"/>
    </row>
    <row r="857" spans="5:5">
      <c r="E857" s="3"/>
    </row>
    <row r="858" spans="5:5">
      <c r="E858" s="3"/>
    </row>
    <row r="859" spans="5:5">
      <c r="E859" s="3"/>
    </row>
    <row r="860" spans="5:5">
      <c r="E860" s="3"/>
    </row>
    <row r="861" spans="5:5">
      <c r="E861" s="3"/>
    </row>
    <row r="862" spans="5:5">
      <c r="E862" s="3"/>
    </row>
    <row r="863" spans="5:5">
      <c r="E863" s="3"/>
    </row>
    <row r="864" spans="5:5">
      <c r="E864" s="3"/>
    </row>
    <row r="865" spans="5:5">
      <c r="E865" s="3"/>
    </row>
    <row r="866" spans="5:5">
      <c r="E866" s="3"/>
    </row>
    <row r="867" spans="5:5">
      <c r="E867" s="3"/>
    </row>
    <row r="868" spans="5:5">
      <c r="E868" s="3"/>
    </row>
    <row r="869" spans="5:5">
      <c r="E869" s="3"/>
    </row>
    <row r="870" spans="5:5">
      <c r="E870" s="3"/>
    </row>
    <row r="871" spans="5:5">
      <c r="E871" s="3"/>
    </row>
    <row r="872" spans="5:5">
      <c r="E872" s="3"/>
    </row>
    <row r="873" spans="5:5">
      <c r="E873" s="3"/>
    </row>
    <row r="874" spans="5:5">
      <c r="E874" s="3"/>
    </row>
    <row r="875" spans="5:5">
      <c r="E875" s="3"/>
    </row>
    <row r="876" spans="5:5">
      <c r="E876" s="3"/>
    </row>
  </sheetData>
  <mergeCells count="5">
    <mergeCell ref="A1:H1"/>
    <mergeCell ref="I1:P1"/>
    <mergeCell ref="Q1:X1"/>
    <mergeCell ref="Y1:AF1"/>
    <mergeCell ref="AG1:AN1"/>
  </mergeCells>
  <pageMargins left="0.51181102362204722" right="0.51181102362204722" top="0.78740157480314965" bottom="0.78740157480314965" header="0.31496062992125984" footer="0.31496062992125984"/>
  <pageSetup paperSize="9"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DG60"/>
  <sheetViews>
    <sheetView topLeftCell="Q4" workbookViewId="0">
      <selection activeCell="Q4" sqref="Q4"/>
    </sheetView>
  </sheetViews>
  <sheetFormatPr defaultColWidth="8.85546875" defaultRowHeight="15"/>
  <cols>
    <col min="1" max="1" width="8.85546875" style="658"/>
    <col min="2" max="2" width="13.140625" style="651" bestFit="1" customWidth="1"/>
    <col min="3" max="3" width="22" style="651" customWidth="1"/>
    <col min="4" max="4" width="8.140625" style="3" bestFit="1" customWidth="1"/>
    <col min="5" max="5" width="22" style="3" customWidth="1"/>
    <col min="6" max="6" width="17.7109375" style="651" bestFit="1" customWidth="1"/>
    <col min="7" max="7" width="22" style="651" customWidth="1"/>
    <col min="8" max="8" width="18" style="3" bestFit="1" customWidth="1"/>
    <col min="9" max="9" width="22" style="3" customWidth="1"/>
    <col min="10" max="10" width="9" style="651" bestFit="1" customWidth="1"/>
    <col min="11" max="11" width="22" style="651" customWidth="1"/>
    <col min="12" max="12" width="13.28515625" style="3" bestFit="1" customWidth="1"/>
    <col min="13" max="13" width="22" style="3" customWidth="1"/>
    <col min="14" max="14" width="5.42578125" style="3" bestFit="1" customWidth="1"/>
    <col min="15" max="15" width="22" style="3" customWidth="1"/>
    <col min="16" max="16" width="13.140625" style="3" bestFit="1" customWidth="1"/>
    <col min="17" max="17" width="20.42578125" style="3" customWidth="1"/>
    <col min="18" max="18" width="8.140625" style="651" bestFit="1" customWidth="1"/>
    <col min="19" max="19" width="20.42578125" style="651" customWidth="1"/>
    <col min="20" max="20" width="17.7109375" style="3" bestFit="1" customWidth="1"/>
    <col min="21" max="21" width="20.42578125" style="3" customWidth="1"/>
    <col min="22" max="22" width="18" style="651" bestFit="1" customWidth="1"/>
    <col min="23" max="23" width="20.42578125" style="651" customWidth="1"/>
    <col min="24" max="24" width="9" style="3" bestFit="1" customWidth="1"/>
    <col min="25" max="25" width="20.42578125" style="3" customWidth="1"/>
    <col min="26" max="26" width="13.28515625" style="651" bestFit="1" customWidth="1"/>
    <col min="27" max="27" width="20.42578125" style="651" customWidth="1"/>
    <col min="28" max="28" width="8.28515625" style="3" bestFit="1" customWidth="1"/>
    <col min="29" max="29" width="20.42578125" style="3" customWidth="1"/>
    <col min="30" max="30" width="13.140625" style="651" bestFit="1" customWidth="1"/>
    <col min="31" max="31" width="21.28515625" style="651" customWidth="1"/>
    <col min="32" max="32" width="8.140625" style="3" bestFit="1" customWidth="1"/>
    <col min="33" max="33" width="21.28515625" style="3" customWidth="1"/>
    <col min="34" max="34" width="17.7109375" style="651" bestFit="1" customWidth="1"/>
    <col min="35" max="35" width="21.28515625" style="651" customWidth="1"/>
    <col min="36" max="36" width="18" style="3" bestFit="1" customWidth="1"/>
    <col min="37" max="37" width="21.28515625" style="3" customWidth="1"/>
    <col min="38" max="38" width="9" style="651" bestFit="1" customWidth="1"/>
    <col min="39" max="39" width="21.28515625" style="651" customWidth="1"/>
    <col min="40" max="40" width="13.28515625" style="3" bestFit="1" customWidth="1"/>
    <col min="41" max="41" width="21.28515625" style="3" customWidth="1"/>
    <col min="42" max="42" width="8.28515625" style="651" bestFit="1" customWidth="1"/>
    <col min="43" max="43" width="21.28515625" style="651" customWidth="1"/>
    <col min="44" max="44" width="13.140625" style="3" bestFit="1" customWidth="1"/>
    <col min="45" max="45" width="20.7109375" style="3" customWidth="1"/>
    <col min="46" max="46" width="8.140625" style="651" bestFit="1" customWidth="1"/>
    <col min="47" max="47" width="20.7109375" style="651" customWidth="1"/>
    <col min="48" max="48" width="17.7109375" style="3" bestFit="1" customWidth="1"/>
    <col min="49" max="49" width="20.7109375" style="3" customWidth="1"/>
    <col min="50" max="50" width="18" style="651" bestFit="1" customWidth="1"/>
    <col min="51" max="51" width="20.7109375" style="651" customWidth="1"/>
    <col min="52" max="52" width="9" style="3" bestFit="1" customWidth="1"/>
    <col min="53" max="53" width="20.7109375" style="3" customWidth="1"/>
    <col min="54" max="54" width="13.28515625" style="651" bestFit="1" customWidth="1"/>
    <col min="55" max="55" width="20.7109375" style="651" customWidth="1"/>
    <col min="56" max="56" width="8.28515625" style="3" bestFit="1" customWidth="1"/>
    <col min="57" max="57" width="20.7109375" style="3" customWidth="1"/>
    <col min="58" max="58" width="13.140625" style="651" bestFit="1" customWidth="1"/>
    <col min="59" max="59" width="20" style="651" customWidth="1"/>
    <col min="60" max="60" width="8.140625" style="3" bestFit="1" customWidth="1"/>
    <col min="61" max="61" width="20" style="3" customWidth="1"/>
    <col min="62" max="62" width="17.7109375" style="651" bestFit="1" customWidth="1"/>
    <col min="63" max="63" width="20" style="651" customWidth="1"/>
    <col min="64" max="64" width="18" style="3" bestFit="1" customWidth="1"/>
    <col min="65" max="65" width="20" style="3" customWidth="1"/>
    <col min="66" max="66" width="9" style="651" bestFit="1" customWidth="1"/>
    <col min="67" max="67" width="20" style="651" customWidth="1"/>
    <col min="68" max="68" width="13.28515625" style="3" bestFit="1" customWidth="1"/>
    <col min="69" max="69" width="20" style="3" customWidth="1"/>
    <col min="70" max="70" width="8.28515625" style="651" bestFit="1" customWidth="1"/>
    <col min="71" max="71" width="20" style="651" customWidth="1"/>
    <col min="72" max="111" width="8.85546875" style="1"/>
  </cols>
  <sheetData>
    <row r="1" spans="1:71" ht="15.75" thickBot="1">
      <c r="A1" s="1280" t="s">
        <v>541</v>
      </c>
      <c r="B1" s="655">
        <v>2004</v>
      </c>
      <c r="C1" s="643">
        <v>2004</v>
      </c>
      <c r="D1" s="634">
        <v>2004</v>
      </c>
      <c r="E1" s="635">
        <v>2004</v>
      </c>
      <c r="F1" s="645">
        <v>2004</v>
      </c>
      <c r="G1" s="643">
        <v>2004</v>
      </c>
      <c r="H1" s="634">
        <v>2004</v>
      </c>
      <c r="I1" s="635">
        <v>2004</v>
      </c>
      <c r="J1" s="645">
        <v>2004</v>
      </c>
      <c r="K1" s="643">
        <v>2004</v>
      </c>
      <c r="L1" s="634">
        <v>2004</v>
      </c>
      <c r="M1" s="635">
        <v>2004</v>
      </c>
      <c r="N1" s="634">
        <v>2004</v>
      </c>
      <c r="O1" s="635">
        <v>2004</v>
      </c>
      <c r="P1" s="643">
        <v>2005</v>
      </c>
      <c r="Q1" s="643">
        <v>2005</v>
      </c>
      <c r="R1" s="643">
        <v>2005</v>
      </c>
      <c r="S1" s="643">
        <v>2005</v>
      </c>
      <c r="T1" s="643">
        <v>2005</v>
      </c>
      <c r="U1" s="643">
        <v>2005</v>
      </c>
      <c r="V1" s="643">
        <v>2005</v>
      </c>
      <c r="W1" s="643">
        <v>2005</v>
      </c>
      <c r="X1" s="643">
        <v>2005</v>
      </c>
      <c r="Y1" s="643">
        <v>2005</v>
      </c>
      <c r="Z1" s="643">
        <v>2005</v>
      </c>
      <c r="AA1" s="643">
        <v>2005</v>
      </c>
      <c r="AB1" s="643">
        <v>2005</v>
      </c>
      <c r="AC1" s="643">
        <v>2005</v>
      </c>
      <c r="AD1" s="643">
        <v>2006</v>
      </c>
      <c r="AE1" s="643">
        <v>2006</v>
      </c>
      <c r="AF1" s="635">
        <v>2006</v>
      </c>
      <c r="AG1" s="635">
        <v>2006</v>
      </c>
      <c r="AH1" s="643">
        <v>2006</v>
      </c>
      <c r="AI1" s="643">
        <v>2006</v>
      </c>
      <c r="AJ1" s="635">
        <v>2006</v>
      </c>
      <c r="AK1" s="635">
        <v>2006</v>
      </c>
      <c r="AL1" s="643">
        <v>2006</v>
      </c>
      <c r="AM1" s="643">
        <v>2006</v>
      </c>
      <c r="AN1" s="635">
        <v>2006</v>
      </c>
      <c r="AO1" s="635">
        <v>2006</v>
      </c>
      <c r="AP1" s="643">
        <v>2006</v>
      </c>
      <c r="AQ1" s="643">
        <v>2006</v>
      </c>
      <c r="AR1" s="643">
        <v>2007</v>
      </c>
      <c r="AS1" s="643">
        <v>2007</v>
      </c>
      <c r="AT1" s="643">
        <v>2007</v>
      </c>
      <c r="AU1" s="643">
        <v>2007</v>
      </c>
      <c r="AV1" s="643">
        <v>2007</v>
      </c>
      <c r="AW1" s="643">
        <v>2007</v>
      </c>
      <c r="AX1" s="643">
        <v>2007</v>
      </c>
      <c r="AY1" s="643">
        <v>2007</v>
      </c>
      <c r="AZ1" s="643">
        <v>2007</v>
      </c>
      <c r="BA1" s="643">
        <v>2007</v>
      </c>
      <c r="BB1" s="643">
        <v>2007</v>
      </c>
      <c r="BC1" s="643">
        <v>2007</v>
      </c>
      <c r="BD1" s="643">
        <v>2007</v>
      </c>
      <c r="BE1" s="643">
        <v>2007</v>
      </c>
      <c r="BF1" s="644">
        <v>2008</v>
      </c>
      <c r="BG1" s="644">
        <v>2008</v>
      </c>
      <c r="BH1" s="633">
        <v>2008</v>
      </c>
      <c r="BI1" s="633">
        <v>2008</v>
      </c>
      <c r="BJ1" s="644">
        <v>2008</v>
      </c>
      <c r="BK1" s="644">
        <v>2008</v>
      </c>
      <c r="BL1" s="633">
        <v>2008</v>
      </c>
      <c r="BM1" s="633">
        <v>2008</v>
      </c>
      <c r="BN1" s="644">
        <v>2008</v>
      </c>
      <c r="BO1" s="644">
        <v>2008</v>
      </c>
      <c r="BP1" s="633">
        <v>2008</v>
      </c>
      <c r="BQ1" s="633">
        <v>2008</v>
      </c>
      <c r="BR1" s="644">
        <v>2008</v>
      </c>
      <c r="BS1" s="644">
        <v>2008</v>
      </c>
    </row>
    <row r="2" spans="1:71" ht="15.75" thickBot="1">
      <c r="A2" s="1281"/>
      <c r="B2" s="655" t="s">
        <v>496</v>
      </c>
      <c r="C2" s="643" t="s">
        <v>502</v>
      </c>
      <c r="D2" s="634" t="s">
        <v>497</v>
      </c>
      <c r="E2" s="635" t="s">
        <v>502</v>
      </c>
      <c r="F2" s="645" t="s">
        <v>498</v>
      </c>
      <c r="G2" s="643" t="s">
        <v>502</v>
      </c>
      <c r="H2" s="634" t="s">
        <v>499</v>
      </c>
      <c r="I2" s="635" t="s">
        <v>502</v>
      </c>
      <c r="J2" s="645" t="s">
        <v>500</v>
      </c>
      <c r="K2" s="643" t="s">
        <v>502</v>
      </c>
      <c r="L2" s="634" t="s">
        <v>501</v>
      </c>
      <c r="M2" s="635" t="s">
        <v>502</v>
      </c>
      <c r="N2" s="634" t="s">
        <v>490</v>
      </c>
      <c r="O2" s="635" t="s">
        <v>502</v>
      </c>
      <c r="P2" s="644" t="s">
        <v>496</v>
      </c>
      <c r="Q2" s="643" t="s">
        <v>502</v>
      </c>
      <c r="R2" s="645" t="s">
        <v>497</v>
      </c>
      <c r="S2" s="643" t="s">
        <v>502</v>
      </c>
      <c r="T2" s="645" t="s">
        <v>498</v>
      </c>
      <c r="U2" s="643" t="s">
        <v>502</v>
      </c>
      <c r="V2" s="645" t="s">
        <v>499</v>
      </c>
      <c r="W2" s="643" t="s">
        <v>502</v>
      </c>
      <c r="X2" s="645" t="s">
        <v>500</v>
      </c>
      <c r="Y2" s="643" t="s">
        <v>502</v>
      </c>
      <c r="Z2" s="645" t="s">
        <v>501</v>
      </c>
      <c r="AA2" s="643" t="s">
        <v>502</v>
      </c>
      <c r="AB2" s="645" t="s">
        <v>490</v>
      </c>
      <c r="AC2" s="643" t="s">
        <v>502</v>
      </c>
      <c r="AD2" s="644" t="s">
        <v>496</v>
      </c>
      <c r="AE2" s="643" t="s">
        <v>502</v>
      </c>
      <c r="AF2" s="634" t="s">
        <v>497</v>
      </c>
      <c r="AG2" s="635" t="s">
        <v>502</v>
      </c>
      <c r="AH2" s="645" t="s">
        <v>498</v>
      </c>
      <c r="AI2" s="643" t="s">
        <v>502</v>
      </c>
      <c r="AJ2" s="634" t="s">
        <v>499</v>
      </c>
      <c r="AK2" s="635" t="s">
        <v>502</v>
      </c>
      <c r="AL2" s="645" t="s">
        <v>500</v>
      </c>
      <c r="AM2" s="643" t="s">
        <v>502</v>
      </c>
      <c r="AN2" s="634" t="s">
        <v>501</v>
      </c>
      <c r="AO2" s="635" t="s">
        <v>502</v>
      </c>
      <c r="AP2" s="645" t="s">
        <v>490</v>
      </c>
      <c r="AQ2" s="643" t="s">
        <v>502</v>
      </c>
      <c r="AR2" s="644" t="s">
        <v>496</v>
      </c>
      <c r="AS2" s="643" t="s">
        <v>502</v>
      </c>
      <c r="AT2" s="645" t="s">
        <v>497</v>
      </c>
      <c r="AU2" s="643" t="s">
        <v>502</v>
      </c>
      <c r="AV2" s="645" t="s">
        <v>498</v>
      </c>
      <c r="AW2" s="643" t="s">
        <v>502</v>
      </c>
      <c r="AX2" s="645" t="s">
        <v>499</v>
      </c>
      <c r="AY2" s="643" t="s">
        <v>502</v>
      </c>
      <c r="AZ2" s="645" t="s">
        <v>500</v>
      </c>
      <c r="BA2" s="643" t="s">
        <v>502</v>
      </c>
      <c r="BB2" s="645" t="s">
        <v>501</v>
      </c>
      <c r="BC2" s="643" t="s">
        <v>502</v>
      </c>
      <c r="BD2" s="645" t="s">
        <v>490</v>
      </c>
      <c r="BE2" s="643" t="s">
        <v>502</v>
      </c>
      <c r="BF2" s="644" t="s">
        <v>496</v>
      </c>
      <c r="BG2" s="643" t="s">
        <v>502</v>
      </c>
      <c r="BH2" s="634" t="s">
        <v>497</v>
      </c>
      <c r="BI2" s="635" t="s">
        <v>502</v>
      </c>
      <c r="BJ2" s="645" t="s">
        <v>498</v>
      </c>
      <c r="BK2" s="643" t="s">
        <v>502</v>
      </c>
      <c r="BL2" s="634" t="s">
        <v>499</v>
      </c>
      <c r="BM2" s="635" t="s">
        <v>502</v>
      </c>
      <c r="BN2" s="645" t="s">
        <v>500</v>
      </c>
      <c r="BO2" s="643" t="s">
        <v>502</v>
      </c>
      <c r="BP2" s="634" t="s">
        <v>501</v>
      </c>
      <c r="BQ2" s="635" t="s">
        <v>502</v>
      </c>
      <c r="BR2" s="645" t="s">
        <v>490</v>
      </c>
      <c r="BS2" s="643" t="s">
        <v>502</v>
      </c>
    </row>
    <row r="3" spans="1:71">
      <c r="A3" s="662" t="s">
        <v>542</v>
      </c>
      <c r="B3" s="656">
        <f>RELAÇ_TUDO!A26</f>
        <v>33.871336088244782</v>
      </c>
      <c r="C3" s="647" t="s">
        <v>34</v>
      </c>
      <c r="D3" s="639">
        <f>RELAÇ_TUDO!B10</f>
        <v>126</v>
      </c>
      <c r="E3" s="636" t="s">
        <v>18</v>
      </c>
      <c r="F3" s="652">
        <f>RELAÇ_TUDO!C14</f>
        <v>12.508966695132365</v>
      </c>
      <c r="G3" s="647" t="s">
        <v>22</v>
      </c>
      <c r="H3" s="639">
        <f>RELAÇ_TUDO!D26</f>
        <v>37.372152156578871</v>
      </c>
      <c r="I3" s="636" t="s">
        <v>34</v>
      </c>
      <c r="J3" s="652">
        <f>RELAÇ_TUDO!E30</f>
        <v>0.47926570347067288</v>
      </c>
      <c r="K3" s="647" t="s">
        <v>38</v>
      </c>
      <c r="L3" s="639">
        <f>RELAÇ_TUDO!F32</f>
        <v>30991.496299239781</v>
      </c>
      <c r="M3" s="636" t="s">
        <v>40</v>
      </c>
      <c r="N3" s="639">
        <f>RELAÇ_TUDO!G32</f>
        <v>0.84599999999999997</v>
      </c>
      <c r="O3" s="636" t="s">
        <v>40</v>
      </c>
      <c r="P3" s="638">
        <f>RELAÇ_TUDO!I26</f>
        <v>32.553852908371979</v>
      </c>
      <c r="Q3" s="636" t="s">
        <v>34</v>
      </c>
      <c r="R3" s="652">
        <f>RELAÇ_TUDO!J5</f>
        <v>138</v>
      </c>
      <c r="S3" s="647" t="s">
        <v>13</v>
      </c>
      <c r="T3" s="639">
        <f>RELAÇ_TUDO!K7</f>
        <v>13.40419089060372</v>
      </c>
      <c r="U3" s="636" t="s">
        <v>15</v>
      </c>
      <c r="V3" s="652">
        <f>RELAÇ_TUDO!L26</f>
        <v>36.259992970854114</v>
      </c>
      <c r="W3" s="647" t="s">
        <v>34</v>
      </c>
      <c r="X3" s="639">
        <f>RELAÇ_TUDO!M30</f>
        <v>0.50799528073905209</v>
      </c>
      <c r="Y3" s="636" t="s">
        <v>38</v>
      </c>
      <c r="Z3" s="652">
        <f>RELAÇ_TUDO!N32</f>
        <v>34514.738299306933</v>
      </c>
      <c r="AA3" s="647" t="s">
        <v>40</v>
      </c>
      <c r="AB3" s="639">
        <f>RELAÇ_TUDO!O32</f>
        <v>0.874</v>
      </c>
      <c r="AC3" s="636" t="s">
        <v>40</v>
      </c>
      <c r="AD3" s="646">
        <f>RELAÇ_TUDO!Q26</f>
        <v>31.126948388559306</v>
      </c>
      <c r="AE3" s="647" t="s">
        <v>34</v>
      </c>
      <c r="AF3" s="639">
        <f>RELAÇ_TUDO!R5</f>
        <v>163</v>
      </c>
      <c r="AG3" s="636" t="s">
        <v>13</v>
      </c>
      <c r="AH3" s="652" t="e">
        <f>RELAÇ_TUDO!S5</f>
        <v>#DIV/0!</v>
      </c>
      <c r="AI3" s="647" t="s">
        <v>13</v>
      </c>
      <c r="AJ3" s="639">
        <f>RELAÇ_TUDO!T26</f>
        <v>34.928322857963238</v>
      </c>
      <c r="AK3" s="636" t="s">
        <v>34</v>
      </c>
      <c r="AL3" s="652" t="e">
        <f>RELAÇ_TUDO!U30</f>
        <v>#DIV/0!</v>
      </c>
      <c r="AM3" s="647" t="s">
        <v>38</v>
      </c>
      <c r="AN3" s="639">
        <f>RELAÇ_TUDO!V32</f>
        <v>37599.27629617347</v>
      </c>
      <c r="AO3" s="636" t="s">
        <v>40</v>
      </c>
      <c r="AP3" s="652">
        <f>RELAÇ_TUDO!W32</f>
        <v>0.88200000000000001</v>
      </c>
      <c r="AQ3" s="647" t="s">
        <v>40</v>
      </c>
      <c r="AR3" s="638">
        <f>RELAÇ_TUDO!Y26</f>
        <v>28.340955767166871</v>
      </c>
      <c r="AS3" s="636" t="s">
        <v>34</v>
      </c>
      <c r="AT3" s="652">
        <f>RELAÇ_TUDO!Z5</f>
        <v>157</v>
      </c>
      <c r="AU3" s="647" t="s">
        <v>13</v>
      </c>
      <c r="AV3" s="639" t="e">
        <f>RELAÇ_TUDO!AA7</f>
        <v>#DIV/0!</v>
      </c>
      <c r="AW3" s="636" t="s">
        <v>15</v>
      </c>
      <c r="AX3" s="652">
        <f>RELAÇ_TUDO!AB26</f>
        <v>31.043336045580197</v>
      </c>
      <c r="AY3" s="647" t="s">
        <v>34</v>
      </c>
      <c r="AZ3" s="639" t="e">
        <f>RELAÇ_TUDO!AC30</f>
        <v>#DIV/0!</v>
      </c>
      <c r="BA3" s="636" t="s">
        <v>38</v>
      </c>
      <c r="BB3" s="652">
        <f>RELAÇ_TUDO!AD32</f>
        <v>40696.078149258523</v>
      </c>
      <c r="BC3" s="647" t="s">
        <v>40</v>
      </c>
      <c r="BD3" s="639">
        <f>RELAÇ_TUDO!AE32</f>
        <v>0.9</v>
      </c>
      <c r="BE3" s="636" t="s">
        <v>40</v>
      </c>
      <c r="BF3" s="646" t="e">
        <f>RELAÇ_TUDO!AG26</f>
        <v>#DIV/0!</v>
      </c>
      <c r="BG3" s="647" t="s">
        <v>34</v>
      </c>
      <c r="BH3" s="639">
        <f>RELAÇ_TUDO!AH6</f>
        <v>114</v>
      </c>
      <c r="BI3" s="636" t="s">
        <v>14</v>
      </c>
      <c r="BJ3" s="652" t="e">
        <f>RELAÇ_TUDO!AI7</f>
        <v>#DIV/0!</v>
      </c>
      <c r="BK3" s="647" t="s">
        <v>15</v>
      </c>
      <c r="BL3" s="639">
        <f>RELAÇ_TUDO!AJ26</f>
        <v>26.298643634934272</v>
      </c>
      <c r="BM3" s="636" t="s">
        <v>34</v>
      </c>
      <c r="BN3" s="652" t="e">
        <f>RELAÇ_TUDO!AK30</f>
        <v>#DIV/0!</v>
      </c>
      <c r="BO3" s="647" t="s">
        <v>38</v>
      </c>
      <c r="BP3" s="639">
        <f>RELAÇ_TUDO!AL32</f>
        <v>44047.942936048159</v>
      </c>
      <c r="BQ3" s="636" t="s">
        <v>40</v>
      </c>
      <c r="BR3" s="652">
        <f>RELAÇ_TUDO!AM32</f>
        <v>0.91836734693877553</v>
      </c>
      <c r="BS3" s="647" t="s">
        <v>40</v>
      </c>
    </row>
    <row r="4" spans="1:71">
      <c r="A4" s="660" t="s">
        <v>543</v>
      </c>
      <c r="B4" s="656">
        <f>RELAÇ_TUDO!A29</f>
        <v>42.591906538294616</v>
      </c>
      <c r="C4" s="647" t="s">
        <v>37</v>
      </c>
      <c r="D4" s="639">
        <f>RELAÇ_TUDO!B5</f>
        <v>119</v>
      </c>
      <c r="E4" s="636" t="s">
        <v>13</v>
      </c>
      <c r="F4" s="652">
        <f>RELAÇ_TUDO!C7</f>
        <v>10.75631004931105</v>
      </c>
      <c r="G4" s="647" t="s">
        <v>15</v>
      </c>
      <c r="H4" s="639">
        <f>RELAÇ_TUDO!D29</f>
        <v>47.22351277552319</v>
      </c>
      <c r="I4" s="636" t="s">
        <v>37</v>
      </c>
      <c r="J4" s="652">
        <f>RELAÇ_TUDO!E32</f>
        <v>0.41687623998612905</v>
      </c>
      <c r="K4" s="647" t="s">
        <v>40</v>
      </c>
      <c r="L4" s="639">
        <f>RELAÇ_TUDO!F26</f>
        <v>16157.786321470641</v>
      </c>
      <c r="M4" s="636" t="s">
        <v>34</v>
      </c>
      <c r="N4" s="639">
        <f>RELAÇ_TUDO!G26</f>
        <v>0.81399999999999995</v>
      </c>
      <c r="O4" s="636" t="s">
        <v>34</v>
      </c>
      <c r="P4" s="638">
        <f>RELAÇ_TUDO!I29</f>
        <v>42.888851929114416</v>
      </c>
      <c r="Q4" s="636" t="s">
        <v>37</v>
      </c>
      <c r="R4" s="652">
        <f>RELAÇ_TUDO!J10</f>
        <v>145</v>
      </c>
      <c r="S4" s="647" t="s">
        <v>18</v>
      </c>
      <c r="T4" s="639">
        <f>RELAÇ_TUDO!K14</f>
        <v>18.556163535661863</v>
      </c>
      <c r="U4" s="636" t="s">
        <v>22</v>
      </c>
      <c r="V4" s="652">
        <f>RELAÇ_TUDO!L29</f>
        <v>48.772808164313155</v>
      </c>
      <c r="W4" s="647" t="s">
        <v>37</v>
      </c>
      <c r="X4" s="639">
        <f>RELAÇ_TUDO!M32</f>
        <v>0.4568489899461512</v>
      </c>
      <c r="Y4" s="636" t="s">
        <v>40</v>
      </c>
      <c r="Z4" s="652">
        <f>RELAÇ_TUDO!N26</f>
        <v>17975.613328189149</v>
      </c>
      <c r="AA4" s="647" t="s">
        <v>34</v>
      </c>
      <c r="AB4" s="639">
        <f>RELAÇ_TUDO!O30</f>
        <v>0.84</v>
      </c>
      <c r="AC4" s="636" t="s">
        <v>38</v>
      </c>
      <c r="AD4" s="646">
        <f>RELAÇ_TUDO!Q32</f>
        <v>42.459912832063367</v>
      </c>
      <c r="AE4" s="647" t="s">
        <v>40</v>
      </c>
      <c r="AF4" s="639">
        <f>RELAÇ_TUDO!R10</f>
        <v>134</v>
      </c>
      <c r="AG4" s="636" t="s">
        <v>18</v>
      </c>
      <c r="AH4" s="652" t="e">
        <f>RELAÇ_TUDO!S14</f>
        <v>#DIV/0!</v>
      </c>
      <c r="AI4" s="647" t="s">
        <v>22</v>
      </c>
      <c r="AJ4" s="639">
        <f>RELAÇ_TUDO!T29</f>
        <v>42.505444247687059</v>
      </c>
      <c r="AK4" s="636" t="s">
        <v>37</v>
      </c>
      <c r="AL4" s="652" t="e">
        <f>RELAÇ_TUDO!U32</f>
        <v>#DIV/0!</v>
      </c>
      <c r="AM4" s="647" t="s">
        <v>40</v>
      </c>
      <c r="AN4" s="639">
        <f>RELAÇ_TUDO!V26</f>
        <v>19550.365699760492</v>
      </c>
      <c r="AO4" s="636" t="s">
        <v>34</v>
      </c>
      <c r="AP4" s="652">
        <f>RELAÇ_TUDO!W30</f>
        <v>0.84799999999999998</v>
      </c>
      <c r="AQ4" s="647" t="s">
        <v>38</v>
      </c>
      <c r="AR4" s="638">
        <f>RELAÇ_TUDO!Y29</f>
        <v>36.20662324196671</v>
      </c>
      <c r="AS4" s="636" t="s">
        <v>37</v>
      </c>
      <c r="AT4" s="652">
        <f>RELAÇ_TUDO!Z6</f>
        <v>122</v>
      </c>
      <c r="AU4" s="647" t="s">
        <v>14</v>
      </c>
      <c r="AV4" s="639" t="e">
        <f>RELAÇ_TUDO!AA14</f>
        <v>#DIV/0!</v>
      </c>
      <c r="AW4" s="636" t="s">
        <v>22</v>
      </c>
      <c r="AX4" s="652">
        <f>RELAÇ_TUDO!AB29</f>
        <v>40.1905892369602</v>
      </c>
      <c r="AY4" s="647" t="s">
        <v>37</v>
      </c>
      <c r="AZ4" s="639" t="e">
        <f>RELAÇ_TUDO!AC32</f>
        <v>#DIV/0!</v>
      </c>
      <c r="BA4" s="636" t="s">
        <v>40</v>
      </c>
      <c r="BB4" s="652">
        <f>RELAÇ_TUDO!AD26</f>
        <v>22667.251545019142</v>
      </c>
      <c r="BC4" s="647" t="s">
        <v>34</v>
      </c>
      <c r="BD4" s="639">
        <f>RELAÇ_TUDO!AE30</f>
        <v>0.86</v>
      </c>
      <c r="BE4" s="636" t="s">
        <v>38</v>
      </c>
      <c r="BF4" s="646" t="e">
        <f>RELAÇ_TUDO!AG25</f>
        <v>#DIV/0!</v>
      </c>
      <c r="BG4" s="647" t="s">
        <v>33</v>
      </c>
      <c r="BH4" s="639">
        <f>RELAÇ_TUDO!AH5</f>
        <v>128</v>
      </c>
      <c r="BI4" s="636" t="s">
        <v>13</v>
      </c>
      <c r="BJ4" s="652" t="e">
        <f>RELAÇ_TUDO!AI6</f>
        <v>#DIV/0!</v>
      </c>
      <c r="BK4" s="647" t="s">
        <v>14</v>
      </c>
      <c r="BL4" s="639">
        <f>RELAÇ_TUDO!AJ29</f>
        <v>33.77860030519679</v>
      </c>
      <c r="BM4" s="636" t="s">
        <v>37</v>
      </c>
      <c r="BN4" s="652" t="e">
        <f>RELAÇ_TUDO!AK26</f>
        <v>#DIV/0!</v>
      </c>
      <c r="BO4" s="647" t="s">
        <v>34</v>
      </c>
      <c r="BP4" s="639">
        <f>RELAÇ_TUDO!AL26</f>
        <v>26281.057883815811</v>
      </c>
      <c r="BQ4" s="636" t="s">
        <v>34</v>
      </c>
      <c r="BR4" s="652">
        <f>RELAÇ_TUDO!AM26</f>
        <v>0.87226722090261277</v>
      </c>
      <c r="BS4" s="647" t="s">
        <v>34</v>
      </c>
    </row>
    <row r="5" spans="1:71">
      <c r="A5" s="660" t="s">
        <v>544</v>
      </c>
      <c r="B5" s="656">
        <f>RELAÇ_TUDO!A32</f>
        <v>44.127427852649333</v>
      </c>
      <c r="C5" s="647" t="s">
        <v>40</v>
      </c>
      <c r="D5" s="639">
        <f>RELAÇ_TUDO!B6</f>
        <v>107</v>
      </c>
      <c r="E5" s="636" t="s">
        <v>14</v>
      </c>
      <c r="F5" s="652">
        <f>RELAÇ_TUDO!C16</f>
        <v>17.417632580930345</v>
      </c>
      <c r="G5" s="647" t="s">
        <v>24</v>
      </c>
      <c r="H5" s="639">
        <f>RELAÇ_TUDO!D32</f>
        <v>53.002167935896821</v>
      </c>
      <c r="I5" s="636" t="s">
        <v>40</v>
      </c>
      <c r="J5" s="652">
        <f>RELAÇ_TUDO!E26</f>
        <v>0.43701962365294544</v>
      </c>
      <c r="K5" s="647" t="s">
        <v>34</v>
      </c>
      <c r="L5" s="639">
        <f>RELAÇ_TUDO!F25</f>
        <v>14663.819164048769</v>
      </c>
      <c r="M5" s="636" t="s">
        <v>33</v>
      </c>
      <c r="N5" s="639">
        <f>RELAÇ_TUDO!G29</f>
        <v>0.80900000000000005</v>
      </c>
      <c r="O5" s="636" t="s">
        <v>37</v>
      </c>
      <c r="P5" s="638">
        <f>RELAÇ_TUDO!I24</f>
        <v>49.921706065738178</v>
      </c>
      <c r="Q5" s="636" t="s">
        <v>32</v>
      </c>
      <c r="R5" s="652">
        <f>RELAÇ_TUDO!J6</f>
        <v>121</v>
      </c>
      <c r="S5" s="647" t="s">
        <v>14</v>
      </c>
      <c r="T5" s="639">
        <f>RELAÇ_TUDO!K8</f>
        <v>17.688840241280531</v>
      </c>
      <c r="U5" s="636" t="s">
        <v>16</v>
      </c>
      <c r="V5" s="652">
        <f>RELAÇ_TUDO!L32</f>
        <v>54.165690804181658</v>
      </c>
      <c r="W5" s="647" t="s">
        <v>40</v>
      </c>
      <c r="X5" s="639">
        <f>RELAÇ_TUDO!M26</f>
        <v>0.46980048251912121</v>
      </c>
      <c r="Y5" s="636" t="s">
        <v>34</v>
      </c>
      <c r="Z5" s="652">
        <f>RELAÇ_TUDO!N25</f>
        <v>16057.400564323567</v>
      </c>
      <c r="AA5" s="647" t="s">
        <v>33</v>
      </c>
      <c r="AB5" s="639">
        <f>RELAÇ_TUDO!O26</f>
        <v>0.83299999999999996</v>
      </c>
      <c r="AC5" s="636" t="s">
        <v>34</v>
      </c>
      <c r="AD5" s="646">
        <f>RELAÇ_TUDO!Q29</f>
        <v>38.20562875544433</v>
      </c>
      <c r="AE5" s="647" t="s">
        <v>37</v>
      </c>
      <c r="AF5" s="639">
        <f>RELAÇ_TUDO!R6</f>
        <v>150</v>
      </c>
      <c r="AG5" s="636" t="s">
        <v>14</v>
      </c>
      <c r="AH5" s="652" t="e">
        <f>RELAÇ_TUDO!S7</f>
        <v>#DIV/0!</v>
      </c>
      <c r="AI5" s="647" t="s">
        <v>15</v>
      </c>
      <c r="AJ5" s="639">
        <f>RELAÇ_TUDO!T32</f>
        <v>50.344241514128591</v>
      </c>
      <c r="AK5" s="636" t="s">
        <v>40</v>
      </c>
      <c r="AL5" s="652" t="e">
        <f>RELAÇ_TUDO!U26</f>
        <v>#DIV/0!</v>
      </c>
      <c r="AM5" s="647" t="s">
        <v>34</v>
      </c>
      <c r="AN5" s="639">
        <f>RELAÇ_TUDO!V25</f>
        <v>17692.589854586546</v>
      </c>
      <c r="AO5" s="636" t="s">
        <v>33</v>
      </c>
      <c r="AP5" s="652">
        <f>RELAÇ_TUDO!W25</f>
        <v>0.84599999999999997</v>
      </c>
      <c r="AQ5" s="647" t="s">
        <v>33</v>
      </c>
      <c r="AR5" s="638">
        <f>RELAÇ_TUDO!Y7</f>
        <v>41.04470859312552</v>
      </c>
      <c r="AS5" s="636" t="s">
        <v>15</v>
      </c>
      <c r="AT5" s="652">
        <f>RELAÇ_TUDO!Z10</f>
        <v>148</v>
      </c>
      <c r="AU5" s="647" t="s">
        <v>18</v>
      </c>
      <c r="AV5" s="639" t="e">
        <f>RELAÇ_TUDO!AA5</f>
        <v>#DIV/0!</v>
      </c>
      <c r="AW5" s="636" t="s">
        <v>13</v>
      </c>
      <c r="AX5" s="652">
        <f>RELAÇ_TUDO!AB32</f>
        <v>40.620864057477782</v>
      </c>
      <c r="AY5" s="647" t="s">
        <v>40</v>
      </c>
      <c r="AZ5" s="639" t="e">
        <f>RELAÇ_TUDO!AC26</f>
        <v>#DIV/0!</v>
      </c>
      <c r="BA5" s="636" t="s">
        <v>34</v>
      </c>
      <c r="BB5" s="652">
        <f>RELAÇ_TUDO!AD25</f>
        <v>19245.079344487516</v>
      </c>
      <c r="BC5" s="647" t="s">
        <v>33</v>
      </c>
      <c r="BD5" s="639">
        <f>RELAÇ_TUDO!AE26</f>
        <v>0.85699999999999998</v>
      </c>
      <c r="BE5" s="636" t="s">
        <v>34</v>
      </c>
      <c r="BF5" s="646" t="e">
        <f>RELAÇ_TUDO!AG6</f>
        <v>#DIV/0!</v>
      </c>
      <c r="BG5" s="647" t="s">
        <v>14</v>
      </c>
      <c r="BH5" s="639">
        <f>RELAÇ_TUDO!AH10</f>
        <v>151</v>
      </c>
      <c r="BI5" s="636" t="s">
        <v>18</v>
      </c>
      <c r="BJ5" s="652" t="e">
        <f>RELAÇ_TUDO!AI14</f>
        <v>#DIV/0!</v>
      </c>
      <c r="BK5" s="647" t="s">
        <v>22</v>
      </c>
      <c r="BL5" s="639">
        <f>RELAÇ_TUDO!AJ25</f>
        <v>47.032296228401329</v>
      </c>
      <c r="BM5" s="636" t="s">
        <v>33</v>
      </c>
      <c r="BN5" s="652" t="e">
        <f>RELAÇ_TUDO!AK28</f>
        <v>#DIV/0!</v>
      </c>
      <c r="BO5" s="647" t="s">
        <v>36</v>
      </c>
      <c r="BP5" s="639">
        <f>RELAÇ_TUDO!AL23</f>
        <v>21274.049899830632</v>
      </c>
      <c r="BQ5" s="636" t="s">
        <v>31</v>
      </c>
      <c r="BR5" s="652">
        <f>RELAÇ_TUDO!AM30</f>
        <v>0.87216981132075466</v>
      </c>
      <c r="BS5" s="647" t="s">
        <v>38</v>
      </c>
    </row>
    <row r="6" spans="1:71">
      <c r="A6" s="660" t="s">
        <v>545</v>
      </c>
      <c r="B6" s="656">
        <f>RELAÇ_TUDO!A24</f>
        <v>50.66836893725295</v>
      </c>
      <c r="C6" s="647" t="s">
        <v>32</v>
      </c>
      <c r="D6" s="639">
        <f>RELAÇ_TUDO!B9</f>
        <v>488</v>
      </c>
      <c r="E6" s="636" t="s">
        <v>17</v>
      </c>
      <c r="F6" s="652">
        <f>RELAÇ_TUDO!C8</f>
        <v>13.59163541151233</v>
      </c>
      <c r="G6" s="647" t="s">
        <v>16</v>
      </c>
      <c r="H6" s="639">
        <f>RELAÇ_TUDO!D24</f>
        <v>64.994159274555486</v>
      </c>
      <c r="I6" s="636" t="s">
        <v>32</v>
      </c>
      <c r="J6" s="652">
        <f>RELAÇ_TUDO!E28</f>
        <v>0.41662848668398239</v>
      </c>
      <c r="K6" s="647" t="s">
        <v>36</v>
      </c>
      <c r="L6" s="639">
        <f>RELAÇ_TUDO!F34</f>
        <v>13444.588457402135</v>
      </c>
      <c r="M6" s="636" t="s">
        <v>42</v>
      </c>
      <c r="N6" s="639">
        <f>RELAÇ_TUDO!G30</f>
        <v>0.80600000000000005</v>
      </c>
      <c r="O6" s="636" t="s">
        <v>38</v>
      </c>
      <c r="P6" s="638">
        <f>RELAÇ_TUDO!I32</f>
        <v>45.092469199936886</v>
      </c>
      <c r="Q6" s="636" t="s">
        <v>40</v>
      </c>
      <c r="R6" s="652">
        <f>RELAÇ_TUDO!J9</f>
        <v>597</v>
      </c>
      <c r="S6" s="647" t="s">
        <v>17</v>
      </c>
      <c r="T6" s="639">
        <f>RELAÇ_TUDO!K5</f>
        <v>18.812392731872965</v>
      </c>
      <c r="U6" s="636" t="s">
        <v>13</v>
      </c>
      <c r="V6" s="652">
        <f>RELAÇ_TUDO!L24</f>
        <v>65.93655445042512</v>
      </c>
      <c r="W6" s="647" t="s">
        <v>32</v>
      </c>
      <c r="X6" s="639">
        <f>RELAÇ_TUDO!M28</f>
        <v>0.45832467648603681</v>
      </c>
      <c r="Y6" s="636" t="s">
        <v>36</v>
      </c>
      <c r="Z6" s="652">
        <f>RELAÇ_TUDO!N30</f>
        <v>14542.791465261676</v>
      </c>
      <c r="AA6" s="647" t="s">
        <v>38</v>
      </c>
      <c r="AB6" s="639">
        <f>RELAÇ_TUDO!O29</f>
        <v>0.83199999999999996</v>
      </c>
      <c r="AC6" s="636" t="s">
        <v>37</v>
      </c>
      <c r="AD6" s="646">
        <f>RELAÇ_TUDO!Q24</f>
        <v>49.052265221226712</v>
      </c>
      <c r="AE6" s="647" t="s">
        <v>32</v>
      </c>
      <c r="AF6" s="639">
        <f>RELAÇ_TUDO!R11</f>
        <v>528</v>
      </c>
      <c r="AG6" s="636" t="s">
        <v>19</v>
      </c>
      <c r="AH6" s="652" t="e">
        <f>RELAÇ_TUDO!S16</f>
        <v>#DIV/0!</v>
      </c>
      <c r="AI6" s="647" t="s">
        <v>24</v>
      </c>
      <c r="AJ6" s="639">
        <f>RELAÇ_TUDO!T24</f>
        <v>62.793149517776868</v>
      </c>
      <c r="AK6" s="636" t="s">
        <v>32</v>
      </c>
      <c r="AL6" s="652" t="e">
        <f>RELAÇ_TUDO!U28</f>
        <v>#DIV/0!</v>
      </c>
      <c r="AM6" s="647" t="s">
        <v>36</v>
      </c>
      <c r="AN6" s="639">
        <f>RELAÇ_TUDO!V30</f>
        <v>15633.198377044726</v>
      </c>
      <c r="AO6" s="636" t="s">
        <v>38</v>
      </c>
      <c r="AP6" s="652">
        <f>RELAÇ_TUDO!W26</f>
        <v>0.84199999999999997</v>
      </c>
      <c r="AQ6" s="647" t="s">
        <v>34</v>
      </c>
      <c r="AR6" s="638">
        <f>RELAÇ_TUDO!Y24</f>
        <v>45.223968131741927</v>
      </c>
      <c r="AS6" s="636" t="s">
        <v>32</v>
      </c>
      <c r="AT6" s="652">
        <f>RELAÇ_TUDO!Z9</f>
        <v>663</v>
      </c>
      <c r="AU6" s="647" t="s">
        <v>17</v>
      </c>
      <c r="AV6" s="639" t="e">
        <f>RELAÇ_TUDO!AA8</f>
        <v>#DIV/0!</v>
      </c>
      <c r="AW6" s="636" t="s">
        <v>16</v>
      </c>
      <c r="AX6" s="652">
        <f>RELAÇ_TUDO!AB30</f>
        <v>51.164077511682464</v>
      </c>
      <c r="AY6" s="647" t="s">
        <v>38</v>
      </c>
      <c r="AZ6" s="639" t="e">
        <f>RELAÇ_TUDO!AC28</f>
        <v>#DIV/0!</v>
      </c>
      <c r="BA6" s="636" t="s">
        <v>36</v>
      </c>
      <c r="BB6" s="652">
        <f>RELAÇ_TUDO!AD23</f>
        <v>18002.916538759306</v>
      </c>
      <c r="BC6" s="647" t="s">
        <v>31</v>
      </c>
      <c r="BD6" s="639">
        <f>RELAÇ_TUDO!AE25</f>
        <v>0.85199999999999998</v>
      </c>
      <c r="BE6" s="636" t="s">
        <v>33</v>
      </c>
      <c r="BF6" s="646" t="e">
        <f>RELAÇ_TUDO!AG7</f>
        <v>#DIV/0!</v>
      </c>
      <c r="BG6" s="647" t="s">
        <v>15</v>
      </c>
      <c r="BH6" s="639">
        <f>RELAÇ_TUDO!AH7</f>
        <v>453</v>
      </c>
      <c r="BI6" s="636" t="s">
        <v>15</v>
      </c>
      <c r="BJ6" s="652" t="e">
        <f>RELAÇ_TUDO!AI25</f>
        <v>#DIV/0!</v>
      </c>
      <c r="BK6" s="647" t="s">
        <v>33</v>
      </c>
      <c r="BL6" s="639">
        <f>RELAÇ_TUDO!AJ32</f>
        <v>35.470614316628172</v>
      </c>
      <c r="BM6" s="636" t="s">
        <v>40</v>
      </c>
      <c r="BN6" s="652" t="e">
        <f>RELAÇ_TUDO!AK32</f>
        <v>#DIV/0!</v>
      </c>
      <c r="BO6" s="647" t="s">
        <v>40</v>
      </c>
      <c r="BP6" s="639">
        <f>RELAÇ_TUDO!AL25</f>
        <v>20933.796692269236</v>
      </c>
      <c r="BQ6" s="636" t="s">
        <v>33</v>
      </c>
      <c r="BR6" s="652">
        <f>RELAÇ_TUDO!AM28</f>
        <v>0.86543651753325268</v>
      </c>
      <c r="BS6" s="647" t="s">
        <v>36</v>
      </c>
    </row>
    <row r="7" spans="1:71">
      <c r="A7" s="660" t="s">
        <v>546</v>
      </c>
      <c r="B7" s="656">
        <f>RELAÇ_TUDO!A7</f>
        <v>40.45893557462017</v>
      </c>
      <c r="C7" s="647" t="s">
        <v>15</v>
      </c>
      <c r="D7" s="639">
        <f>RELAÇ_TUDO!B7</f>
        <v>365</v>
      </c>
      <c r="E7" s="636" t="s">
        <v>15</v>
      </c>
      <c r="F7" s="652">
        <f>RELAÇ_TUDO!C5</f>
        <v>17.217207368964754</v>
      </c>
      <c r="G7" s="647" t="s">
        <v>13</v>
      </c>
      <c r="H7" s="639">
        <f>RELAÇ_TUDO!D30</f>
        <v>61.790365613456935</v>
      </c>
      <c r="I7" s="636" t="s">
        <v>38</v>
      </c>
      <c r="J7" s="652">
        <f>RELAÇ_TUDO!E29</f>
        <v>0.38397405837360715</v>
      </c>
      <c r="K7" s="647" t="s">
        <v>37</v>
      </c>
      <c r="L7" s="639">
        <f>RELAÇ_TUDO!F30</f>
        <v>13403.291564203719</v>
      </c>
      <c r="M7" s="636" t="s">
        <v>38</v>
      </c>
      <c r="N7" s="639">
        <f>RELAÇ_TUDO!G28</f>
        <v>0.80300000000000005</v>
      </c>
      <c r="O7" s="636" t="s">
        <v>36</v>
      </c>
      <c r="P7" s="638">
        <f>RELAÇ_TUDO!I7</f>
        <v>50.246207503553158</v>
      </c>
      <c r="Q7" s="636" t="s">
        <v>15</v>
      </c>
      <c r="R7" s="652">
        <f>RELAÇ_TUDO!J11</f>
        <v>523</v>
      </c>
      <c r="S7" s="647" t="s">
        <v>19</v>
      </c>
      <c r="T7" s="639">
        <f>RELAÇ_TUDO!K16</f>
        <v>19.392257302857931</v>
      </c>
      <c r="U7" s="636" t="s">
        <v>24</v>
      </c>
      <c r="V7" s="652">
        <f>RELAÇ_TUDO!L30</f>
        <v>57.810278951135665</v>
      </c>
      <c r="W7" s="647" t="s">
        <v>38</v>
      </c>
      <c r="X7" s="639">
        <f>RELAÇ_TUDO!M29</f>
        <v>0.41815819050229341</v>
      </c>
      <c r="Y7" s="636" t="s">
        <v>37</v>
      </c>
      <c r="Z7" s="652">
        <f>RELAÇ_TUDO!N23</f>
        <v>13854.906640322049</v>
      </c>
      <c r="AA7" s="647" t="s">
        <v>31</v>
      </c>
      <c r="AB7" s="639">
        <f>RELAÇ_TUDO!O25</f>
        <v>0.83199999999999996</v>
      </c>
      <c r="AC7" s="636" t="s">
        <v>33</v>
      </c>
      <c r="AD7" s="646">
        <f>RELAÇ_TUDO!Q5</f>
        <v>61.622473869153353</v>
      </c>
      <c r="AE7" s="647" t="s">
        <v>13</v>
      </c>
      <c r="AF7" s="639">
        <f>RELAÇ_TUDO!R21</f>
        <v>590</v>
      </c>
      <c r="AG7" s="636" t="s">
        <v>29</v>
      </c>
      <c r="AH7" s="652" t="e">
        <f>RELAÇ_TUDO!S8</f>
        <v>#DIV/0!</v>
      </c>
      <c r="AI7" s="647" t="s">
        <v>16</v>
      </c>
      <c r="AJ7" s="639">
        <f>RELAÇ_TUDO!T28</f>
        <v>64.100678890619051</v>
      </c>
      <c r="AK7" s="636" t="s">
        <v>36</v>
      </c>
      <c r="AL7" s="652" t="e">
        <f>RELAÇ_TUDO!U29</f>
        <v>#DIV/0!</v>
      </c>
      <c r="AM7" s="647" t="s">
        <v>37</v>
      </c>
      <c r="AN7" s="639">
        <f>RELAÇ_TUDO!V23</f>
        <v>15234.758093902639</v>
      </c>
      <c r="AO7" s="636" t="s">
        <v>31</v>
      </c>
      <c r="AP7" s="652">
        <f>RELAÇ_TUDO!W29</f>
        <v>0.84</v>
      </c>
      <c r="AQ7" s="647" t="s">
        <v>37</v>
      </c>
      <c r="AR7" s="638">
        <f>RELAÇ_TUDO!Y32</f>
        <v>34.567971751398204</v>
      </c>
      <c r="AS7" s="636" t="s">
        <v>40</v>
      </c>
      <c r="AT7" s="652">
        <f>RELAÇ_TUDO!Z7</f>
        <v>457</v>
      </c>
      <c r="AU7" s="647" t="s">
        <v>15</v>
      </c>
      <c r="AV7" s="639" t="e">
        <f>RELAÇ_TUDO!AA20</f>
        <v>#DIV/0!</v>
      </c>
      <c r="AW7" s="636" t="s">
        <v>28</v>
      </c>
      <c r="AX7" s="652">
        <f>RELAÇ_TUDO!AB24</f>
        <v>56.555320215862672</v>
      </c>
      <c r="AY7" s="647" t="s">
        <v>32</v>
      </c>
      <c r="AZ7" s="639" t="e">
        <f>RELAÇ_TUDO!AC29</f>
        <v>#DIV/0!</v>
      </c>
      <c r="BA7" s="636" t="s">
        <v>37</v>
      </c>
      <c r="BB7" s="652">
        <f>RELAÇ_TUDO!AD30</f>
        <v>17834.003039188749</v>
      </c>
      <c r="BC7" s="647" t="s">
        <v>38</v>
      </c>
      <c r="BD7" s="639">
        <f>RELAÇ_TUDO!AE29</f>
        <v>0.84699999999999998</v>
      </c>
      <c r="BE7" s="636" t="s">
        <v>37</v>
      </c>
      <c r="BF7" s="646" t="e">
        <f>RELAÇ_TUDO!AG29</f>
        <v>#DIV/0!</v>
      </c>
      <c r="BG7" s="647" t="s">
        <v>37</v>
      </c>
      <c r="BH7" s="639">
        <f>RELAÇ_TUDO!AH9</f>
        <v>535</v>
      </c>
      <c r="BI7" s="636" t="s">
        <v>17</v>
      </c>
      <c r="BJ7" s="652" t="e">
        <f>RELAÇ_TUDO!AI20</f>
        <v>#DIV/0!</v>
      </c>
      <c r="BK7" s="647" t="s">
        <v>28</v>
      </c>
      <c r="BL7" s="639">
        <f>RELAÇ_TUDO!AJ30</f>
        <v>39.654817429553788</v>
      </c>
      <c r="BM7" s="636" t="s">
        <v>38</v>
      </c>
      <c r="BN7" s="652" t="e">
        <f>RELAÇ_TUDO!AK29</f>
        <v>#DIV/0!</v>
      </c>
      <c r="BO7" s="647" t="s">
        <v>37</v>
      </c>
      <c r="BP7" s="639">
        <f>RELAÇ_TUDO!AL30</f>
        <v>20344.631772140125</v>
      </c>
      <c r="BQ7" s="636" t="s">
        <v>38</v>
      </c>
      <c r="BR7" s="652">
        <f>RELAÇ_TUDO!AM25</f>
        <v>0.85804255319148925</v>
      </c>
      <c r="BS7" s="647" t="s">
        <v>33</v>
      </c>
    </row>
    <row r="8" spans="1:71">
      <c r="A8" s="660" t="s">
        <v>547</v>
      </c>
      <c r="B8" s="656">
        <f>RELAÇ_TUDO!A30</f>
        <v>53.074054148577261</v>
      </c>
      <c r="C8" s="647" t="s">
        <v>38</v>
      </c>
      <c r="D8" s="639">
        <f>RELAÇ_TUDO!B20</f>
        <v>501</v>
      </c>
      <c r="E8" s="636" t="s">
        <v>28</v>
      </c>
      <c r="F8" s="652">
        <f>RELAÇ_TUDO!C20</f>
        <v>15.967384465934016</v>
      </c>
      <c r="G8" s="647" t="s">
        <v>28</v>
      </c>
      <c r="H8" s="639">
        <f>RELAÇ_TUDO!D25</f>
        <v>57.550838884108387</v>
      </c>
      <c r="I8" s="636" t="s">
        <v>33</v>
      </c>
      <c r="J8" s="652">
        <f>RELAÇ_TUDO!E35</f>
        <v>0.3444006693355362</v>
      </c>
      <c r="K8" s="647" t="s">
        <v>43</v>
      </c>
      <c r="L8" s="639">
        <f>RELAÇ_TUDO!F29</f>
        <v>12850.072058969863</v>
      </c>
      <c r="M8" s="636" t="s">
        <v>37</v>
      </c>
      <c r="N8" s="639">
        <f>RELAÇ_TUDO!G25</f>
        <v>0.80200000000000005</v>
      </c>
      <c r="O8" s="636" t="s">
        <v>33</v>
      </c>
      <c r="P8" s="638">
        <f>RELAÇ_TUDO!I30</f>
        <v>48.170244558587974</v>
      </c>
      <c r="Q8" s="636" t="s">
        <v>38</v>
      </c>
      <c r="R8" s="652">
        <f>RELAÇ_TUDO!J7</f>
        <v>467</v>
      </c>
      <c r="S8" s="647" t="s">
        <v>15</v>
      </c>
      <c r="T8" s="639">
        <f>RELAÇ_TUDO!K20</f>
        <v>20.485936515061265</v>
      </c>
      <c r="U8" s="636" t="s">
        <v>28</v>
      </c>
      <c r="V8" s="652">
        <f>RELAÇ_TUDO!L28</f>
        <v>70.775252225618473</v>
      </c>
      <c r="W8" s="647" t="s">
        <v>36</v>
      </c>
      <c r="X8" s="639">
        <f>RELAÇ_TUDO!M35</f>
        <v>0.36349745857941779</v>
      </c>
      <c r="Y8" s="636" t="s">
        <v>43</v>
      </c>
      <c r="Z8" s="652">
        <f>RELAÇ_TUDO!N34</f>
        <v>13365.064178760551</v>
      </c>
      <c r="AA8" s="647" t="s">
        <v>42</v>
      </c>
      <c r="AB8" s="639">
        <f>RELAÇ_TUDO!O28</f>
        <v>0.82</v>
      </c>
      <c r="AC8" s="636" t="s">
        <v>36</v>
      </c>
      <c r="AD8" s="646">
        <f>RELAÇ_TUDO!Q30</f>
        <v>49.044680391400462</v>
      </c>
      <c r="AE8" s="647" t="s">
        <v>38</v>
      </c>
      <c r="AF8" s="639">
        <f>RELAÇ_TUDO!R9</f>
        <v>581</v>
      </c>
      <c r="AG8" s="636" t="s">
        <v>17</v>
      </c>
      <c r="AH8" s="652" t="e">
        <f>RELAÇ_TUDO!S20</f>
        <v>#DIV/0!</v>
      </c>
      <c r="AI8" s="647" t="s">
        <v>28</v>
      </c>
      <c r="AJ8" s="639">
        <f>RELAÇ_TUDO!T30</f>
        <v>57.439439926198318</v>
      </c>
      <c r="AK8" s="636" t="s">
        <v>38</v>
      </c>
      <c r="AL8" s="652" t="e">
        <f>RELAÇ_TUDO!U35</f>
        <v>#DIV/0!</v>
      </c>
      <c r="AM8" s="647" t="s">
        <v>43</v>
      </c>
      <c r="AN8" s="639">
        <f>RELAÇ_TUDO!V29</f>
        <v>14304.825274705392</v>
      </c>
      <c r="AO8" s="636" t="s">
        <v>37</v>
      </c>
      <c r="AP8" s="652">
        <f>RELAÇ_TUDO!W28</f>
        <v>0.82699999999999996</v>
      </c>
      <c r="AQ8" s="647" t="s">
        <v>36</v>
      </c>
      <c r="AR8" s="638">
        <f>RELAÇ_TUDO!Y25</f>
        <v>48.681519992994154</v>
      </c>
      <c r="AS8" s="636" t="s">
        <v>33</v>
      </c>
      <c r="AT8" s="652">
        <f>RELAÇ_TUDO!Z11</f>
        <v>544</v>
      </c>
      <c r="AU8" s="647" t="s">
        <v>19</v>
      </c>
      <c r="AV8" s="639" t="e">
        <f>RELAÇ_TUDO!AA6</f>
        <v>#DIV/0!</v>
      </c>
      <c r="AW8" s="636" t="s">
        <v>14</v>
      </c>
      <c r="AX8" s="652">
        <f>RELAÇ_TUDO!AB25</f>
        <v>60.355313668098219</v>
      </c>
      <c r="AY8" s="647" t="s">
        <v>33</v>
      </c>
      <c r="AZ8" s="639" t="e">
        <f>RELAÇ_TUDO!AC35</f>
        <v>#DIV/0!</v>
      </c>
      <c r="BA8" s="636" t="s">
        <v>43</v>
      </c>
      <c r="BB8" s="652">
        <f>RELAÇ_TUDO!AD29</f>
        <v>16688.742224076006</v>
      </c>
      <c r="BC8" s="647" t="s">
        <v>37</v>
      </c>
      <c r="BD8" s="639">
        <f>RELAÇ_TUDO!AE28</f>
        <v>0.84599999999999997</v>
      </c>
      <c r="BE8" s="636" t="s">
        <v>36</v>
      </c>
      <c r="BF8" s="646" t="e">
        <f>RELAÇ_TUDO!AG32</f>
        <v>#DIV/0!</v>
      </c>
      <c r="BG8" s="647" t="s">
        <v>40</v>
      </c>
      <c r="BH8" s="639">
        <f>RELAÇ_TUDO!AH20</f>
        <v>602</v>
      </c>
      <c r="BI8" s="636" t="s">
        <v>28</v>
      </c>
      <c r="BJ8" s="652" t="e">
        <f>RELAÇ_TUDO!AI8</f>
        <v>#DIV/0!</v>
      </c>
      <c r="BK8" s="647" t="s">
        <v>16</v>
      </c>
      <c r="BL8" s="639">
        <f>RELAÇ_TUDO!AJ24</f>
        <v>46.799749185759772</v>
      </c>
      <c r="BM8" s="636" t="s">
        <v>32</v>
      </c>
      <c r="BN8" s="652" t="e">
        <f>RELAÇ_TUDO!AK35</f>
        <v>#DIV/0!</v>
      </c>
      <c r="BO8" s="647" t="s">
        <v>43</v>
      </c>
      <c r="BP8" s="639">
        <f>RELAÇ_TUDO!AL29</f>
        <v>19469.941902341296</v>
      </c>
      <c r="BQ8" s="636" t="s">
        <v>37</v>
      </c>
      <c r="BR8" s="652">
        <f>RELAÇ_TUDO!AM29</f>
        <v>0.85405833333333325</v>
      </c>
      <c r="BS8" s="647" t="s">
        <v>37</v>
      </c>
    </row>
    <row r="9" spans="1:71">
      <c r="A9" s="660" t="s">
        <v>548</v>
      </c>
      <c r="B9" s="656">
        <f>RELAÇ_TUDO!A14</f>
        <v>59.389401424063209</v>
      </c>
      <c r="C9" s="647" t="s">
        <v>22</v>
      </c>
      <c r="D9" s="639">
        <f>RELAÇ_TUDO!B21</f>
        <v>534</v>
      </c>
      <c r="E9" s="636" t="s">
        <v>29</v>
      </c>
      <c r="F9" s="652">
        <f>RELAÇ_TUDO!C18</f>
        <v>19.749570900846031</v>
      </c>
      <c r="G9" s="647" t="s">
        <v>26</v>
      </c>
      <c r="H9" s="639">
        <f>RELAÇ_TUDO!D28</f>
        <v>69.157023278671801</v>
      </c>
      <c r="I9" s="636" t="s">
        <v>36</v>
      </c>
      <c r="J9" s="652">
        <f>RELAÇ_TUDO!E33</f>
        <v>0.3377116072941197</v>
      </c>
      <c r="K9" s="647" t="s">
        <v>41</v>
      </c>
      <c r="L9" s="639">
        <f>RELAÇ_TUDO!F28</f>
        <v>12079.826715677054</v>
      </c>
      <c r="M9" s="636" t="s">
        <v>36</v>
      </c>
      <c r="N9" s="639">
        <f>RELAÇ_TUDO!G23</f>
        <v>0.78700000000000003</v>
      </c>
      <c r="O9" s="636" t="s">
        <v>31</v>
      </c>
      <c r="P9" s="638">
        <f>RELAÇ_TUDO!I25</f>
        <v>52.428711649715972</v>
      </c>
      <c r="Q9" s="636" t="s">
        <v>33</v>
      </c>
      <c r="R9" s="652">
        <f>RELAÇ_TUDO!J21</f>
        <v>627</v>
      </c>
      <c r="S9" s="647" t="s">
        <v>29</v>
      </c>
      <c r="T9" s="639">
        <f>RELAÇ_TUDO!K18</f>
        <v>22.042988260716143</v>
      </c>
      <c r="U9" s="636" t="s">
        <v>26</v>
      </c>
      <c r="V9" s="652">
        <f>RELAÇ_TUDO!L25</f>
        <v>66.288136180997313</v>
      </c>
      <c r="W9" s="647" t="s">
        <v>33</v>
      </c>
      <c r="X9" s="639">
        <f>RELAÇ_TUDO!M33</f>
        <v>0.36605756232565173</v>
      </c>
      <c r="Y9" s="636" t="s">
        <v>41</v>
      </c>
      <c r="Z9" s="652">
        <f>RELAÇ_TUDO!N29</f>
        <v>13298.021312991703</v>
      </c>
      <c r="AA9" s="647" t="s">
        <v>37</v>
      </c>
      <c r="AB9" s="639">
        <f>RELAÇ_TUDO!O23</f>
        <v>0.80200000000000005</v>
      </c>
      <c r="AC9" s="636" t="s">
        <v>31</v>
      </c>
      <c r="AD9" s="646">
        <f>RELAÇ_TUDO!Q7</f>
        <v>48.416360821514147</v>
      </c>
      <c r="AE9" s="647" t="s">
        <v>15</v>
      </c>
      <c r="AF9" s="639">
        <f>RELAÇ_TUDO!R7</f>
        <v>506</v>
      </c>
      <c r="AG9" s="636" t="s">
        <v>15</v>
      </c>
      <c r="AH9" s="652" t="e">
        <f>RELAÇ_TUDO!S18</f>
        <v>#DIV/0!</v>
      </c>
      <c r="AI9" s="647" t="s">
        <v>26</v>
      </c>
      <c r="AJ9" s="639">
        <f>RELAÇ_TUDO!T25</f>
        <v>58.693993524993246</v>
      </c>
      <c r="AK9" s="636" t="s">
        <v>33</v>
      </c>
      <c r="AL9" s="652" t="e">
        <f>RELAÇ_TUDO!U33</f>
        <v>#DIV/0!</v>
      </c>
      <c r="AM9" s="647" t="s">
        <v>41</v>
      </c>
      <c r="AN9" s="639">
        <f>RELAÇ_TUDO!V28</f>
        <v>13151.984836409982</v>
      </c>
      <c r="AO9" s="636" t="s">
        <v>36</v>
      </c>
      <c r="AP9" s="652">
        <f>RELAÇ_TUDO!W35</f>
        <v>0.81499999999999995</v>
      </c>
      <c r="AQ9" s="647" t="s">
        <v>43</v>
      </c>
      <c r="AR9" s="638">
        <f>RELAÇ_TUDO!Y9</f>
        <v>66.226425876853952</v>
      </c>
      <c r="AS9" s="636" t="s">
        <v>17</v>
      </c>
      <c r="AT9" s="652">
        <f>RELAÇ_TUDO!Z21</f>
        <v>650</v>
      </c>
      <c r="AU9" s="647" t="s">
        <v>29</v>
      </c>
      <c r="AV9" s="639" t="e">
        <f>RELAÇ_TUDO!AA16</f>
        <v>#DIV/0!</v>
      </c>
      <c r="AW9" s="636" t="s">
        <v>24</v>
      </c>
      <c r="AX9" s="652">
        <f>RELAÇ_TUDO!AB28</f>
        <v>64.648202125201422</v>
      </c>
      <c r="AY9" s="647" t="s">
        <v>36</v>
      </c>
      <c r="AZ9" s="639" t="e">
        <f>RELAÇ_TUDO!AC33</f>
        <v>#DIV/0!</v>
      </c>
      <c r="BA9" s="636" t="s">
        <v>41</v>
      </c>
      <c r="BB9" s="652">
        <f>RELAÇ_TUDO!AD28</f>
        <v>15711.196108694512</v>
      </c>
      <c r="BC9" s="647" t="s">
        <v>36</v>
      </c>
      <c r="BD9" s="639">
        <f>RELAÇ_TUDO!AE35</f>
        <v>0.83</v>
      </c>
      <c r="BE9" s="636" t="s">
        <v>43</v>
      </c>
      <c r="BF9" s="646" t="e">
        <f>RELAÇ_TUDO!AG24</f>
        <v>#DIV/0!</v>
      </c>
      <c r="BG9" s="647" t="s">
        <v>32</v>
      </c>
      <c r="BH9" s="639">
        <f>RELAÇ_TUDO!AH11</f>
        <v>496</v>
      </c>
      <c r="BI9" s="636" t="s">
        <v>19</v>
      </c>
      <c r="BJ9" s="652" t="e">
        <f>RELAÇ_TUDO!AI18</f>
        <v>#DIV/0!</v>
      </c>
      <c r="BK9" s="647" t="s">
        <v>26</v>
      </c>
      <c r="BL9" s="639">
        <f>RELAÇ_TUDO!AJ28</f>
        <v>49.061725980813335</v>
      </c>
      <c r="BM9" s="636" t="s">
        <v>36</v>
      </c>
      <c r="BN9" s="652" t="e">
        <f>RELAÇ_TUDO!AK33</f>
        <v>#DIV/0!</v>
      </c>
      <c r="BO9" s="647" t="s">
        <v>41</v>
      </c>
      <c r="BP9" s="639">
        <f>RELAÇ_TUDO!AL28</f>
        <v>18768.397792134048</v>
      </c>
      <c r="BQ9" s="636" t="s">
        <v>36</v>
      </c>
      <c r="BR9" s="652">
        <f>RELAÇ_TUDO!AM35</f>
        <v>0.84527607361963197</v>
      </c>
      <c r="BS9" s="647" t="s">
        <v>43</v>
      </c>
    </row>
    <row r="10" spans="1:71">
      <c r="A10" s="660" t="s">
        <v>549</v>
      </c>
      <c r="B10" s="656">
        <f>RELAÇ_TUDO!A25</f>
        <v>44.980154170670126</v>
      </c>
      <c r="C10" s="647" t="s">
        <v>33</v>
      </c>
      <c r="D10" s="639">
        <f>RELAÇ_TUDO!B11</f>
        <v>450</v>
      </c>
      <c r="E10" s="636" t="s">
        <v>19</v>
      </c>
      <c r="F10" s="652">
        <f>RELAÇ_TUDO!C26</f>
        <v>16.33236387056871</v>
      </c>
      <c r="G10" s="647" t="s">
        <v>34</v>
      </c>
      <c r="H10" s="639">
        <f>RELAÇ_TUDO!D14</f>
        <v>97.663594521664407</v>
      </c>
      <c r="I10" s="636" t="s">
        <v>22</v>
      </c>
      <c r="J10" s="652">
        <f>RELAÇ_TUDO!E34</f>
        <v>0.31623816305624264</v>
      </c>
      <c r="K10" s="647" t="s">
        <v>42</v>
      </c>
      <c r="L10" s="639">
        <f>RELAÇ_TUDO!F23</f>
        <v>11997.944357415641</v>
      </c>
      <c r="M10" s="636" t="s">
        <v>31</v>
      </c>
      <c r="N10" s="639">
        <f>RELAÇ_TUDO!G33</f>
        <v>0.77</v>
      </c>
      <c r="O10" s="636" t="s">
        <v>41</v>
      </c>
      <c r="P10" s="638">
        <f>RELAÇ_TUDO!I9</f>
        <v>67.090830837959714</v>
      </c>
      <c r="Q10" s="636" t="s">
        <v>17</v>
      </c>
      <c r="R10" s="652">
        <f>RELAÇ_TUDO!J20</f>
        <v>649</v>
      </c>
      <c r="S10" s="647" t="s">
        <v>28</v>
      </c>
      <c r="T10" s="639">
        <f>RELAÇ_TUDO!K26</f>
        <v>17.034962193847207</v>
      </c>
      <c r="U10" s="636" t="s">
        <v>34</v>
      </c>
      <c r="V10" s="652">
        <f>RELAÇ_TUDO!L33</f>
        <v>87.499294727473597</v>
      </c>
      <c r="W10" s="647" t="s">
        <v>41</v>
      </c>
      <c r="X10" s="639">
        <f>RELAÇ_TUDO!M34</f>
        <v>0.34884726215288875</v>
      </c>
      <c r="Y10" s="636" t="s">
        <v>42</v>
      </c>
      <c r="Z10" s="652">
        <f>RELAÇ_TUDO!N28</f>
        <v>12344.437083128983</v>
      </c>
      <c r="AA10" s="647" t="s">
        <v>36</v>
      </c>
      <c r="AB10" s="639">
        <f>RELAÇ_TUDO!O35</f>
        <v>0.80200000000000005</v>
      </c>
      <c r="AC10" s="636" t="s">
        <v>43</v>
      </c>
      <c r="AD10" s="646">
        <f>RELAÇ_TUDO!Q33</f>
        <v>54.15946940233912</v>
      </c>
      <c r="AE10" s="647" t="s">
        <v>41</v>
      </c>
      <c r="AF10" s="639">
        <f>RELAÇ_TUDO!R20</f>
        <v>590</v>
      </c>
      <c r="AG10" s="636" t="s">
        <v>28</v>
      </c>
      <c r="AH10" s="652" t="e">
        <f>RELAÇ_TUDO!S26</f>
        <v>#DIV/0!</v>
      </c>
      <c r="AI10" s="647" t="s">
        <v>34</v>
      </c>
      <c r="AJ10" s="639">
        <f>RELAÇ_TUDO!T33</f>
        <v>74.919580697064603</v>
      </c>
      <c r="AK10" s="636" t="s">
        <v>41</v>
      </c>
      <c r="AL10" s="652" t="e">
        <f>RELAÇ_TUDO!U34</f>
        <v>#DIV/0!</v>
      </c>
      <c r="AM10" s="647" t="s">
        <v>42</v>
      </c>
      <c r="AN10" s="639">
        <f>RELAÇ_TUDO!V34</f>
        <v>12340.786324018361</v>
      </c>
      <c r="AO10" s="636" t="s">
        <v>42</v>
      </c>
      <c r="AP10" s="652">
        <f>RELAÇ_TUDO!W24</f>
        <v>0.81299999999999994</v>
      </c>
      <c r="AQ10" s="647" t="s">
        <v>32</v>
      </c>
      <c r="AR10" s="638">
        <f>RELAÇ_TUDO!Y30</f>
        <v>43.807245783993459</v>
      </c>
      <c r="AS10" s="636" t="s">
        <v>38</v>
      </c>
      <c r="AT10" s="652">
        <f>RELAÇ_TUDO!Z20</f>
        <v>600</v>
      </c>
      <c r="AU10" s="647" t="s">
        <v>28</v>
      </c>
      <c r="AV10" s="639" t="e">
        <f>RELAÇ_TUDO!AA18</f>
        <v>#DIV/0!</v>
      </c>
      <c r="AW10" s="636" t="s">
        <v>26</v>
      </c>
      <c r="AX10" s="652">
        <f>RELAÇ_TUDO!AB33</f>
        <v>76.330698510703257</v>
      </c>
      <c r="AY10" s="647" t="s">
        <v>41</v>
      </c>
      <c r="AZ10" s="639" t="e">
        <f>RELAÇ_TUDO!AC34</f>
        <v>#DIV/0!</v>
      </c>
      <c r="BA10" s="636" t="s">
        <v>42</v>
      </c>
      <c r="BB10" s="652">
        <f>RELAÇ_TUDO!AD34</f>
        <v>14953.580628441914</v>
      </c>
      <c r="BC10" s="647" t="s">
        <v>42</v>
      </c>
      <c r="BD10" s="639">
        <f>RELAÇ_TUDO!AE24</f>
        <v>0.82499999999999996</v>
      </c>
      <c r="BE10" s="636" t="s">
        <v>32</v>
      </c>
      <c r="BF10" s="646" t="e">
        <f>RELAÇ_TUDO!AG20</f>
        <v>#DIV/0!</v>
      </c>
      <c r="BG10" s="647" t="s">
        <v>28</v>
      </c>
      <c r="BH10" s="639">
        <f>RELAÇ_TUDO!AH21</f>
        <v>664</v>
      </c>
      <c r="BI10" s="636" t="s">
        <v>29</v>
      </c>
      <c r="BJ10" s="652" t="e">
        <f>RELAÇ_TUDO!AI5</f>
        <v>#DIV/0!</v>
      </c>
      <c r="BK10" s="647" t="s">
        <v>13</v>
      </c>
      <c r="BL10" s="639">
        <f>RELAÇ_TUDO!AJ20</f>
        <v>62.235151695597743</v>
      </c>
      <c r="BM10" s="636" t="s">
        <v>28</v>
      </c>
      <c r="BN10" s="652" t="e">
        <f>RELAÇ_TUDO!AK34</f>
        <v>#DIV/0!</v>
      </c>
      <c r="BO10" s="647" t="s">
        <v>42</v>
      </c>
      <c r="BP10" s="639">
        <f>RELAÇ_TUDO!AL34</f>
        <v>18119.556383219377</v>
      </c>
      <c r="BQ10" s="636" t="s">
        <v>42</v>
      </c>
      <c r="BR10" s="652">
        <f>RELAÇ_TUDO!AM33</f>
        <v>0.84135811648079284</v>
      </c>
      <c r="BS10" s="647" t="s">
        <v>41</v>
      </c>
    </row>
    <row r="11" spans="1:71">
      <c r="A11" s="660" t="s">
        <v>550</v>
      </c>
      <c r="B11" s="656">
        <f>RELAÇ_TUDO!A9</f>
        <v>61.879304441709152</v>
      </c>
      <c r="C11" s="647" t="s">
        <v>17</v>
      </c>
      <c r="D11" s="639">
        <f>RELAÇ_TUDO!B13</f>
        <v>659</v>
      </c>
      <c r="E11" s="636" t="s">
        <v>21</v>
      </c>
      <c r="F11" s="652">
        <f>RELAÇ_TUDO!C24</f>
        <v>19.282154777551916</v>
      </c>
      <c r="G11" s="647" t="s">
        <v>32</v>
      </c>
      <c r="H11" s="639">
        <f>RELAÇ_TUDO!D20</f>
        <v>82.317103226633279</v>
      </c>
      <c r="I11" s="636" t="s">
        <v>28</v>
      </c>
      <c r="J11" s="652">
        <f>RELAÇ_TUDO!E24</f>
        <v>0.29667519347543392</v>
      </c>
      <c r="K11" s="647" t="s">
        <v>32</v>
      </c>
      <c r="L11" s="639">
        <f>RELAÇ_TUDO!F7</f>
        <v>9657.9742548466002</v>
      </c>
      <c r="M11" s="636" t="s">
        <v>15</v>
      </c>
      <c r="N11" s="639">
        <f>RELAÇ_TUDO!G35</f>
        <v>0.76900000000000002</v>
      </c>
      <c r="O11" s="636" t="s">
        <v>43</v>
      </c>
      <c r="P11" s="638">
        <f>RELAÇ_TUDO!I20</f>
        <v>65.515785446387611</v>
      </c>
      <c r="Q11" s="636" t="s">
        <v>28</v>
      </c>
      <c r="R11" s="652">
        <f>RELAÇ_TUDO!J13</f>
        <v>783</v>
      </c>
      <c r="S11" s="647" t="s">
        <v>21</v>
      </c>
      <c r="T11" s="639">
        <f>RELAÇ_TUDO!K24</f>
        <v>21.870326212805519</v>
      </c>
      <c r="U11" s="636" t="s">
        <v>32</v>
      </c>
      <c r="V11" s="652">
        <f>RELAÇ_TUDO!L20</f>
        <v>95.527994559761666</v>
      </c>
      <c r="W11" s="647" t="s">
        <v>28</v>
      </c>
      <c r="X11" s="639">
        <f>RELAÇ_TUDO!M24</f>
        <v>0.33168742884872582</v>
      </c>
      <c r="Y11" s="636" t="s">
        <v>32</v>
      </c>
      <c r="Z11" s="652">
        <f>RELAÇ_TUDO!N7</f>
        <v>10318.295712704374</v>
      </c>
      <c r="AA11" s="647" t="s">
        <v>15</v>
      </c>
      <c r="AB11" s="639">
        <f>RELAÇ_TUDO!O24</f>
        <v>0.8</v>
      </c>
      <c r="AC11" s="636" t="s">
        <v>32</v>
      </c>
      <c r="AD11" s="646">
        <f>RELAÇ_TUDO!Q9</f>
        <v>61.441338634516249</v>
      </c>
      <c r="AE11" s="647" t="s">
        <v>17</v>
      </c>
      <c r="AF11" s="639">
        <f>RELAÇ_TUDO!R32</f>
        <v>641</v>
      </c>
      <c r="AG11" s="636" t="s">
        <v>40</v>
      </c>
      <c r="AH11" s="652" t="e">
        <f>RELAÇ_TUDO!S29</f>
        <v>#DIV/0!</v>
      </c>
      <c r="AI11" s="647" t="s">
        <v>37</v>
      </c>
      <c r="AJ11" s="639">
        <f>RELAÇ_TUDO!T5</f>
        <v>102.98465970835755</v>
      </c>
      <c r="AK11" s="636" t="s">
        <v>13</v>
      </c>
      <c r="AL11" s="652" t="e">
        <f>RELAÇ_TUDO!U24</f>
        <v>#DIV/0!</v>
      </c>
      <c r="AM11" s="647" t="s">
        <v>32</v>
      </c>
      <c r="AN11" s="639">
        <f>RELAÇ_TUDO!V7</f>
        <v>11826.21404378744</v>
      </c>
      <c r="AO11" s="636" t="s">
        <v>15</v>
      </c>
      <c r="AP11" s="652">
        <f>RELAÇ_TUDO!W23</f>
        <v>0.80800000000000005</v>
      </c>
      <c r="AQ11" s="647" t="s">
        <v>31</v>
      </c>
      <c r="AR11" s="638">
        <f>RELAÇ_TUDO!Y20</f>
        <v>47.759013413159124</v>
      </c>
      <c r="AS11" s="636" t="s">
        <v>28</v>
      </c>
      <c r="AT11" s="652">
        <f>RELAÇ_TUDO!Z32</f>
        <v>550</v>
      </c>
      <c r="AU11" s="647" t="s">
        <v>40</v>
      </c>
      <c r="AV11" s="639" t="e">
        <f>RELAÇ_TUDO!AA25</f>
        <v>#DIV/0!</v>
      </c>
      <c r="AW11" s="636" t="s">
        <v>33</v>
      </c>
      <c r="AX11" s="652">
        <f>RELAÇ_TUDO!AB20</f>
        <v>71.993462993560186</v>
      </c>
      <c r="AY11" s="647" t="s">
        <v>28</v>
      </c>
      <c r="AZ11" s="639" t="e">
        <f>RELAÇ_TUDO!AC24</f>
        <v>#DIV/0!</v>
      </c>
      <c r="BA11" s="636" t="s">
        <v>32</v>
      </c>
      <c r="BB11" s="652">
        <f>RELAÇ_TUDO!AD7</f>
        <v>13042.830845316787</v>
      </c>
      <c r="BC11" s="647" t="s">
        <v>15</v>
      </c>
      <c r="BD11" s="639">
        <f>RELAÇ_TUDO!AE33</f>
        <v>0.82399999999999995</v>
      </c>
      <c r="BE11" s="636" t="s">
        <v>41</v>
      </c>
      <c r="BF11" s="646" t="e">
        <f>RELAÇ_TUDO!AG33</f>
        <v>#DIV/0!</v>
      </c>
      <c r="BG11" s="647" t="s">
        <v>41</v>
      </c>
      <c r="BH11" s="639">
        <f>RELAÇ_TUDO!AH13</f>
        <v>780</v>
      </c>
      <c r="BI11" s="636" t="s">
        <v>21</v>
      </c>
      <c r="BJ11" s="652" t="e">
        <f>RELAÇ_TUDO!AI16</f>
        <v>#DIV/0!</v>
      </c>
      <c r="BK11" s="647" t="s">
        <v>24</v>
      </c>
      <c r="BL11" s="639">
        <f>RELAÇ_TUDO!AJ33</f>
        <v>62.730981279156651</v>
      </c>
      <c r="BM11" s="636" t="s">
        <v>41</v>
      </c>
      <c r="BN11" s="652" t="e">
        <f>RELAÇ_TUDO!AK23</f>
        <v>#DIV/0!</v>
      </c>
      <c r="BO11" s="647" t="s">
        <v>31</v>
      </c>
      <c r="BP11" s="639">
        <f>RELAÇ_TUDO!AL35</f>
        <v>14542.202721963293</v>
      </c>
      <c r="BQ11" s="636" t="s">
        <v>43</v>
      </c>
      <c r="BR11" s="652">
        <f>RELAÇ_TUDO!AM24</f>
        <v>0.83717712177121772</v>
      </c>
      <c r="BS11" s="647" t="s">
        <v>32</v>
      </c>
    </row>
    <row r="12" spans="1:71">
      <c r="A12" s="660" t="s">
        <v>551</v>
      </c>
      <c r="B12" s="656">
        <f>RELAÇ_TUDO!A10</f>
        <v>76.581625090385202</v>
      </c>
      <c r="C12" s="647" t="s">
        <v>18</v>
      </c>
      <c r="D12" s="639">
        <f>RELAÇ_TUDO!B19</f>
        <v>903</v>
      </c>
      <c r="E12" s="636" t="s">
        <v>27</v>
      </c>
      <c r="F12" s="652">
        <f>RELAÇ_TUDO!C17</f>
        <v>20.530754486659518</v>
      </c>
      <c r="G12" s="647" t="s">
        <v>25</v>
      </c>
      <c r="H12" s="639">
        <f>RELAÇ_TUDO!D10</f>
        <v>124.24197603904747</v>
      </c>
      <c r="I12" s="636" t="s">
        <v>18</v>
      </c>
      <c r="J12" s="652">
        <f>RELAÇ_TUDO!E23</f>
        <v>0.3075311419766717</v>
      </c>
      <c r="K12" s="647" t="s">
        <v>31</v>
      </c>
      <c r="L12" s="639">
        <f>RELAÇ_TUDO!F35</f>
        <v>9461.2232481103729</v>
      </c>
      <c r="M12" s="636" t="s">
        <v>43</v>
      </c>
      <c r="N12" s="639">
        <f>RELAÇ_TUDO!G24</f>
        <v>0.76800000000000002</v>
      </c>
      <c r="O12" s="636" t="s">
        <v>32</v>
      </c>
      <c r="P12" s="638">
        <f>RELAÇ_TUDO!I34</f>
        <v>64.340445896427383</v>
      </c>
      <c r="Q12" s="636" t="s">
        <v>42</v>
      </c>
      <c r="R12" s="652">
        <f>RELAÇ_TUDO!J32</f>
        <v>636</v>
      </c>
      <c r="S12" s="647" t="s">
        <v>40</v>
      </c>
      <c r="T12" s="639">
        <f>RELAÇ_TUDO!K17</f>
        <v>22.009659824644871</v>
      </c>
      <c r="U12" s="636" t="s">
        <v>25</v>
      </c>
      <c r="V12" s="652">
        <f>RELAÇ_TUDO!L9</f>
        <v>117.13116925159657</v>
      </c>
      <c r="W12" s="647" t="s">
        <v>17</v>
      </c>
      <c r="X12" s="639">
        <f>RELAÇ_TUDO!M23</f>
        <v>0.33378691942308175</v>
      </c>
      <c r="Y12" s="636" t="s">
        <v>31</v>
      </c>
      <c r="Z12" s="652">
        <f>RELAÇ_TUDO!N24</f>
        <v>10013.762537453182</v>
      </c>
      <c r="AA12" s="647" t="s">
        <v>32</v>
      </c>
      <c r="AB12" s="639">
        <f>RELAÇ_TUDO!O33</f>
        <v>0.8</v>
      </c>
      <c r="AC12" s="636" t="s">
        <v>41</v>
      </c>
      <c r="AD12" s="646">
        <f>RELAÇ_TUDO!Q25</f>
        <v>45.881403193876267</v>
      </c>
      <c r="AE12" s="647" t="s">
        <v>33</v>
      </c>
      <c r="AF12" s="639">
        <f>RELAÇ_TUDO!R13</f>
        <v>853</v>
      </c>
      <c r="AG12" s="636" t="s">
        <v>21</v>
      </c>
      <c r="AH12" s="652" t="e">
        <f>RELAÇ_TUDO!S21</f>
        <v>#DIV/0!</v>
      </c>
      <c r="AI12" s="647" t="s">
        <v>29</v>
      </c>
      <c r="AJ12" s="639">
        <f>RELAÇ_TUDO!T35</f>
        <v>86.141600480354114</v>
      </c>
      <c r="AK12" s="636" t="s">
        <v>43</v>
      </c>
      <c r="AL12" s="652" t="e">
        <f>RELAÇ_TUDO!U23</f>
        <v>#DIV/0!</v>
      </c>
      <c r="AM12" s="647" t="s">
        <v>31</v>
      </c>
      <c r="AN12" s="639">
        <f>RELAÇ_TUDO!V24</f>
        <v>11024.695937721497</v>
      </c>
      <c r="AO12" s="636" t="s">
        <v>32</v>
      </c>
      <c r="AP12" s="652">
        <f>RELAÇ_TUDO!W33</f>
        <v>0.80700000000000005</v>
      </c>
      <c r="AQ12" s="647" t="s">
        <v>41</v>
      </c>
      <c r="AR12" s="638">
        <f>RELAÇ_TUDO!Y33</f>
        <v>53.540938598303377</v>
      </c>
      <c r="AS12" s="636" t="s">
        <v>41</v>
      </c>
      <c r="AT12" s="652">
        <f>RELAÇ_TUDO!Z13</f>
        <v>840</v>
      </c>
      <c r="AU12" s="647" t="s">
        <v>21</v>
      </c>
      <c r="AV12" s="639" t="e">
        <f>RELAÇ_TUDO!AA29</f>
        <v>#DIV/0!</v>
      </c>
      <c r="AW12" s="636" t="s">
        <v>37</v>
      </c>
      <c r="AX12" s="652">
        <f>RELAÇ_TUDO!AB35</f>
        <v>75.417886203205356</v>
      </c>
      <c r="AY12" s="647" t="s">
        <v>43</v>
      </c>
      <c r="AZ12" s="639" t="e">
        <f>RELAÇ_TUDO!AC23</f>
        <v>#DIV/0!</v>
      </c>
      <c r="BA12" s="636" t="s">
        <v>31</v>
      </c>
      <c r="BB12" s="652">
        <f>RELAÇ_TUDO!AD24</f>
        <v>12519.399202946424</v>
      </c>
      <c r="BC12" s="647" t="s">
        <v>32</v>
      </c>
      <c r="BD12" s="639">
        <f>RELAÇ_TUDO!AE23</f>
        <v>0.82099999999999995</v>
      </c>
      <c r="BE12" s="636" t="s">
        <v>31</v>
      </c>
      <c r="BF12" s="646" t="e">
        <f>RELAÇ_TUDO!AG9</f>
        <v>#DIV/0!</v>
      </c>
      <c r="BG12" s="647" t="s">
        <v>17</v>
      </c>
      <c r="BH12" s="639">
        <f>RELAÇ_TUDO!AH32</f>
        <v>536</v>
      </c>
      <c r="BI12" s="636" t="s">
        <v>40</v>
      </c>
      <c r="BJ12" s="652" t="e">
        <f>RELAÇ_TUDO!AI26</f>
        <v>#DIV/0!</v>
      </c>
      <c r="BK12" s="647" t="s">
        <v>34</v>
      </c>
      <c r="BL12" s="639">
        <f>RELAÇ_TUDO!AJ6</f>
        <v>74.688470458744447</v>
      </c>
      <c r="BM12" s="636" t="s">
        <v>14</v>
      </c>
      <c r="BN12" s="652" t="e">
        <f>RELAÇ_TUDO!AK24</f>
        <v>#DIV/0!</v>
      </c>
      <c r="BO12" s="647" t="s">
        <v>32</v>
      </c>
      <c r="BP12" s="639">
        <f>RELAÇ_TUDO!AL7</f>
        <v>14384.606589199375</v>
      </c>
      <c r="BQ12" s="636" t="s">
        <v>15</v>
      </c>
      <c r="BR12" s="652">
        <f>RELAÇ_TUDO!AM23</f>
        <v>0.83420915841584142</v>
      </c>
      <c r="BS12" s="647" t="s">
        <v>31</v>
      </c>
    </row>
    <row r="13" spans="1:71">
      <c r="A13" s="660" t="s">
        <v>552</v>
      </c>
      <c r="B13" s="656">
        <f>RELAÇ_TUDO!A20</f>
        <v>56.706595269995972</v>
      </c>
      <c r="C13" s="647" t="s">
        <v>28</v>
      </c>
      <c r="D13" s="639">
        <f>RELAÇ_TUDO!B32</f>
        <v>576</v>
      </c>
      <c r="E13" s="636" t="s">
        <v>40</v>
      </c>
      <c r="F13" s="652">
        <f>RELAÇ_TUDO!C25</f>
        <v>14.265739751683688</v>
      </c>
      <c r="G13" s="647" t="s">
        <v>33</v>
      </c>
      <c r="H13" s="639">
        <f>RELAÇ_TUDO!D33</f>
        <v>83.7920577920368</v>
      </c>
      <c r="I13" s="636" t="s">
        <v>41</v>
      </c>
      <c r="J13" s="652">
        <f>RELAÇ_TUDO!E25</f>
        <v>0.2478806569685453</v>
      </c>
      <c r="K13" s="647" t="s">
        <v>33</v>
      </c>
      <c r="L13" s="639">
        <f>RELAÇ_TUDO!F24</f>
        <v>9335.9708461572063</v>
      </c>
      <c r="M13" s="636" t="s">
        <v>32</v>
      </c>
      <c r="N13" s="639">
        <f>RELAÇ_TUDO!G34</f>
        <v>0.76700000000000002</v>
      </c>
      <c r="O13" s="636" t="s">
        <v>42</v>
      </c>
      <c r="P13" s="638">
        <f>RELAÇ_TUDO!I28</f>
        <v>65.451044350021931</v>
      </c>
      <c r="Q13" s="636" t="s">
        <v>36</v>
      </c>
      <c r="R13" s="652">
        <f>RELAÇ_TUDO!J19</f>
        <v>1044</v>
      </c>
      <c r="S13" s="647" t="s">
        <v>27</v>
      </c>
      <c r="T13" s="639">
        <f>RELAÇ_TUDO!K6</f>
        <v>18.072487102816023</v>
      </c>
      <c r="U13" s="636" t="s">
        <v>14</v>
      </c>
      <c r="V13" s="652">
        <f>RELAÇ_TUDO!L23</f>
        <v>97.422107062037341</v>
      </c>
      <c r="W13" s="647" t="s">
        <v>31</v>
      </c>
      <c r="X13" s="639">
        <f>RELAÇ_TUDO!M25</f>
        <v>0.26690124765407025</v>
      </c>
      <c r="Y13" s="636" t="s">
        <v>33</v>
      </c>
      <c r="Z13" s="652">
        <f>RELAÇ_TUDO!N35</f>
        <v>9561.1214806163662</v>
      </c>
      <c r="AA13" s="647" t="s">
        <v>43</v>
      </c>
      <c r="AB13" s="639">
        <f>RELAÇ_TUDO!O34</f>
        <v>0.79600000000000004</v>
      </c>
      <c r="AC13" s="636" t="s">
        <v>42</v>
      </c>
      <c r="AD13" s="646">
        <f>RELAÇ_TUDO!Q20</f>
        <v>53.289581884030049</v>
      </c>
      <c r="AE13" s="647" t="s">
        <v>28</v>
      </c>
      <c r="AF13" s="639">
        <f>RELAÇ_TUDO!R35</f>
        <v>845</v>
      </c>
      <c r="AG13" s="636" t="s">
        <v>43</v>
      </c>
      <c r="AH13" s="652" t="e">
        <f>RELAÇ_TUDO!S24</f>
        <v>#DIV/0!</v>
      </c>
      <c r="AI13" s="647" t="s">
        <v>32</v>
      </c>
      <c r="AJ13" s="639">
        <f>RELAÇ_TUDO!T20</f>
        <v>78.060500857342447</v>
      </c>
      <c r="AK13" s="636" t="s">
        <v>28</v>
      </c>
      <c r="AL13" s="652" t="e">
        <f>RELAÇ_TUDO!U25</f>
        <v>#DIV/0!</v>
      </c>
      <c r="AM13" s="647" t="s">
        <v>33</v>
      </c>
      <c r="AN13" s="639">
        <f>RELAÇ_TUDO!V35</f>
        <v>10592.444217919032</v>
      </c>
      <c r="AO13" s="636" t="s">
        <v>43</v>
      </c>
      <c r="AP13" s="652">
        <f>RELAÇ_TUDO!W34</f>
        <v>0.80400000000000005</v>
      </c>
      <c r="AQ13" s="647" t="s">
        <v>42</v>
      </c>
      <c r="AR13" s="638">
        <f>RELAÇ_TUDO!Y6</f>
        <v>39.912310749223145</v>
      </c>
      <c r="AS13" s="636" t="s">
        <v>14</v>
      </c>
      <c r="AT13" s="652">
        <f>RELAÇ_TUDO!Z35</f>
        <v>806</v>
      </c>
      <c r="AU13" s="647" t="s">
        <v>43</v>
      </c>
      <c r="AV13" s="639" t="e">
        <f>RELAÇ_TUDO!AA26</f>
        <v>#DIV/0!</v>
      </c>
      <c r="AW13" s="636" t="s">
        <v>34</v>
      </c>
      <c r="AX13" s="652">
        <f>RELAÇ_TUDO!AB7</f>
        <v>76.172125669006277</v>
      </c>
      <c r="AY13" s="647" t="s">
        <v>15</v>
      </c>
      <c r="AZ13" s="639" t="e">
        <f>RELAÇ_TUDO!AC9</f>
        <v>#DIV/0!</v>
      </c>
      <c r="BA13" s="636" t="s">
        <v>17</v>
      </c>
      <c r="BB13" s="652">
        <f>RELAÇ_TUDO!AD35</f>
        <v>12411.183309341075</v>
      </c>
      <c r="BC13" s="647" t="s">
        <v>43</v>
      </c>
      <c r="BD13" s="639">
        <f>RELAÇ_TUDO!AE34</f>
        <v>0.80800000000000005</v>
      </c>
      <c r="BE13" s="636" t="s">
        <v>42</v>
      </c>
      <c r="BF13" s="646" t="e">
        <f>RELAÇ_TUDO!AG30</f>
        <v>#DIV/0!</v>
      </c>
      <c r="BG13" s="647" t="s">
        <v>38</v>
      </c>
      <c r="BH13" s="639">
        <f>RELAÇ_TUDO!AH35</f>
        <v>828</v>
      </c>
      <c r="BI13" s="636" t="s">
        <v>43</v>
      </c>
      <c r="BJ13" s="652" t="e">
        <f>RELAÇ_TUDO!AI29</f>
        <v>#DIV/0!</v>
      </c>
      <c r="BK13" s="647" t="s">
        <v>37</v>
      </c>
      <c r="BL13" s="639">
        <f>RELAÇ_TUDO!AJ7</f>
        <v>64.635891611459812</v>
      </c>
      <c r="BM13" s="636" t="s">
        <v>15</v>
      </c>
      <c r="BN13" s="652" t="e">
        <f>RELAÇ_TUDO!AK9</f>
        <v>#DIV/0!</v>
      </c>
      <c r="BO13" s="647" t="s">
        <v>17</v>
      </c>
      <c r="BP13" s="639">
        <f>RELAÇ_TUDO!AL24</f>
        <v>14216.750946069944</v>
      </c>
      <c r="BQ13" s="636" t="s">
        <v>32</v>
      </c>
      <c r="BR13" s="652">
        <f>RELAÇ_TUDO!AM34</f>
        <v>0.8120199004975126</v>
      </c>
      <c r="BS13" s="647" t="s">
        <v>42</v>
      </c>
    </row>
    <row r="14" spans="1:71">
      <c r="A14" s="660" t="s">
        <v>553</v>
      </c>
      <c r="B14" s="656">
        <f>RELAÇ_TUDO!A5</f>
        <v>60.580812704081495</v>
      </c>
      <c r="C14" s="647" t="s">
        <v>13</v>
      </c>
      <c r="D14" s="639">
        <f>RELAÇ_TUDO!B17</f>
        <v>774</v>
      </c>
      <c r="E14" s="636" t="s">
        <v>25</v>
      </c>
      <c r="F14" s="652">
        <f>RELAÇ_TUDO!C13</f>
        <v>20.880193631319148</v>
      </c>
      <c r="G14" s="647" t="s">
        <v>21</v>
      </c>
      <c r="H14" s="639">
        <f>RELAÇ_TUDO!D35</f>
        <v>86.226513730434519</v>
      </c>
      <c r="I14" s="636" t="s">
        <v>43</v>
      </c>
      <c r="J14" s="652">
        <f>RELAÇ_TUDO!E9</f>
        <v>0.29646169221449942</v>
      </c>
      <c r="K14" s="647" t="s">
        <v>17</v>
      </c>
      <c r="L14" s="639">
        <f>RELAÇ_TUDO!F33</f>
        <v>8718.0125647535751</v>
      </c>
      <c r="M14" s="636" t="s">
        <v>41</v>
      </c>
      <c r="N14" s="639">
        <f>RELAÇ_TUDO!G10</f>
        <v>0.749</v>
      </c>
      <c r="O14" s="636" t="s">
        <v>18</v>
      </c>
      <c r="P14" s="638">
        <f>RELAÇ_TUDO!I33</f>
        <v>61.354676118471417</v>
      </c>
      <c r="Q14" s="636" t="s">
        <v>41</v>
      </c>
      <c r="R14" s="652">
        <f>RELAÇ_TUDO!J17</f>
        <v>829</v>
      </c>
      <c r="S14" s="647" t="s">
        <v>25</v>
      </c>
      <c r="T14" s="639">
        <f>RELAÇ_TUDO!K29</f>
        <v>20.39474920770467</v>
      </c>
      <c r="U14" s="636" t="s">
        <v>37</v>
      </c>
      <c r="V14" s="652">
        <f>RELAÇ_TUDO!L35</f>
        <v>87.394716326636072</v>
      </c>
      <c r="W14" s="647" t="s">
        <v>43</v>
      </c>
      <c r="X14" s="639">
        <f>RELAÇ_TUDO!M9</f>
        <v>0.32621739890131202</v>
      </c>
      <c r="Y14" s="636" t="s">
        <v>17</v>
      </c>
      <c r="Z14" s="652">
        <f>RELAÇ_TUDO!N33</f>
        <v>8992.0203633827969</v>
      </c>
      <c r="AA14" s="647" t="s">
        <v>41</v>
      </c>
      <c r="AB14" s="639">
        <f>RELAÇ_TUDO!O7</f>
        <v>0.78</v>
      </c>
      <c r="AC14" s="636" t="s">
        <v>15</v>
      </c>
      <c r="AD14" s="646">
        <f>RELAÇ_TUDO!Q14</f>
        <v>67.85183092614858</v>
      </c>
      <c r="AE14" s="647" t="s">
        <v>22</v>
      </c>
      <c r="AF14" s="639">
        <f>RELAÇ_TUDO!R17</f>
        <v>782</v>
      </c>
      <c r="AG14" s="636" t="s">
        <v>25</v>
      </c>
      <c r="AH14" s="652" t="e">
        <f>RELAÇ_TUDO!S13</f>
        <v>#DIV/0!</v>
      </c>
      <c r="AI14" s="647" t="s">
        <v>21</v>
      </c>
      <c r="AJ14" s="639">
        <f>RELAÇ_TUDO!T23</f>
        <v>90.652003142183815</v>
      </c>
      <c r="AK14" s="636" t="s">
        <v>31</v>
      </c>
      <c r="AL14" s="652" t="e">
        <f>RELAÇ_TUDO!U9</f>
        <v>#DIV/0!</v>
      </c>
      <c r="AM14" s="647" t="s">
        <v>17</v>
      </c>
      <c r="AN14" s="639">
        <f>RELAÇ_TUDO!V33</f>
        <v>9956.2957432058174</v>
      </c>
      <c r="AO14" s="636" t="s">
        <v>41</v>
      </c>
      <c r="AP14" s="652">
        <f>RELAÇ_TUDO!W6</f>
        <v>0.78900000000000003</v>
      </c>
      <c r="AQ14" s="647" t="s">
        <v>14</v>
      </c>
      <c r="AR14" s="638">
        <f>RELAÇ_TUDO!Y5</f>
        <v>50.528436004315623</v>
      </c>
      <c r="AS14" s="636" t="s">
        <v>13</v>
      </c>
      <c r="AT14" s="652">
        <f>RELAÇ_TUDO!Z17</f>
        <v>970</v>
      </c>
      <c r="AU14" s="647" t="s">
        <v>25</v>
      </c>
      <c r="AV14" s="639" t="e">
        <f>RELAÇ_TUDO!AA17</f>
        <v>#DIV/0!</v>
      </c>
      <c r="AW14" s="636" t="s">
        <v>25</v>
      </c>
      <c r="AX14" s="652">
        <f>RELAÇ_TUDO!AB9</f>
        <v>102.14803607689913</v>
      </c>
      <c r="AY14" s="647" t="s">
        <v>17</v>
      </c>
      <c r="AZ14" s="639" t="e">
        <f>RELAÇ_TUDO!AC25</f>
        <v>#DIV/0!</v>
      </c>
      <c r="BA14" s="636" t="s">
        <v>33</v>
      </c>
      <c r="BB14" s="652">
        <f>RELAÇ_TUDO!AD33</f>
        <v>11547.678871833459</v>
      </c>
      <c r="BC14" s="647" t="s">
        <v>41</v>
      </c>
      <c r="BD14" s="639">
        <f>RELAÇ_TUDO!AE6</f>
        <v>0.8</v>
      </c>
      <c r="BE14" s="636" t="s">
        <v>14</v>
      </c>
      <c r="BF14" s="646" t="e">
        <f>RELAÇ_TUDO!AG5</f>
        <v>#DIV/0!</v>
      </c>
      <c r="BG14" s="647" t="s">
        <v>13</v>
      </c>
      <c r="BH14" s="639">
        <f>RELAÇ_TUDO!AH17</f>
        <v>1004</v>
      </c>
      <c r="BI14" s="636" t="s">
        <v>25</v>
      </c>
      <c r="BJ14" s="652" t="e">
        <f>RELAÇ_TUDO!AI13</f>
        <v>#DIV/0!</v>
      </c>
      <c r="BK14" s="647" t="s">
        <v>21</v>
      </c>
      <c r="BL14" s="639">
        <f>RELAÇ_TUDO!AJ35</f>
        <v>66.07091132374029</v>
      </c>
      <c r="BM14" s="636" t="s">
        <v>43</v>
      </c>
      <c r="BN14" s="652" t="e">
        <f>RELAÇ_TUDO!AK25</f>
        <v>#DIV/0!</v>
      </c>
      <c r="BO14" s="647" t="s">
        <v>33</v>
      </c>
      <c r="BP14" s="639">
        <f>RELAÇ_TUDO!AL33</f>
        <v>13393.423695553261</v>
      </c>
      <c r="BQ14" s="636" t="s">
        <v>41</v>
      </c>
      <c r="BR14" s="652">
        <f>RELAÇ_TUDO!AM6</f>
        <v>0.81115335868187588</v>
      </c>
      <c r="BS14" s="647" t="s">
        <v>14</v>
      </c>
    </row>
    <row r="15" spans="1:71">
      <c r="A15" s="660" t="s">
        <v>554</v>
      </c>
      <c r="B15" s="656">
        <f>RELAÇ_TUDO!A33</f>
        <v>61.362279426386621</v>
      </c>
      <c r="C15" s="647" t="s">
        <v>41</v>
      </c>
      <c r="D15" s="639">
        <f>RELAÇ_TUDO!B35</f>
        <v>701</v>
      </c>
      <c r="E15" s="636" t="s">
        <v>43</v>
      </c>
      <c r="F15" s="652">
        <f>RELAÇ_TUDO!C10</f>
        <v>29.893451198940916</v>
      </c>
      <c r="G15" s="647" t="s">
        <v>18</v>
      </c>
      <c r="H15" s="639">
        <f>RELAÇ_TUDO!D23</f>
        <v>89.333171700593994</v>
      </c>
      <c r="I15" s="636" t="s">
        <v>31</v>
      </c>
      <c r="J15" s="652">
        <f>RELAÇ_TUDO!E10</f>
        <v>0.24060669470957088</v>
      </c>
      <c r="K15" s="647" t="s">
        <v>18</v>
      </c>
      <c r="L15" s="639">
        <f>RELAÇ_TUDO!F10</f>
        <v>7360.8500722509125</v>
      </c>
      <c r="M15" s="636" t="s">
        <v>18</v>
      </c>
      <c r="N15" s="639">
        <f>RELAÇ_TUDO!G6</f>
        <v>0.73199999999999998</v>
      </c>
      <c r="O15" s="636" t="s">
        <v>14</v>
      </c>
      <c r="P15" s="638">
        <f>RELAÇ_TUDO!I5</f>
        <v>57.145053874874257</v>
      </c>
      <c r="Q15" s="636" t="s">
        <v>13</v>
      </c>
      <c r="R15" s="652">
        <f>RELAÇ_TUDO!J35</f>
        <v>778</v>
      </c>
      <c r="S15" s="647" t="s">
        <v>43</v>
      </c>
      <c r="T15" s="639">
        <f>RELAÇ_TUDO!K25</f>
        <v>17.692386251371097</v>
      </c>
      <c r="U15" s="636" t="s">
        <v>33</v>
      </c>
      <c r="V15" s="652">
        <f>RELAÇ_TUDO!L7</f>
        <v>95.747341832362196</v>
      </c>
      <c r="W15" s="647" t="s">
        <v>15</v>
      </c>
      <c r="X15" s="639">
        <f>RELAÇ_TUDO!M10</f>
        <v>0.25563233802241614</v>
      </c>
      <c r="Y15" s="636" t="s">
        <v>18</v>
      </c>
      <c r="Z15" s="652">
        <f>RELAÇ_TUDO!N9</f>
        <v>8395.7365320465706</v>
      </c>
      <c r="AA15" s="647" t="s">
        <v>17</v>
      </c>
      <c r="AB15" s="639">
        <f>RELAÇ_TUDO!O6</f>
        <v>0.78</v>
      </c>
      <c r="AC15" s="636" t="s">
        <v>14</v>
      </c>
      <c r="AD15" s="646">
        <f>RELAÇ_TUDO!Q28</f>
        <v>59.251472325955625</v>
      </c>
      <c r="AE15" s="647" t="s">
        <v>36</v>
      </c>
      <c r="AF15" s="639">
        <f>RELAÇ_TUDO!R19</f>
        <v>1085</v>
      </c>
      <c r="AG15" s="636" t="s">
        <v>27</v>
      </c>
      <c r="AH15" s="652" t="e">
        <f>RELAÇ_TUDO!S6</f>
        <v>#DIV/0!</v>
      </c>
      <c r="AI15" s="647" t="s">
        <v>14</v>
      </c>
      <c r="AJ15" s="639">
        <f>RELAÇ_TUDO!T34</f>
        <v>90.498502254012649</v>
      </c>
      <c r="AK15" s="636" t="s">
        <v>42</v>
      </c>
      <c r="AL15" s="652" t="e">
        <f>RELAÇ_TUDO!U11</f>
        <v>#DIV/0!</v>
      </c>
      <c r="AM15" s="647" t="s">
        <v>19</v>
      </c>
      <c r="AN15" s="639">
        <f>RELAÇ_TUDO!V10</f>
        <v>9074.3462149707557</v>
      </c>
      <c r="AO15" s="636" t="s">
        <v>18</v>
      </c>
      <c r="AP15" s="652">
        <f>RELAÇ_TUDO!W7</f>
        <v>0.78400000000000003</v>
      </c>
      <c r="AQ15" s="647" t="s">
        <v>15</v>
      </c>
      <c r="AR15" s="638">
        <f>RELAÇ_TUDO!Y28</f>
        <v>57.755266806049733</v>
      </c>
      <c r="AS15" s="636" t="s">
        <v>36</v>
      </c>
      <c r="AT15" s="652">
        <f>RELAÇ_TUDO!Z19</f>
        <v>1195</v>
      </c>
      <c r="AU15" s="647" t="s">
        <v>27</v>
      </c>
      <c r="AV15" s="639" t="e">
        <f>RELAÇ_TUDO!AA24</f>
        <v>#DIV/0!</v>
      </c>
      <c r="AW15" s="636" t="s">
        <v>32</v>
      </c>
      <c r="AX15" s="652">
        <f>RELAÇ_TUDO!AB5</f>
        <v>88.946801880913256</v>
      </c>
      <c r="AY15" s="647" t="s">
        <v>13</v>
      </c>
      <c r="AZ15" s="639" t="e">
        <f>RELAÇ_TUDO!AC11</f>
        <v>#DIV/0!</v>
      </c>
      <c r="BA15" s="636" t="s">
        <v>19</v>
      </c>
      <c r="BB15" s="652">
        <f>RELAÇ_TUDO!AD10</f>
        <v>10534.079373995637</v>
      </c>
      <c r="BC15" s="647" t="s">
        <v>18</v>
      </c>
      <c r="BD15" s="639">
        <f>RELAÇ_TUDO!AE7</f>
        <v>0.79600000000000004</v>
      </c>
      <c r="BE15" s="636" t="s">
        <v>15</v>
      </c>
      <c r="BF15" s="646" t="e">
        <f>RELAÇ_TUDO!AG14</f>
        <v>#DIV/0!</v>
      </c>
      <c r="BG15" s="647" t="s">
        <v>22</v>
      </c>
      <c r="BH15" s="639">
        <f>RELAÇ_TUDO!AH19</f>
        <v>1194</v>
      </c>
      <c r="BI15" s="636" t="s">
        <v>27</v>
      </c>
      <c r="BJ15" s="652" t="e">
        <f>RELAÇ_TUDO!AI24</f>
        <v>#DIV/0!</v>
      </c>
      <c r="BK15" s="647" t="s">
        <v>32</v>
      </c>
      <c r="BL15" s="639">
        <f>RELAÇ_TUDO!AJ18</f>
        <v>77.355138525779623</v>
      </c>
      <c r="BM15" s="636" t="s">
        <v>26</v>
      </c>
      <c r="BN15" s="652" t="e">
        <f>RELAÇ_TUDO!AK11</f>
        <v>#DIV/0!</v>
      </c>
      <c r="BO15" s="647" t="s">
        <v>19</v>
      </c>
      <c r="BP15" s="639">
        <f>RELAÇ_TUDO!AL9</f>
        <v>12695.120207396179</v>
      </c>
      <c r="BQ15" s="636" t="s">
        <v>17</v>
      </c>
      <c r="BR15" s="652">
        <f>RELAÇ_TUDO!AM7</f>
        <v>0.80818367346938791</v>
      </c>
      <c r="BS15" s="647" t="s">
        <v>15</v>
      </c>
    </row>
    <row r="16" spans="1:71">
      <c r="A16" s="660" t="s">
        <v>555</v>
      </c>
      <c r="B16" s="656">
        <f>RELAÇ_TUDO!A35</f>
        <v>61.671773112392003</v>
      </c>
      <c r="C16" s="647" t="s">
        <v>43</v>
      </c>
      <c r="D16" s="639">
        <f>RELAÇ_TUDO!B16</f>
        <v>1109</v>
      </c>
      <c r="E16" s="636" t="s">
        <v>24</v>
      </c>
      <c r="F16" s="652">
        <f>RELAÇ_TUDO!C29</f>
        <v>18.132603851075523</v>
      </c>
      <c r="G16" s="647" t="s">
        <v>37</v>
      </c>
      <c r="H16" s="639">
        <f>RELAÇ_TUDO!D5</f>
        <v>101.24988300958896</v>
      </c>
      <c r="I16" s="636" t="s">
        <v>13</v>
      </c>
      <c r="J16" s="652">
        <f>RELAÇ_TUDO!E11</f>
        <v>0.2497138297435961</v>
      </c>
      <c r="K16" s="647" t="s">
        <v>19</v>
      </c>
      <c r="L16" s="639">
        <f>RELAÇ_TUDO!F9</f>
        <v>7208.585703859957</v>
      </c>
      <c r="M16" s="636" t="s">
        <v>17</v>
      </c>
      <c r="N16" s="639">
        <f>RELAÇ_TUDO!G9</f>
        <v>0.72899999999999998</v>
      </c>
      <c r="O16" s="636" t="s">
        <v>17</v>
      </c>
      <c r="P16" s="638">
        <f>RELAÇ_TUDO!I6</f>
        <v>53.251059702799004</v>
      </c>
      <c r="Q16" s="636" t="s">
        <v>14</v>
      </c>
      <c r="R16" s="652">
        <f>RELAÇ_TUDO!J34</f>
        <v>1103</v>
      </c>
      <c r="S16" s="647" t="s">
        <v>42</v>
      </c>
      <c r="T16" s="639">
        <f>RELAÇ_TUDO!K21</f>
        <v>30.318899699567268</v>
      </c>
      <c r="U16" s="636" t="s">
        <v>29</v>
      </c>
      <c r="V16" s="652">
        <f>RELAÇ_TUDO!L5</f>
        <v>100.26519417299379</v>
      </c>
      <c r="W16" s="647" t="s">
        <v>13</v>
      </c>
      <c r="X16" s="639">
        <f>RELAÇ_TUDO!M11</f>
        <v>0.25902294634047612</v>
      </c>
      <c r="Y16" s="636" t="s">
        <v>19</v>
      </c>
      <c r="Z16" s="652">
        <f>RELAÇ_TUDO!N10</f>
        <v>8124.5822097863684</v>
      </c>
      <c r="AA16" s="647" t="s">
        <v>18</v>
      </c>
      <c r="AB16" s="639">
        <f>RELAÇ_TUDO!O9</f>
        <v>0.77600000000000002</v>
      </c>
      <c r="AC16" s="636" t="s">
        <v>17</v>
      </c>
      <c r="AD16" s="646">
        <f>RELAÇ_TUDO!Q34</f>
        <v>56.880851212351189</v>
      </c>
      <c r="AE16" s="647" t="s">
        <v>42</v>
      </c>
      <c r="AF16" s="639">
        <f>RELAÇ_TUDO!R16</f>
        <v>1463</v>
      </c>
      <c r="AG16" s="636" t="s">
        <v>24</v>
      </c>
      <c r="AH16" s="652" t="e">
        <f>RELAÇ_TUDO!S17</f>
        <v>#DIV/0!</v>
      </c>
      <c r="AI16" s="647" t="s">
        <v>25</v>
      </c>
      <c r="AJ16" s="639">
        <f>RELAÇ_TUDO!T14</f>
        <v>109.11974517624088</v>
      </c>
      <c r="AK16" s="636" t="s">
        <v>22</v>
      </c>
      <c r="AL16" s="652" t="e">
        <f>RELAÇ_TUDO!U10</f>
        <v>#DIV/0!</v>
      </c>
      <c r="AM16" s="647" t="s">
        <v>18</v>
      </c>
      <c r="AN16" s="639">
        <f>RELAÇ_TUDO!V6</f>
        <v>8542.9410648245685</v>
      </c>
      <c r="AO16" s="636" t="s">
        <v>14</v>
      </c>
      <c r="AP16" s="652">
        <f>RELAÇ_TUDO!W10</f>
        <v>0.78400000000000003</v>
      </c>
      <c r="AQ16" s="647" t="s">
        <v>18</v>
      </c>
      <c r="AR16" s="638">
        <f>RELAÇ_TUDO!Y14</f>
        <v>65.777244631779013</v>
      </c>
      <c r="AS16" s="636" t="s">
        <v>22</v>
      </c>
      <c r="AT16" s="652">
        <f>RELAÇ_TUDO!Z34</f>
        <v>1143</v>
      </c>
      <c r="AU16" s="647" t="s">
        <v>42</v>
      </c>
      <c r="AV16" s="639" t="e">
        <f>RELAÇ_TUDO!AA15</f>
        <v>#DIV/0!</v>
      </c>
      <c r="AW16" s="636" t="s">
        <v>23</v>
      </c>
      <c r="AX16" s="652">
        <f>RELAÇ_TUDO!AB34</f>
        <v>87.736939631151756</v>
      </c>
      <c r="AY16" s="647" t="s">
        <v>42</v>
      </c>
      <c r="AZ16" s="639" t="e">
        <f>RELAÇ_TUDO!AC10</f>
        <v>#DIV/0!</v>
      </c>
      <c r="BA16" s="636" t="s">
        <v>18</v>
      </c>
      <c r="BB16" s="652">
        <f>RELAÇ_TUDO!AD9</f>
        <v>10319.980859045867</v>
      </c>
      <c r="BC16" s="647" t="s">
        <v>17</v>
      </c>
      <c r="BD16" s="639">
        <f>RELAÇ_TUDO!AE9</f>
        <v>0.78400000000000003</v>
      </c>
      <c r="BE16" s="636" t="s">
        <v>17</v>
      </c>
      <c r="BF16" s="646" t="e">
        <f>RELAÇ_TUDO!AG28</f>
        <v>#DIV/0!</v>
      </c>
      <c r="BG16" s="647" t="s">
        <v>36</v>
      </c>
      <c r="BH16" s="639">
        <f>RELAÇ_TUDO!AH34</f>
        <v>1192</v>
      </c>
      <c r="BI16" s="636" t="s">
        <v>42</v>
      </c>
      <c r="BJ16" s="652" t="e">
        <f>RELAÇ_TUDO!AI15</f>
        <v>#DIV/0!</v>
      </c>
      <c r="BK16" s="647" t="s">
        <v>23</v>
      </c>
      <c r="BL16" s="639">
        <f>RELAÇ_TUDO!AJ14</f>
        <v>84.22183143855321</v>
      </c>
      <c r="BM16" s="636" t="s">
        <v>22</v>
      </c>
      <c r="BN16" s="652" t="e">
        <f>RELAÇ_TUDO!AK10</f>
        <v>#DIV/0!</v>
      </c>
      <c r="BO16" s="647" t="s">
        <v>18</v>
      </c>
      <c r="BP16" s="639">
        <f>RELAÇ_TUDO!AL6</f>
        <v>12307.130094771786</v>
      </c>
      <c r="BQ16" s="636" t="s">
        <v>14</v>
      </c>
      <c r="BR16" s="652">
        <f>RELAÇ_TUDO!AM8</f>
        <v>0.80042408376963359</v>
      </c>
      <c r="BS16" s="647" t="s">
        <v>16</v>
      </c>
    </row>
    <row r="17" spans="1:71">
      <c r="A17" s="660" t="s">
        <v>556</v>
      </c>
      <c r="B17" s="656">
        <f>RELAÇ_TUDO!A34</f>
        <v>71.024828835045952</v>
      </c>
      <c r="C17" s="647" t="s">
        <v>42</v>
      </c>
      <c r="D17" s="639">
        <f>RELAÇ_TUDO!B8</f>
        <v>1010</v>
      </c>
      <c r="E17" s="636" t="s">
        <v>16</v>
      </c>
      <c r="F17" s="652">
        <f>RELAÇ_TUDO!C19</f>
        <v>28.71074449535859</v>
      </c>
      <c r="G17" s="647" t="s">
        <v>27</v>
      </c>
      <c r="H17" s="639">
        <f>RELAÇ_TUDO!D9</f>
        <v>109.45336120506356</v>
      </c>
      <c r="I17" s="636" t="s">
        <v>17</v>
      </c>
      <c r="J17" s="652">
        <f>RELAÇ_TUDO!E20</f>
        <v>0.19397408120610166</v>
      </c>
      <c r="K17" s="647" t="s">
        <v>28</v>
      </c>
      <c r="L17" s="639">
        <f>RELAÇ_TUDO!F6</f>
        <v>7026.1710838753215</v>
      </c>
      <c r="M17" s="636" t="s">
        <v>14</v>
      </c>
      <c r="N17" s="639">
        <f>RELAÇ_TUDO!G11</f>
        <v>0.72099999999999997</v>
      </c>
      <c r="O17" s="636" t="s">
        <v>19</v>
      </c>
      <c r="P17" s="638">
        <f>RELAÇ_TUDO!I14</f>
        <v>74.121763185967197</v>
      </c>
      <c r="Q17" s="636" t="s">
        <v>22</v>
      </c>
      <c r="R17" s="652">
        <f>RELAÇ_TUDO!J23</f>
        <v>1143</v>
      </c>
      <c r="S17" s="647" t="s">
        <v>31</v>
      </c>
      <c r="T17" s="639">
        <f>RELAÇ_TUDO!K13</f>
        <v>25.092180917508575</v>
      </c>
      <c r="U17" s="636" t="s">
        <v>21</v>
      </c>
      <c r="V17" s="652">
        <f>RELAÇ_TUDO!L34</f>
        <v>104.17512755077948</v>
      </c>
      <c r="W17" s="647" t="s">
        <v>42</v>
      </c>
      <c r="X17" s="639">
        <f>RELAÇ_TUDO!M20</f>
        <v>0.21444956119376507</v>
      </c>
      <c r="Y17" s="636" t="s">
        <v>28</v>
      </c>
      <c r="Z17" s="652">
        <f>RELAÇ_TUDO!N6</f>
        <v>7334.9321588002713</v>
      </c>
      <c r="AA17" s="647" t="s">
        <v>14</v>
      </c>
      <c r="AB17" s="639">
        <f>RELAÇ_TUDO!O11</f>
        <v>0.75600000000000001</v>
      </c>
      <c r="AC17" s="636" t="s">
        <v>19</v>
      </c>
      <c r="AD17" s="646">
        <f>RELAÇ_TUDO!Q6</f>
        <v>58.911619379056383</v>
      </c>
      <c r="AE17" s="647" t="s">
        <v>14</v>
      </c>
      <c r="AF17" s="639">
        <f>RELAÇ_TUDO!R34</f>
        <v>1071</v>
      </c>
      <c r="AG17" s="636" t="s">
        <v>42</v>
      </c>
      <c r="AH17" s="652" t="e">
        <f>RELAÇ_TUDO!S25</f>
        <v>#DIV/0!</v>
      </c>
      <c r="AI17" s="647" t="s">
        <v>33</v>
      </c>
      <c r="AJ17" s="639">
        <f>RELAÇ_TUDO!T7</f>
        <v>92.700648354929896</v>
      </c>
      <c r="AK17" s="636" t="s">
        <v>15</v>
      </c>
      <c r="AL17" s="652" t="e">
        <f>RELAÇ_TUDO!U20</f>
        <v>#DIV/0!</v>
      </c>
      <c r="AM17" s="647" t="s">
        <v>28</v>
      </c>
      <c r="AN17" s="639">
        <f>RELAÇ_TUDO!V9</f>
        <v>8389.2080729590089</v>
      </c>
      <c r="AO17" s="636" t="s">
        <v>17</v>
      </c>
      <c r="AP17" s="652">
        <f>RELAÇ_TUDO!W9</f>
        <v>0.77900000000000003</v>
      </c>
      <c r="AQ17" s="647" t="s">
        <v>17</v>
      </c>
      <c r="AR17" s="638">
        <f>RELAÇ_TUDO!Y34</f>
        <v>51.075241159273041</v>
      </c>
      <c r="AS17" s="636" t="s">
        <v>42</v>
      </c>
      <c r="AT17" s="652">
        <f>RELAÇ_TUDO!Z16</f>
        <v>1652</v>
      </c>
      <c r="AU17" s="647" t="s">
        <v>24</v>
      </c>
      <c r="AV17" s="639" t="e">
        <f>RELAÇ_TUDO!AA13</f>
        <v>#DIV/0!</v>
      </c>
      <c r="AW17" s="636" t="s">
        <v>21</v>
      </c>
      <c r="AX17" s="652">
        <f>RELAÇ_TUDO!AB23</f>
        <v>85.749543140653188</v>
      </c>
      <c r="AY17" s="647" t="s">
        <v>31</v>
      </c>
      <c r="AZ17" s="639" t="e">
        <f>RELAÇ_TUDO!AC20</f>
        <v>#DIV/0!</v>
      </c>
      <c r="BA17" s="636" t="s">
        <v>28</v>
      </c>
      <c r="BB17" s="652">
        <f>RELAÇ_TUDO!AD6</f>
        <v>10253.735274365346</v>
      </c>
      <c r="BC17" s="647" t="s">
        <v>14</v>
      </c>
      <c r="BD17" s="639">
        <f>RELAÇ_TUDO!AE11</f>
        <v>0.78400000000000003</v>
      </c>
      <c r="BE17" s="636" t="s">
        <v>19</v>
      </c>
      <c r="BF17" s="646" t="e">
        <f>RELAÇ_TUDO!AG35</f>
        <v>#DIV/0!</v>
      </c>
      <c r="BG17" s="647" t="s">
        <v>43</v>
      </c>
      <c r="BH17" s="639">
        <f>RELAÇ_TUDO!AH23</f>
        <v>1112</v>
      </c>
      <c r="BI17" s="636" t="s">
        <v>31</v>
      </c>
      <c r="BJ17" s="652" t="e">
        <f>RELAÇ_TUDO!AI17</f>
        <v>#DIV/0!</v>
      </c>
      <c r="BK17" s="647" t="s">
        <v>25</v>
      </c>
      <c r="BL17" s="639">
        <f>RELAÇ_TUDO!AJ9</f>
        <v>70.551807444995958</v>
      </c>
      <c r="BM17" s="636" t="s">
        <v>17</v>
      </c>
      <c r="BN17" s="652" t="e">
        <f>RELAÇ_TUDO!AK20</f>
        <v>#DIV/0!</v>
      </c>
      <c r="BO17" s="647" t="s">
        <v>28</v>
      </c>
      <c r="BP17" s="639">
        <f>RELAÇ_TUDO!AL10</f>
        <v>12228.630650500028</v>
      </c>
      <c r="BQ17" s="636" t="s">
        <v>18</v>
      </c>
      <c r="BR17" s="652">
        <f>RELAÇ_TUDO!AM11</f>
        <v>0.79929258777633294</v>
      </c>
      <c r="BS17" s="647" t="s">
        <v>19</v>
      </c>
    </row>
    <row r="18" spans="1:71">
      <c r="A18" s="660" t="s">
        <v>557</v>
      </c>
      <c r="B18" s="656">
        <f>RELAÇ_TUDO!A28</f>
        <v>68.948812741832583</v>
      </c>
      <c r="C18" s="647" t="s">
        <v>36</v>
      </c>
      <c r="D18" s="639">
        <f>RELAÇ_TUDO!B23</f>
        <v>958</v>
      </c>
      <c r="E18" s="636" t="s">
        <v>31</v>
      </c>
      <c r="F18" s="652">
        <f>RELAÇ_TUDO!C15</f>
        <v>17.723962446257786</v>
      </c>
      <c r="G18" s="647" t="s">
        <v>23</v>
      </c>
      <c r="H18" s="639">
        <f>RELAÇ_TUDO!D7</f>
        <v>83.610316367692974</v>
      </c>
      <c r="I18" s="636" t="s">
        <v>15</v>
      </c>
      <c r="J18" s="652">
        <f>RELAÇ_TUDO!E21</f>
        <v>0.16991318253946641</v>
      </c>
      <c r="K18" s="647" t="s">
        <v>29</v>
      </c>
      <c r="L18" s="639">
        <f>RELAÇ_TUDO!F11</f>
        <v>6555.9377856698884</v>
      </c>
      <c r="M18" s="636" t="s">
        <v>19</v>
      </c>
      <c r="N18" s="639">
        <f>RELAÇ_TUDO!G8</f>
        <v>0.72</v>
      </c>
      <c r="O18" s="636" t="s">
        <v>16</v>
      </c>
      <c r="P18" s="638">
        <f>RELAÇ_TUDO!I23</f>
        <v>82.510033291374668</v>
      </c>
      <c r="Q18" s="636" t="s">
        <v>31</v>
      </c>
      <c r="R18" s="652">
        <f>RELAÇ_TUDO!J16</f>
        <v>1275</v>
      </c>
      <c r="S18" s="647" t="s">
        <v>24</v>
      </c>
      <c r="T18" s="639">
        <f>RELAÇ_TUDO!K15</f>
        <v>23.839436485411625</v>
      </c>
      <c r="U18" s="636" t="s">
        <v>23</v>
      </c>
      <c r="V18" s="652">
        <f>RELAÇ_TUDO!L18</f>
        <v>118.79751670915562</v>
      </c>
      <c r="W18" s="647" t="s">
        <v>26</v>
      </c>
      <c r="X18" s="639">
        <f>RELAÇ_TUDO!M18</f>
        <v>0.18555091782501301</v>
      </c>
      <c r="Y18" s="636" t="s">
        <v>26</v>
      </c>
      <c r="Z18" s="652">
        <f>RELAÇ_TUDO!N11</f>
        <v>6939.3669653715579</v>
      </c>
      <c r="AA18" s="647" t="s">
        <v>19</v>
      </c>
      <c r="AB18" s="639">
        <f>RELAÇ_TUDO!O8</f>
        <v>0.755</v>
      </c>
      <c r="AC18" s="636" t="s">
        <v>16</v>
      </c>
      <c r="AD18" s="646">
        <f>RELAÇ_TUDO!Q35</f>
        <v>60.212796120635311</v>
      </c>
      <c r="AE18" s="647" t="s">
        <v>43</v>
      </c>
      <c r="AF18" s="639">
        <f>RELAÇ_TUDO!R23</f>
        <v>1154</v>
      </c>
      <c r="AG18" s="636" t="s">
        <v>31</v>
      </c>
      <c r="AH18" s="652" t="e">
        <f>RELAÇ_TUDO!S15</f>
        <v>#DIV/0!</v>
      </c>
      <c r="AI18" s="647" t="s">
        <v>23</v>
      </c>
      <c r="AJ18" s="639">
        <f>RELAÇ_TUDO!T9</f>
        <v>99.745400294944233</v>
      </c>
      <c r="AK18" s="636" t="s">
        <v>17</v>
      </c>
      <c r="AL18" s="652" t="e">
        <f>RELAÇ_TUDO!U18</f>
        <v>#DIV/0!</v>
      </c>
      <c r="AM18" s="647" t="s">
        <v>26</v>
      </c>
      <c r="AN18" s="639">
        <f>RELAÇ_TUDO!V21</f>
        <v>7559.3452813064605</v>
      </c>
      <c r="AO18" s="636" t="s">
        <v>29</v>
      </c>
      <c r="AP18" s="652">
        <f>RELAÇ_TUDO!W11</f>
        <v>0.76900000000000002</v>
      </c>
      <c r="AQ18" s="647" t="s">
        <v>19</v>
      </c>
      <c r="AR18" s="638">
        <f>RELAÇ_TUDO!Y35</f>
        <v>51.534074919171474</v>
      </c>
      <c r="AS18" s="636" t="s">
        <v>43</v>
      </c>
      <c r="AT18" s="652">
        <f>RELAÇ_TUDO!Z23</f>
        <v>1182</v>
      </c>
      <c r="AU18" s="647" t="s">
        <v>31</v>
      </c>
      <c r="AV18" s="639" t="e">
        <f>RELAÇ_TUDO!AA21</f>
        <v>#DIV/0!</v>
      </c>
      <c r="AW18" s="636" t="s">
        <v>29</v>
      </c>
      <c r="AX18" s="652">
        <f>RELAÇ_TUDO!AB18</f>
        <v>99.517718089823489</v>
      </c>
      <c r="AY18" s="647" t="s">
        <v>26</v>
      </c>
      <c r="AZ18" s="639" t="e">
        <f>RELAÇ_TUDO!AC18</f>
        <v>#DIV/0!</v>
      </c>
      <c r="BA18" s="636" t="s">
        <v>26</v>
      </c>
      <c r="BB18" s="652">
        <f>RELAÇ_TUDO!AD11</f>
        <v>8920.7321462893015</v>
      </c>
      <c r="BC18" s="647" t="s">
        <v>19</v>
      </c>
      <c r="BD18" s="639">
        <f>RELAÇ_TUDO!AE8</f>
        <v>0.78200000000000003</v>
      </c>
      <c r="BE18" s="636" t="s">
        <v>16</v>
      </c>
      <c r="BF18" s="646" t="e">
        <f>RELAÇ_TUDO!AG34</f>
        <v>#DIV/0!</v>
      </c>
      <c r="BG18" s="647" t="s">
        <v>42</v>
      </c>
      <c r="BH18" s="639">
        <f>RELAÇ_TUDO!AH8</f>
        <v>1546</v>
      </c>
      <c r="BI18" s="636" t="s">
        <v>16</v>
      </c>
      <c r="BJ18" s="652" t="e">
        <f>RELAÇ_TUDO!AI21</f>
        <v>#DIV/0!</v>
      </c>
      <c r="BK18" s="647" t="s">
        <v>29</v>
      </c>
      <c r="BL18" s="639">
        <f>RELAÇ_TUDO!AJ5</f>
        <v>62.203258867609108</v>
      </c>
      <c r="BM18" s="636" t="s">
        <v>13</v>
      </c>
      <c r="BN18" s="652" t="e">
        <f>RELAÇ_TUDO!AK21</f>
        <v>#DIV/0!</v>
      </c>
      <c r="BO18" s="647" t="s">
        <v>29</v>
      </c>
      <c r="BP18" s="639">
        <f>RELAÇ_TUDO!AL11</f>
        <v>11039.912399954024</v>
      </c>
      <c r="BQ18" s="636" t="s">
        <v>19</v>
      </c>
      <c r="BR18" s="652">
        <f>RELAÇ_TUDO!AM5</f>
        <v>0.79737876802096985</v>
      </c>
      <c r="BS18" s="647" t="s">
        <v>13</v>
      </c>
    </row>
    <row r="19" spans="1:71">
      <c r="A19" s="660" t="s">
        <v>558</v>
      </c>
      <c r="B19" s="656">
        <f>RELAÇ_TUDO!A23</f>
        <v>77.945784401925593</v>
      </c>
      <c r="C19" s="647" t="s">
        <v>31</v>
      </c>
      <c r="D19" s="639">
        <f>RELAÇ_TUDO!B34</f>
        <v>1105</v>
      </c>
      <c r="E19" s="636" t="s">
        <v>42</v>
      </c>
      <c r="F19" s="652">
        <f>RELAÇ_TUDO!C6</f>
        <v>17.07609394724285</v>
      </c>
      <c r="G19" s="647" t="s">
        <v>14</v>
      </c>
      <c r="H19" s="639">
        <f>RELAÇ_TUDO!D18</f>
        <v>119.82629319427974</v>
      </c>
      <c r="I19" s="636" t="s">
        <v>26</v>
      </c>
      <c r="J19" s="652">
        <f>RELAÇ_TUDO!E18</f>
        <v>0.16481834140379495</v>
      </c>
      <c r="K19" s="647" t="s">
        <v>26</v>
      </c>
      <c r="L19" s="639">
        <f>RELAÇ_TUDO!F21</f>
        <v>6289.3902761838071</v>
      </c>
      <c r="M19" s="636" t="s">
        <v>29</v>
      </c>
      <c r="N19" s="639">
        <f>RELAÇ_TUDO!G7</f>
        <v>0.71699999999999997</v>
      </c>
      <c r="O19" s="636" t="s">
        <v>15</v>
      </c>
      <c r="P19" s="638">
        <f>RELAÇ_TUDO!I35</f>
        <v>60.9046418119527</v>
      </c>
      <c r="Q19" s="636" t="s">
        <v>43</v>
      </c>
      <c r="R19" s="652">
        <f>RELAÇ_TUDO!J8</f>
        <v>1341</v>
      </c>
      <c r="S19" s="647" t="s">
        <v>16</v>
      </c>
      <c r="T19" s="639">
        <f>RELAÇ_TUDO!K19</f>
        <v>33.479136469169688</v>
      </c>
      <c r="U19" s="636" t="s">
        <v>27</v>
      </c>
      <c r="V19" s="652">
        <f>RELAÇ_TUDO!L14</f>
        <v>122.46373877415728</v>
      </c>
      <c r="W19" s="647" t="s">
        <v>22</v>
      </c>
      <c r="X19" s="639">
        <f>RELAÇ_TUDO!M21</f>
        <v>0.18836015371246947</v>
      </c>
      <c r="Y19" s="636" t="s">
        <v>29</v>
      </c>
      <c r="Z19" s="652">
        <f>RELAÇ_TUDO!N21</f>
        <v>6823.6091110891757</v>
      </c>
      <c r="AA19" s="647" t="s">
        <v>29</v>
      </c>
      <c r="AB19" s="639">
        <f>RELAÇ_TUDO!O5</f>
        <v>0.751</v>
      </c>
      <c r="AC19" s="636" t="s">
        <v>13</v>
      </c>
      <c r="AD19" s="646">
        <f>RELAÇ_TUDO!Q23</f>
        <v>75.588369172687365</v>
      </c>
      <c r="AE19" s="647" t="s">
        <v>31</v>
      </c>
      <c r="AF19" s="639">
        <f>RELAÇ_TUDO!R8</f>
        <v>1349</v>
      </c>
      <c r="AG19" s="636" t="s">
        <v>16</v>
      </c>
      <c r="AH19" s="652" t="e">
        <f>RELAÇ_TUDO!S32</f>
        <v>#DIV/0!</v>
      </c>
      <c r="AI19" s="647" t="s">
        <v>40</v>
      </c>
      <c r="AJ19" s="639">
        <f>RELAÇ_TUDO!T18</f>
        <v>105.68905196920383</v>
      </c>
      <c r="AK19" s="636" t="s">
        <v>26</v>
      </c>
      <c r="AL19" s="652" t="e">
        <f>RELAÇ_TUDO!U21</f>
        <v>#DIV/0!</v>
      </c>
      <c r="AM19" s="647" t="s">
        <v>29</v>
      </c>
      <c r="AN19" s="639">
        <f>RELAÇ_TUDO!V11</f>
        <v>7208.3418004449686</v>
      </c>
      <c r="AO19" s="636" t="s">
        <v>19</v>
      </c>
      <c r="AP19" s="652">
        <f>RELAÇ_TUDO!W8</f>
        <v>0.76400000000000001</v>
      </c>
      <c r="AQ19" s="647" t="s">
        <v>16</v>
      </c>
      <c r="AR19" s="638">
        <f>RELAÇ_TUDO!Y8</f>
        <v>64.273818260982523</v>
      </c>
      <c r="AS19" s="636" t="s">
        <v>16</v>
      </c>
      <c r="AT19" s="652">
        <f>RELAÇ_TUDO!Z8</f>
        <v>1512</v>
      </c>
      <c r="AU19" s="647" t="s">
        <v>16</v>
      </c>
      <c r="AV19" s="639" t="e">
        <f>RELAÇ_TUDO!AA9</f>
        <v>#DIV/0!</v>
      </c>
      <c r="AW19" s="636" t="s">
        <v>17</v>
      </c>
      <c r="AX19" s="652">
        <f>RELAÇ_TUDO!AB14</f>
        <v>106.19852378805713</v>
      </c>
      <c r="AY19" s="647" t="s">
        <v>22</v>
      </c>
      <c r="AZ19" s="639" t="e">
        <f>RELAÇ_TUDO!AC21</f>
        <v>#DIV/0!</v>
      </c>
      <c r="BA19" s="636" t="s">
        <v>29</v>
      </c>
      <c r="BB19" s="652">
        <f>RELAÇ_TUDO!AD5</f>
        <v>8789.4917192419143</v>
      </c>
      <c r="BC19" s="647" t="s">
        <v>13</v>
      </c>
      <c r="BD19" s="639">
        <f>RELAÇ_TUDO!AE10</f>
        <v>0.78200000000000003</v>
      </c>
      <c r="BE19" s="636" t="s">
        <v>18</v>
      </c>
      <c r="BF19" s="646" t="e">
        <f>RELAÇ_TUDO!AG18</f>
        <v>#DIV/0!</v>
      </c>
      <c r="BG19" s="647" t="s">
        <v>26</v>
      </c>
      <c r="BH19" s="639">
        <f>RELAÇ_TUDO!AH16</f>
        <v>1559</v>
      </c>
      <c r="BI19" s="636" t="s">
        <v>24</v>
      </c>
      <c r="BJ19" s="652" t="e">
        <f>RELAÇ_TUDO!AI32</f>
        <v>#DIV/0!</v>
      </c>
      <c r="BK19" s="647" t="s">
        <v>40</v>
      </c>
      <c r="BL19" s="639">
        <f>RELAÇ_TUDO!AJ23</f>
        <v>70.154364838026694</v>
      </c>
      <c r="BM19" s="636" t="s">
        <v>31</v>
      </c>
      <c r="BN19" s="652" t="e">
        <f>RELAÇ_TUDO!AK5</f>
        <v>#DIV/0!</v>
      </c>
      <c r="BO19" s="647" t="s">
        <v>13</v>
      </c>
      <c r="BP19" s="639">
        <f>RELAÇ_TUDO!AL5</f>
        <v>10972.405342190226</v>
      </c>
      <c r="BQ19" s="636" t="s">
        <v>13</v>
      </c>
      <c r="BR19" s="652">
        <f>RELAÇ_TUDO!AM9</f>
        <v>0.78903209242618744</v>
      </c>
      <c r="BS19" s="647" t="s">
        <v>17</v>
      </c>
    </row>
    <row r="20" spans="1:71">
      <c r="A20" s="660" t="s">
        <v>559</v>
      </c>
      <c r="B20" s="656">
        <f>RELAÇ_TUDO!A6</f>
        <v>52.806405052168515</v>
      </c>
      <c r="C20" s="647" t="s">
        <v>14</v>
      </c>
      <c r="D20" s="639">
        <f>RELAÇ_TUDO!B14</f>
        <v>1831</v>
      </c>
      <c r="E20" s="636" t="s">
        <v>22</v>
      </c>
      <c r="F20" s="652">
        <f>RELAÇ_TUDO!C9</f>
        <v>32.448728681417983</v>
      </c>
      <c r="G20" s="647" t="s">
        <v>17</v>
      </c>
      <c r="H20" s="639">
        <f>RELAÇ_TUDO!D34</f>
        <v>116.40646398247056</v>
      </c>
      <c r="I20" s="636" t="s">
        <v>42</v>
      </c>
      <c r="J20" s="652">
        <f>RELAÇ_TUDO!E15</f>
        <v>0.16095861484016261</v>
      </c>
      <c r="K20" s="647" t="s">
        <v>23</v>
      </c>
      <c r="L20" s="639">
        <f>RELAÇ_TUDO!F5</f>
        <v>6251.2143002923021</v>
      </c>
      <c r="M20" s="636" t="s">
        <v>13</v>
      </c>
      <c r="N20" s="639">
        <f>RELAÇ_TUDO!G18</f>
        <v>0.70499999999999996</v>
      </c>
      <c r="O20" s="636" t="s">
        <v>26</v>
      </c>
      <c r="P20" s="638">
        <f>RELAÇ_TUDO!I11</f>
        <v>75.006725529793059</v>
      </c>
      <c r="Q20" s="636" t="s">
        <v>19</v>
      </c>
      <c r="R20" s="652">
        <f>RELAÇ_TUDO!J18</f>
        <v>1939</v>
      </c>
      <c r="S20" s="647" t="s">
        <v>26</v>
      </c>
      <c r="T20" s="639">
        <f>RELAÇ_TUDO!K9</f>
        <v>38.210225363525169</v>
      </c>
      <c r="U20" s="636" t="s">
        <v>17</v>
      </c>
      <c r="V20" s="652">
        <f>RELAÇ_TUDO!L21</f>
        <v>160.96238563198915</v>
      </c>
      <c r="W20" s="647" t="s">
        <v>29</v>
      </c>
      <c r="X20" s="639">
        <f>RELAÇ_TUDO!M15</f>
        <v>0.18507021867566073</v>
      </c>
      <c r="Y20" s="636" t="s">
        <v>23</v>
      </c>
      <c r="Z20" s="652">
        <f>RELAÇ_TUDO!N5</f>
        <v>6693.5622062631255</v>
      </c>
      <c r="AA20" s="647" t="s">
        <v>13</v>
      </c>
      <c r="AB20" s="639">
        <f>RELAÇ_TUDO!O10</f>
        <v>0.75</v>
      </c>
      <c r="AC20" s="636" t="s">
        <v>18</v>
      </c>
      <c r="AD20" s="646">
        <f>RELAÇ_TUDO!Q11</f>
        <v>71.257133699634267</v>
      </c>
      <c r="AE20" s="647" t="s">
        <v>19</v>
      </c>
      <c r="AF20" s="639">
        <f>RELAÇ_TUDO!R33</f>
        <v>1822</v>
      </c>
      <c r="AG20" s="636" t="s">
        <v>41</v>
      </c>
      <c r="AH20" s="652" t="e">
        <f>RELAÇ_TUDO!S33</f>
        <v>#DIV/0!</v>
      </c>
      <c r="AI20" s="647" t="s">
        <v>41</v>
      </c>
      <c r="AJ20" s="639">
        <f>RELAÇ_TUDO!T21</f>
        <v>133.48204892682696</v>
      </c>
      <c r="AK20" s="636" t="s">
        <v>29</v>
      </c>
      <c r="AL20" s="652" t="e">
        <f>RELAÇ_TUDO!U15</f>
        <v>#DIV/0!</v>
      </c>
      <c r="AM20" s="647" t="s">
        <v>23</v>
      </c>
      <c r="AN20" s="639">
        <f>RELAÇ_TUDO!V5</f>
        <v>7040.859526540341</v>
      </c>
      <c r="AO20" s="636" t="s">
        <v>13</v>
      </c>
      <c r="AP20" s="652">
        <f>RELAÇ_TUDO!W5</f>
        <v>0.76300000000000001</v>
      </c>
      <c r="AQ20" s="647" t="s">
        <v>13</v>
      </c>
      <c r="AR20" s="638">
        <f>RELAÇ_TUDO!Y11</f>
        <v>64.881143222824164</v>
      </c>
      <c r="AS20" s="636" t="s">
        <v>19</v>
      </c>
      <c r="AT20" s="652">
        <f>RELAÇ_TUDO!Z33</f>
        <v>2025</v>
      </c>
      <c r="AU20" s="647" t="s">
        <v>41</v>
      </c>
      <c r="AV20" s="639" t="e">
        <f>RELAÇ_TUDO!AA33</f>
        <v>#DIV/0!</v>
      </c>
      <c r="AW20" s="636" t="s">
        <v>41</v>
      </c>
      <c r="AX20" s="652">
        <f>RELAÇ_TUDO!AB6</f>
        <v>91.34129450080485</v>
      </c>
      <c r="AY20" s="647" t="s">
        <v>14</v>
      </c>
      <c r="AZ20" s="639" t="e">
        <f>RELAÇ_TUDO!AC15</f>
        <v>#DIV/0!</v>
      </c>
      <c r="BA20" s="636" t="s">
        <v>23</v>
      </c>
      <c r="BB20" s="652">
        <f>RELAÇ_TUDO!AD21</f>
        <v>8711.6965033609304</v>
      </c>
      <c r="BC20" s="647" t="s">
        <v>29</v>
      </c>
      <c r="BD20" s="639">
        <f>RELAÇ_TUDO!AE5</f>
        <v>0.78</v>
      </c>
      <c r="BE20" s="636" t="s">
        <v>13</v>
      </c>
      <c r="BF20" s="646" t="e">
        <f>RELAÇ_TUDO!AG11</f>
        <v>#DIV/0!</v>
      </c>
      <c r="BG20" s="647" t="s">
        <v>19</v>
      </c>
      <c r="BH20" s="639">
        <f>RELAÇ_TUDO!AH18</f>
        <v>1854</v>
      </c>
      <c r="BI20" s="636" t="s">
        <v>26</v>
      </c>
      <c r="BJ20" s="652" t="e">
        <f>RELAÇ_TUDO!AI33</f>
        <v>#DIV/0!</v>
      </c>
      <c r="BK20" s="647" t="s">
        <v>41</v>
      </c>
      <c r="BL20" s="639">
        <f>RELAÇ_TUDO!AJ34</f>
        <v>76.130185171347208</v>
      </c>
      <c r="BM20" s="636" t="s">
        <v>42</v>
      </c>
      <c r="BN20" s="652" t="e">
        <f>RELAÇ_TUDO!AK18</f>
        <v>#DIV/0!</v>
      </c>
      <c r="BO20" s="647" t="s">
        <v>26</v>
      </c>
      <c r="BP20" s="639">
        <f>RELAÇ_TUDO!AL21</f>
        <v>10039.712851104821</v>
      </c>
      <c r="BQ20" s="636" t="s">
        <v>29</v>
      </c>
      <c r="BR20" s="652">
        <f>RELAÇ_TUDO!AM21</f>
        <v>0.78425925925925932</v>
      </c>
      <c r="BS20" s="647" t="s">
        <v>29</v>
      </c>
    </row>
    <row r="21" spans="1:71">
      <c r="A21" s="660" t="s">
        <v>560</v>
      </c>
      <c r="B21" s="656">
        <f>RELAÇ_TUDO!A8</f>
        <v>64.895170641801073</v>
      </c>
      <c r="C21" s="647" t="s">
        <v>16</v>
      </c>
      <c r="D21" s="639">
        <f>RELAÇ_TUDO!B18</f>
        <v>1740</v>
      </c>
      <c r="E21" s="636" t="s">
        <v>26</v>
      </c>
      <c r="F21" s="652">
        <f>RELAÇ_TUDO!C21</f>
        <v>26.438850256590527</v>
      </c>
      <c r="G21" s="647" t="s">
        <v>29</v>
      </c>
      <c r="H21" s="639">
        <f>RELAÇ_TUDO!D17</f>
        <v>135.5134541749174</v>
      </c>
      <c r="I21" s="636" t="s">
        <v>25</v>
      </c>
      <c r="J21" s="652">
        <f>RELAÇ_TUDO!E5</f>
        <v>0.170046689015277</v>
      </c>
      <c r="K21" s="647" t="s">
        <v>13</v>
      </c>
      <c r="L21" s="639">
        <f>RELAÇ_TUDO!F14</f>
        <v>5780.0613950999459</v>
      </c>
      <c r="M21" s="636" t="s">
        <v>22</v>
      </c>
      <c r="N21" s="639">
        <f>RELAÇ_TUDO!G20</f>
        <v>0.70199999999999996</v>
      </c>
      <c r="O21" s="636" t="s">
        <v>28</v>
      </c>
      <c r="P21" s="638">
        <f>RELAÇ_TUDO!I21</f>
        <v>101.86185844929328</v>
      </c>
      <c r="Q21" s="636" t="s">
        <v>29</v>
      </c>
      <c r="R21" s="652">
        <f>RELAÇ_TUDO!J33</f>
        <v>1923</v>
      </c>
      <c r="S21" s="647" t="s">
        <v>41</v>
      </c>
      <c r="T21" s="639">
        <f>RELAÇ_TUDO!K23</f>
        <v>32.518224999943101</v>
      </c>
      <c r="U21" s="636" t="s">
        <v>31</v>
      </c>
      <c r="V21" s="652">
        <f>RELAÇ_TUDO!L10</f>
        <v>125.91505509869135</v>
      </c>
      <c r="W21" s="647" t="s">
        <v>18</v>
      </c>
      <c r="X21" s="639">
        <f>RELAÇ_TUDO!M5</f>
        <v>0.18762635316314025</v>
      </c>
      <c r="Y21" s="636" t="s">
        <v>13</v>
      </c>
      <c r="Z21" s="652">
        <f>RELAÇ_TUDO!N14</f>
        <v>6581.044983679928</v>
      </c>
      <c r="AA21" s="647" t="s">
        <v>22</v>
      </c>
      <c r="AB21" s="639">
        <f>RELAÇ_TUDO!O14</f>
        <v>0.74199999999999999</v>
      </c>
      <c r="AC21" s="636" t="s">
        <v>22</v>
      </c>
      <c r="AD21" s="646">
        <f>RELAÇ_TUDO!Q21</f>
        <v>88.055675302305247</v>
      </c>
      <c r="AE21" s="647" t="s">
        <v>29</v>
      </c>
      <c r="AF21" s="639">
        <f>RELAÇ_TUDO!R18</f>
        <v>1950</v>
      </c>
      <c r="AG21" s="636" t="s">
        <v>26</v>
      </c>
      <c r="AH21" s="652" t="e">
        <f>RELAÇ_TUDO!S19</f>
        <v>#DIV/0!</v>
      </c>
      <c r="AI21" s="647" t="s">
        <v>27</v>
      </c>
      <c r="AJ21" s="639">
        <f>RELAÇ_TUDO!T11</f>
        <v>132.07990834454844</v>
      </c>
      <c r="AK21" s="636" t="s">
        <v>19</v>
      </c>
      <c r="AL21" s="652" t="e">
        <f>RELAÇ_TUDO!U5</f>
        <v>#DIV/0!</v>
      </c>
      <c r="AM21" s="647" t="s">
        <v>13</v>
      </c>
      <c r="AN21" s="639">
        <f>RELAÇ_TUDO!V14</f>
        <v>6918.9742353811434</v>
      </c>
      <c r="AO21" s="636" t="s">
        <v>22</v>
      </c>
      <c r="AP21" s="652">
        <f>RELAÇ_TUDO!W21</f>
        <v>0.75600000000000001</v>
      </c>
      <c r="AQ21" s="647" t="s">
        <v>29</v>
      </c>
      <c r="AR21" s="638">
        <f>RELAÇ_TUDO!Y23</f>
        <v>69.360389861280126</v>
      </c>
      <c r="AS21" s="636" t="s">
        <v>31</v>
      </c>
      <c r="AT21" s="652">
        <f>RELAÇ_TUDO!Z18</f>
        <v>2048</v>
      </c>
      <c r="AU21" s="647" t="s">
        <v>26</v>
      </c>
      <c r="AV21" s="639" t="e">
        <f>RELAÇ_TUDO!AA19</f>
        <v>#DIV/0!</v>
      </c>
      <c r="AW21" s="636" t="s">
        <v>27</v>
      </c>
      <c r="AX21" s="652">
        <f>RELAÇ_TUDO!AB15</f>
        <v>120.42115098367132</v>
      </c>
      <c r="AY21" s="647" t="s">
        <v>23</v>
      </c>
      <c r="AZ21" s="639" t="e">
        <f>RELAÇ_TUDO!AC5</f>
        <v>#DIV/0!</v>
      </c>
      <c r="BA21" s="636" t="s">
        <v>13</v>
      </c>
      <c r="BB21" s="652">
        <f>RELAÇ_TUDO!AD14</f>
        <v>7787.4024465393868</v>
      </c>
      <c r="BC21" s="647" t="s">
        <v>22</v>
      </c>
      <c r="BD21" s="639">
        <f>RELAÇ_TUDO!AE21</f>
        <v>0.77</v>
      </c>
      <c r="BE21" s="636" t="s">
        <v>29</v>
      </c>
      <c r="BF21" s="646" t="e">
        <f>RELAÇ_TUDO!AG8</f>
        <v>#DIV/0!</v>
      </c>
      <c r="BG21" s="647" t="s">
        <v>16</v>
      </c>
      <c r="BH21" s="639">
        <f>RELAÇ_TUDO!AH33</f>
        <v>1988</v>
      </c>
      <c r="BI21" s="636" t="s">
        <v>41</v>
      </c>
      <c r="BJ21" s="652" t="e">
        <f>RELAÇ_TUDO!AI19</f>
        <v>#DIV/0!</v>
      </c>
      <c r="BK21" s="647" t="s">
        <v>27</v>
      </c>
      <c r="BL21" s="639">
        <f>RELAÇ_TUDO!AJ10</f>
        <v>91.32751498436545</v>
      </c>
      <c r="BM21" s="636" t="s">
        <v>18</v>
      </c>
      <c r="BN21" s="652" t="e">
        <f>RELAÇ_TUDO!AK15</f>
        <v>#DIV/0!</v>
      </c>
      <c r="BO21" s="647" t="s">
        <v>23</v>
      </c>
      <c r="BP21" s="639">
        <f>RELAÇ_TUDO!AL14</f>
        <v>8764.8305661058675</v>
      </c>
      <c r="BQ21" s="636" t="s">
        <v>22</v>
      </c>
      <c r="BR21" s="652">
        <f>RELAÇ_TUDO!AM14</f>
        <v>0.7802241379310344</v>
      </c>
      <c r="BS21" s="647" t="s">
        <v>22</v>
      </c>
    </row>
    <row r="22" spans="1:71">
      <c r="A22" s="660" t="s">
        <v>561</v>
      </c>
      <c r="B22" s="656">
        <f>RELAÇ_TUDO!A18</f>
        <v>91.039666633478745</v>
      </c>
      <c r="C22" s="647" t="s">
        <v>26</v>
      </c>
      <c r="D22" s="639">
        <f>RELAÇ_TUDO!B33</f>
        <v>1677</v>
      </c>
      <c r="E22" s="636" t="s">
        <v>41</v>
      </c>
      <c r="F22" s="652">
        <f>RELAÇ_TUDO!C32</f>
        <v>22.095344480230036</v>
      </c>
      <c r="G22" s="647" t="s">
        <v>40</v>
      </c>
      <c r="H22" s="639">
        <f>RELAÇ_TUDO!D15</f>
        <v>110.11502841185782</v>
      </c>
      <c r="I22" s="636" t="s">
        <v>23</v>
      </c>
      <c r="J22" s="652">
        <f>RELAÇ_TUDO!E17</f>
        <v>0.15150344009502503</v>
      </c>
      <c r="K22" s="647" t="s">
        <v>25</v>
      </c>
      <c r="L22" s="639">
        <f>RELAÇ_TUDO!F18</f>
        <v>5287.2867923541808</v>
      </c>
      <c r="M22" s="636" t="s">
        <v>26</v>
      </c>
      <c r="N22" s="639">
        <f>RELAÇ_TUDO!G15</f>
        <v>0.7</v>
      </c>
      <c r="O22" s="636" t="s">
        <v>23</v>
      </c>
      <c r="P22" s="638">
        <f>RELAÇ_TUDO!I8</f>
        <v>74.73655490008268</v>
      </c>
      <c r="Q22" s="636" t="s">
        <v>16</v>
      </c>
      <c r="R22" s="652">
        <f>RELAÇ_TUDO!J15</f>
        <v>2015</v>
      </c>
      <c r="S22" s="647" t="s">
        <v>23</v>
      </c>
      <c r="T22" s="639">
        <f>RELAÇ_TUDO!K32</f>
        <v>24.745541133625924</v>
      </c>
      <c r="U22" s="636" t="s">
        <v>40</v>
      </c>
      <c r="V22" s="652">
        <f>RELAÇ_TUDO!L17</f>
        <v>128.19144905820264</v>
      </c>
      <c r="W22" s="647" t="s">
        <v>25</v>
      </c>
      <c r="X22" s="639">
        <f>RELAÇ_TUDO!M17</f>
        <v>0.17169366589070889</v>
      </c>
      <c r="Y22" s="636" t="s">
        <v>25</v>
      </c>
      <c r="Z22" s="652">
        <f>RELAÇ_TUDO!N20</f>
        <v>5950.3823597379833</v>
      </c>
      <c r="AA22" s="647" t="s">
        <v>28</v>
      </c>
      <c r="AB22" s="639">
        <f>RELAÇ_TUDO!O21</f>
        <v>0.74199999999999999</v>
      </c>
      <c r="AC22" s="636" t="s">
        <v>29</v>
      </c>
      <c r="AD22" s="646">
        <f>RELAÇ_TUDO!Q18</f>
        <v>77.029086975493371</v>
      </c>
      <c r="AE22" s="647" t="s">
        <v>26</v>
      </c>
      <c r="AF22" s="639">
        <f>RELAÇ_TUDO!R15</f>
        <v>2041</v>
      </c>
      <c r="AG22" s="636" t="s">
        <v>23</v>
      </c>
      <c r="AH22" s="652" t="e">
        <f>RELAÇ_TUDO!S9</f>
        <v>#DIV/0!</v>
      </c>
      <c r="AI22" s="647" t="s">
        <v>17</v>
      </c>
      <c r="AJ22" s="639">
        <f>RELAÇ_TUDO!T10</f>
        <v>103.21348245370798</v>
      </c>
      <c r="AK22" s="636" t="s">
        <v>18</v>
      </c>
      <c r="AL22" s="652" t="e">
        <f>RELAÇ_TUDO!U17</f>
        <v>#DIV/0!</v>
      </c>
      <c r="AM22" s="647" t="s">
        <v>25</v>
      </c>
      <c r="AN22" s="639">
        <f>RELAÇ_TUDO!V20</f>
        <v>6753.0361733778263</v>
      </c>
      <c r="AO22" s="636" t="s">
        <v>28</v>
      </c>
      <c r="AP22" s="652">
        <f>RELAÇ_TUDO!W14</f>
        <v>0.754</v>
      </c>
      <c r="AQ22" s="647" t="s">
        <v>22</v>
      </c>
      <c r="AR22" s="638">
        <f>RELAÇ_TUDO!Y18</f>
        <v>70.990937874127255</v>
      </c>
      <c r="AS22" s="636" t="s">
        <v>26</v>
      </c>
      <c r="AT22" s="652">
        <f>RELAÇ_TUDO!Z15</f>
        <v>2423</v>
      </c>
      <c r="AU22" s="647" t="s">
        <v>23</v>
      </c>
      <c r="AV22" s="639" t="e">
        <f>RELAÇ_TUDO!AA32</f>
        <v>#DIV/0!</v>
      </c>
      <c r="AW22" s="636" t="s">
        <v>40</v>
      </c>
      <c r="AX22" s="652">
        <f>RELAÇ_TUDO!AB17</f>
        <v>116.86352749545799</v>
      </c>
      <c r="AY22" s="647" t="s">
        <v>25</v>
      </c>
      <c r="AZ22" s="639" t="e">
        <f>RELAÇ_TUDO!AC17</f>
        <v>#DIV/0!</v>
      </c>
      <c r="BA22" s="636" t="s">
        <v>25</v>
      </c>
      <c r="BB22" s="652">
        <f>RELAÇ_TUDO!AD20</f>
        <v>7607.0142261905885</v>
      </c>
      <c r="BC22" s="647" t="s">
        <v>28</v>
      </c>
      <c r="BD22" s="639">
        <f>RELAÇ_TUDO!AE14</f>
        <v>0.76700000000000002</v>
      </c>
      <c r="BE22" s="636" t="s">
        <v>22</v>
      </c>
      <c r="BF22" s="646" t="e">
        <f>RELAÇ_TUDO!AG23</f>
        <v>#DIV/0!</v>
      </c>
      <c r="BG22" s="647" t="s">
        <v>31</v>
      </c>
      <c r="BH22" s="639">
        <f>RELAÇ_TUDO!AH15</f>
        <v>2321</v>
      </c>
      <c r="BI22" s="636" t="s">
        <v>23</v>
      </c>
      <c r="BJ22" s="652" t="e">
        <f>RELAÇ_TUDO!AI9</f>
        <v>#DIV/0!</v>
      </c>
      <c r="BK22" s="647" t="s">
        <v>17</v>
      </c>
      <c r="BL22" s="639">
        <f>RELAÇ_TUDO!AJ15</f>
        <v>97.341254280435919</v>
      </c>
      <c r="BM22" s="636" t="s">
        <v>23</v>
      </c>
      <c r="BN22" s="652" t="e">
        <f>RELAÇ_TUDO!AK17</f>
        <v>#DIV/0!</v>
      </c>
      <c r="BO22" s="647" t="s">
        <v>25</v>
      </c>
      <c r="BP22" s="639">
        <f>RELAÇ_TUDO!AL20</f>
        <v>8568.9849649541356</v>
      </c>
      <c r="BQ22" s="636" t="s">
        <v>28</v>
      </c>
      <c r="BR22" s="652">
        <f>RELAÇ_TUDO!AM10</f>
        <v>0.78000510204081641</v>
      </c>
      <c r="BS22" s="647" t="s">
        <v>18</v>
      </c>
    </row>
    <row r="23" spans="1:71">
      <c r="A23" s="660" t="s">
        <v>562</v>
      </c>
      <c r="B23" s="656">
        <f>RELAÇ_TUDO!A17</f>
        <v>88.353209147742191</v>
      </c>
      <c r="C23" s="647" t="s">
        <v>25</v>
      </c>
      <c r="D23" s="639">
        <f>RELAÇ_TUDO!B15</f>
        <v>1515</v>
      </c>
      <c r="E23" s="636" t="s">
        <v>23</v>
      </c>
      <c r="F23" s="652">
        <f>RELAÇ_TUDO!C23</f>
        <v>27.472732309481763</v>
      </c>
      <c r="G23" s="647" t="s">
        <v>31</v>
      </c>
      <c r="H23" s="639">
        <f>RELAÇ_TUDO!D8</f>
        <v>130.92670178786244</v>
      </c>
      <c r="I23" s="636" t="s">
        <v>16</v>
      </c>
      <c r="J23" s="652">
        <f>RELAÇ_TUDO!E19</f>
        <v>0.14674115562813259</v>
      </c>
      <c r="K23" s="647" t="s">
        <v>27</v>
      </c>
      <c r="L23" s="639">
        <f>RELAÇ_TUDO!F20</f>
        <v>5259.9229536491393</v>
      </c>
      <c r="M23" s="636" t="s">
        <v>28</v>
      </c>
      <c r="N23" s="639">
        <f>RELAÇ_TUDO!G14</f>
        <v>0.69599999999999995</v>
      </c>
      <c r="O23" s="636" t="s">
        <v>22</v>
      </c>
      <c r="P23" s="638">
        <f>RELAÇ_TUDO!I18</f>
        <v>85.228533013382815</v>
      </c>
      <c r="Q23" s="636" t="s">
        <v>26</v>
      </c>
      <c r="R23" s="652">
        <f>RELAÇ_TUDO!J14</f>
        <v>2601</v>
      </c>
      <c r="S23" s="647" t="s">
        <v>22</v>
      </c>
      <c r="T23" s="639">
        <f>RELAÇ_TUDO!K33</f>
        <v>32.029778533152736</v>
      </c>
      <c r="U23" s="636" t="s">
        <v>41</v>
      </c>
      <c r="V23" s="652">
        <f>RELAÇ_TUDO!L15</f>
        <v>128.81292655297887</v>
      </c>
      <c r="W23" s="647" t="s">
        <v>23</v>
      </c>
      <c r="X23" s="639">
        <f>RELAÇ_TUDO!M19</f>
        <v>0.17095813183853051</v>
      </c>
      <c r="Y23" s="636" t="s">
        <v>27</v>
      </c>
      <c r="Z23" s="652">
        <f>RELAÇ_TUDO!N18</f>
        <v>5933.4631639152994</v>
      </c>
      <c r="AA23" s="647" t="s">
        <v>26</v>
      </c>
      <c r="AB23" s="639">
        <f>RELAÇ_TUDO!O20</f>
        <v>0.73799999999999999</v>
      </c>
      <c r="AC23" s="636" t="s">
        <v>28</v>
      </c>
      <c r="AD23" s="646">
        <f>RELAÇ_TUDO!Q8</f>
        <v>66.770543810762803</v>
      </c>
      <c r="AE23" s="647" t="s">
        <v>16</v>
      </c>
      <c r="AF23" s="639">
        <f>RELAÇ_TUDO!R14</f>
        <v>2620</v>
      </c>
      <c r="AG23" s="636" t="s">
        <v>22</v>
      </c>
      <c r="AH23" s="652" t="e">
        <f>RELAÇ_TUDO!S11</f>
        <v>#DIV/0!</v>
      </c>
      <c r="AI23" s="647" t="s">
        <v>19</v>
      </c>
      <c r="AJ23" s="639">
        <f>RELAÇ_TUDO!T15</f>
        <v>114.02788850631288</v>
      </c>
      <c r="AK23" s="636" t="s">
        <v>23</v>
      </c>
      <c r="AL23" s="652" t="e">
        <f>RELAÇ_TUDO!U19</f>
        <v>#DIV/0!</v>
      </c>
      <c r="AM23" s="647" t="s">
        <v>27</v>
      </c>
      <c r="AN23" s="639">
        <f>RELAÇ_TUDO!V18</f>
        <v>6526.6298230528255</v>
      </c>
      <c r="AO23" s="636" t="s">
        <v>26</v>
      </c>
      <c r="AP23" s="652">
        <f>RELAÇ_TUDO!W20</f>
        <v>0.74199999999999999</v>
      </c>
      <c r="AQ23" s="647" t="s">
        <v>28</v>
      </c>
      <c r="AR23" s="638">
        <f>RELAÇ_TUDO!Y17</f>
        <v>77.18054836496546</v>
      </c>
      <c r="AS23" s="636" t="s">
        <v>25</v>
      </c>
      <c r="AT23" s="652">
        <f>RELAÇ_TUDO!Z29</f>
        <v>2060</v>
      </c>
      <c r="AU23" s="647" t="s">
        <v>37</v>
      </c>
      <c r="AV23" s="639" t="e">
        <f>RELAÇ_TUDO!AA35</f>
        <v>#DIV/0!</v>
      </c>
      <c r="AW23" s="636" t="s">
        <v>43</v>
      </c>
      <c r="AX23" s="652">
        <f>RELAÇ_TUDO!AB21</f>
        <v>132.26382767447635</v>
      </c>
      <c r="AY23" s="647" t="s">
        <v>29</v>
      </c>
      <c r="AZ23" s="639" t="e">
        <f>RELAÇ_TUDO!AC19</f>
        <v>#DIV/0!</v>
      </c>
      <c r="BA23" s="636" t="s">
        <v>27</v>
      </c>
      <c r="BB23" s="652">
        <f>RELAÇ_TUDO!AD18</f>
        <v>7336.7771747174193</v>
      </c>
      <c r="BC23" s="647" t="s">
        <v>26</v>
      </c>
      <c r="BD23" s="639">
        <f>RELAÇ_TUDO!AE20</f>
        <v>0.753</v>
      </c>
      <c r="BE23" s="636" t="s">
        <v>28</v>
      </c>
      <c r="BF23" s="646" t="e">
        <f>RELAÇ_TUDO!AG10</f>
        <v>#DIV/0!</v>
      </c>
      <c r="BG23" s="647" t="s">
        <v>18</v>
      </c>
      <c r="BH23" s="639">
        <f>RELAÇ_TUDO!AH14</f>
        <v>2660</v>
      </c>
      <c r="BI23" s="636" t="s">
        <v>22</v>
      </c>
      <c r="BJ23" s="652" t="e">
        <f>RELAÇ_TUDO!AI10</f>
        <v>#DIV/0!</v>
      </c>
      <c r="BK23" s="647" t="s">
        <v>18</v>
      </c>
      <c r="BL23" s="639">
        <f>RELAÇ_TUDO!AJ11</f>
        <v>94.079622467579512</v>
      </c>
      <c r="BM23" s="636" t="s">
        <v>19</v>
      </c>
      <c r="BN23" s="652" t="e">
        <f>RELAÇ_TUDO!AK6</f>
        <v>#DIV/0!</v>
      </c>
      <c r="BO23" s="647" t="s">
        <v>14</v>
      </c>
      <c r="BP23" s="639">
        <f>RELAÇ_TUDO!AL18</f>
        <v>8247.4877189030431</v>
      </c>
      <c r="BQ23" s="636" t="s">
        <v>26</v>
      </c>
      <c r="BR23" s="652">
        <f>RELAÇ_TUDO!AM17</f>
        <v>0.77572565157750351</v>
      </c>
      <c r="BS23" s="647" t="s">
        <v>25</v>
      </c>
    </row>
    <row r="24" spans="1:71">
      <c r="A24" s="660" t="s">
        <v>563</v>
      </c>
      <c r="B24" s="656">
        <f>RELAÇ_TUDO!A11</f>
        <v>74.916719274056945</v>
      </c>
      <c r="C24" s="647" t="s">
        <v>19</v>
      </c>
      <c r="D24" s="639">
        <f>RELAÇ_TUDO!B30</f>
        <v>1812</v>
      </c>
      <c r="E24" s="636" t="s">
        <v>38</v>
      </c>
      <c r="F24" s="652">
        <f>RELAÇ_TUDO!C33</f>
        <v>28.297550515430519</v>
      </c>
      <c r="G24" s="647" t="s">
        <v>41</v>
      </c>
      <c r="H24" s="639">
        <f>RELAÇ_TUDO!D21</f>
        <v>155.60211315828582</v>
      </c>
      <c r="I24" s="636" t="s">
        <v>29</v>
      </c>
      <c r="J24" s="652">
        <f>RELAÇ_TUDO!E6</f>
        <v>0.14669322238659957</v>
      </c>
      <c r="K24" s="647" t="s">
        <v>14</v>
      </c>
      <c r="L24" s="639">
        <f>RELAÇ_TUDO!F8</f>
        <v>5191.519151869943</v>
      </c>
      <c r="M24" s="636" t="s">
        <v>16</v>
      </c>
      <c r="N24" s="639">
        <f>RELAÇ_TUDO!G21</f>
        <v>0.69299999999999995</v>
      </c>
      <c r="O24" s="636" t="s">
        <v>29</v>
      </c>
      <c r="P24" s="638">
        <f>RELAÇ_TUDO!I17</f>
        <v>81.628092778416672</v>
      </c>
      <c r="Q24" s="636" t="s">
        <v>25</v>
      </c>
      <c r="R24" s="652">
        <f>RELAÇ_TUDO!J30</f>
        <v>1835</v>
      </c>
      <c r="S24" s="647" t="s">
        <v>38</v>
      </c>
      <c r="T24" s="639">
        <f>RELAÇ_TUDO!K10</f>
        <v>32.187959927099818</v>
      </c>
      <c r="U24" s="636" t="s">
        <v>18</v>
      </c>
      <c r="V24" s="652">
        <f>RELAÇ_TUDO!L11</f>
        <v>145.94914383943919</v>
      </c>
      <c r="W24" s="647" t="s">
        <v>19</v>
      </c>
      <c r="X24" s="639">
        <f>RELAÇ_TUDO!M6</f>
        <v>0.15710368230658706</v>
      </c>
      <c r="Y24" s="636" t="s">
        <v>14</v>
      </c>
      <c r="Z24" s="652">
        <f>RELAÇ_TUDO!N8</f>
        <v>5612.3169799428497</v>
      </c>
      <c r="AA24" s="647" t="s">
        <v>16</v>
      </c>
      <c r="AB24" s="639">
        <f>RELAÇ_TUDO!O15</f>
        <v>0.72299999999999998</v>
      </c>
      <c r="AC24" s="636" t="s">
        <v>23</v>
      </c>
      <c r="AD24" s="646">
        <f>RELAÇ_TUDO!Q17</f>
        <v>69.93364373091697</v>
      </c>
      <c r="AE24" s="647" t="s">
        <v>25</v>
      </c>
      <c r="AF24" s="639">
        <f>RELAÇ_TUDO!R29</f>
        <v>2035</v>
      </c>
      <c r="AG24" s="636" t="s">
        <v>37</v>
      </c>
      <c r="AH24" s="652" t="e">
        <f>RELAÇ_TUDO!S23</f>
        <v>#DIV/0!</v>
      </c>
      <c r="AI24" s="647" t="s">
        <v>31</v>
      </c>
      <c r="AJ24" s="639">
        <f>RELAÇ_TUDO!T17</f>
        <v>105.91068289366405</v>
      </c>
      <c r="AK24" s="636" t="s">
        <v>25</v>
      </c>
      <c r="AL24" s="652" t="e">
        <f>RELAÇ_TUDO!U6</f>
        <v>#DIV/0!</v>
      </c>
      <c r="AM24" s="647" t="s">
        <v>14</v>
      </c>
      <c r="AN24" s="639">
        <f>RELAÇ_TUDO!V8</f>
        <v>6240.0525252185516</v>
      </c>
      <c r="AO24" s="636" t="s">
        <v>16</v>
      </c>
      <c r="AP24" s="652">
        <f>RELAÇ_TUDO!W18</f>
        <v>0.73299999999999998</v>
      </c>
      <c r="AQ24" s="647" t="s">
        <v>26</v>
      </c>
      <c r="AR24" s="638">
        <f>RELAÇ_TUDO!Y21</f>
        <v>87.607658078562764</v>
      </c>
      <c r="AS24" s="636" t="s">
        <v>29</v>
      </c>
      <c r="AT24" s="652">
        <f>RELAÇ_TUDO!Z30</f>
        <v>1890</v>
      </c>
      <c r="AU24" s="647" t="s">
        <v>38</v>
      </c>
      <c r="AV24" s="639" t="e">
        <f>RELAÇ_TUDO!AA23</f>
        <v>#DIV/0!</v>
      </c>
      <c r="AW24" s="636" t="s">
        <v>31</v>
      </c>
      <c r="AX24" s="652">
        <f>RELAÇ_TUDO!AB11</f>
        <v>123.37307428011584</v>
      </c>
      <c r="AY24" s="647" t="s">
        <v>19</v>
      </c>
      <c r="AZ24" s="639" t="e">
        <f>RELAÇ_TUDO!AC6</f>
        <v>#DIV/0!</v>
      </c>
      <c r="BA24" s="636" t="s">
        <v>14</v>
      </c>
      <c r="BB24" s="652">
        <f>RELAÇ_TUDO!AD8</f>
        <v>7006.8123235518033</v>
      </c>
      <c r="BC24" s="647" t="s">
        <v>16</v>
      </c>
      <c r="BD24" s="639">
        <f>RELAÇ_TUDO!AE17</f>
        <v>0.752</v>
      </c>
      <c r="BE24" s="636" t="s">
        <v>25</v>
      </c>
      <c r="BF24" s="646" t="e">
        <f>RELAÇ_TUDO!AG21</f>
        <v>#DIV/0!</v>
      </c>
      <c r="BG24" s="647" t="s">
        <v>29</v>
      </c>
      <c r="BH24" s="639">
        <f>RELAÇ_TUDO!AH30</f>
        <v>1666</v>
      </c>
      <c r="BI24" s="636" t="s">
        <v>38</v>
      </c>
      <c r="BJ24" s="652" t="e">
        <f>RELAÇ_TUDO!AI35</f>
        <v>#DIV/0!</v>
      </c>
      <c r="BK24" s="647" t="s">
        <v>43</v>
      </c>
      <c r="BL24" s="639">
        <f>RELAÇ_TUDO!AJ17</f>
        <v>104.68310942200118</v>
      </c>
      <c r="BM24" s="636" t="s">
        <v>25</v>
      </c>
      <c r="BN24" s="652" t="e">
        <f>RELAÇ_TUDO!AK19</f>
        <v>#DIV/0!</v>
      </c>
      <c r="BO24" s="647" t="s">
        <v>27</v>
      </c>
      <c r="BP24" s="639">
        <f>RELAÇ_TUDO!AL8</f>
        <v>7867.7893718142859</v>
      </c>
      <c r="BQ24" s="636" t="s">
        <v>16</v>
      </c>
      <c r="BR24" s="652">
        <f>RELAÇ_TUDO!AM15</f>
        <v>0.76744322845417245</v>
      </c>
      <c r="BS24" s="647" t="s">
        <v>23</v>
      </c>
    </row>
    <row r="25" spans="1:71">
      <c r="A25" s="660" t="s">
        <v>564</v>
      </c>
      <c r="B25" s="656">
        <f>RELAÇ_TUDO!A21</f>
        <v>98.789356793334775</v>
      </c>
      <c r="C25" s="647" t="s">
        <v>29</v>
      </c>
      <c r="D25" s="639">
        <f>RELAÇ_TUDO!B29</f>
        <v>1979</v>
      </c>
      <c r="E25" s="636" t="s">
        <v>37</v>
      </c>
      <c r="F25" s="652">
        <f>RELAÇ_TUDO!C28</f>
        <v>28.812785952161978</v>
      </c>
      <c r="G25" s="647" t="s">
        <v>36</v>
      </c>
      <c r="H25" s="639">
        <f>RELAÇ_TUDO!D19</f>
        <v>195.65570662477654</v>
      </c>
      <c r="I25" s="636" t="s">
        <v>27</v>
      </c>
      <c r="J25" s="652">
        <f>RELAÇ_TUDO!E7</f>
        <v>0.12864812043059426</v>
      </c>
      <c r="K25" s="647" t="s">
        <v>15</v>
      </c>
      <c r="L25" s="639">
        <f>RELAÇ_TUDO!F15</f>
        <v>4621.8243891120437</v>
      </c>
      <c r="M25" s="636" t="s">
        <v>23</v>
      </c>
      <c r="N25" s="639">
        <f>RELAÇ_TUDO!G5</f>
        <v>0.69199999999999995</v>
      </c>
      <c r="O25" s="636" t="s">
        <v>13</v>
      </c>
      <c r="P25" s="638">
        <f>RELAÇ_TUDO!I10</f>
        <v>70.133806089867534</v>
      </c>
      <c r="Q25" s="636" t="s">
        <v>18</v>
      </c>
      <c r="R25" s="652">
        <f>RELAÇ_TUDO!J29</f>
        <v>2181</v>
      </c>
      <c r="S25" s="647" t="s">
        <v>37</v>
      </c>
      <c r="T25" s="639">
        <f>RELAÇ_TUDO!K11</f>
        <v>37.804177253161491</v>
      </c>
      <c r="U25" s="636" t="s">
        <v>19</v>
      </c>
      <c r="V25" s="652">
        <f>RELAÇ_TUDO!L6</f>
        <v>115.0354137947426</v>
      </c>
      <c r="W25" s="647" t="s">
        <v>14</v>
      </c>
      <c r="X25" s="639">
        <f>RELAÇ_TUDO!M7</f>
        <v>0.13999543626048908</v>
      </c>
      <c r="Y25" s="636" t="s">
        <v>15</v>
      </c>
      <c r="Z25" s="652">
        <f>RELAÇ_TUDO!N15</f>
        <v>5055.4343913483863</v>
      </c>
      <c r="AA25" s="647" t="s">
        <v>23</v>
      </c>
      <c r="AB25" s="639">
        <f>RELAÇ_TUDO!O18</f>
        <v>0.71799999999999997</v>
      </c>
      <c r="AC25" s="636" t="s">
        <v>26</v>
      </c>
      <c r="AD25" s="646">
        <f>RELAÇ_TUDO!Q10</f>
        <v>68.261468448644123</v>
      </c>
      <c r="AE25" s="647" t="s">
        <v>18</v>
      </c>
      <c r="AF25" s="639">
        <f>RELAÇ_TUDO!R30</f>
        <v>1975</v>
      </c>
      <c r="AG25" s="636" t="s">
        <v>38</v>
      </c>
      <c r="AH25" s="652" t="e">
        <f>RELAÇ_TUDO!S10</f>
        <v>#DIV/0!</v>
      </c>
      <c r="AI25" s="647" t="s">
        <v>18</v>
      </c>
      <c r="AJ25" s="639">
        <f>RELAÇ_TUDO!T6</f>
        <v>123.58800701979879</v>
      </c>
      <c r="AK25" s="636" t="s">
        <v>14</v>
      </c>
      <c r="AL25" s="652" t="e">
        <f>RELAÇ_TUDO!U7</f>
        <v>#DIV/0!</v>
      </c>
      <c r="AM25" s="647" t="s">
        <v>15</v>
      </c>
      <c r="AN25" s="639">
        <f>RELAÇ_TUDO!V15</f>
        <v>5634.9736562503022</v>
      </c>
      <c r="AO25" s="636" t="s">
        <v>23</v>
      </c>
      <c r="AP25" s="652">
        <f>RELAÇ_TUDO!W15</f>
        <v>0.73099999999999998</v>
      </c>
      <c r="AQ25" s="647" t="s">
        <v>23</v>
      </c>
      <c r="AR25" s="638">
        <f>RELAÇ_TUDO!Y15</f>
        <v>92.362812529116027</v>
      </c>
      <c r="AS25" s="636" t="s">
        <v>23</v>
      </c>
      <c r="AT25" s="652">
        <f>RELAÇ_TUDO!Z14</f>
        <v>2834</v>
      </c>
      <c r="AU25" s="647" t="s">
        <v>22</v>
      </c>
      <c r="AV25" s="639" t="e">
        <f>RELAÇ_TUDO!AA28</f>
        <v>#DIV/0!</v>
      </c>
      <c r="AW25" s="636" t="s">
        <v>36</v>
      </c>
      <c r="AX25" s="652">
        <f>RELAÇ_TUDO!AB10</f>
        <v>103.24813037169326</v>
      </c>
      <c r="AY25" s="647" t="s">
        <v>18</v>
      </c>
      <c r="AZ25" s="639" t="e">
        <f>RELAÇ_TUDO!AC14</f>
        <v>#DIV/0!</v>
      </c>
      <c r="BA25" s="636" t="s">
        <v>22</v>
      </c>
      <c r="BB25" s="652">
        <f>RELAÇ_TUDO!AD15</f>
        <v>6149.0343365611461</v>
      </c>
      <c r="BC25" s="647" t="s">
        <v>23</v>
      </c>
      <c r="BD25" s="639">
        <f>RELAÇ_TUDO!AE15</f>
        <v>0.749</v>
      </c>
      <c r="BE25" s="636" t="s">
        <v>23</v>
      </c>
      <c r="BF25" s="646" t="e">
        <f>RELAÇ_TUDO!AG17</f>
        <v>#DIV/0!</v>
      </c>
      <c r="BG25" s="647" t="s">
        <v>25</v>
      </c>
      <c r="BH25" s="639">
        <f>RELAÇ_TUDO!AH25</f>
        <v>2619</v>
      </c>
      <c r="BI25" s="636" t="s">
        <v>33</v>
      </c>
      <c r="BJ25" s="652" t="e">
        <f>RELAÇ_TUDO!AI28</f>
        <v>#DIV/0!</v>
      </c>
      <c r="BK25" s="647" t="s">
        <v>36</v>
      </c>
      <c r="BL25" s="639">
        <f>RELAÇ_TUDO!AJ21</f>
        <v>115.37592743827214</v>
      </c>
      <c r="BM25" s="636" t="s">
        <v>29</v>
      </c>
      <c r="BN25" s="652" t="e">
        <f>RELAÇ_TUDO!AK7</f>
        <v>#DIV/0!</v>
      </c>
      <c r="BO25" s="647" t="s">
        <v>15</v>
      </c>
      <c r="BP25" s="639">
        <f>RELAÇ_TUDO!AL17</f>
        <v>6750.8886547482662</v>
      </c>
      <c r="BQ25" s="636" t="s">
        <v>25</v>
      </c>
      <c r="BR25" s="652">
        <f>RELAÇ_TUDO!AM20</f>
        <v>0.76416307277628026</v>
      </c>
      <c r="BS25" s="647" t="s">
        <v>28</v>
      </c>
    </row>
    <row r="26" spans="1:71">
      <c r="A26" s="660" t="s">
        <v>565</v>
      </c>
      <c r="B26" s="656">
        <f>RELAÇ_TUDO!A16</f>
        <v>109.72309229216644</v>
      </c>
      <c r="C26" s="647" t="s">
        <v>24</v>
      </c>
      <c r="D26" s="639">
        <f>RELAÇ_TUDO!B25</f>
        <v>2284</v>
      </c>
      <c r="E26" s="636" t="s">
        <v>33</v>
      </c>
      <c r="F26" s="652">
        <f>RELAÇ_TUDO!C30</f>
        <v>29.614003043443514</v>
      </c>
      <c r="G26" s="647" t="s">
        <v>38</v>
      </c>
      <c r="H26" s="639">
        <f>RELAÇ_TUDO!D16</f>
        <v>184.73665448415329</v>
      </c>
      <c r="I26" s="636" t="s">
        <v>24</v>
      </c>
      <c r="J26" s="652">
        <f>RELAÇ_TUDO!E14</f>
        <v>0.12808218616567038</v>
      </c>
      <c r="K26" s="647" t="s">
        <v>22</v>
      </c>
      <c r="L26" s="639">
        <f>RELAÇ_TUDO!F13</f>
        <v>4324.3544300744079</v>
      </c>
      <c r="M26" s="636" t="s">
        <v>21</v>
      </c>
      <c r="N26" s="639">
        <f>RELAÇ_TUDO!G17</f>
        <v>0.67800000000000005</v>
      </c>
      <c r="O26" s="636" t="s">
        <v>25</v>
      </c>
      <c r="P26" s="638">
        <f>RELAÇ_TUDO!I15</f>
        <v>98.185049616271556</v>
      </c>
      <c r="Q26" s="636" t="s">
        <v>23</v>
      </c>
      <c r="R26" s="652">
        <f>RELAÇ_TUDO!J25</f>
        <v>2829</v>
      </c>
      <c r="S26" s="647" t="s">
        <v>33</v>
      </c>
      <c r="T26" s="639">
        <f>RELAÇ_TUDO!K28</f>
        <v>32.438044579524238</v>
      </c>
      <c r="U26" s="636" t="s">
        <v>36</v>
      </c>
      <c r="V26" s="652">
        <f>RELAÇ_TUDO!L8</f>
        <v>152.15467356525292</v>
      </c>
      <c r="W26" s="647" t="s">
        <v>16</v>
      </c>
      <c r="X26" s="639">
        <f>RELAÇ_TUDO!M14</f>
        <v>0.15152373854829304</v>
      </c>
      <c r="Y26" s="636" t="s">
        <v>22</v>
      </c>
      <c r="Z26" s="652">
        <f>RELAÇ_TUDO!N17</f>
        <v>4691.0937824887505</v>
      </c>
      <c r="AA26" s="647" t="s">
        <v>25</v>
      </c>
      <c r="AB26" s="639">
        <f>RELAÇ_TUDO!O17</f>
        <v>0.71799999999999997</v>
      </c>
      <c r="AC26" s="636" t="s">
        <v>25</v>
      </c>
      <c r="AD26" s="646">
        <f>RELAÇ_TUDO!Q16</f>
        <v>103.61290461588878</v>
      </c>
      <c r="AE26" s="647" t="s">
        <v>24</v>
      </c>
      <c r="AF26" s="639">
        <f>RELAÇ_TUDO!R28</f>
        <v>3313</v>
      </c>
      <c r="AG26" s="636" t="s">
        <v>36</v>
      </c>
      <c r="AH26" s="652" t="e">
        <f>RELAÇ_TUDO!S28</f>
        <v>#DIV/0!</v>
      </c>
      <c r="AI26" s="647" t="s">
        <v>36</v>
      </c>
      <c r="AJ26" s="639">
        <f>RELAÇ_TUDO!T8</f>
        <v>133.37116632046846</v>
      </c>
      <c r="AK26" s="636" t="s">
        <v>16</v>
      </c>
      <c r="AL26" s="652" t="e">
        <f>RELAÇ_TUDO!U14</f>
        <v>#DIV/0!</v>
      </c>
      <c r="AM26" s="647" t="s">
        <v>22</v>
      </c>
      <c r="AN26" s="639">
        <f>RELAÇ_TUDO!V17</f>
        <v>5506.5224679450048</v>
      </c>
      <c r="AO26" s="636" t="s">
        <v>25</v>
      </c>
      <c r="AP26" s="652">
        <f>RELAÇ_TUDO!W17</f>
        <v>0.72899999999999998</v>
      </c>
      <c r="AQ26" s="647" t="s">
        <v>25</v>
      </c>
      <c r="AR26" s="638">
        <f>RELAÇ_TUDO!Y16</f>
        <v>98.600961169252656</v>
      </c>
      <c r="AS26" s="636" t="s">
        <v>24</v>
      </c>
      <c r="AT26" s="652">
        <f>RELAÇ_TUDO!Z25</f>
        <v>2992</v>
      </c>
      <c r="AU26" s="647" t="s">
        <v>33</v>
      </c>
      <c r="AV26" s="639" t="e">
        <f>RELAÇ_TUDO!AA34</f>
        <v>#DIV/0!</v>
      </c>
      <c r="AW26" s="636" t="s">
        <v>42</v>
      </c>
      <c r="AX26" s="652">
        <f>RELAÇ_TUDO!AB8</f>
        <v>130.82074443233142</v>
      </c>
      <c r="AY26" s="647" t="s">
        <v>16</v>
      </c>
      <c r="AZ26" s="639" t="e">
        <f>RELAÇ_TUDO!AC7</f>
        <v>#DIV/0!</v>
      </c>
      <c r="BA26" s="636" t="s">
        <v>15</v>
      </c>
      <c r="BB26" s="652">
        <f>RELAÇ_TUDO!AD17</f>
        <v>6097.0419103009581</v>
      </c>
      <c r="BC26" s="647" t="s">
        <v>25</v>
      </c>
      <c r="BD26" s="639">
        <f>RELAÇ_TUDO!AE18</f>
        <v>0.74199999999999999</v>
      </c>
      <c r="BE26" s="636" t="s">
        <v>26</v>
      </c>
      <c r="BF26" s="646" t="e">
        <f>RELAÇ_TUDO!AG15</f>
        <v>#DIV/0!</v>
      </c>
      <c r="BG26" s="647" t="s">
        <v>23</v>
      </c>
      <c r="BH26" s="639">
        <f>RELAÇ_TUDO!AH29</f>
        <v>1988</v>
      </c>
      <c r="BI26" s="636" t="s">
        <v>37</v>
      </c>
      <c r="BJ26" s="652" t="e">
        <f>RELAÇ_TUDO!AI30</f>
        <v>#DIV/0!</v>
      </c>
      <c r="BK26" s="647" t="s">
        <v>38</v>
      </c>
      <c r="BL26" s="639">
        <f>RELAÇ_TUDO!AJ8</f>
        <v>108.23639781426886</v>
      </c>
      <c r="BM26" s="636" t="s">
        <v>16</v>
      </c>
      <c r="BN26" s="652" t="e">
        <f>RELAÇ_TUDO!AK14</f>
        <v>#DIV/0!</v>
      </c>
      <c r="BO26" s="647" t="s">
        <v>22</v>
      </c>
      <c r="BP26" s="639">
        <f>RELAÇ_TUDO!AL15</f>
        <v>6709.9911337240246</v>
      </c>
      <c r="BQ26" s="636" t="s">
        <v>23</v>
      </c>
      <c r="BR26" s="652">
        <f>RELAÇ_TUDO!AM19</f>
        <v>0.75950069348127602</v>
      </c>
      <c r="BS26" s="647" t="s">
        <v>27</v>
      </c>
    </row>
    <row r="27" spans="1:71">
      <c r="A27" s="660" t="s">
        <v>566</v>
      </c>
      <c r="B27" s="656">
        <f>RELAÇ_TUDO!A15</f>
        <v>87.414276859853416</v>
      </c>
      <c r="C27" s="647" t="s">
        <v>23</v>
      </c>
      <c r="D27" s="639">
        <f>RELAÇ_TUDO!B28</f>
        <v>3079</v>
      </c>
      <c r="E27" s="636" t="s">
        <v>36</v>
      </c>
      <c r="F27" s="652">
        <f>RELAÇ_TUDO!C35</f>
        <v>29.696469043231449</v>
      </c>
      <c r="G27" s="647" t="s">
        <v>43</v>
      </c>
      <c r="H27" s="639">
        <f>RELAÇ_TUDO!D6</f>
        <v>116.40683645383436</v>
      </c>
      <c r="I27" s="636" t="s">
        <v>14</v>
      </c>
      <c r="J27" s="652">
        <f>RELAÇ_TUDO!E13</f>
        <v>0.11233100588352528</v>
      </c>
      <c r="K27" s="647" t="s">
        <v>21</v>
      </c>
      <c r="L27" s="639">
        <f>RELAÇ_TUDO!F17</f>
        <v>4209.9006119720725</v>
      </c>
      <c r="M27" s="636" t="s">
        <v>25</v>
      </c>
      <c r="N27" s="639">
        <f>RELAÇ_TUDO!G19</f>
        <v>0.67300000000000004</v>
      </c>
      <c r="O27" s="636" t="s">
        <v>27</v>
      </c>
      <c r="P27" s="638">
        <f>RELAÇ_TUDO!I16</f>
        <v>103.55776849232811</v>
      </c>
      <c r="Q27" s="636" t="s">
        <v>24</v>
      </c>
      <c r="R27" s="652">
        <f>RELAÇ_TUDO!J28</f>
        <v>3388</v>
      </c>
      <c r="S27" s="647" t="s">
        <v>36</v>
      </c>
      <c r="T27" s="639">
        <f>RELAÇ_TUDO!K34</f>
        <v>36.341208030517386</v>
      </c>
      <c r="U27" s="636" t="s">
        <v>42</v>
      </c>
      <c r="V27" s="652">
        <f>RELAÇ_TUDO!L19</f>
        <v>195.8323719914689</v>
      </c>
      <c r="W27" s="647" t="s">
        <v>27</v>
      </c>
      <c r="X27" s="639">
        <f>RELAÇ_TUDO!M13</f>
        <v>0.12803004908838153</v>
      </c>
      <c r="Y27" s="636" t="s">
        <v>21</v>
      </c>
      <c r="Z27" s="652">
        <f>RELAÇ_TUDO!N13</f>
        <v>4688.2487580077586</v>
      </c>
      <c r="AA27" s="647" t="s">
        <v>21</v>
      </c>
      <c r="AB27" s="639">
        <f>RELAÇ_TUDO!O19</f>
        <v>0.70299999999999996</v>
      </c>
      <c r="AC27" s="636" t="s">
        <v>27</v>
      </c>
      <c r="AD27" s="646">
        <f>RELAÇ_TUDO!Q15</f>
        <v>89.890178268564256</v>
      </c>
      <c r="AE27" s="647" t="s">
        <v>23</v>
      </c>
      <c r="AF27" s="639">
        <f>RELAÇ_TUDO!R25</f>
        <v>2704</v>
      </c>
      <c r="AG27" s="636" t="s">
        <v>33</v>
      </c>
      <c r="AH27" s="652" t="e">
        <f>RELAÇ_TUDO!S35</f>
        <v>#DIV/0!</v>
      </c>
      <c r="AI27" s="647" t="s">
        <v>43</v>
      </c>
      <c r="AJ27" s="639">
        <f>RELAÇ_TUDO!T16</f>
        <v>170.90123240464925</v>
      </c>
      <c r="AK27" s="636" t="s">
        <v>24</v>
      </c>
      <c r="AL27" s="652" t="e">
        <f>RELAÇ_TUDO!U13</f>
        <v>#DIV/0!</v>
      </c>
      <c r="AM27" s="647" t="s">
        <v>21</v>
      </c>
      <c r="AN27" s="639">
        <f>RELAÇ_TUDO!V13</f>
        <v>5162.1873217624461</v>
      </c>
      <c r="AO27" s="636" t="s">
        <v>21</v>
      </c>
      <c r="AP27" s="652">
        <f>RELAÇ_TUDO!W19</f>
        <v>0.72099999999999997</v>
      </c>
      <c r="AQ27" s="647" t="s">
        <v>27</v>
      </c>
      <c r="AR27" s="638">
        <f>RELAÇ_TUDO!Y10</f>
        <v>69.357024764846102</v>
      </c>
      <c r="AS27" s="636" t="s">
        <v>18</v>
      </c>
      <c r="AT27" s="652">
        <f>RELAÇ_TUDO!Z28</f>
        <v>3584</v>
      </c>
      <c r="AU27" s="647" t="s">
        <v>36</v>
      </c>
      <c r="AV27" s="639" t="e">
        <f>RELAÇ_TUDO!AA30</f>
        <v>#DIV/0!</v>
      </c>
      <c r="AW27" s="636" t="s">
        <v>38</v>
      </c>
      <c r="AX27" s="652">
        <f>RELAÇ_TUDO!AB19</f>
        <v>169.37645369644622</v>
      </c>
      <c r="AY27" s="647" t="s">
        <v>27</v>
      </c>
      <c r="AZ27" s="639" t="e">
        <f>RELAÇ_TUDO!AC13</f>
        <v>#DIV/0!</v>
      </c>
      <c r="BA27" s="636" t="s">
        <v>21</v>
      </c>
      <c r="BB27" s="652">
        <f>RELAÇ_TUDO!AD13</f>
        <v>5858.3712236805795</v>
      </c>
      <c r="BC27" s="647" t="s">
        <v>21</v>
      </c>
      <c r="BD27" s="639">
        <f>RELAÇ_TUDO!AE19</f>
        <v>0.74</v>
      </c>
      <c r="BE27" s="636" t="s">
        <v>27</v>
      </c>
      <c r="BF27" s="646" t="e">
        <f>RELAÇ_TUDO!AG16</f>
        <v>#DIV/0!</v>
      </c>
      <c r="BG27" s="647" t="s">
        <v>24</v>
      </c>
      <c r="BH27" s="639">
        <f>RELAÇ_TUDO!AH28</f>
        <v>3116</v>
      </c>
      <c r="BI27" s="636" t="s">
        <v>36</v>
      </c>
      <c r="BJ27" s="652" t="e">
        <f>RELAÇ_TUDO!AI23</f>
        <v>#DIV/0!</v>
      </c>
      <c r="BK27" s="647" t="s">
        <v>31</v>
      </c>
      <c r="BL27" s="639">
        <f>RELAÇ_TUDO!AJ13</f>
        <v>126.91883377863402</v>
      </c>
      <c r="BM27" s="636" t="s">
        <v>21</v>
      </c>
      <c r="BN27" s="652" t="e">
        <f>RELAÇ_TUDO!AK13</f>
        <v>#DIV/0!</v>
      </c>
      <c r="BO27" s="647" t="s">
        <v>21</v>
      </c>
      <c r="BP27" s="639">
        <f>RELAÇ_TUDO!AL13</f>
        <v>6648.4440132116642</v>
      </c>
      <c r="BQ27" s="636" t="s">
        <v>21</v>
      </c>
      <c r="BR27" s="652">
        <f>RELAÇ_TUDO!AM18</f>
        <v>0.75111050477489771</v>
      </c>
      <c r="BS27" s="647" t="s">
        <v>26</v>
      </c>
    </row>
    <row r="28" spans="1:71">
      <c r="A28" s="660" t="s">
        <v>567</v>
      </c>
      <c r="B28" s="656">
        <f>RELAÇ_TUDO!A13</f>
        <v>126.21656178900706</v>
      </c>
      <c r="C28" s="647" t="s">
        <v>21</v>
      </c>
      <c r="D28" s="639">
        <f>RELAÇ_TUDO!B24</f>
        <v>3863</v>
      </c>
      <c r="E28" s="636" t="s">
        <v>32</v>
      </c>
      <c r="F28" s="652">
        <f>RELAÇ_TUDO!C34</f>
        <v>36.812166337689163</v>
      </c>
      <c r="G28" s="647" t="s">
        <v>42</v>
      </c>
      <c r="H28" s="639">
        <f>RELAÇ_TUDO!D13</f>
        <v>185.88094593374854</v>
      </c>
      <c r="I28" s="636" t="s">
        <v>21</v>
      </c>
      <c r="J28" s="652">
        <f>RELAÇ_TUDO!E8</f>
        <v>0.10381102728406424</v>
      </c>
      <c r="K28" s="647" t="s">
        <v>16</v>
      </c>
      <c r="L28" s="639">
        <f>RELAÇ_TUDO!F16</f>
        <v>3587.9037869469803</v>
      </c>
      <c r="M28" s="636" t="s">
        <v>24</v>
      </c>
      <c r="N28" s="639">
        <f>RELAÇ_TUDO!G16</f>
        <v>0.64700000000000002</v>
      </c>
      <c r="O28" s="636" t="s">
        <v>24</v>
      </c>
      <c r="P28" s="638">
        <f>RELAÇ_TUDO!I13</f>
        <v>127.11658016066335</v>
      </c>
      <c r="Q28" s="636" t="s">
        <v>21</v>
      </c>
      <c r="R28" s="652">
        <f>RELAÇ_TUDO!J24</f>
        <v>4286</v>
      </c>
      <c r="S28" s="647" t="s">
        <v>32</v>
      </c>
      <c r="T28" s="639">
        <f>RELAÇ_TUDO!K30</f>
        <v>29.367348885385077</v>
      </c>
      <c r="U28" s="636" t="s">
        <v>38</v>
      </c>
      <c r="V28" s="652">
        <f>RELAÇ_TUDO!L13</f>
        <v>195.98665388456561</v>
      </c>
      <c r="W28" s="647" t="s">
        <v>21</v>
      </c>
      <c r="X28" s="639">
        <f>RELAÇ_TUDO!M8</f>
        <v>0.11625564845824148</v>
      </c>
      <c r="Y28" s="636" t="s">
        <v>16</v>
      </c>
      <c r="Z28" s="652">
        <f>RELAÇ_TUDO!N16</f>
        <v>4150.9476443656422</v>
      </c>
      <c r="AA28" s="647" t="s">
        <v>24</v>
      </c>
      <c r="AB28" s="639">
        <f>RELAÇ_TUDO!O16</f>
        <v>0.68300000000000005</v>
      </c>
      <c r="AC28" s="636" t="s">
        <v>24</v>
      </c>
      <c r="AD28" s="646">
        <f>RELAÇ_TUDO!Q13</f>
        <v>120.9491222124268</v>
      </c>
      <c r="AE28" s="647" t="s">
        <v>21</v>
      </c>
      <c r="AF28" s="639">
        <f>RELAÇ_TUDO!R24</f>
        <v>4489</v>
      </c>
      <c r="AG28" s="636" t="s">
        <v>32</v>
      </c>
      <c r="AH28" s="652" t="e">
        <f>RELAÇ_TUDO!S34</f>
        <v>#DIV/0!</v>
      </c>
      <c r="AI28" s="647" t="s">
        <v>42</v>
      </c>
      <c r="AJ28" s="639">
        <f>RELAÇ_TUDO!T13</f>
        <v>188.5428708470283</v>
      </c>
      <c r="AK28" s="636" t="s">
        <v>21</v>
      </c>
      <c r="AL28" s="652" t="e">
        <f>RELAÇ_TUDO!U8</f>
        <v>#DIV/0!</v>
      </c>
      <c r="AM28" s="647" t="s">
        <v>16</v>
      </c>
      <c r="AN28" s="639">
        <f>RELAÇ_TUDO!V16</f>
        <v>4627.7096023896001</v>
      </c>
      <c r="AO28" s="636" t="s">
        <v>24</v>
      </c>
      <c r="AP28" s="652">
        <f>RELAÇ_TUDO!W16</f>
        <v>0.70699999999999996</v>
      </c>
      <c r="AQ28" s="647" t="s">
        <v>24</v>
      </c>
      <c r="AR28" s="638">
        <f>RELAÇ_TUDO!Y13</f>
        <v>105.82312268814296</v>
      </c>
      <c r="AS28" s="636" t="s">
        <v>21</v>
      </c>
      <c r="AT28" s="652">
        <f>RELAÇ_TUDO!Z24</f>
        <v>4394</v>
      </c>
      <c r="AU28" s="647" t="s">
        <v>32</v>
      </c>
      <c r="AV28" s="639" t="e">
        <f>RELAÇ_TUDO!AA11</f>
        <v>#DIV/0!</v>
      </c>
      <c r="AW28" s="636" t="s">
        <v>19</v>
      </c>
      <c r="AX28" s="652">
        <f>RELAÇ_TUDO!AB16</f>
        <v>166.22494299852892</v>
      </c>
      <c r="AY28" s="647" t="s">
        <v>24</v>
      </c>
      <c r="AZ28" s="639" t="e">
        <f>RELAÇ_TUDO!AC8</f>
        <v>#DIV/0!</v>
      </c>
      <c r="BA28" s="636" t="s">
        <v>16</v>
      </c>
      <c r="BB28" s="652">
        <f>RELAÇ_TUDO!AD16</f>
        <v>5165.2316056363534</v>
      </c>
      <c r="BC28" s="647" t="s">
        <v>24</v>
      </c>
      <c r="BD28" s="639">
        <f>RELAÇ_TUDO!AE16</f>
        <v>0.72399999999999998</v>
      </c>
      <c r="BE28" s="636" t="s">
        <v>24</v>
      </c>
      <c r="BF28" s="646" t="e">
        <f>RELAÇ_TUDO!AG13</f>
        <v>#DIV/0!</v>
      </c>
      <c r="BG28" s="647" t="s">
        <v>21</v>
      </c>
      <c r="BH28" s="639">
        <f>RELAÇ_TUDO!AH24</f>
        <v>4158</v>
      </c>
      <c r="BI28" s="636" t="s">
        <v>32</v>
      </c>
      <c r="BJ28" s="652" t="e">
        <f>RELAÇ_TUDO!AI34</f>
        <v>#DIV/0!</v>
      </c>
      <c r="BK28" s="647" t="s">
        <v>42</v>
      </c>
      <c r="BL28" s="639">
        <f>RELAÇ_TUDO!AJ19</f>
        <v>139.57647773965596</v>
      </c>
      <c r="BM28" s="636" t="s">
        <v>27</v>
      </c>
      <c r="BN28" s="652" t="e">
        <f>RELAÇ_TUDO!AK8</f>
        <v>#DIV/0!</v>
      </c>
      <c r="BO28" s="647" t="s">
        <v>16</v>
      </c>
      <c r="BP28" s="639">
        <f>RELAÇ_TUDO!AL16</f>
        <v>5765.1883614495182</v>
      </c>
      <c r="BQ28" s="636" t="s">
        <v>24</v>
      </c>
      <c r="BR28" s="652">
        <f>RELAÇ_TUDO!AM13</f>
        <v>0.74469142857142845</v>
      </c>
      <c r="BS28" s="647" t="s">
        <v>21</v>
      </c>
    </row>
    <row r="29" spans="1:71" ht="15.75" thickBot="1">
      <c r="A29" s="661" t="s">
        <v>568</v>
      </c>
      <c r="B29" s="657">
        <f>RELAÇ_TUDO!A19</f>
        <v>127.69799244430486</v>
      </c>
      <c r="C29" s="649" t="s">
        <v>27</v>
      </c>
      <c r="D29" s="641">
        <f>RELAÇ_TUDO!B26</f>
        <v>6759</v>
      </c>
      <c r="E29" s="637" t="s">
        <v>34</v>
      </c>
      <c r="F29" s="653">
        <f>RELAÇ_TUDO!C11</f>
        <v>34.828023091753266</v>
      </c>
      <c r="G29" s="649" t="s">
        <v>19</v>
      </c>
      <c r="H29" s="641">
        <f>RELAÇ_TUDO!D11</f>
        <v>139.47174302486317</v>
      </c>
      <c r="I29" s="637" t="s">
        <v>19</v>
      </c>
      <c r="J29" s="653">
        <f>RELAÇ_TUDO!E16</f>
        <v>9.4283576962927149E-2</v>
      </c>
      <c r="K29" s="649" t="s">
        <v>24</v>
      </c>
      <c r="L29" s="641">
        <f>RELAÇ_TUDO!F19</f>
        <v>3297.2391445571384</v>
      </c>
      <c r="M29" s="637" t="s">
        <v>27</v>
      </c>
      <c r="N29" s="641">
        <f>RELAÇ_TUDO!G13</f>
        <v>0.64600000000000002</v>
      </c>
      <c r="O29" s="637" t="s">
        <v>21</v>
      </c>
      <c r="P29" s="640">
        <f>RELAÇ_TUDO!I19</f>
        <v>123.78292293094962</v>
      </c>
      <c r="Q29" s="637" t="s">
        <v>27</v>
      </c>
      <c r="R29" s="653">
        <f>RELAÇ_TUDO!J26</f>
        <v>7029</v>
      </c>
      <c r="S29" s="649" t="s">
        <v>34</v>
      </c>
      <c r="T29" s="641">
        <f>RELAÇ_TUDO!K35</f>
        <v>31.767757278001358</v>
      </c>
      <c r="U29" s="637" t="s">
        <v>43</v>
      </c>
      <c r="V29" s="653">
        <f>RELAÇ_TUDO!L16</f>
        <v>179.57038313981982</v>
      </c>
      <c r="W29" s="649" t="s">
        <v>24</v>
      </c>
      <c r="X29" s="641">
        <f>RELAÇ_TUDO!M16</f>
        <v>0.1079925150449695</v>
      </c>
      <c r="Y29" s="637" t="s">
        <v>24</v>
      </c>
      <c r="Z29" s="653">
        <f>RELAÇ_TUDO!N19</f>
        <v>3701.239331431866</v>
      </c>
      <c r="AA29" s="649" t="s">
        <v>27</v>
      </c>
      <c r="AB29" s="641">
        <f>RELAÇ_TUDO!O13</f>
        <v>0.67700000000000005</v>
      </c>
      <c r="AC29" s="637" t="s">
        <v>21</v>
      </c>
      <c r="AD29" s="648">
        <f>RELAÇ_TUDO!Q19</f>
        <v>120.23241906125917</v>
      </c>
      <c r="AE29" s="649" t="s">
        <v>27</v>
      </c>
      <c r="AF29" s="641">
        <f>RELAÇ_TUDO!R26</f>
        <v>7261</v>
      </c>
      <c r="AG29" s="637" t="s">
        <v>34</v>
      </c>
      <c r="AH29" s="653" t="e">
        <f>RELAÇ_TUDO!S30</f>
        <v>#DIV/0!</v>
      </c>
      <c r="AI29" s="649" t="s">
        <v>38</v>
      </c>
      <c r="AJ29" s="641">
        <f>RELAÇ_TUDO!T19</f>
        <v>176.08605333541067</v>
      </c>
      <c r="AK29" s="637" t="s">
        <v>27</v>
      </c>
      <c r="AL29" s="653" t="e">
        <f>RELAÇ_TUDO!U16</f>
        <v>#DIV/0!</v>
      </c>
      <c r="AM29" s="649" t="s">
        <v>24</v>
      </c>
      <c r="AN29" s="641">
        <f>RELAÇ_TUDO!V19</f>
        <v>4211.8719623238612</v>
      </c>
      <c r="AO29" s="637" t="s">
        <v>27</v>
      </c>
      <c r="AP29" s="653">
        <f>RELAÇ_TUDO!W13</f>
        <v>0.7</v>
      </c>
      <c r="AQ29" s="649" t="s">
        <v>21</v>
      </c>
      <c r="AR29" s="640">
        <f>RELAÇ_TUDO!Y19</f>
        <v>108.73951542278395</v>
      </c>
      <c r="AS29" s="637" t="s">
        <v>27</v>
      </c>
      <c r="AT29" s="653">
        <f>RELAÇ_TUDO!Z26</f>
        <v>6875</v>
      </c>
      <c r="AU29" s="649" t="s">
        <v>34</v>
      </c>
      <c r="AV29" s="641" t="e">
        <f>RELAÇ_TUDO!AA10</f>
        <v>#DIV/0!</v>
      </c>
      <c r="AW29" s="637" t="s">
        <v>18</v>
      </c>
      <c r="AX29" s="653">
        <f>RELAÇ_TUDO!AB13</f>
        <v>164.66455477840856</v>
      </c>
      <c r="AY29" s="649" t="s">
        <v>21</v>
      </c>
      <c r="AZ29" s="641" t="e">
        <f>RELAÇ_TUDO!AC16</f>
        <v>#DIV/0!</v>
      </c>
      <c r="BA29" s="637" t="s">
        <v>24</v>
      </c>
      <c r="BB29" s="653">
        <f>RELAÇ_TUDO!AD19</f>
        <v>4661.5573494030541</v>
      </c>
      <c r="BC29" s="649" t="s">
        <v>27</v>
      </c>
      <c r="BD29" s="641">
        <f>RELAÇ_TUDO!AE13</f>
        <v>0.72199999999999998</v>
      </c>
      <c r="BE29" s="637" t="s">
        <v>21</v>
      </c>
      <c r="BF29" s="648" t="e">
        <f>RELAÇ_TUDO!AG19</f>
        <v>#DIV/0!</v>
      </c>
      <c r="BG29" s="649" t="s">
        <v>27</v>
      </c>
      <c r="BH29" s="641">
        <f>RELAÇ_TUDO!AH26</f>
        <v>6459</v>
      </c>
      <c r="BI29" s="637" t="s">
        <v>34</v>
      </c>
      <c r="BJ29" s="653" t="e">
        <f>RELAÇ_TUDO!AI11</f>
        <v>#DIV/0!</v>
      </c>
      <c r="BK29" s="649" t="s">
        <v>19</v>
      </c>
      <c r="BL29" s="641">
        <f>RELAÇ_TUDO!AJ16</f>
        <v>128.26229680833384</v>
      </c>
      <c r="BM29" s="637" t="s">
        <v>24</v>
      </c>
      <c r="BN29" s="653" t="e">
        <f>RELAÇ_TUDO!AK16</f>
        <v>#DIV/0!</v>
      </c>
      <c r="BO29" s="649" t="s">
        <v>24</v>
      </c>
      <c r="BP29" s="641">
        <f>RELAÇ_TUDO!AL19</f>
        <v>5159.2539175346246</v>
      </c>
      <c r="BQ29" s="637" t="s">
        <v>27</v>
      </c>
      <c r="BR29" s="653">
        <f>RELAÇ_TUDO!AM16</f>
        <v>0.74140876944837342</v>
      </c>
      <c r="BS29" s="649" t="s">
        <v>24</v>
      </c>
    </row>
    <row r="30" spans="1:71">
      <c r="A30" s="659"/>
      <c r="B30" s="650"/>
      <c r="D30" s="632"/>
      <c r="F30" s="650"/>
      <c r="H30" s="632"/>
      <c r="J30" s="645" t="s">
        <v>503</v>
      </c>
      <c r="L30" s="634" t="s">
        <v>504</v>
      </c>
      <c r="N30" s="634" t="s">
        <v>505</v>
      </c>
      <c r="X30" s="634" t="s">
        <v>503</v>
      </c>
      <c r="Z30" s="645" t="s">
        <v>504</v>
      </c>
      <c r="AB30" s="634" t="s">
        <v>505</v>
      </c>
      <c r="AL30" s="645" t="s">
        <v>503</v>
      </c>
      <c r="AN30" s="634" t="s">
        <v>504</v>
      </c>
      <c r="AP30" s="645" t="s">
        <v>505</v>
      </c>
      <c r="AZ30" s="634" t="s">
        <v>503</v>
      </c>
      <c r="BB30" s="645" t="s">
        <v>504</v>
      </c>
      <c r="BD30" s="634" t="s">
        <v>505</v>
      </c>
      <c r="BN30" s="645" t="s">
        <v>503</v>
      </c>
      <c r="BP30" s="634" t="s">
        <v>504</v>
      </c>
      <c r="BR30" s="645" t="s">
        <v>505</v>
      </c>
    </row>
    <row r="31" spans="1:71">
      <c r="B31" s="650"/>
      <c r="D31" s="632"/>
      <c r="F31" s="650"/>
      <c r="H31" s="632"/>
      <c r="J31" s="650">
        <f>J3*100</f>
        <v>47.92657034706729</v>
      </c>
      <c r="L31" s="642">
        <f>L3/100</f>
        <v>309.91496299239782</v>
      </c>
      <c r="N31" s="632">
        <f>N3*100</f>
        <v>84.6</v>
      </c>
      <c r="X31" s="632">
        <f>X3*100</f>
        <v>50.799528073905208</v>
      </c>
      <c r="Z31" s="654">
        <f>Z3/100</f>
        <v>345.14738299306936</v>
      </c>
      <c r="AB31" s="632">
        <f>AB3*100</f>
        <v>87.4</v>
      </c>
      <c r="AL31" s="650" t="e">
        <f>AL3*100</f>
        <v>#DIV/0!</v>
      </c>
      <c r="AN31" s="642">
        <f>AN3/100</f>
        <v>375.99276296173468</v>
      </c>
      <c r="AP31" s="650">
        <f>AP3*100</f>
        <v>88.2</v>
      </c>
      <c r="AZ31" s="632" t="e">
        <f>AZ3*100</f>
        <v>#DIV/0!</v>
      </c>
      <c r="BB31" s="654">
        <f>BB3/100</f>
        <v>406.96078149258523</v>
      </c>
      <c r="BD31" s="632">
        <f>BD3*100</f>
        <v>90</v>
      </c>
      <c r="BN31" s="650" t="e">
        <f>BN3*100</f>
        <v>#DIV/0!</v>
      </c>
      <c r="BP31" s="642">
        <f>BP3/100</f>
        <v>440.47942936048162</v>
      </c>
      <c r="BR31" s="650">
        <f>BR3*100</f>
        <v>91.83673469387756</v>
      </c>
    </row>
    <row r="32" spans="1:71">
      <c r="B32" s="650"/>
      <c r="D32" s="632"/>
      <c r="F32" s="650"/>
      <c r="H32" s="632"/>
      <c r="J32" s="650">
        <f t="shared" ref="J32:J57" si="0">J4*100</f>
        <v>41.687623998612906</v>
      </c>
      <c r="L32" s="642">
        <f t="shared" ref="L32:L57" si="1">L4/100</f>
        <v>161.57786321470641</v>
      </c>
      <c r="N32" s="632">
        <f t="shared" ref="N32:N57" si="2">N4*100</f>
        <v>81.399999999999991</v>
      </c>
      <c r="X32" s="632">
        <f t="shared" ref="X32:X57" si="3">X4*100</f>
        <v>45.684898994615118</v>
      </c>
      <c r="Z32" s="654">
        <f t="shared" ref="Z32:Z57" si="4">Z4/100</f>
        <v>179.75613328189149</v>
      </c>
      <c r="AB32" s="632">
        <f t="shared" ref="AB32:AB57" si="5">AB4*100</f>
        <v>84</v>
      </c>
      <c r="AL32" s="650" t="e">
        <f t="shared" ref="AL32:AL57" si="6">AL4*100</f>
        <v>#DIV/0!</v>
      </c>
      <c r="AN32" s="642">
        <f t="shared" ref="AN32:AN57" si="7">AN4/100</f>
        <v>195.50365699760493</v>
      </c>
      <c r="AP32" s="650">
        <f t="shared" ref="AP32:AP57" si="8">AP4*100</f>
        <v>84.8</v>
      </c>
      <c r="AZ32" s="632" t="e">
        <f t="shared" ref="AZ32:AZ57" si="9">AZ4*100</f>
        <v>#DIV/0!</v>
      </c>
      <c r="BB32" s="654">
        <f t="shared" ref="BB32:BB57" si="10">BB4/100</f>
        <v>226.67251545019141</v>
      </c>
      <c r="BD32" s="632">
        <f t="shared" ref="BD32:BD57" si="11">BD4*100</f>
        <v>86</v>
      </c>
      <c r="BN32" s="650" t="e">
        <f t="shared" ref="BN32:BN57" si="12">BN4*100</f>
        <v>#DIV/0!</v>
      </c>
      <c r="BP32" s="642">
        <f t="shared" ref="BP32:BP57" si="13">BP4/100</f>
        <v>262.81057883815811</v>
      </c>
      <c r="BR32" s="650">
        <f t="shared" ref="BR32:BR57" si="14">BR4*100</f>
        <v>87.226722090261276</v>
      </c>
    </row>
    <row r="33" spans="2:70">
      <c r="B33" s="650"/>
      <c r="D33" s="632"/>
      <c r="F33" s="650"/>
      <c r="H33" s="632"/>
      <c r="J33" s="650">
        <f t="shared" si="0"/>
        <v>43.701962365294541</v>
      </c>
      <c r="L33" s="642">
        <f t="shared" si="1"/>
        <v>146.63819164048769</v>
      </c>
      <c r="N33" s="632">
        <f t="shared" si="2"/>
        <v>80.900000000000006</v>
      </c>
      <c r="X33" s="632">
        <f t="shared" si="3"/>
        <v>46.980048251912123</v>
      </c>
      <c r="Z33" s="654">
        <f t="shared" si="4"/>
        <v>160.57400564323567</v>
      </c>
      <c r="AB33" s="632">
        <f t="shared" si="5"/>
        <v>83.3</v>
      </c>
      <c r="AL33" s="650" t="e">
        <f t="shared" si="6"/>
        <v>#DIV/0!</v>
      </c>
      <c r="AN33" s="642">
        <f t="shared" si="7"/>
        <v>176.92589854586546</v>
      </c>
      <c r="AP33" s="650">
        <f t="shared" si="8"/>
        <v>84.6</v>
      </c>
      <c r="AZ33" s="632" t="e">
        <f t="shared" si="9"/>
        <v>#DIV/0!</v>
      </c>
      <c r="BB33" s="654">
        <f t="shared" si="10"/>
        <v>192.45079344487516</v>
      </c>
      <c r="BD33" s="632">
        <f t="shared" si="11"/>
        <v>85.7</v>
      </c>
      <c r="BN33" s="650" t="e">
        <f t="shared" si="12"/>
        <v>#DIV/0!</v>
      </c>
      <c r="BP33" s="642">
        <f t="shared" si="13"/>
        <v>212.74049899830632</v>
      </c>
      <c r="BR33" s="650">
        <f t="shared" si="14"/>
        <v>87.21698113207546</v>
      </c>
    </row>
    <row r="34" spans="2:70">
      <c r="J34" s="650">
        <f t="shared" si="0"/>
        <v>41.66284866839824</v>
      </c>
      <c r="L34" s="642">
        <f t="shared" si="1"/>
        <v>134.44588457402133</v>
      </c>
      <c r="N34" s="632">
        <f t="shared" si="2"/>
        <v>80.600000000000009</v>
      </c>
      <c r="X34" s="632">
        <f t="shared" si="3"/>
        <v>45.832467648603682</v>
      </c>
      <c r="Z34" s="654">
        <f t="shared" si="4"/>
        <v>145.42791465261678</v>
      </c>
      <c r="AB34" s="632">
        <f t="shared" si="5"/>
        <v>83.2</v>
      </c>
      <c r="AL34" s="650" t="e">
        <f t="shared" si="6"/>
        <v>#DIV/0!</v>
      </c>
      <c r="AN34" s="642">
        <f t="shared" si="7"/>
        <v>156.33198377044727</v>
      </c>
      <c r="AP34" s="650">
        <f t="shared" si="8"/>
        <v>84.2</v>
      </c>
      <c r="AZ34" s="632" t="e">
        <f t="shared" si="9"/>
        <v>#DIV/0!</v>
      </c>
      <c r="BB34" s="654">
        <f t="shared" si="10"/>
        <v>180.02916538759305</v>
      </c>
      <c r="BD34" s="632">
        <f t="shared" si="11"/>
        <v>85.2</v>
      </c>
      <c r="BN34" s="650" t="e">
        <f t="shared" si="12"/>
        <v>#DIV/0!</v>
      </c>
      <c r="BP34" s="642">
        <f t="shared" si="13"/>
        <v>209.33796692269235</v>
      </c>
      <c r="BR34" s="650">
        <f t="shared" si="14"/>
        <v>86.543651753325264</v>
      </c>
    </row>
    <row r="35" spans="2:70">
      <c r="J35" s="650">
        <f t="shared" si="0"/>
        <v>38.397405837360715</v>
      </c>
      <c r="L35" s="642">
        <f t="shared" si="1"/>
        <v>134.03291564203718</v>
      </c>
      <c r="N35" s="632">
        <f t="shared" si="2"/>
        <v>80.300000000000011</v>
      </c>
      <c r="X35" s="632">
        <f t="shared" si="3"/>
        <v>41.815819050229344</v>
      </c>
      <c r="Z35" s="654">
        <f t="shared" si="4"/>
        <v>138.54906640322051</v>
      </c>
      <c r="AB35" s="632">
        <f t="shared" si="5"/>
        <v>83.2</v>
      </c>
      <c r="AL35" s="650" t="e">
        <f t="shared" si="6"/>
        <v>#DIV/0!</v>
      </c>
      <c r="AN35" s="642">
        <f t="shared" si="7"/>
        <v>152.34758093902639</v>
      </c>
      <c r="AP35" s="650">
        <f t="shared" si="8"/>
        <v>84</v>
      </c>
      <c r="AZ35" s="632" t="e">
        <f t="shared" si="9"/>
        <v>#DIV/0!</v>
      </c>
      <c r="BB35" s="654">
        <f t="shared" si="10"/>
        <v>178.3400303918875</v>
      </c>
      <c r="BD35" s="632">
        <f t="shared" si="11"/>
        <v>84.7</v>
      </c>
      <c r="BN35" s="650" t="e">
        <f t="shared" si="12"/>
        <v>#DIV/0!</v>
      </c>
      <c r="BP35" s="642">
        <f t="shared" si="13"/>
        <v>203.44631772140124</v>
      </c>
      <c r="BR35" s="650">
        <f t="shared" si="14"/>
        <v>85.804255319148922</v>
      </c>
    </row>
    <row r="36" spans="2:70">
      <c r="J36" s="650">
        <f t="shared" si="0"/>
        <v>34.440066933553624</v>
      </c>
      <c r="L36" s="642">
        <f t="shared" si="1"/>
        <v>128.50072058969863</v>
      </c>
      <c r="N36" s="632">
        <f t="shared" si="2"/>
        <v>80.2</v>
      </c>
      <c r="X36" s="632">
        <f t="shared" si="3"/>
        <v>36.349745857941777</v>
      </c>
      <c r="Z36" s="654">
        <f t="shared" si="4"/>
        <v>133.65064178760551</v>
      </c>
      <c r="AB36" s="632">
        <f t="shared" si="5"/>
        <v>82</v>
      </c>
      <c r="AL36" s="650" t="e">
        <f t="shared" si="6"/>
        <v>#DIV/0!</v>
      </c>
      <c r="AN36" s="642">
        <f t="shared" si="7"/>
        <v>143.04825274705391</v>
      </c>
      <c r="AP36" s="650">
        <f t="shared" si="8"/>
        <v>82.699999999999989</v>
      </c>
      <c r="AZ36" s="632" t="e">
        <f t="shared" si="9"/>
        <v>#DIV/0!</v>
      </c>
      <c r="BB36" s="654">
        <f t="shared" si="10"/>
        <v>166.88742224076006</v>
      </c>
      <c r="BD36" s="632">
        <f t="shared" si="11"/>
        <v>84.6</v>
      </c>
      <c r="BN36" s="650" t="e">
        <f t="shared" si="12"/>
        <v>#DIV/0!</v>
      </c>
      <c r="BP36" s="642">
        <f t="shared" si="13"/>
        <v>194.69941902341296</v>
      </c>
      <c r="BR36" s="650">
        <f t="shared" si="14"/>
        <v>85.40583333333332</v>
      </c>
    </row>
    <row r="37" spans="2:70">
      <c r="J37" s="650">
        <f t="shared" si="0"/>
        <v>33.771160729411967</v>
      </c>
      <c r="L37" s="642">
        <f t="shared" si="1"/>
        <v>120.79826715677055</v>
      </c>
      <c r="N37" s="632">
        <f t="shared" si="2"/>
        <v>78.7</v>
      </c>
      <c r="X37" s="632">
        <f t="shared" si="3"/>
        <v>36.60575623256517</v>
      </c>
      <c r="Z37" s="654">
        <f t="shared" si="4"/>
        <v>132.98021312991702</v>
      </c>
      <c r="AB37" s="632">
        <f t="shared" si="5"/>
        <v>80.2</v>
      </c>
      <c r="AL37" s="650" t="e">
        <f t="shared" si="6"/>
        <v>#DIV/0!</v>
      </c>
      <c r="AN37" s="642">
        <f t="shared" si="7"/>
        <v>131.51984836409983</v>
      </c>
      <c r="AP37" s="650">
        <f t="shared" si="8"/>
        <v>81.5</v>
      </c>
      <c r="AZ37" s="632" t="e">
        <f t="shared" si="9"/>
        <v>#DIV/0!</v>
      </c>
      <c r="BB37" s="654">
        <f t="shared" si="10"/>
        <v>157.11196108694512</v>
      </c>
      <c r="BD37" s="632">
        <f t="shared" si="11"/>
        <v>83</v>
      </c>
      <c r="BN37" s="650" t="e">
        <f t="shared" si="12"/>
        <v>#DIV/0!</v>
      </c>
      <c r="BP37" s="642">
        <f t="shared" si="13"/>
        <v>187.68397792134047</v>
      </c>
      <c r="BR37" s="650">
        <f t="shared" si="14"/>
        <v>84.527607361963192</v>
      </c>
    </row>
    <row r="38" spans="2:70">
      <c r="J38" s="650">
        <f t="shared" si="0"/>
        <v>31.623816305624263</v>
      </c>
      <c r="L38" s="642">
        <f t="shared" si="1"/>
        <v>119.97944357415641</v>
      </c>
      <c r="N38" s="632">
        <f t="shared" si="2"/>
        <v>77</v>
      </c>
      <c r="X38" s="632">
        <f t="shared" si="3"/>
        <v>34.884726215288872</v>
      </c>
      <c r="Z38" s="654">
        <f t="shared" si="4"/>
        <v>123.44437083128983</v>
      </c>
      <c r="AB38" s="632">
        <f t="shared" si="5"/>
        <v>80.2</v>
      </c>
      <c r="AL38" s="650" t="e">
        <f t="shared" si="6"/>
        <v>#DIV/0!</v>
      </c>
      <c r="AN38" s="642">
        <f t="shared" si="7"/>
        <v>123.40786324018362</v>
      </c>
      <c r="AP38" s="650">
        <f t="shared" si="8"/>
        <v>81.3</v>
      </c>
      <c r="AZ38" s="632" t="e">
        <f t="shared" si="9"/>
        <v>#DIV/0!</v>
      </c>
      <c r="BB38" s="654">
        <f t="shared" si="10"/>
        <v>149.53580628441915</v>
      </c>
      <c r="BD38" s="632">
        <f t="shared" si="11"/>
        <v>82.5</v>
      </c>
      <c r="BN38" s="650" t="e">
        <f t="shared" si="12"/>
        <v>#DIV/0!</v>
      </c>
      <c r="BP38" s="642">
        <f t="shared" si="13"/>
        <v>181.19556383219376</v>
      </c>
      <c r="BR38" s="650">
        <f t="shared" si="14"/>
        <v>84.135811648079283</v>
      </c>
    </row>
    <row r="39" spans="2:70">
      <c r="J39" s="650">
        <f t="shared" si="0"/>
        <v>29.66751934754339</v>
      </c>
      <c r="L39" s="642">
        <f t="shared" si="1"/>
        <v>96.579742548466001</v>
      </c>
      <c r="N39" s="632">
        <f t="shared" si="2"/>
        <v>76.900000000000006</v>
      </c>
      <c r="X39" s="632">
        <f t="shared" si="3"/>
        <v>33.168742884872579</v>
      </c>
      <c r="Z39" s="654">
        <f t="shared" si="4"/>
        <v>103.18295712704374</v>
      </c>
      <c r="AB39" s="632">
        <f t="shared" si="5"/>
        <v>80</v>
      </c>
      <c r="AL39" s="650" t="e">
        <f t="shared" si="6"/>
        <v>#DIV/0!</v>
      </c>
      <c r="AN39" s="642">
        <f t="shared" si="7"/>
        <v>118.26214043787441</v>
      </c>
      <c r="AP39" s="650">
        <f t="shared" si="8"/>
        <v>80.800000000000011</v>
      </c>
      <c r="AZ39" s="632" t="e">
        <f t="shared" si="9"/>
        <v>#DIV/0!</v>
      </c>
      <c r="BB39" s="654">
        <f t="shared" si="10"/>
        <v>130.42830845316786</v>
      </c>
      <c r="BD39" s="632">
        <f t="shared" si="11"/>
        <v>82.399999999999991</v>
      </c>
      <c r="BN39" s="650" t="e">
        <f t="shared" si="12"/>
        <v>#DIV/0!</v>
      </c>
      <c r="BP39" s="642">
        <f t="shared" si="13"/>
        <v>145.42202721963292</v>
      </c>
      <c r="BR39" s="650">
        <f t="shared" si="14"/>
        <v>83.717712177121768</v>
      </c>
    </row>
    <row r="40" spans="2:70">
      <c r="J40" s="650">
        <f t="shared" si="0"/>
        <v>30.75311419766717</v>
      </c>
      <c r="L40" s="642">
        <f t="shared" si="1"/>
        <v>94.612232481103732</v>
      </c>
      <c r="N40" s="632">
        <f t="shared" si="2"/>
        <v>76.8</v>
      </c>
      <c r="X40" s="632">
        <f t="shared" si="3"/>
        <v>33.378691942308173</v>
      </c>
      <c r="Z40" s="654">
        <f t="shared" si="4"/>
        <v>100.13762537453182</v>
      </c>
      <c r="AB40" s="632">
        <f t="shared" si="5"/>
        <v>80</v>
      </c>
      <c r="AL40" s="650" t="e">
        <f t="shared" si="6"/>
        <v>#DIV/0!</v>
      </c>
      <c r="AN40" s="642">
        <f t="shared" si="7"/>
        <v>110.24695937721498</v>
      </c>
      <c r="AP40" s="650">
        <f t="shared" si="8"/>
        <v>80.7</v>
      </c>
      <c r="AZ40" s="632" t="e">
        <f t="shared" si="9"/>
        <v>#DIV/0!</v>
      </c>
      <c r="BB40" s="654">
        <f t="shared" si="10"/>
        <v>125.19399202946424</v>
      </c>
      <c r="BD40" s="632">
        <f t="shared" si="11"/>
        <v>82.1</v>
      </c>
      <c r="BN40" s="650" t="e">
        <f t="shared" si="12"/>
        <v>#DIV/0!</v>
      </c>
      <c r="BP40" s="642">
        <f t="shared" si="13"/>
        <v>143.84606589199376</v>
      </c>
      <c r="BR40" s="650">
        <f t="shared" si="14"/>
        <v>83.420915841584147</v>
      </c>
    </row>
    <row r="41" spans="2:70">
      <c r="J41" s="650">
        <f t="shared" si="0"/>
        <v>24.788065696854531</v>
      </c>
      <c r="L41" s="642">
        <f t="shared" si="1"/>
        <v>93.359708461572069</v>
      </c>
      <c r="N41" s="632">
        <f t="shared" si="2"/>
        <v>76.7</v>
      </c>
      <c r="X41" s="632">
        <f t="shared" si="3"/>
        <v>26.690124765407024</v>
      </c>
      <c r="Z41" s="654">
        <f t="shared" si="4"/>
        <v>95.611214806163659</v>
      </c>
      <c r="AB41" s="632">
        <f t="shared" si="5"/>
        <v>79.600000000000009</v>
      </c>
      <c r="AL41" s="650" t="e">
        <f t="shared" si="6"/>
        <v>#DIV/0!</v>
      </c>
      <c r="AN41" s="642">
        <f t="shared" si="7"/>
        <v>105.92444217919032</v>
      </c>
      <c r="AP41" s="650">
        <f t="shared" si="8"/>
        <v>80.400000000000006</v>
      </c>
      <c r="AZ41" s="632" t="e">
        <f t="shared" si="9"/>
        <v>#DIV/0!</v>
      </c>
      <c r="BB41" s="654">
        <f t="shared" si="10"/>
        <v>124.11183309341075</v>
      </c>
      <c r="BD41" s="632">
        <f t="shared" si="11"/>
        <v>80.800000000000011</v>
      </c>
      <c r="BN41" s="650" t="e">
        <f t="shared" si="12"/>
        <v>#DIV/0!</v>
      </c>
      <c r="BP41" s="642">
        <f t="shared" si="13"/>
        <v>142.16750946069945</v>
      </c>
      <c r="BR41" s="650">
        <f t="shared" si="14"/>
        <v>81.201990049751259</v>
      </c>
    </row>
    <row r="42" spans="2:70">
      <c r="J42" s="650">
        <f t="shared" si="0"/>
        <v>29.646169221449941</v>
      </c>
      <c r="L42" s="642">
        <f t="shared" si="1"/>
        <v>87.180125647535746</v>
      </c>
      <c r="N42" s="632">
        <f t="shared" si="2"/>
        <v>74.900000000000006</v>
      </c>
      <c r="X42" s="632">
        <f t="shared" si="3"/>
        <v>32.621739890131202</v>
      </c>
      <c r="Z42" s="654">
        <f t="shared" si="4"/>
        <v>89.920203633827967</v>
      </c>
      <c r="AB42" s="632">
        <f t="shared" si="5"/>
        <v>78</v>
      </c>
      <c r="AL42" s="650" t="e">
        <f t="shared" si="6"/>
        <v>#DIV/0!</v>
      </c>
      <c r="AN42" s="642">
        <f t="shared" si="7"/>
        <v>99.56295743205817</v>
      </c>
      <c r="AP42" s="650">
        <f t="shared" si="8"/>
        <v>78.900000000000006</v>
      </c>
      <c r="AZ42" s="632" t="e">
        <f t="shared" si="9"/>
        <v>#DIV/0!</v>
      </c>
      <c r="BB42" s="654">
        <f t="shared" si="10"/>
        <v>115.47678871833459</v>
      </c>
      <c r="BD42" s="632">
        <f t="shared" si="11"/>
        <v>80</v>
      </c>
      <c r="BN42" s="650" t="e">
        <f t="shared" si="12"/>
        <v>#DIV/0!</v>
      </c>
      <c r="BP42" s="642">
        <f t="shared" si="13"/>
        <v>133.93423695553261</v>
      </c>
      <c r="BR42" s="650">
        <f t="shared" si="14"/>
        <v>81.115335868187586</v>
      </c>
    </row>
    <row r="43" spans="2:70">
      <c r="J43" s="650">
        <f t="shared" si="0"/>
        <v>24.060669470957087</v>
      </c>
      <c r="L43" s="642">
        <f t="shared" si="1"/>
        <v>73.60850072250912</v>
      </c>
      <c r="N43" s="632">
        <f t="shared" si="2"/>
        <v>73.2</v>
      </c>
      <c r="X43" s="632">
        <f t="shared" si="3"/>
        <v>25.563233802241612</v>
      </c>
      <c r="Z43" s="654">
        <f t="shared" si="4"/>
        <v>83.957365320465712</v>
      </c>
      <c r="AB43" s="632">
        <f t="shared" si="5"/>
        <v>78</v>
      </c>
      <c r="AL43" s="650" t="e">
        <f t="shared" si="6"/>
        <v>#DIV/0!</v>
      </c>
      <c r="AN43" s="642">
        <f t="shared" si="7"/>
        <v>90.743462149707554</v>
      </c>
      <c r="AP43" s="650">
        <f t="shared" si="8"/>
        <v>78.400000000000006</v>
      </c>
      <c r="AZ43" s="632" t="e">
        <f t="shared" si="9"/>
        <v>#DIV/0!</v>
      </c>
      <c r="BB43" s="654">
        <f t="shared" si="10"/>
        <v>105.34079373995637</v>
      </c>
      <c r="BD43" s="632">
        <f t="shared" si="11"/>
        <v>79.600000000000009</v>
      </c>
      <c r="BN43" s="650" t="e">
        <f t="shared" si="12"/>
        <v>#DIV/0!</v>
      </c>
      <c r="BP43" s="642">
        <f t="shared" si="13"/>
        <v>126.9512020739618</v>
      </c>
      <c r="BR43" s="650">
        <f t="shared" si="14"/>
        <v>80.818367346938786</v>
      </c>
    </row>
    <row r="44" spans="2:70">
      <c r="J44" s="650">
        <f t="shared" si="0"/>
        <v>24.97138297435961</v>
      </c>
      <c r="L44" s="642">
        <f t="shared" si="1"/>
        <v>72.085857038599571</v>
      </c>
      <c r="N44" s="632">
        <f t="shared" si="2"/>
        <v>72.899999999999991</v>
      </c>
      <c r="X44" s="632">
        <f t="shared" si="3"/>
        <v>25.902294634047614</v>
      </c>
      <c r="Z44" s="654">
        <f t="shared" si="4"/>
        <v>81.24582209786368</v>
      </c>
      <c r="AB44" s="632">
        <f t="shared" si="5"/>
        <v>77.600000000000009</v>
      </c>
      <c r="AL44" s="650" t="e">
        <f t="shared" si="6"/>
        <v>#DIV/0!</v>
      </c>
      <c r="AN44" s="642">
        <f t="shared" si="7"/>
        <v>85.429410648245678</v>
      </c>
      <c r="AP44" s="650">
        <f t="shared" si="8"/>
        <v>78.400000000000006</v>
      </c>
      <c r="AZ44" s="632" t="e">
        <f t="shared" si="9"/>
        <v>#DIV/0!</v>
      </c>
      <c r="BB44" s="654">
        <f t="shared" si="10"/>
        <v>103.19980859045867</v>
      </c>
      <c r="BD44" s="632">
        <f t="shared" si="11"/>
        <v>78.400000000000006</v>
      </c>
      <c r="BN44" s="650" t="e">
        <f t="shared" si="12"/>
        <v>#DIV/0!</v>
      </c>
      <c r="BP44" s="642">
        <f t="shared" si="13"/>
        <v>123.07130094771786</v>
      </c>
      <c r="BR44" s="650">
        <f t="shared" si="14"/>
        <v>80.042408376963365</v>
      </c>
    </row>
    <row r="45" spans="2:70">
      <c r="J45" s="650">
        <f t="shared" si="0"/>
        <v>19.397408120610166</v>
      </c>
      <c r="L45" s="642">
        <f t="shared" si="1"/>
        <v>70.261710838753217</v>
      </c>
      <c r="N45" s="632">
        <f t="shared" si="2"/>
        <v>72.099999999999994</v>
      </c>
      <c r="X45" s="632">
        <f t="shared" si="3"/>
        <v>21.444956119376506</v>
      </c>
      <c r="Z45" s="654">
        <f t="shared" si="4"/>
        <v>73.349321588002709</v>
      </c>
      <c r="AB45" s="632">
        <f t="shared" si="5"/>
        <v>75.599999999999994</v>
      </c>
      <c r="AL45" s="650" t="e">
        <f t="shared" si="6"/>
        <v>#DIV/0!</v>
      </c>
      <c r="AN45" s="642">
        <f t="shared" si="7"/>
        <v>83.892080729590091</v>
      </c>
      <c r="AP45" s="650">
        <f t="shared" si="8"/>
        <v>77.900000000000006</v>
      </c>
      <c r="AZ45" s="632" t="e">
        <f t="shared" si="9"/>
        <v>#DIV/0!</v>
      </c>
      <c r="BB45" s="654">
        <f t="shared" si="10"/>
        <v>102.53735274365346</v>
      </c>
      <c r="BD45" s="632">
        <f t="shared" si="11"/>
        <v>78.400000000000006</v>
      </c>
      <c r="BN45" s="650" t="e">
        <f t="shared" si="12"/>
        <v>#DIV/0!</v>
      </c>
      <c r="BP45" s="642">
        <f t="shared" si="13"/>
        <v>122.28630650500028</v>
      </c>
      <c r="BR45" s="650">
        <f t="shared" si="14"/>
        <v>79.929258777633294</v>
      </c>
    </row>
    <row r="46" spans="2:70">
      <c r="J46" s="650">
        <f t="shared" si="0"/>
        <v>16.991318253946641</v>
      </c>
      <c r="L46" s="642">
        <f t="shared" si="1"/>
        <v>65.559377856698887</v>
      </c>
      <c r="N46" s="632">
        <f t="shared" si="2"/>
        <v>72</v>
      </c>
      <c r="X46" s="632">
        <f t="shared" si="3"/>
        <v>18.5550917825013</v>
      </c>
      <c r="Z46" s="654">
        <f t="shared" si="4"/>
        <v>69.393669653715577</v>
      </c>
      <c r="AB46" s="632">
        <f t="shared" si="5"/>
        <v>75.5</v>
      </c>
      <c r="AL46" s="650" t="e">
        <f t="shared" si="6"/>
        <v>#DIV/0!</v>
      </c>
      <c r="AN46" s="642">
        <f t="shared" si="7"/>
        <v>75.593452813064602</v>
      </c>
      <c r="AP46" s="650">
        <f t="shared" si="8"/>
        <v>76.900000000000006</v>
      </c>
      <c r="AZ46" s="632" t="e">
        <f t="shared" si="9"/>
        <v>#DIV/0!</v>
      </c>
      <c r="BB46" s="654">
        <f t="shared" si="10"/>
        <v>89.20732146289302</v>
      </c>
      <c r="BD46" s="632">
        <f t="shared" si="11"/>
        <v>78.2</v>
      </c>
      <c r="BN46" s="650" t="e">
        <f t="shared" si="12"/>
        <v>#DIV/0!</v>
      </c>
      <c r="BP46" s="642">
        <f t="shared" si="13"/>
        <v>110.39912399954024</v>
      </c>
      <c r="BR46" s="650">
        <f t="shared" si="14"/>
        <v>79.737876802096991</v>
      </c>
    </row>
    <row r="47" spans="2:70">
      <c r="J47" s="650">
        <f t="shared" si="0"/>
        <v>16.481834140379494</v>
      </c>
      <c r="L47" s="642">
        <f t="shared" si="1"/>
        <v>62.893902761838071</v>
      </c>
      <c r="N47" s="632">
        <f t="shared" si="2"/>
        <v>71.7</v>
      </c>
      <c r="X47" s="632">
        <f t="shared" si="3"/>
        <v>18.836015371246948</v>
      </c>
      <c r="Z47" s="654">
        <f t="shared" si="4"/>
        <v>68.236091110891763</v>
      </c>
      <c r="AB47" s="632">
        <f t="shared" si="5"/>
        <v>75.099999999999994</v>
      </c>
      <c r="AL47" s="650" t="e">
        <f t="shared" si="6"/>
        <v>#DIV/0!</v>
      </c>
      <c r="AN47" s="642">
        <f t="shared" si="7"/>
        <v>72.083418004449683</v>
      </c>
      <c r="AP47" s="650">
        <f t="shared" si="8"/>
        <v>76.400000000000006</v>
      </c>
      <c r="AZ47" s="632" t="e">
        <f t="shared" si="9"/>
        <v>#DIV/0!</v>
      </c>
      <c r="BB47" s="654">
        <f t="shared" si="10"/>
        <v>87.894917192419143</v>
      </c>
      <c r="BD47" s="632">
        <f t="shared" si="11"/>
        <v>78.2</v>
      </c>
      <c r="BN47" s="650" t="e">
        <f t="shared" si="12"/>
        <v>#DIV/0!</v>
      </c>
      <c r="BP47" s="642">
        <f t="shared" si="13"/>
        <v>109.72405342190227</v>
      </c>
      <c r="BR47" s="650">
        <f t="shared" si="14"/>
        <v>78.903209242618743</v>
      </c>
    </row>
    <row r="48" spans="2:70">
      <c r="J48" s="650">
        <f t="shared" si="0"/>
        <v>16.095861484016261</v>
      </c>
      <c r="L48" s="642">
        <f t="shared" si="1"/>
        <v>62.512143002923018</v>
      </c>
      <c r="N48" s="632">
        <f t="shared" si="2"/>
        <v>70.5</v>
      </c>
      <c r="X48" s="632">
        <f t="shared" si="3"/>
        <v>18.507021867566074</v>
      </c>
      <c r="Z48" s="654">
        <f t="shared" si="4"/>
        <v>66.935622062631253</v>
      </c>
      <c r="AB48" s="632">
        <f t="shared" si="5"/>
        <v>75</v>
      </c>
      <c r="AL48" s="650" t="e">
        <f t="shared" si="6"/>
        <v>#DIV/0!</v>
      </c>
      <c r="AN48" s="642">
        <f t="shared" si="7"/>
        <v>70.408595265403406</v>
      </c>
      <c r="AP48" s="650">
        <f t="shared" si="8"/>
        <v>76.3</v>
      </c>
      <c r="AZ48" s="632" t="e">
        <f t="shared" si="9"/>
        <v>#DIV/0!</v>
      </c>
      <c r="BB48" s="654">
        <f t="shared" si="10"/>
        <v>87.116965033609304</v>
      </c>
      <c r="BD48" s="632">
        <f t="shared" si="11"/>
        <v>78</v>
      </c>
      <c r="BN48" s="650" t="e">
        <f t="shared" si="12"/>
        <v>#DIV/0!</v>
      </c>
      <c r="BP48" s="642">
        <f t="shared" si="13"/>
        <v>100.39712851104821</v>
      </c>
      <c r="BR48" s="650">
        <f t="shared" si="14"/>
        <v>78.425925925925938</v>
      </c>
    </row>
    <row r="49" spans="10:70">
      <c r="J49" s="650">
        <f t="shared" si="0"/>
        <v>17.004668901527701</v>
      </c>
      <c r="L49" s="642">
        <f t="shared" si="1"/>
        <v>57.800613950999463</v>
      </c>
      <c r="N49" s="632">
        <f t="shared" si="2"/>
        <v>70.199999999999989</v>
      </c>
      <c r="X49" s="632">
        <f t="shared" si="3"/>
        <v>18.762635316314025</v>
      </c>
      <c r="Z49" s="654">
        <f t="shared" si="4"/>
        <v>65.810449836799279</v>
      </c>
      <c r="AB49" s="632">
        <f t="shared" si="5"/>
        <v>74.2</v>
      </c>
      <c r="AL49" s="650" t="e">
        <f t="shared" si="6"/>
        <v>#DIV/0!</v>
      </c>
      <c r="AN49" s="642">
        <f t="shared" si="7"/>
        <v>69.18974235381144</v>
      </c>
      <c r="AP49" s="650">
        <f t="shared" si="8"/>
        <v>75.599999999999994</v>
      </c>
      <c r="AZ49" s="632" t="e">
        <f t="shared" si="9"/>
        <v>#DIV/0!</v>
      </c>
      <c r="BB49" s="654">
        <f t="shared" si="10"/>
        <v>77.874024465393873</v>
      </c>
      <c r="BD49" s="632">
        <f t="shared" si="11"/>
        <v>77</v>
      </c>
      <c r="BN49" s="650" t="e">
        <f t="shared" si="12"/>
        <v>#DIV/0!</v>
      </c>
      <c r="BP49" s="642">
        <f t="shared" si="13"/>
        <v>87.648305661058671</v>
      </c>
      <c r="BR49" s="650">
        <f t="shared" si="14"/>
        <v>78.022413793103439</v>
      </c>
    </row>
    <row r="50" spans="10:70">
      <c r="J50" s="650">
        <f t="shared" si="0"/>
        <v>15.150344009502504</v>
      </c>
      <c r="L50" s="642">
        <f t="shared" si="1"/>
        <v>52.872867923541804</v>
      </c>
      <c r="N50" s="632">
        <f t="shared" si="2"/>
        <v>70</v>
      </c>
      <c r="X50" s="632">
        <f t="shared" si="3"/>
        <v>17.16936658907089</v>
      </c>
      <c r="Z50" s="654">
        <f t="shared" si="4"/>
        <v>59.503823597379835</v>
      </c>
      <c r="AB50" s="632">
        <f t="shared" si="5"/>
        <v>74.2</v>
      </c>
      <c r="AL50" s="650" t="e">
        <f t="shared" si="6"/>
        <v>#DIV/0!</v>
      </c>
      <c r="AN50" s="642">
        <f t="shared" si="7"/>
        <v>67.530361733778264</v>
      </c>
      <c r="AP50" s="650">
        <f t="shared" si="8"/>
        <v>75.400000000000006</v>
      </c>
      <c r="AZ50" s="632" t="e">
        <f t="shared" si="9"/>
        <v>#DIV/0!</v>
      </c>
      <c r="BB50" s="654">
        <f t="shared" si="10"/>
        <v>76.070142261905886</v>
      </c>
      <c r="BD50" s="632">
        <f t="shared" si="11"/>
        <v>76.7</v>
      </c>
      <c r="BN50" s="650" t="e">
        <f t="shared" si="12"/>
        <v>#DIV/0!</v>
      </c>
      <c r="BP50" s="642">
        <f t="shared" si="13"/>
        <v>85.689849649541358</v>
      </c>
      <c r="BR50" s="650">
        <f t="shared" si="14"/>
        <v>78.000510204081635</v>
      </c>
    </row>
    <row r="51" spans="10:70">
      <c r="J51" s="650">
        <f t="shared" si="0"/>
        <v>14.674115562813258</v>
      </c>
      <c r="L51" s="642">
        <f t="shared" si="1"/>
        <v>52.599229536491393</v>
      </c>
      <c r="N51" s="632">
        <f t="shared" si="2"/>
        <v>69.599999999999994</v>
      </c>
      <c r="X51" s="632">
        <f t="shared" si="3"/>
        <v>17.09581318385305</v>
      </c>
      <c r="Z51" s="654">
        <f t="shared" si="4"/>
        <v>59.334631639152995</v>
      </c>
      <c r="AB51" s="632">
        <f t="shared" si="5"/>
        <v>73.8</v>
      </c>
      <c r="AL51" s="650" t="e">
        <f t="shared" si="6"/>
        <v>#DIV/0!</v>
      </c>
      <c r="AN51" s="642">
        <f t="shared" si="7"/>
        <v>65.26629823052825</v>
      </c>
      <c r="AP51" s="650">
        <f t="shared" si="8"/>
        <v>74.2</v>
      </c>
      <c r="AZ51" s="632" t="e">
        <f t="shared" si="9"/>
        <v>#DIV/0!</v>
      </c>
      <c r="BB51" s="654">
        <f t="shared" si="10"/>
        <v>73.367771747174189</v>
      </c>
      <c r="BD51" s="632">
        <f t="shared" si="11"/>
        <v>75.3</v>
      </c>
      <c r="BN51" s="650" t="e">
        <f t="shared" si="12"/>
        <v>#DIV/0!</v>
      </c>
      <c r="BP51" s="642">
        <f t="shared" si="13"/>
        <v>82.474877189030437</v>
      </c>
      <c r="BR51" s="650">
        <f t="shared" si="14"/>
        <v>77.572565157750347</v>
      </c>
    </row>
    <row r="52" spans="10:70">
      <c r="J52" s="650">
        <f t="shared" si="0"/>
        <v>14.669322238659957</v>
      </c>
      <c r="L52" s="642">
        <f t="shared" si="1"/>
        <v>51.91519151869943</v>
      </c>
      <c r="N52" s="632">
        <f t="shared" si="2"/>
        <v>69.3</v>
      </c>
      <c r="X52" s="632">
        <f t="shared" si="3"/>
        <v>15.710368230658705</v>
      </c>
      <c r="Z52" s="654">
        <f t="shared" si="4"/>
        <v>56.123169799428496</v>
      </c>
      <c r="AB52" s="632">
        <f t="shared" si="5"/>
        <v>72.3</v>
      </c>
      <c r="AL52" s="650" t="e">
        <f t="shared" si="6"/>
        <v>#DIV/0!</v>
      </c>
      <c r="AN52" s="642">
        <f t="shared" si="7"/>
        <v>62.400525252185517</v>
      </c>
      <c r="AP52" s="650">
        <f t="shared" si="8"/>
        <v>73.3</v>
      </c>
      <c r="AZ52" s="632" t="e">
        <f t="shared" si="9"/>
        <v>#DIV/0!</v>
      </c>
      <c r="BB52" s="654">
        <f t="shared" si="10"/>
        <v>70.06812323551803</v>
      </c>
      <c r="BD52" s="632">
        <f t="shared" si="11"/>
        <v>75.2</v>
      </c>
      <c r="BN52" s="650" t="e">
        <f t="shared" si="12"/>
        <v>#DIV/0!</v>
      </c>
      <c r="BP52" s="642">
        <f t="shared" si="13"/>
        <v>78.677893718142855</v>
      </c>
      <c r="BR52" s="650">
        <f t="shared" si="14"/>
        <v>76.744322845417244</v>
      </c>
    </row>
    <row r="53" spans="10:70">
      <c r="J53" s="650">
        <f t="shared" si="0"/>
        <v>12.864812043059427</v>
      </c>
      <c r="L53" s="642">
        <f t="shared" si="1"/>
        <v>46.218243891120437</v>
      </c>
      <c r="N53" s="632">
        <f t="shared" si="2"/>
        <v>69.199999999999989</v>
      </c>
      <c r="X53" s="632">
        <f t="shared" si="3"/>
        <v>13.999543626048908</v>
      </c>
      <c r="Z53" s="654">
        <f t="shared" si="4"/>
        <v>50.554343913483862</v>
      </c>
      <c r="AB53" s="632">
        <f t="shared" si="5"/>
        <v>71.8</v>
      </c>
      <c r="AL53" s="650" t="e">
        <f t="shared" si="6"/>
        <v>#DIV/0!</v>
      </c>
      <c r="AN53" s="642">
        <f t="shared" si="7"/>
        <v>56.349736562503018</v>
      </c>
      <c r="AP53" s="650">
        <f t="shared" si="8"/>
        <v>73.099999999999994</v>
      </c>
      <c r="AZ53" s="632" t="e">
        <f t="shared" si="9"/>
        <v>#DIV/0!</v>
      </c>
      <c r="BB53" s="654">
        <f t="shared" si="10"/>
        <v>61.490343365611459</v>
      </c>
      <c r="BD53" s="632">
        <f t="shared" si="11"/>
        <v>74.900000000000006</v>
      </c>
      <c r="BN53" s="650" t="e">
        <f t="shared" si="12"/>
        <v>#DIV/0!</v>
      </c>
      <c r="BP53" s="642">
        <f t="shared" si="13"/>
        <v>67.50888654748266</v>
      </c>
      <c r="BR53" s="650">
        <f t="shared" si="14"/>
        <v>76.416307277628022</v>
      </c>
    </row>
    <row r="54" spans="10:70">
      <c r="J54" s="650">
        <f t="shared" si="0"/>
        <v>12.808218616567038</v>
      </c>
      <c r="L54" s="642">
        <f t="shared" si="1"/>
        <v>43.243544300744077</v>
      </c>
      <c r="N54" s="632">
        <f t="shared" si="2"/>
        <v>67.800000000000011</v>
      </c>
      <c r="X54" s="632">
        <f t="shared" si="3"/>
        <v>15.152373854829303</v>
      </c>
      <c r="Z54" s="654">
        <f t="shared" si="4"/>
        <v>46.910937824887505</v>
      </c>
      <c r="AB54" s="632">
        <f t="shared" si="5"/>
        <v>71.8</v>
      </c>
      <c r="AL54" s="650" t="e">
        <f t="shared" si="6"/>
        <v>#DIV/0!</v>
      </c>
      <c r="AN54" s="642">
        <f t="shared" si="7"/>
        <v>55.065224679450047</v>
      </c>
      <c r="AP54" s="650">
        <f t="shared" si="8"/>
        <v>72.899999999999991</v>
      </c>
      <c r="AZ54" s="632" t="e">
        <f t="shared" si="9"/>
        <v>#DIV/0!</v>
      </c>
      <c r="BB54" s="654">
        <f t="shared" si="10"/>
        <v>60.970419103009583</v>
      </c>
      <c r="BD54" s="632">
        <f t="shared" si="11"/>
        <v>74.2</v>
      </c>
      <c r="BN54" s="650" t="e">
        <f t="shared" si="12"/>
        <v>#DIV/0!</v>
      </c>
      <c r="BP54" s="642">
        <f t="shared" si="13"/>
        <v>67.099911337240243</v>
      </c>
      <c r="BR54" s="650">
        <f t="shared" si="14"/>
        <v>75.950069348127599</v>
      </c>
    </row>
    <row r="55" spans="10:70">
      <c r="J55" s="650">
        <f t="shared" si="0"/>
        <v>11.233100588352528</v>
      </c>
      <c r="L55" s="642">
        <f t="shared" si="1"/>
        <v>42.099006119720727</v>
      </c>
      <c r="N55" s="632">
        <f t="shared" si="2"/>
        <v>67.300000000000011</v>
      </c>
      <c r="X55" s="632">
        <f t="shared" si="3"/>
        <v>12.803004908838153</v>
      </c>
      <c r="Z55" s="654">
        <f t="shared" si="4"/>
        <v>46.882487580077587</v>
      </c>
      <c r="AB55" s="632">
        <f t="shared" si="5"/>
        <v>70.3</v>
      </c>
      <c r="AL55" s="650" t="e">
        <f t="shared" si="6"/>
        <v>#DIV/0!</v>
      </c>
      <c r="AN55" s="642">
        <f t="shared" si="7"/>
        <v>51.621873217624461</v>
      </c>
      <c r="AP55" s="650">
        <f t="shared" si="8"/>
        <v>72.099999999999994</v>
      </c>
      <c r="AZ55" s="632" t="e">
        <f t="shared" si="9"/>
        <v>#DIV/0!</v>
      </c>
      <c r="BB55" s="654">
        <f t="shared" si="10"/>
        <v>58.583712236805795</v>
      </c>
      <c r="BD55" s="632">
        <f t="shared" si="11"/>
        <v>74</v>
      </c>
      <c r="BN55" s="650" t="e">
        <f t="shared" si="12"/>
        <v>#DIV/0!</v>
      </c>
      <c r="BP55" s="642">
        <f t="shared" si="13"/>
        <v>66.484440132116646</v>
      </c>
      <c r="BR55" s="650">
        <f t="shared" si="14"/>
        <v>75.111050477489769</v>
      </c>
    </row>
    <row r="56" spans="10:70">
      <c r="J56" s="650">
        <f t="shared" si="0"/>
        <v>10.381102728406425</v>
      </c>
      <c r="L56" s="642">
        <f t="shared" si="1"/>
        <v>35.879037869469805</v>
      </c>
      <c r="N56" s="632">
        <f t="shared" si="2"/>
        <v>64.7</v>
      </c>
      <c r="X56" s="632">
        <f t="shared" si="3"/>
        <v>11.625564845824147</v>
      </c>
      <c r="Z56" s="654">
        <f t="shared" si="4"/>
        <v>41.509476443656425</v>
      </c>
      <c r="AB56" s="632">
        <f t="shared" si="5"/>
        <v>68.300000000000011</v>
      </c>
      <c r="AL56" s="650" t="e">
        <f t="shared" si="6"/>
        <v>#DIV/0!</v>
      </c>
      <c r="AN56" s="642">
        <f t="shared" si="7"/>
        <v>46.277096023896</v>
      </c>
      <c r="AP56" s="650">
        <f t="shared" si="8"/>
        <v>70.7</v>
      </c>
      <c r="AZ56" s="632" t="e">
        <f t="shared" si="9"/>
        <v>#DIV/0!</v>
      </c>
      <c r="BB56" s="654">
        <f t="shared" si="10"/>
        <v>51.652316056363532</v>
      </c>
      <c r="BD56" s="632">
        <f t="shared" si="11"/>
        <v>72.399999999999991</v>
      </c>
      <c r="BN56" s="650" t="e">
        <f t="shared" si="12"/>
        <v>#DIV/0!</v>
      </c>
      <c r="BP56" s="642">
        <f t="shared" si="13"/>
        <v>57.651883614495183</v>
      </c>
      <c r="BR56" s="650">
        <f t="shared" si="14"/>
        <v>74.469142857142842</v>
      </c>
    </row>
    <row r="57" spans="10:70">
      <c r="J57" s="650">
        <f t="shared" si="0"/>
        <v>9.4283576962927143</v>
      </c>
      <c r="L57" s="642">
        <f t="shared" si="1"/>
        <v>32.972391445571382</v>
      </c>
      <c r="N57" s="632">
        <f t="shared" si="2"/>
        <v>64.600000000000009</v>
      </c>
      <c r="X57" s="632">
        <f t="shared" si="3"/>
        <v>10.799251504496949</v>
      </c>
      <c r="Z57" s="654">
        <f t="shared" si="4"/>
        <v>37.012393314318658</v>
      </c>
      <c r="AB57" s="632">
        <f t="shared" si="5"/>
        <v>67.7</v>
      </c>
      <c r="AL57" s="650" t="e">
        <f t="shared" si="6"/>
        <v>#DIV/0!</v>
      </c>
      <c r="AN57" s="642">
        <f t="shared" si="7"/>
        <v>42.118719623238611</v>
      </c>
      <c r="AP57" s="650">
        <f t="shared" si="8"/>
        <v>70</v>
      </c>
      <c r="AZ57" s="632" t="e">
        <f t="shared" si="9"/>
        <v>#DIV/0!</v>
      </c>
      <c r="BB57" s="654">
        <f t="shared" si="10"/>
        <v>46.615573494030542</v>
      </c>
      <c r="BD57" s="632">
        <f t="shared" si="11"/>
        <v>72.2</v>
      </c>
      <c r="BN57" s="650" t="e">
        <f t="shared" si="12"/>
        <v>#DIV/0!</v>
      </c>
      <c r="BP57" s="642">
        <f t="shared" si="13"/>
        <v>51.592539175346246</v>
      </c>
      <c r="BR57" s="650">
        <f t="shared" si="14"/>
        <v>74.140876944837345</v>
      </c>
    </row>
    <row r="58" spans="10:70">
      <c r="J58" s="650"/>
    </row>
    <row r="59" spans="10:70">
      <c r="J59" s="650"/>
    </row>
    <row r="60" spans="10:70">
      <c r="J60" s="650"/>
    </row>
  </sheetData>
  <sortState xmlns:xlrd2="http://schemas.microsoft.com/office/spreadsheetml/2017/richdata2" ref="AR3:AS29">
    <sortCondition ref="AR3"/>
  </sortState>
  <mergeCells count="1">
    <mergeCell ref="A1:A2"/>
  </mergeCells>
  <pageMargins left="0.51181102362204722" right="0.51181102362204722" top="0.78740157480314965" bottom="0.78740157480314965" header="0.31496062992125984" footer="0.31496062992125984"/>
  <pageSetup paperSize="9"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FF0066"/>
  </sheetPr>
  <dimension ref="A1:DP36"/>
  <sheetViews>
    <sheetView topLeftCell="BQ1" zoomScale="90" zoomScaleNormal="90" zoomScalePageLayoutView="90" workbookViewId="0">
      <selection activeCell="CG68" sqref="CG68"/>
    </sheetView>
  </sheetViews>
  <sheetFormatPr defaultColWidth="8.85546875" defaultRowHeight="15"/>
  <cols>
    <col min="1" max="1" width="25.140625" style="3" bestFit="1" customWidth="1"/>
    <col min="2" max="5" width="8.85546875" style="3"/>
    <col min="6" max="120" width="8.85546875" style="1"/>
  </cols>
  <sheetData>
    <row r="1" spans="1:5" ht="15.75" thickBot="1">
      <c r="A1" s="345" t="s">
        <v>0</v>
      </c>
      <c r="B1" s="1282" t="s">
        <v>2</v>
      </c>
      <c r="C1" s="1283"/>
      <c r="D1" s="1283"/>
      <c r="E1" s="1284"/>
    </row>
    <row r="2" spans="1:5" ht="15.75" thickBot="1">
      <c r="A2" s="346" t="s">
        <v>10</v>
      </c>
      <c r="B2" s="354">
        <v>2004</v>
      </c>
      <c r="C2" s="352">
        <v>2005</v>
      </c>
      <c r="D2" s="352">
        <v>2006</v>
      </c>
      <c r="E2" s="353">
        <v>2007</v>
      </c>
    </row>
    <row r="3" spans="1:5" ht="15.75" thickBot="1">
      <c r="A3" s="347" t="s">
        <v>11</v>
      </c>
      <c r="B3" s="348">
        <f>INDICE!G3</f>
        <v>12.448010877492399</v>
      </c>
      <c r="C3" s="348">
        <f>INDICE!H3</f>
        <v>12.63047344090109</v>
      </c>
      <c r="D3" s="348">
        <f>INDICE!I3</f>
        <v>10.859759939704716</v>
      </c>
      <c r="E3" s="348">
        <f>INDICE!J3</f>
        <v>9.5691222585362308</v>
      </c>
    </row>
    <row r="4" spans="1:5">
      <c r="A4" s="350" t="s">
        <v>12</v>
      </c>
      <c r="B4" s="348">
        <f>INDICE!G4</f>
        <v>14.363217438386362</v>
      </c>
      <c r="C4" s="348">
        <f>INDICE!H4</f>
        <v>17.756059757190876</v>
      </c>
      <c r="D4" s="348">
        <f>INDICE!I4</f>
        <v>16.520557781787382</v>
      </c>
      <c r="E4" s="348">
        <f>INDICE!J4</f>
        <v>14.400384525313696</v>
      </c>
    </row>
    <row r="5" spans="1:5" s="1" customFormat="1">
      <c r="A5" s="21" t="s">
        <v>13</v>
      </c>
      <c r="B5" s="348">
        <f>INDICE!G5</f>
        <v>2.545412298490819</v>
      </c>
      <c r="C5" s="348">
        <f>INDICE!H5</f>
        <v>2.4845675597771417</v>
      </c>
      <c r="D5" s="348">
        <f>INDICE!I5</f>
        <v>4.5366238431278543</v>
      </c>
      <c r="E5" s="348">
        <f>INDICE!J5</f>
        <v>7.7240921280482482</v>
      </c>
    </row>
    <row r="6" spans="1:5">
      <c r="A6" s="21" t="s">
        <v>14</v>
      </c>
      <c r="B6" s="348">
        <f>INDICE!G6</f>
        <v>0.98703560845174798</v>
      </c>
      <c r="C6" s="348">
        <f>INDICE!H6</f>
        <v>1.3202742075074134</v>
      </c>
      <c r="D6" s="348">
        <f>INDICE!I6</f>
        <v>7.8548825838741845</v>
      </c>
      <c r="E6" s="348">
        <f>INDICE!J6</f>
        <v>2.6172007048670913</v>
      </c>
    </row>
    <row r="7" spans="1:5">
      <c r="A7" s="21" t="s">
        <v>15</v>
      </c>
      <c r="B7" s="348">
        <f>INDICE!G7</f>
        <v>14.188339050825705</v>
      </c>
      <c r="C7" s="348">
        <f>INDICE!H7</f>
        <v>19.366846575245329</v>
      </c>
      <c r="D7" s="348">
        <f>INDICE!I7</f>
        <v>18.562794465165503</v>
      </c>
      <c r="E7" s="348">
        <f>INDICE!J7</f>
        <v>14.190511942481033</v>
      </c>
    </row>
    <row r="8" spans="1:5">
      <c r="A8" s="21" t="s">
        <v>16</v>
      </c>
      <c r="B8" s="348">
        <f>INDICE!G8</f>
        <v>25.122783882122988</v>
      </c>
      <c r="C8" s="348">
        <f>INDICE!H8</f>
        <v>31.600019857081939</v>
      </c>
      <c r="D8" s="348">
        <f>INDICE!I8</f>
        <v>28.311898487588085</v>
      </c>
      <c r="E8" s="348">
        <f>INDICE!J8</f>
        <v>24.442754960360414</v>
      </c>
    </row>
    <row r="9" spans="1:5">
      <c r="A9" s="21" t="s">
        <v>17</v>
      </c>
      <c r="B9" s="348">
        <f>INDICE!G9</f>
        <v>6.2132908148437469</v>
      </c>
      <c r="C9" s="348">
        <f>INDICE!H9</f>
        <v>6.4056572156845961</v>
      </c>
      <c r="D9" s="348">
        <f>INDICE!I9</f>
        <v>5.1817996438748644</v>
      </c>
      <c r="E9" s="348">
        <f>INDICE!J9</f>
        <v>5.0943404520656888</v>
      </c>
    </row>
    <row r="10" spans="1:5">
      <c r="A10" s="21" t="s">
        <v>18</v>
      </c>
      <c r="B10" s="348">
        <f>INDICE!G10</f>
        <v>5.4701160778846569</v>
      </c>
      <c r="C10" s="348">
        <f>INDICE!H10</f>
        <v>6.2878584770226063</v>
      </c>
      <c r="D10" s="348">
        <f>INDICE!I10</f>
        <v>6.1129673237591753</v>
      </c>
      <c r="E10" s="348">
        <f>INDICE!J10</f>
        <v>6.0921710942094549</v>
      </c>
    </row>
    <row r="11" spans="1:5">
      <c r="A11" s="21" t="s">
        <v>19</v>
      </c>
      <c r="B11" s="348">
        <f>INDICE!G11</f>
        <v>8.6570431161132468</v>
      </c>
      <c r="C11" s="348">
        <f>INDICE!H11</f>
        <v>8.7483943734557883</v>
      </c>
      <c r="D11" s="348">
        <f>INDICE!I11</f>
        <v>6.342964552808354</v>
      </c>
      <c r="E11" s="348">
        <f>INDICE!J11</f>
        <v>6.6789412141142526</v>
      </c>
    </row>
    <row r="12" spans="1:5">
      <c r="A12" s="351" t="s">
        <v>20</v>
      </c>
      <c r="B12" s="348">
        <f>INDICE!G12</f>
        <v>18.051703083924028</v>
      </c>
      <c r="C12" s="348">
        <f>INDICE!H12</f>
        <v>18.580666963775574</v>
      </c>
      <c r="D12" s="348">
        <f>INDICE!I12</f>
        <v>14.374381756760032</v>
      </c>
      <c r="E12" s="348">
        <f>INDICE!J12</f>
        <v>12.550423015428088</v>
      </c>
    </row>
    <row r="13" spans="1:5">
      <c r="A13" s="21" t="s">
        <v>21</v>
      </c>
      <c r="B13" s="348">
        <f>INDICE!G13</f>
        <v>31.60202229922028</v>
      </c>
      <c r="C13" s="348">
        <f>INDICE!H13</f>
        <v>23.215416300095605</v>
      </c>
      <c r="D13" s="348">
        <f>INDICE!I13</f>
        <v>17.15690948148141</v>
      </c>
      <c r="E13" s="348">
        <f>INDICE!J13</f>
        <v>14.361709507676546</v>
      </c>
    </row>
    <row r="14" spans="1:5">
      <c r="A14" s="21" t="s">
        <v>22</v>
      </c>
      <c r="B14" s="348">
        <f>INDICE!G14</f>
        <v>10.606408665029312</v>
      </c>
      <c r="C14" s="348">
        <f>INDICE!H14</f>
        <v>15.388601353487998</v>
      </c>
      <c r="D14" s="348">
        <f>INDICE!I14</f>
        <v>12.171893334080089</v>
      </c>
      <c r="E14" s="348">
        <f>INDICE!J14</f>
        <v>11.2568679062854</v>
      </c>
    </row>
    <row r="15" spans="1:5">
      <c r="A15" s="21" t="s">
        <v>23</v>
      </c>
      <c r="B15" s="348">
        <f>INDICE!G15</f>
        <v>27.060921351334159</v>
      </c>
      <c r="C15" s="348">
        <f>INDICE!H15</f>
        <v>25.338077320328143</v>
      </c>
      <c r="D15" s="348">
        <f>INDICE!I15</f>
        <v>20.171338386576398</v>
      </c>
      <c r="E15" s="348">
        <f>INDICE!J15</f>
        <v>16.810565549046704</v>
      </c>
    </row>
    <row r="16" spans="1:5">
      <c r="A16" s="21" t="s">
        <v>24</v>
      </c>
      <c r="B16" s="348">
        <f>INDICE!G16</f>
        <v>18.699426910026563</v>
      </c>
      <c r="C16" s="348">
        <f>INDICE!H16</f>
        <v>19.00589633506257</v>
      </c>
      <c r="D16" s="348">
        <f>INDICE!I16</f>
        <v>15.580887912163726</v>
      </c>
      <c r="E16" s="348">
        <f>INDICE!J16</f>
        <v>14.563338090373879</v>
      </c>
    </row>
    <row r="17" spans="1:5">
      <c r="A17" s="21" t="s">
        <v>25</v>
      </c>
      <c r="B17" s="348">
        <f>INDICE!G17</f>
        <v>7.6481460114970634</v>
      </c>
      <c r="C17" s="348">
        <f>INDICE!H17</f>
        <v>9.354244648913852</v>
      </c>
      <c r="D17" s="348">
        <f>INDICE!I17</f>
        <v>6.5283324710446795</v>
      </c>
      <c r="E17" s="348">
        <f>INDICE!J17</f>
        <v>8.1954602903004563</v>
      </c>
    </row>
    <row r="18" spans="1:5">
      <c r="A18" s="21" t="s">
        <v>26</v>
      </c>
      <c r="B18" s="348">
        <f>INDICE!G18</f>
        <v>25.271355737913925</v>
      </c>
      <c r="C18" s="348">
        <f>INDICE!H18</f>
        <v>22.285129570802003</v>
      </c>
      <c r="D18" s="348">
        <f>INDICE!I18</f>
        <v>16.077353025141438</v>
      </c>
      <c r="E18" s="348">
        <f>INDICE!J18</f>
        <v>13.796090465772778</v>
      </c>
    </row>
    <row r="19" spans="1:5">
      <c r="A19" s="21" t="s">
        <v>27</v>
      </c>
      <c r="B19" s="348">
        <f>INDICE!G19</f>
        <v>20.788045281631021</v>
      </c>
      <c r="C19" s="348">
        <f>INDICE!H19</f>
        <v>21.57901530022302</v>
      </c>
      <c r="D19" s="348">
        <f>INDICE!I19</f>
        <v>17.176059865894167</v>
      </c>
      <c r="E19" s="348">
        <f>INDICE!J19</f>
        <v>13.467320738553996</v>
      </c>
    </row>
    <row r="20" spans="1:5">
      <c r="A20" s="21" t="s">
        <v>28</v>
      </c>
      <c r="B20" s="348">
        <f>INDICE!G20</f>
        <v>8.1494508172449311</v>
      </c>
      <c r="C20" s="348">
        <f>INDICE!H20</f>
        <v>10.700575126836805</v>
      </c>
      <c r="D20" s="348">
        <f>INDICE!I20</f>
        <v>7.4063486686279045</v>
      </c>
      <c r="E20" s="348">
        <f>INDICE!J20</f>
        <v>5.4922865425132992</v>
      </c>
    </row>
    <row r="21" spans="1:5">
      <c r="A21" s="21" t="s">
        <v>29</v>
      </c>
      <c r="B21" s="348">
        <f>INDICE!G21</f>
        <v>21.459860277203809</v>
      </c>
      <c r="C21" s="348">
        <f>INDICE!H21</f>
        <v>19.007715213026017</v>
      </c>
      <c r="D21" s="348">
        <f>INDICE!I21</f>
        <v>16.715653616708792</v>
      </c>
      <c r="E21" s="348">
        <f>INDICE!J21</f>
        <v>11.725948081284555</v>
      </c>
    </row>
    <row r="22" spans="1:5">
      <c r="A22" s="351" t="s">
        <v>30</v>
      </c>
      <c r="B22" s="348">
        <f>INDICE!G22</f>
        <v>11.077125221188792</v>
      </c>
      <c r="C22" s="348">
        <f>INDICE!H22</f>
        <v>11.047689556022133</v>
      </c>
      <c r="D22" s="348">
        <f>INDICE!I22</f>
        <v>9.8884923968510776</v>
      </c>
      <c r="E22" s="348">
        <f>INDICE!J22</f>
        <v>8.7622908606882994</v>
      </c>
    </row>
    <row r="23" spans="1:5">
      <c r="A23" s="21" t="s">
        <v>31</v>
      </c>
      <c r="B23" s="348">
        <f>INDICE!G23</f>
        <v>16.679421505631261</v>
      </c>
      <c r="C23" s="348">
        <f>INDICE!H23</f>
        <v>16.386507049118155</v>
      </c>
      <c r="D23" s="348">
        <f>INDICE!I23</f>
        <v>14.803268139538426</v>
      </c>
      <c r="E23" s="348">
        <f>INDICE!J23</f>
        <v>11.853467641267839</v>
      </c>
    </row>
    <row r="24" spans="1:5">
      <c r="A24" s="21" t="s">
        <v>32</v>
      </c>
      <c r="B24" s="348">
        <f>INDICE!G24</f>
        <v>9.666732567112458</v>
      </c>
      <c r="C24" s="348">
        <f>INDICE!H24</f>
        <v>9.0269067197730024</v>
      </c>
      <c r="D24" s="348">
        <f>INDICE!I24</f>
        <v>7.7583221891447911</v>
      </c>
      <c r="E24" s="348">
        <f>INDICE!J24</f>
        <v>6.9472413493231224</v>
      </c>
    </row>
    <row r="25" spans="1:5">
      <c r="A25" s="21" t="s">
        <v>33</v>
      </c>
      <c r="B25" s="348">
        <f>INDICE!G25</f>
        <v>17.566680175235444</v>
      </c>
      <c r="C25" s="348">
        <f>INDICE!H25</f>
        <v>21.720201503523196</v>
      </c>
      <c r="D25" s="348">
        <f>INDICE!I25</f>
        <v>18.172700747278654</v>
      </c>
      <c r="E25" s="348">
        <f>INDICE!J25</f>
        <v>15.636009596680276</v>
      </c>
    </row>
    <row r="26" spans="1:5">
      <c r="A26" s="21" t="s">
        <v>34</v>
      </c>
      <c r="B26" s="348">
        <f>INDICE!G26</f>
        <v>9.6266957575851784</v>
      </c>
      <c r="C26" s="348">
        <f>INDICE!H26</f>
        <v>8.8459039770935384</v>
      </c>
      <c r="D26" s="348">
        <f>INDICE!I26</f>
        <v>8.3208107453785445</v>
      </c>
      <c r="E26" s="348">
        <f>INDICE!J26</f>
        <v>7.5397248142761031</v>
      </c>
    </row>
    <row r="27" spans="1:5">
      <c r="A27" s="351" t="s">
        <v>35</v>
      </c>
      <c r="B27" s="348">
        <f>INDICE!G27</f>
        <v>11.595478285866042</v>
      </c>
      <c r="C27" s="348">
        <f>INDICE!H27</f>
        <v>10.534905499895199</v>
      </c>
      <c r="D27" s="348">
        <f>INDICE!I27</f>
        <v>9.2008742618451222</v>
      </c>
      <c r="E27" s="348">
        <f>INDICE!J27</f>
        <v>8.1014623994738475</v>
      </c>
    </row>
    <row r="28" spans="1:5">
      <c r="A28" s="21" t="s">
        <v>36</v>
      </c>
      <c r="B28" s="348">
        <f>INDICE!G28</f>
        <v>15.451341601774759</v>
      </c>
      <c r="C28" s="348">
        <f>INDICE!H28</f>
        <v>13.638853987932551</v>
      </c>
      <c r="D28" s="348">
        <f>INDICE!I28</f>
        <v>11.768025593262543</v>
      </c>
      <c r="E28" s="348">
        <f>INDICE!J28</f>
        <v>10.265096248731496</v>
      </c>
    </row>
    <row r="29" spans="1:5">
      <c r="A29" s="21" t="s">
        <v>37</v>
      </c>
      <c r="B29" s="348">
        <f>INDICE!G29</f>
        <v>9.0822559672361436</v>
      </c>
      <c r="C29" s="348">
        <f>INDICE!H29</f>
        <v>8.849144139432136</v>
      </c>
      <c r="D29" s="348">
        <f>INDICE!I29</f>
        <v>7.5848029568547961</v>
      </c>
      <c r="E29" s="348">
        <f>INDICE!J29</f>
        <v>6.5207073896940049</v>
      </c>
    </row>
    <row r="30" spans="1:5">
      <c r="A30" s="21" t="s">
        <v>38</v>
      </c>
      <c r="B30" s="348">
        <f>INDICE!G30</f>
        <v>9.9879980489320328</v>
      </c>
      <c r="C30" s="348">
        <f>INDICE!H30</f>
        <v>8.5840163327837971</v>
      </c>
      <c r="D30" s="348">
        <f>INDICE!I30</f>
        <v>7.7726506139282758</v>
      </c>
      <c r="E30" s="348">
        <f>INDICE!J30</f>
        <v>7.0694232614380983</v>
      </c>
    </row>
    <row r="31" spans="1:5">
      <c r="A31" s="351" t="s">
        <v>39</v>
      </c>
      <c r="B31" s="348">
        <f>INDICE!G31</f>
        <v>10.099367118766782</v>
      </c>
      <c r="C31" s="348">
        <f>INDICE!H31</f>
        <v>10.338544569444727</v>
      </c>
      <c r="D31" s="348">
        <f>INDICE!I31</f>
        <v>8.4860026139268783</v>
      </c>
      <c r="E31" s="348">
        <f>INDICE!J31</f>
        <v>7.0945554558493793</v>
      </c>
    </row>
    <row r="32" spans="1:5">
      <c r="A32" s="21" t="s">
        <v>40</v>
      </c>
      <c r="B32" s="348">
        <f>INDICE!G32</f>
        <v>13.943041439552394</v>
      </c>
      <c r="C32" s="348">
        <f>INDICE!H32</f>
        <v>16.661525569159071</v>
      </c>
      <c r="D32" s="348">
        <f>INDICE!I32</f>
        <v>12.651861701909677</v>
      </c>
      <c r="E32" s="348">
        <f>INDICE!J32</f>
        <v>9.5533303749318677</v>
      </c>
    </row>
    <row r="33" spans="1:5">
      <c r="A33" s="21" t="s">
        <v>41</v>
      </c>
      <c r="B33" s="348">
        <f>INDICE!G33</f>
        <v>9.1110361223436307</v>
      </c>
      <c r="C33" s="348">
        <f>INDICE!H33</f>
        <v>9.1250324336364148</v>
      </c>
      <c r="D33" s="348">
        <f>INDICE!I33</f>
        <v>7.4015959830858629</v>
      </c>
      <c r="E33" s="348">
        <f>INDICE!J33</f>
        <v>7.5618313279579095</v>
      </c>
    </row>
    <row r="34" spans="1:5">
      <c r="A34" s="21" t="s">
        <v>42</v>
      </c>
      <c r="B34" s="348">
        <f>INDICE!G34</f>
        <v>9.1914484374765362</v>
      </c>
      <c r="C34" s="348">
        <f>INDICE!H34</f>
        <v>8.4581728512982508</v>
      </c>
      <c r="D34" s="348">
        <f>INDICE!I34</f>
        <v>6.691864848511905</v>
      </c>
      <c r="E34" s="348">
        <f>INDICE!J34</f>
        <v>5.451600543684437</v>
      </c>
    </row>
    <row r="35" spans="1:5" ht="15.75" thickBot="1">
      <c r="A35" s="33" t="s">
        <v>43</v>
      </c>
      <c r="B35" s="348">
        <f>INDICE!G35</f>
        <v>9.4135231426903623</v>
      </c>
      <c r="C35" s="348">
        <f>INDICE!H35</f>
        <v>9.0026141495816976</v>
      </c>
      <c r="D35" s="348">
        <f>INDICE!I35</f>
        <v>9.0497338548173776</v>
      </c>
      <c r="E35" s="348">
        <f>INDICE!J35</f>
        <v>5.7544252391134405</v>
      </c>
    </row>
    <row r="36" spans="1:5">
      <c r="A36" s="42"/>
      <c r="B36" s="43"/>
      <c r="C36" s="43"/>
      <c r="D36" s="43"/>
      <c r="E36" s="43"/>
    </row>
  </sheetData>
  <mergeCells count="1">
    <mergeCell ref="B1:E1"/>
  </mergeCells>
  <pageMargins left="0.511811024" right="0.511811024" top="0.78740157499999996" bottom="0.78740157499999996" header="0.31496062000000002" footer="0.31496062000000002"/>
  <pageSetup paperSize="9"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CC00FF"/>
  </sheetPr>
  <dimension ref="A1:DP36"/>
  <sheetViews>
    <sheetView topLeftCell="B3" zoomScale="90" zoomScaleNormal="90" zoomScalePageLayoutView="90" workbookViewId="0">
      <selection activeCell="B3" sqref="B3"/>
    </sheetView>
  </sheetViews>
  <sheetFormatPr defaultColWidth="8.85546875" defaultRowHeight="15"/>
  <cols>
    <col min="1" max="1" width="25.140625" style="3" bestFit="1" customWidth="1"/>
    <col min="2" max="5" width="8.85546875" style="3"/>
    <col min="6" max="120" width="8.85546875" style="1"/>
  </cols>
  <sheetData>
    <row r="1" spans="1:5" ht="15.75" thickBot="1">
      <c r="A1" s="345" t="s">
        <v>0</v>
      </c>
      <c r="B1" s="1282" t="s">
        <v>3</v>
      </c>
      <c r="C1" s="1283"/>
      <c r="D1" s="1283"/>
      <c r="E1" s="1284"/>
    </row>
    <row r="2" spans="1:5" ht="15.75" thickBot="1">
      <c r="A2" s="346" t="s">
        <v>10</v>
      </c>
      <c r="B2" s="354">
        <v>2004</v>
      </c>
      <c r="C2" s="352">
        <v>2005</v>
      </c>
      <c r="D2" s="352">
        <v>2006</v>
      </c>
      <c r="E2" s="353">
        <v>2007</v>
      </c>
    </row>
    <row r="3" spans="1:5" ht="15.75" thickBot="1">
      <c r="A3" s="347" t="s">
        <v>11</v>
      </c>
      <c r="B3" s="348">
        <f>INDICE!L3</f>
        <v>2.1929439723432869</v>
      </c>
      <c r="C3" s="348">
        <f>INDICE!M3</f>
        <v>1.9065111785470081</v>
      </c>
      <c r="D3" s="348">
        <f>INDICE!N3</f>
        <v>1.6819384296859743</v>
      </c>
      <c r="E3" s="348">
        <f>INDICE!O3</f>
        <v>1.6026389091760471</v>
      </c>
    </row>
    <row r="4" spans="1:5">
      <c r="A4" s="350" t="s">
        <v>12</v>
      </c>
      <c r="B4" s="348">
        <f>INDICE!L4</f>
        <v>2.0551144448005645</v>
      </c>
      <c r="C4" s="348">
        <f>INDICE!M4</f>
        <v>1.6615027732207923</v>
      </c>
      <c r="D4" s="348">
        <f>INDICE!N4</f>
        <v>1.7687572901030642</v>
      </c>
      <c r="E4" s="348">
        <f>INDICE!O4</f>
        <v>1.9851377537720574</v>
      </c>
    </row>
    <row r="5" spans="1:5" s="1" customFormat="1">
      <c r="A5" s="21" t="s">
        <v>13</v>
      </c>
      <c r="B5" s="348">
        <f>INDICE!L5</f>
        <v>0.50908245969816379</v>
      </c>
      <c r="C5" s="348">
        <f>INDICE!M5</f>
        <v>0.41409459329619031</v>
      </c>
      <c r="D5" s="348">
        <f>INDICE!N5</f>
        <v>0.37805198692732117</v>
      </c>
      <c r="E5" s="348">
        <f>INDICE!O5</f>
        <v>3.2183717200201034</v>
      </c>
    </row>
    <row r="6" spans="1:5">
      <c r="A6" s="21" t="s">
        <v>14</v>
      </c>
      <c r="B6" s="348">
        <f>INDICE!L6</f>
        <v>0.49351780422587399</v>
      </c>
      <c r="C6" s="348">
        <f>INDICE!M6</f>
        <v>0</v>
      </c>
      <c r="D6" s="348">
        <f>INDICE!N6</f>
        <v>0</v>
      </c>
      <c r="E6" s="348">
        <f>INDICE!O6</f>
        <v>0.65430017621677283</v>
      </c>
    </row>
    <row r="7" spans="1:5">
      <c r="A7" s="21" t="s">
        <v>15</v>
      </c>
      <c r="B7" s="348">
        <f>INDICE!L7</f>
        <v>0.11084639883457582</v>
      </c>
      <c r="C7" s="348">
        <f>INDICE!M7</f>
        <v>0.75315514459287392</v>
      </c>
      <c r="D7" s="348">
        <f>INDICE!N7</f>
        <v>0.76547606041919602</v>
      </c>
      <c r="E7" s="348">
        <f>INDICE!O7</f>
        <v>0.62869356707194446</v>
      </c>
    </row>
    <row r="8" spans="1:5">
      <c r="A8" s="21" t="s">
        <v>16</v>
      </c>
      <c r="B8" s="348">
        <f>INDICE!L8</f>
        <v>2.6343584121919248</v>
      </c>
      <c r="C8" s="348">
        <f>INDICE!M8</f>
        <v>1.5604948077571328</v>
      </c>
      <c r="D8" s="348">
        <f>INDICE!N8</f>
        <v>1.7323714109538164</v>
      </c>
      <c r="E8" s="348">
        <f>INDICE!O8</f>
        <v>1.9554203968288333</v>
      </c>
    </row>
    <row r="9" spans="1:5">
      <c r="A9" s="21" t="s">
        <v>17</v>
      </c>
      <c r="B9" s="348">
        <f>INDICE!L9</f>
        <v>2.7896407740114784</v>
      </c>
      <c r="C9" s="348">
        <f>INDICE!M9</f>
        <v>2.2475990230472269</v>
      </c>
      <c r="D9" s="348">
        <f>INDICE!N9</f>
        <v>2.6437753285075836</v>
      </c>
      <c r="E9" s="348">
        <f>INDICE!O9</f>
        <v>1.8978915409656489</v>
      </c>
    </row>
    <row r="10" spans="1:5">
      <c r="A10" s="21" t="s">
        <v>18</v>
      </c>
      <c r="B10" s="348">
        <f>INDICE!L10</f>
        <v>4.8623254025641396</v>
      </c>
      <c r="C10" s="348">
        <f>INDICE!M10</f>
        <v>7.2552213196414685</v>
      </c>
      <c r="D10" s="348">
        <f>INDICE!N10</f>
        <v>8.6600370419921653</v>
      </c>
      <c r="E10" s="348">
        <f>INDICE!O10</f>
        <v>8.9039423684599726</v>
      </c>
    </row>
    <row r="11" spans="1:5">
      <c r="A11" s="21" t="s">
        <v>19</v>
      </c>
      <c r="B11" s="348">
        <f>INDICE!L11</f>
        <v>2.8301871725754846</v>
      </c>
      <c r="C11" s="348">
        <f>INDICE!M11</f>
        <v>1.7209956144503189</v>
      </c>
      <c r="D11" s="348">
        <f>INDICE!N11</f>
        <v>1.4845236187423807</v>
      </c>
      <c r="E11" s="348">
        <f>INDICE!O11</f>
        <v>2.2660693405030501</v>
      </c>
    </row>
    <row r="12" spans="1:5">
      <c r="A12" s="351" t="s">
        <v>20</v>
      </c>
      <c r="B12" s="348">
        <f>INDICE!L12</f>
        <v>2.6168316509865299</v>
      </c>
      <c r="C12" s="348">
        <f>INDICE!M12</f>
        <v>2.60767952887685</v>
      </c>
      <c r="D12" s="348">
        <f>INDICE!N12</f>
        <v>1.9252627615107574</v>
      </c>
      <c r="E12" s="348">
        <f>INDICE!O12</f>
        <v>1.748287744130959</v>
      </c>
    </row>
    <row r="13" spans="1:5">
      <c r="A13" s="21" t="s">
        <v>21</v>
      </c>
      <c r="B13" s="348">
        <f>INDICE!L13</f>
        <v>2.48985630236281</v>
      </c>
      <c r="C13" s="348">
        <f>INDICE!M13</f>
        <v>1.6234556853213711</v>
      </c>
      <c r="D13" s="348">
        <f>INDICE!N13</f>
        <v>1.5597190437710373</v>
      </c>
      <c r="E13" s="348">
        <f>INDICE!O13</f>
        <v>0.75587944777244975</v>
      </c>
    </row>
    <row r="14" spans="1:5">
      <c r="A14" s="21" t="s">
        <v>22</v>
      </c>
      <c r="B14" s="348">
        <f>INDICE!L14</f>
        <v>0.77845201211224313</v>
      </c>
      <c r="C14" s="348">
        <f>INDICE!M14</f>
        <v>0.9689119370714665</v>
      </c>
      <c r="D14" s="348">
        <f>INDICE!N14</f>
        <v>0.80282700714145261</v>
      </c>
      <c r="E14" s="348">
        <f>INDICE!O14</f>
        <v>0.9748215506473954</v>
      </c>
    </row>
    <row r="15" spans="1:5">
      <c r="A15" s="21" t="s">
        <v>23</v>
      </c>
      <c r="B15" s="348">
        <f>INDICE!L15</f>
        <v>2.5964636691045566</v>
      </c>
      <c r="C15" s="348">
        <f>INDICE!M15</f>
        <v>3.9956198851286686</v>
      </c>
      <c r="D15" s="348">
        <f>INDICE!N15</f>
        <v>1.4533933771987362</v>
      </c>
      <c r="E15" s="348">
        <f>INDICE!O15</f>
        <v>1.2198142802029355</v>
      </c>
    </row>
    <row r="16" spans="1:5">
      <c r="A16" s="21" t="s">
        <v>24</v>
      </c>
      <c r="B16" s="348">
        <f>INDICE!L16</f>
        <v>4.5511832691069936</v>
      </c>
      <c r="C16" s="348">
        <f>INDICE!M16</f>
        <v>3.2488711683867644</v>
      </c>
      <c r="D16" s="348">
        <f>INDICE!N16</f>
        <v>3.399466453562995</v>
      </c>
      <c r="E16" s="348">
        <f>INDICE!O16</f>
        <v>3.461777087056086</v>
      </c>
    </row>
    <row r="17" spans="1:5">
      <c r="A17" s="21" t="s">
        <v>25</v>
      </c>
      <c r="B17" s="348">
        <f>INDICE!L17</f>
        <v>1.8264229281187017</v>
      </c>
      <c r="C17" s="348">
        <f>INDICE!M17</f>
        <v>1.6739174634898473</v>
      </c>
      <c r="D17" s="348">
        <f>INDICE!N17</f>
        <v>1.7885842386423778</v>
      </c>
      <c r="E17" s="348">
        <f>INDICE!O17</f>
        <v>1.4322163614117303</v>
      </c>
    </row>
    <row r="18" spans="1:5">
      <c r="A18" s="21" t="s">
        <v>26</v>
      </c>
      <c r="B18" s="348">
        <f>INDICE!L18</f>
        <v>3.0869772019397965</v>
      </c>
      <c r="C18" s="348">
        <f>INDICE!M18</f>
        <v>2.197744533609665</v>
      </c>
      <c r="D18" s="348">
        <f>INDICE!N18</f>
        <v>2.0936110818980249</v>
      </c>
      <c r="E18" s="348">
        <f>INDICE!O18</f>
        <v>1.8371678258441135</v>
      </c>
    </row>
    <row r="19" spans="1:5">
      <c r="A19" s="21" t="s">
        <v>27</v>
      </c>
      <c r="B19" s="348">
        <f>INDICE!L19</f>
        <v>8.202085893432649</v>
      </c>
      <c r="C19" s="348">
        <f>INDICE!M19</f>
        <v>6.8768290517194233</v>
      </c>
      <c r="D19" s="348">
        <f>INDICE!N19</f>
        <v>4.5433448677526505</v>
      </c>
      <c r="E19" s="348">
        <f>INDICE!O19</f>
        <v>4.4587751093861199</v>
      </c>
    </row>
    <row r="20" spans="1:5">
      <c r="A20" s="21" t="s">
        <v>28</v>
      </c>
      <c r="B20" s="348">
        <f>INDICE!L20</f>
        <v>1.0186813521556164</v>
      </c>
      <c r="C20" s="348">
        <f>INDICE!M20</f>
        <v>2.018976439025812</v>
      </c>
      <c r="D20" s="348">
        <f>INDICE!N20</f>
        <v>2.3483544559064087</v>
      </c>
      <c r="E20" s="348">
        <f>INDICE!O20</f>
        <v>0.79598355688598543</v>
      </c>
    </row>
    <row r="21" spans="1:5">
      <c r="A21" s="21" t="s">
        <v>29</v>
      </c>
      <c r="B21" s="348">
        <f>INDICE!L21</f>
        <v>4.6249698873284073</v>
      </c>
      <c r="C21" s="348">
        <f>INDICE!M21</f>
        <v>5.1986913403148085</v>
      </c>
      <c r="D21" s="348">
        <f>INDICE!N21</f>
        <v>2.6864443312567703</v>
      </c>
      <c r="E21" s="348">
        <f>INDICE!O21</f>
        <v>3.0999632858568362</v>
      </c>
    </row>
    <row r="22" spans="1:5">
      <c r="A22" s="351" t="s">
        <v>30</v>
      </c>
      <c r="B22" s="348">
        <f>INDICE!L22</f>
        <v>1.6755811253356148</v>
      </c>
      <c r="C22" s="348">
        <f>INDICE!M22</f>
        <v>1.4634672012262424</v>
      </c>
      <c r="D22" s="348">
        <f>INDICE!N22</f>
        <v>1.204752999717672</v>
      </c>
      <c r="E22" s="348">
        <f>INDICE!O22</f>
        <v>1.1541277572163753</v>
      </c>
    </row>
    <row r="23" spans="1:5">
      <c r="A23" s="21" t="s">
        <v>31</v>
      </c>
      <c r="B23" s="348">
        <f>INDICE!L23</f>
        <v>1.5458976029609461</v>
      </c>
      <c r="C23" s="348">
        <f>INDICE!M23</f>
        <v>1.2993706030137744</v>
      </c>
      <c r="D23" s="348">
        <f>INDICE!N23</f>
        <v>0.78601423749761556</v>
      </c>
      <c r="E23" s="348">
        <f>INDICE!O23</f>
        <v>1.2909717233063982</v>
      </c>
    </row>
    <row r="24" spans="1:5">
      <c r="A24" s="21" t="s">
        <v>32</v>
      </c>
      <c r="B24" s="348">
        <f>INDICE!L24</f>
        <v>1.416563252711188</v>
      </c>
      <c r="C24" s="348">
        <f>INDICE!M24</f>
        <v>1.4676003183114816</v>
      </c>
      <c r="D24" s="348">
        <f>INDICE!N24</f>
        <v>1.2129207929508055</v>
      </c>
      <c r="E24" s="348">
        <f>INDICE!O24</f>
        <v>1.3997404792710291</v>
      </c>
    </row>
    <row r="25" spans="1:5">
      <c r="A25" s="21" t="s">
        <v>33</v>
      </c>
      <c r="B25" s="348">
        <f>INDICE!L25</f>
        <v>2.5404728056114037</v>
      </c>
      <c r="C25" s="348">
        <f>INDICE!M25</f>
        <v>2.2239114167429892</v>
      </c>
      <c r="D25" s="348">
        <f>INDICE!N25</f>
        <v>1.408341887977711</v>
      </c>
      <c r="E25" s="348">
        <f>INDICE!O25</f>
        <v>1.415538850063667</v>
      </c>
    </row>
    <row r="26" spans="1:5">
      <c r="A26" s="21" t="s">
        <v>34</v>
      </c>
      <c r="B26" s="348">
        <f>INDICE!L26</f>
        <v>1.56352372533398</v>
      </c>
      <c r="C26" s="348">
        <f>INDICE!M26</f>
        <v>1.2828876448455027</v>
      </c>
      <c r="D26" s="348">
        <f>INDICE!N26</f>
        <v>1.1788886939614116</v>
      </c>
      <c r="E26" s="348">
        <f>INDICE!O26</f>
        <v>0.98111235964883126</v>
      </c>
    </row>
    <row r="27" spans="1:5">
      <c r="A27" s="351" t="s">
        <v>35</v>
      </c>
      <c r="B27" s="348">
        <f>INDICE!L27</f>
        <v>2.6973652172214195</v>
      </c>
      <c r="C27" s="348">
        <f>INDICE!M27</f>
        <v>2.2376906489999917</v>
      </c>
      <c r="D27" s="348">
        <f>INDICE!N27</f>
        <v>2.0877620143241296</v>
      </c>
      <c r="E27" s="348">
        <f>INDICE!O27</f>
        <v>1.992972090655029</v>
      </c>
    </row>
    <row r="28" spans="1:5">
      <c r="A28" s="21" t="s">
        <v>36</v>
      </c>
      <c r="B28" s="348">
        <f>INDICE!L28</f>
        <v>3.4485602995265401</v>
      </c>
      <c r="C28" s="348">
        <f>INDICE!M28</f>
        <v>2.7432255896408249</v>
      </c>
      <c r="D28" s="348">
        <f>INDICE!N28</f>
        <v>2.2892207840997041</v>
      </c>
      <c r="E28" s="348">
        <f>INDICE!O28</f>
        <v>2.1754913556966278</v>
      </c>
    </row>
    <row r="29" spans="1:5">
      <c r="A29" s="21" t="s">
        <v>37</v>
      </c>
      <c r="B29" s="348">
        <f>INDICE!L29</f>
        <v>1.3774037485855761</v>
      </c>
      <c r="C29" s="348">
        <f>INDICE!M29</f>
        <v>1.1208915909947372</v>
      </c>
      <c r="D29" s="348">
        <f>INDICE!N29</f>
        <v>1.5582639738092774</v>
      </c>
      <c r="E29" s="348">
        <f>INDICE!O29</f>
        <v>1.3533543638987557</v>
      </c>
    </row>
    <row r="30" spans="1:5">
      <c r="A30" s="21" t="s">
        <v>38</v>
      </c>
      <c r="B30" s="348">
        <f>INDICE!L30</f>
        <v>3.5148380230845868</v>
      </c>
      <c r="C30" s="348">
        <f>INDICE!M30</f>
        <v>3.0450944789080134</v>
      </c>
      <c r="D30" s="348">
        <f>INDICE!N30</f>
        <v>2.5081077060918715</v>
      </c>
      <c r="E30" s="348">
        <f>INDICE!O30</f>
        <v>2.5728064984250127</v>
      </c>
    </row>
    <row r="31" spans="1:5">
      <c r="A31" s="351" t="s">
        <v>39</v>
      </c>
      <c r="B31" s="348">
        <f>INDICE!L31</f>
        <v>3.2033234914150146</v>
      </c>
      <c r="C31" s="348">
        <f>INDICE!M31</f>
        <v>2.3695255799367554</v>
      </c>
      <c r="D31" s="348">
        <f>INDICE!N31</f>
        <v>2.7674409678895735</v>
      </c>
      <c r="E31" s="348">
        <f>INDICE!O31</f>
        <v>2.4230635556900957</v>
      </c>
    </row>
    <row r="32" spans="1:5">
      <c r="A32" s="21" t="s">
        <v>40</v>
      </c>
      <c r="B32" s="348">
        <f>INDICE!L32</f>
        <v>2.9111844763900598</v>
      </c>
      <c r="C32" s="348">
        <f>INDICE!M32</f>
        <v>1.9852030465381021</v>
      </c>
      <c r="D32" s="348">
        <f>INDICE!N32</f>
        <v>2.9145649993928053</v>
      </c>
      <c r="E32" s="348">
        <f>INDICE!O32</f>
        <v>2.3254817360031521</v>
      </c>
    </row>
    <row r="33" spans="1:5">
      <c r="A33" s="21" t="s">
        <v>41</v>
      </c>
      <c r="B33" s="348">
        <f>INDICE!L33</f>
        <v>2.2686114039570486</v>
      </c>
      <c r="C33" s="348">
        <f>INDICE!M33</f>
        <v>1.786719637355382</v>
      </c>
      <c r="D33" s="348">
        <f>INDICE!N33</f>
        <v>1.6051653939222352</v>
      </c>
      <c r="E33" s="348">
        <f>INDICE!O33</f>
        <v>1.7979179381158665</v>
      </c>
    </row>
    <row r="34" spans="1:5">
      <c r="A34" s="21" t="s">
        <v>42</v>
      </c>
      <c r="B34" s="348">
        <f>INDICE!L34</f>
        <v>3.2780690231559673</v>
      </c>
      <c r="C34" s="348">
        <f>INDICE!M34</f>
        <v>2.2749568358664263</v>
      </c>
      <c r="D34" s="348">
        <f>INDICE!N34</f>
        <v>2.8679420779336735</v>
      </c>
      <c r="E34" s="348">
        <f>INDICE!O34</f>
        <v>2.0555215164711811</v>
      </c>
    </row>
    <row r="35" spans="1:5" ht="15.75" thickBot="1">
      <c r="A35" s="33" t="s">
        <v>43</v>
      </c>
      <c r="B35" s="348">
        <f>INDICE!L35</f>
        <v>5.718495367054893</v>
      </c>
      <c r="C35" s="348">
        <f>INDICE!M35</f>
        <v>4.3838816728397827</v>
      </c>
      <c r="D35" s="348">
        <f>INDICE!N35</f>
        <v>5.27307326973611</v>
      </c>
      <c r="E35" s="348">
        <f>INDICE!O35</f>
        <v>4.5396021330783807</v>
      </c>
    </row>
    <row r="36" spans="1:5">
      <c r="A36" s="42"/>
      <c r="B36" s="43"/>
      <c r="C36" s="43"/>
      <c r="D36" s="43"/>
      <c r="E36" s="43"/>
    </row>
  </sheetData>
  <mergeCells count="1">
    <mergeCell ref="B1:E1"/>
  </mergeCells>
  <pageMargins left="0.511811024" right="0.511811024" top="0.78740157499999996" bottom="0.78740157499999996" header="0.31496062000000002" footer="0.31496062000000002"/>
  <pageSetup paperSize="9"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FF0066"/>
  </sheetPr>
  <dimension ref="A1:DP36"/>
  <sheetViews>
    <sheetView topLeftCell="E12" zoomScale="90" zoomScaleNormal="90" zoomScalePageLayoutView="90" workbookViewId="0">
      <selection activeCell="E12" sqref="E12"/>
    </sheetView>
  </sheetViews>
  <sheetFormatPr defaultColWidth="8.85546875" defaultRowHeight="15"/>
  <cols>
    <col min="1" max="1" width="25.140625" style="3" bestFit="1" customWidth="1"/>
    <col min="2" max="5" width="8.85546875" style="3"/>
    <col min="6" max="120" width="8.85546875" style="1"/>
  </cols>
  <sheetData>
    <row r="1" spans="1:5" ht="15.75" thickBot="1">
      <c r="A1" s="345" t="s">
        <v>0</v>
      </c>
      <c r="B1" s="1282" t="s">
        <v>4</v>
      </c>
      <c r="C1" s="1283"/>
      <c r="D1" s="1283"/>
      <c r="E1" s="1284"/>
    </row>
    <row r="2" spans="1:5" ht="15.75" thickBot="1">
      <c r="A2" s="346" t="s">
        <v>10</v>
      </c>
      <c r="B2" s="354">
        <v>2004</v>
      </c>
      <c r="C2" s="352">
        <v>2005</v>
      </c>
      <c r="D2" s="352">
        <v>2006</v>
      </c>
      <c r="E2" s="353">
        <v>2007</v>
      </c>
    </row>
    <row r="3" spans="1:5" ht="15.75" thickBot="1">
      <c r="A3" s="347" t="s">
        <v>11</v>
      </c>
      <c r="B3" s="348">
        <f>INDICE!Q3</f>
        <v>53.012285762139051</v>
      </c>
      <c r="C3" s="348">
        <f>INDICE!R3</f>
        <v>52.778348655386225</v>
      </c>
      <c r="D3" s="348">
        <f>INDICE!S3</f>
        <v>47.852936805183298</v>
      </c>
      <c r="E3" s="348">
        <f>INDICE!T3</f>
        <v>46.471973836125557</v>
      </c>
    </row>
    <row r="4" spans="1:5">
      <c r="A4" s="350" t="s">
        <v>12</v>
      </c>
      <c r="B4" s="348">
        <f>INDICE!Q4</f>
        <v>51.692822980237018</v>
      </c>
      <c r="C4" s="348">
        <f>INDICE!R4</f>
        <v>53.144602977922965</v>
      </c>
      <c r="D4" s="348">
        <f>INDICE!S4</f>
        <v>51.961946744137116</v>
      </c>
      <c r="E4" s="348">
        <f>INDICE!T4</f>
        <v>50.302466690985149</v>
      </c>
    </row>
    <row r="5" spans="1:5" s="1" customFormat="1">
      <c r="A5" s="21" t="s">
        <v>13</v>
      </c>
      <c r="B5" s="348">
        <f>INDICE!Q5</f>
        <v>8.5973974715051948</v>
      </c>
      <c r="C5" s="348">
        <f>INDICE!R5</f>
        <v>15.512210914056421</v>
      </c>
      <c r="D5" s="348">
        <f>INDICE!S5</f>
        <v>12.445068363481287</v>
      </c>
      <c r="E5" s="348">
        <f>INDICE!T5</f>
        <v>35.160780446245091</v>
      </c>
    </row>
    <row r="6" spans="1:5">
      <c r="A6" s="21" t="s">
        <v>14</v>
      </c>
      <c r="B6" s="348">
        <f>INDICE!Q6</f>
        <v>22.732931711685911</v>
      </c>
      <c r="C6" s="348">
        <f>INDICE!R6</f>
        <v>8.7693349869970749</v>
      </c>
      <c r="D6" s="348">
        <f>INDICE!S6</f>
        <v>6.0092271663595556</v>
      </c>
      <c r="E6" s="348">
        <f>INDICE!T6</f>
        <v>6.1173228982425805</v>
      </c>
    </row>
    <row r="7" spans="1:5">
      <c r="A7" s="21" t="s">
        <v>15</v>
      </c>
      <c r="B7" s="348">
        <f>INDICE!Q7</f>
        <v>53.075695037706645</v>
      </c>
      <c r="C7" s="348">
        <f>INDICE!R7</f>
        <v>44.904818045480845</v>
      </c>
      <c r="D7" s="348">
        <f>INDICE!S7</f>
        <v>47.220491012381665</v>
      </c>
      <c r="E7" s="348">
        <f>INDICE!T7</f>
        <v>45.262693745410829</v>
      </c>
    </row>
    <row r="8" spans="1:5">
      <c r="A8" s="21" t="s">
        <v>16</v>
      </c>
      <c r="B8" s="348">
        <f>INDICE!Q8</f>
        <v>58.990698907278535</v>
      </c>
      <c r="C8" s="348">
        <f>INDICE!R8</f>
        <v>69.29972668944221</v>
      </c>
      <c r="D8" s="348">
        <f>INDICE!S8</f>
        <v>64.69856543722166</v>
      </c>
      <c r="E8" s="348">
        <f>INDICE!T8</f>
        <v>56.696878553731892</v>
      </c>
    </row>
    <row r="9" spans="1:5">
      <c r="A9" s="21" t="s">
        <v>17</v>
      </c>
      <c r="B9" s="348">
        <f>INDICE!Q9</f>
        <v>47.291431287801423</v>
      </c>
      <c r="C9" s="348">
        <f>INDICE!R9</f>
        <v>39.824104461492404</v>
      </c>
      <c r="D9" s="348">
        <f>INDICE!S9</f>
        <v>41.429312835685728</v>
      </c>
      <c r="E9" s="348">
        <f>INDICE!T9</f>
        <v>42.255847399262329</v>
      </c>
    </row>
    <row r="10" spans="1:5">
      <c r="A10" s="21" t="s">
        <v>18</v>
      </c>
      <c r="B10" s="348">
        <f>INDICE!Q10</f>
        <v>43.412327283853429</v>
      </c>
      <c r="C10" s="348">
        <f>INDICE!R10</f>
        <v>75.633867709450698</v>
      </c>
      <c r="D10" s="348">
        <f>INDICE!S10</f>
        <v>65.477101820043941</v>
      </c>
      <c r="E10" s="348">
        <f>INDICE!T10</f>
        <v>89.572107080769698</v>
      </c>
    </row>
    <row r="11" spans="1:5">
      <c r="A11" s="21" t="s">
        <v>19</v>
      </c>
      <c r="B11" s="348">
        <f>INDICE!Q11</f>
        <v>70.045597444590214</v>
      </c>
      <c r="C11" s="348">
        <f>INDICE!R11</f>
        <v>63.004204438196268</v>
      </c>
      <c r="D11" s="348">
        <f>INDICE!S11</f>
        <v>67.340003749002008</v>
      </c>
      <c r="E11" s="348">
        <f>INDICE!T11</f>
        <v>59.01175286796181</v>
      </c>
    </row>
    <row r="12" spans="1:5">
      <c r="A12" s="351" t="s">
        <v>20</v>
      </c>
      <c r="B12" s="348">
        <f>INDICE!Q12</f>
        <v>71.453386819014099</v>
      </c>
      <c r="C12" s="348">
        <f>INDICE!R12</f>
        <v>72.182882070353841</v>
      </c>
      <c r="D12" s="348">
        <f>INDICE!S12</f>
        <v>66.79803925756363</v>
      </c>
      <c r="E12" s="348">
        <f>INDICE!T12</f>
        <v>67.243453450712451</v>
      </c>
    </row>
    <row r="13" spans="1:5">
      <c r="A13" s="21" t="s">
        <v>21</v>
      </c>
      <c r="B13" s="348">
        <f>INDICE!Q13</f>
        <v>71.230408398969772</v>
      </c>
      <c r="C13" s="348">
        <f>INDICE!R13</f>
        <v>58.402927313633008</v>
      </c>
      <c r="D13" s="348">
        <f>INDICE!S13</f>
        <v>46.463779640062477</v>
      </c>
      <c r="E13" s="348">
        <f>INDICE!T13</f>
        <v>41.176389259762423</v>
      </c>
    </row>
    <row r="14" spans="1:5">
      <c r="A14" s="21" t="s">
        <v>22</v>
      </c>
      <c r="B14" s="348">
        <f>INDICE!Q14</f>
        <v>36.902184544541193</v>
      </c>
      <c r="C14" s="348">
        <f>INDICE!R14</f>
        <v>46.215152803562241</v>
      </c>
      <c r="D14" s="348">
        <f>INDICE!S14</f>
        <v>36.705448582682635</v>
      </c>
      <c r="E14" s="348">
        <f>INDICE!T14</f>
        <v>40.149169311371857</v>
      </c>
    </row>
    <row r="15" spans="1:5">
      <c r="A15" s="21" t="s">
        <v>23</v>
      </c>
      <c r="B15" s="348">
        <f>INDICE!Q15</f>
        <v>70.47596053144143</v>
      </c>
      <c r="C15" s="348">
        <f>INDICE!R15</f>
        <v>75.901548670507168</v>
      </c>
      <c r="D15" s="348">
        <f>INDICE!S15</f>
        <v>64.490160115725942</v>
      </c>
      <c r="E15" s="348">
        <f>INDICE!T15</f>
        <v>64.183963676334102</v>
      </c>
    </row>
    <row r="16" spans="1:5">
      <c r="A16" s="21" t="s">
        <v>24</v>
      </c>
      <c r="B16" s="348">
        <f>INDICE!Q16</f>
        <v>64.985264045586646</v>
      </c>
      <c r="C16" s="348">
        <f>INDICE!R16</f>
        <v>62.544172030833607</v>
      </c>
      <c r="D16" s="348">
        <f>INDICE!S16</f>
        <v>71.898555520710161</v>
      </c>
      <c r="E16" s="348">
        <f>INDICE!T16</f>
        <v>71.821929523620753</v>
      </c>
    </row>
    <row r="17" spans="1:5">
      <c r="A17" s="21" t="s">
        <v>25</v>
      </c>
      <c r="B17" s="348">
        <f>INDICE!Q17</f>
        <v>63.848168545255952</v>
      </c>
      <c r="C17" s="348">
        <f>INDICE!R17</f>
        <v>52.769738622380352</v>
      </c>
      <c r="D17" s="348">
        <f>INDICE!S17</f>
        <v>51.788734896987528</v>
      </c>
      <c r="E17" s="348">
        <f>INDICE!T17</f>
        <v>59.94631116806341</v>
      </c>
    </row>
    <row r="18" spans="1:5">
      <c r="A18" s="21" t="s">
        <v>26</v>
      </c>
      <c r="B18" s="348">
        <f>INDICE!Q18</f>
        <v>81.051258880217091</v>
      </c>
      <c r="C18" s="348">
        <f>INDICE!R18</f>
        <v>78.604285313758695</v>
      </c>
      <c r="D18" s="348">
        <f>INDICE!S18</f>
        <v>82.552222725385391</v>
      </c>
      <c r="E18" s="348">
        <f>INDICE!T18</f>
        <v>76.356247204262587</v>
      </c>
    </row>
    <row r="19" spans="1:5">
      <c r="A19" s="21" t="s">
        <v>27</v>
      </c>
      <c r="B19" s="348">
        <f>INDICE!Q19</f>
        <v>121.49024670638245</v>
      </c>
      <c r="C19" s="348">
        <f>INDICE!R19</f>
        <v>126.3439347971275</v>
      </c>
      <c r="D19" s="348">
        <f>INDICE!S19</f>
        <v>121.26550446117439</v>
      </c>
      <c r="E19" s="348">
        <f>INDICE!T19</f>
        <v>113.43560672788473</v>
      </c>
    </row>
    <row r="20" spans="1:5">
      <c r="A20" s="21" t="s">
        <v>28</v>
      </c>
      <c r="B20" s="348">
        <f>INDICE!Q20</f>
        <v>69.956878101451679</v>
      </c>
      <c r="C20" s="348">
        <f>INDICE!R20</f>
        <v>71.000749851687857</v>
      </c>
      <c r="D20" s="348">
        <f>INDICE!S20</f>
        <v>55.02093865269822</v>
      </c>
      <c r="E20" s="348">
        <f>INDICE!T20</f>
        <v>52.161881108150247</v>
      </c>
    </row>
    <row r="21" spans="1:5">
      <c r="A21" s="21" t="s">
        <v>29</v>
      </c>
      <c r="B21" s="348">
        <f>INDICE!Q21</f>
        <v>146.73754396014567</v>
      </c>
      <c r="C21" s="348">
        <f>INDICE!R21</f>
        <v>131.06072682059016</v>
      </c>
      <c r="D21" s="348">
        <f>INDICE!S21</f>
        <v>120.89867040064151</v>
      </c>
      <c r="E21" s="348">
        <f>INDICE!T21</f>
        <v>137.9772372848085</v>
      </c>
    </row>
    <row r="22" spans="1:5">
      <c r="A22" s="351" t="s">
        <v>30</v>
      </c>
      <c r="B22" s="348">
        <f>INDICE!Q22</f>
        <v>40.376303162306741</v>
      </c>
      <c r="C22" s="348">
        <f>INDICE!R22</f>
        <v>39.021474720777782</v>
      </c>
      <c r="D22" s="348">
        <f>INDICE!S22</f>
        <v>35.157446160712198</v>
      </c>
      <c r="E22" s="348">
        <f>INDICE!T22</f>
        <v>31.157789512090336</v>
      </c>
    </row>
    <row r="23" spans="1:5">
      <c r="A23" s="21" t="s">
        <v>31</v>
      </c>
      <c r="B23" s="348">
        <f>INDICE!Q23</f>
        <v>73.000466581870725</v>
      </c>
      <c r="C23" s="348">
        <f>INDICE!R23</f>
        <v>74.707426836270457</v>
      </c>
      <c r="D23" s="348">
        <f>INDICE!S23</f>
        <v>74.677763181027899</v>
      </c>
      <c r="E23" s="348">
        <f>INDICE!T23</f>
        <v>64.541702366677129</v>
      </c>
    </row>
    <row r="24" spans="1:5">
      <c r="A24" s="21" t="s">
        <v>32</v>
      </c>
      <c r="B24" s="348">
        <f>INDICE!Q24</f>
        <v>31.892887582979771</v>
      </c>
      <c r="C24" s="348">
        <f>INDICE!R24</f>
        <v>29.780426529744958</v>
      </c>
      <c r="D24" s="348">
        <f>INDICE!S24</f>
        <v>31.71642376983807</v>
      </c>
      <c r="E24" s="348">
        <f>INDICE!T24</f>
        <v>28.473493901063886</v>
      </c>
    </row>
    <row r="25" spans="1:5">
      <c r="A25" s="21" t="s">
        <v>33</v>
      </c>
      <c r="B25" s="348">
        <f>INDICE!Q25</f>
        <v>68.783702168845366</v>
      </c>
      <c r="C25" s="348">
        <f>INDICE!R25</f>
        <v>60.847139124178575</v>
      </c>
      <c r="D25" s="348">
        <f>INDICE!S25</f>
        <v>44.722386687586997</v>
      </c>
      <c r="E25" s="348">
        <f>INDICE!T25</f>
        <v>36.827111975124133</v>
      </c>
    </row>
    <row r="26" spans="1:5">
      <c r="A26" s="21" t="s">
        <v>34</v>
      </c>
      <c r="B26" s="348">
        <f>INDICE!Q26</f>
        <v>36.308543781445692</v>
      </c>
      <c r="C26" s="348">
        <f>INDICE!R26</f>
        <v>36.323022698847751</v>
      </c>
      <c r="D26" s="348">
        <f>INDICE!S26</f>
        <v>31.676597520481785</v>
      </c>
      <c r="E26" s="348">
        <f>INDICE!T26</f>
        <v>28.328556294863912</v>
      </c>
    </row>
    <row r="27" spans="1:5">
      <c r="A27" s="351" t="s">
        <v>35</v>
      </c>
      <c r="B27" s="348">
        <f>INDICE!Q27</f>
        <v>51.216650053732629</v>
      </c>
      <c r="C27" s="348">
        <f>INDICE!R27</f>
        <v>48.674657925505535</v>
      </c>
      <c r="D27" s="348">
        <f>INDICE!S27</f>
        <v>45.543183669060284</v>
      </c>
      <c r="E27" s="348">
        <f>INDICE!T27</f>
        <v>44.578258197096048</v>
      </c>
    </row>
    <row r="28" spans="1:5">
      <c r="A28" s="21" t="s">
        <v>36</v>
      </c>
      <c r="B28" s="348">
        <f>INDICE!Q28</f>
        <v>67.698845071340841</v>
      </c>
      <c r="C28" s="348">
        <f>INDICE!R28</f>
        <v>68.067853839807327</v>
      </c>
      <c r="D28" s="348">
        <f>INDICE!S28</f>
        <v>57.001323976040467</v>
      </c>
      <c r="E28" s="348">
        <f>INDICE!T28</f>
        <v>57.603956647782475</v>
      </c>
    </row>
    <row r="29" spans="1:5">
      <c r="A29" s="21" t="s">
        <v>37</v>
      </c>
      <c r="B29" s="348">
        <f>INDICE!Q29</f>
        <v>30.487369570050372</v>
      </c>
      <c r="C29" s="348">
        <f>INDICE!R29</f>
        <v>29.916718645234116</v>
      </c>
      <c r="D29" s="348">
        <f>INDICE!S29</f>
        <v>28.904753318006101</v>
      </c>
      <c r="E29" s="348">
        <f>INDICE!T29</f>
        <v>29.870383284258253</v>
      </c>
    </row>
    <row r="30" spans="1:5">
      <c r="A30" s="21" t="s">
        <v>38</v>
      </c>
      <c r="B30" s="348">
        <f>INDICE!Q30</f>
        <v>59.10066713841654</v>
      </c>
      <c r="C30" s="348">
        <f>INDICE!R30</f>
        <v>50.443998300094478</v>
      </c>
      <c r="D30" s="348">
        <f>INDICE!S30</f>
        <v>51.42470971803322</v>
      </c>
      <c r="E30" s="348">
        <f>INDICE!T30</f>
        <v>45.692486183393569</v>
      </c>
    </row>
    <row r="31" spans="1:5">
      <c r="A31" s="351" t="s">
        <v>39</v>
      </c>
      <c r="B31" s="348">
        <f>INDICE!Q31</f>
        <v>62.977866706986767</v>
      </c>
      <c r="C31" s="348">
        <f>INDICE!R31</f>
        <v>63.363673594630988</v>
      </c>
      <c r="D31" s="348">
        <f>INDICE!S31</f>
        <v>51.811184266889896</v>
      </c>
      <c r="E31" s="348">
        <f>INDICE!T31</f>
        <v>50.42673095046014</v>
      </c>
    </row>
    <row r="32" spans="1:5">
      <c r="A32" s="21" t="s">
        <v>40</v>
      </c>
      <c r="B32" s="348">
        <f>INDICE!Q32</f>
        <v>85.023695231835461</v>
      </c>
      <c r="C32" s="348">
        <f>INDICE!R32</f>
        <v>81.834005264330273</v>
      </c>
      <c r="D32" s="348">
        <f>INDICE!S32</f>
        <v>64.891559502008562</v>
      </c>
      <c r="E32" s="348">
        <f>INDICE!T32</f>
        <v>59.193733887881052</v>
      </c>
    </row>
    <row r="33" spans="1:5">
      <c r="A33" s="21" t="s">
        <v>41</v>
      </c>
      <c r="B33" s="348">
        <f>INDICE!Q33</f>
        <v>49.975232634192466</v>
      </c>
      <c r="C33" s="348">
        <f>INDICE!R33</f>
        <v>55.428615701853893</v>
      </c>
      <c r="D33" s="348">
        <f>INDICE!S33</f>
        <v>42.977164307219766</v>
      </c>
      <c r="E33" s="348">
        <f>INDICE!T33</f>
        <v>44.595207616904588</v>
      </c>
    </row>
    <row r="34" spans="1:5">
      <c r="A34" s="21" t="s">
        <v>42</v>
      </c>
      <c r="B34" s="348">
        <f>INDICE!Q34</f>
        <v>72.524281270676966</v>
      </c>
      <c r="C34" s="348">
        <f>INDICE!R34</f>
        <v>66.765306545945947</v>
      </c>
      <c r="D34" s="348">
        <f>INDICE!S34</f>
        <v>52.94918790296007</v>
      </c>
      <c r="E34" s="348">
        <f>INDICE!T34</f>
        <v>49.923132009483972</v>
      </c>
    </row>
    <row r="35" spans="1:5" ht="15.75" thickBot="1">
      <c r="A35" s="33" t="s">
        <v>43</v>
      </c>
      <c r="B35" s="348">
        <f>INDICE!Q35</f>
        <v>69.817654023972793</v>
      </c>
      <c r="C35" s="348">
        <f>INDICE!R35</f>
        <v>71.50502586664588</v>
      </c>
      <c r="D35" s="348">
        <f>INDICE!S35</f>
        <v>65.813417208047881</v>
      </c>
      <c r="E35" s="348">
        <f>INDICE!T35</f>
        <v>58.750406607227795</v>
      </c>
    </row>
    <row r="36" spans="1:5">
      <c r="A36" s="42"/>
      <c r="B36" s="43"/>
      <c r="C36" s="43"/>
      <c r="D36" s="43"/>
      <c r="E36" s="43"/>
    </row>
  </sheetData>
  <mergeCells count="1">
    <mergeCell ref="B1:E1"/>
  </mergeCells>
  <pageMargins left="0.511811024" right="0.511811024" top="0.78740157499999996" bottom="0.78740157499999996" header="0.31496062000000002" footer="0.31496062000000002"/>
  <pageSetup paperSize="9"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rgb="FFCC00FF"/>
  </sheetPr>
  <dimension ref="A1:DP36"/>
  <sheetViews>
    <sheetView zoomScale="90" zoomScaleNormal="90" zoomScalePageLayoutView="90" workbookViewId="0">
      <selection activeCell="E27" sqref="E27"/>
    </sheetView>
  </sheetViews>
  <sheetFormatPr defaultColWidth="8.85546875" defaultRowHeight="15"/>
  <cols>
    <col min="1" max="1" width="25.140625" style="3" bestFit="1" customWidth="1"/>
    <col min="2" max="5" width="8.85546875" style="3"/>
    <col min="6" max="120" width="8.85546875" style="1"/>
  </cols>
  <sheetData>
    <row r="1" spans="1:5" ht="15.75" thickBot="1">
      <c r="A1" s="345" t="s">
        <v>0</v>
      </c>
      <c r="B1" s="1282" t="s">
        <v>83</v>
      </c>
      <c r="C1" s="1283"/>
      <c r="D1" s="1283"/>
      <c r="E1" s="1284"/>
    </row>
    <row r="2" spans="1:5" ht="15.75" thickBot="1">
      <c r="A2" s="346" t="s">
        <v>10</v>
      </c>
      <c r="B2" s="354">
        <v>2004</v>
      </c>
      <c r="C2" s="352">
        <v>2005</v>
      </c>
      <c r="D2" s="352">
        <v>2006</v>
      </c>
      <c r="E2" s="353">
        <v>2007</v>
      </c>
    </row>
    <row r="3" spans="1:5" ht="15.75" thickBot="1">
      <c r="A3" s="347" t="s">
        <v>11</v>
      </c>
      <c r="B3" s="348">
        <f>INDICE!AA3</f>
        <v>22.424121597079743</v>
      </c>
      <c r="C3" s="348">
        <f>INDICE!AB3</f>
        <v>22.785333971754262</v>
      </c>
      <c r="D3" s="348">
        <f>INDICE!AC3</f>
        <v>23.222511229167232</v>
      </c>
      <c r="E3" s="348">
        <f>INDICE!AD3</f>
        <v>22.595763363240579</v>
      </c>
    </row>
    <row r="4" spans="1:5">
      <c r="A4" s="350" t="s">
        <v>12</v>
      </c>
      <c r="B4" s="348">
        <f>INDICE!AA4</f>
        <v>22.194283320358792</v>
      </c>
      <c r="C4" s="348">
        <f>INDICE!AB4</f>
        <v>24.573176697365756</v>
      </c>
      <c r="D4" s="348">
        <f>INDICE!AC4</f>
        <v>21.495473003836317</v>
      </c>
      <c r="E4" s="348">
        <f>INDICE!AD4</f>
        <v>23.685427464384954</v>
      </c>
    </row>
    <row r="5" spans="1:5" s="1" customFormat="1">
      <c r="A5" s="21" t="s">
        <v>13</v>
      </c>
      <c r="B5" s="348">
        <f>INDICE!AA5</f>
        <v>6.3569180082086225</v>
      </c>
      <c r="C5" s="348">
        <f>INDICE!AB5</f>
        <v>3.190848781204044</v>
      </c>
      <c r="D5" s="348">
        <f>INDICE!AC5</f>
        <v>11.803504854155864</v>
      </c>
      <c r="E5" s="348">
        <f>INDICE!AD5</f>
        <v>12.206239395909385</v>
      </c>
    </row>
    <row r="6" spans="1:5">
      <c r="A6" s="21" t="s">
        <v>14</v>
      </c>
      <c r="B6" s="348">
        <f>INDICE!AA6</f>
        <v>5.2159371266875603</v>
      </c>
      <c r="C6" s="348">
        <f>INDICE!AB6</f>
        <v>0</v>
      </c>
      <c r="D6" s="348">
        <f>INDICE!AC6</f>
        <v>0.84779902025112308</v>
      </c>
      <c r="E6" s="348">
        <f>INDICE!AD6</f>
        <v>4.3870134381172683</v>
      </c>
    </row>
    <row r="7" spans="1:5">
      <c r="A7" s="21" t="s">
        <v>15</v>
      </c>
      <c r="B7" s="348">
        <f>INDICE!AA7</f>
        <v>11.572441768016597</v>
      </c>
      <c r="C7" s="348">
        <f>INDICE!AB7</f>
        <v>12.832918661472778</v>
      </c>
      <c r="D7" s="348">
        <f>INDICE!AC7</f>
        <v>8.339506556497982</v>
      </c>
      <c r="E7" s="348">
        <f>INDICE!AD7</f>
        <v>9.3180077487908424</v>
      </c>
    </row>
    <row r="8" spans="1:5">
      <c r="A8" s="21" t="s">
        <v>16</v>
      </c>
      <c r="B8" s="348">
        <f>INDICE!AA8</f>
        <v>19.588144868504092</v>
      </c>
      <c r="C8" s="348">
        <f>INDICE!AB8</f>
        <v>21.048639779697062</v>
      </c>
      <c r="D8" s="348">
        <f>INDICE!AC8</f>
        <v>17.772107066917602</v>
      </c>
      <c r="E8" s="348">
        <f>INDICE!AD8</f>
        <v>21.275292508225235</v>
      </c>
    </row>
    <row r="9" spans="1:5">
      <c r="A9" s="21" t="s">
        <v>17</v>
      </c>
      <c r="B9" s="348">
        <f>INDICE!AA9</f>
        <v>17.721319849053344</v>
      </c>
      <c r="C9" s="348">
        <f>INDICE!AB9</f>
        <v>32.644714872171527</v>
      </c>
      <c r="D9" s="348">
        <f>INDICE!AC9</f>
        <v>25.384610210214756</v>
      </c>
      <c r="E9" s="348">
        <f>INDICE!AD9</f>
        <v>37.211986295320287</v>
      </c>
    </row>
    <row r="10" spans="1:5">
      <c r="A10" s="21" t="s">
        <v>18</v>
      </c>
      <c r="B10" s="348">
        <f>INDICE!AA10</f>
        <v>25.084519201211876</v>
      </c>
      <c r="C10" s="348">
        <f>INDICE!AB10</f>
        <v>38.794611250832233</v>
      </c>
      <c r="D10" s="348">
        <f>INDICE!AC10</f>
        <v>29.439809020060945</v>
      </c>
      <c r="E10" s="348">
        <f>INDICE!AD10</f>
        <v>21.266364601703273</v>
      </c>
    </row>
    <row r="11" spans="1:5">
      <c r="A11" s="21" t="s">
        <v>19</v>
      </c>
      <c r="B11" s="348">
        <f>INDICE!AA11</f>
        <v>71.836339434437804</v>
      </c>
      <c r="C11" s="348">
        <f>INDICE!AB11</f>
        <v>64.882401432341084</v>
      </c>
      <c r="D11" s="348">
        <f>INDICE!AC11</f>
        <v>67.73745650971415</v>
      </c>
      <c r="E11" s="348">
        <f>INDICE!AD11</f>
        <v>59.845586633858758</v>
      </c>
    </row>
    <row r="12" spans="1:5">
      <c r="A12" s="351" t="s">
        <v>20</v>
      </c>
      <c r="B12" s="348">
        <f>INDICE!AA12</f>
        <v>37.280984568068902</v>
      </c>
      <c r="C12" s="348">
        <f>INDICE!AB12</f>
        <v>35.74778984290959</v>
      </c>
      <c r="D12" s="348">
        <f>INDICE!AC12</f>
        <v>37.877780867370419</v>
      </c>
      <c r="E12" s="348">
        <f>INDICE!AD12</f>
        <v>37.138063087790982</v>
      </c>
    </row>
    <row r="13" spans="1:5">
      <c r="A13" s="21" t="s">
        <v>21</v>
      </c>
      <c r="B13" s="348">
        <f>INDICE!AA13</f>
        <v>14.561365232804876</v>
      </c>
      <c r="C13" s="348">
        <f>INDICE!AB13</f>
        <v>4.4685644860713696</v>
      </c>
      <c r="D13" s="348">
        <f>INDICE!AC13</f>
        <v>8.6306685394904878</v>
      </c>
      <c r="E13" s="348">
        <f>INDICE!AD13</f>
        <v>4.9600190615702671</v>
      </c>
    </row>
    <row r="14" spans="1:5">
      <c r="A14" s="21" t="s">
        <v>22</v>
      </c>
      <c r="B14" s="348">
        <f>INDICE!AA14</f>
        <v>51.978146397417049</v>
      </c>
      <c r="C14" s="348">
        <f>INDICE!AB14</f>
        <v>52.276989468736843</v>
      </c>
      <c r="D14" s="348">
        <f>INDICE!AC14</f>
        <v>57.92142401925279</v>
      </c>
      <c r="E14" s="348">
        <f>INDICE!AD14</f>
        <v>55.449822031885788</v>
      </c>
    </row>
    <row r="15" spans="1:5">
      <c r="A15" s="21" t="s">
        <v>23</v>
      </c>
      <c r="B15" s="348">
        <f>INDICE!AA15</f>
        <v>38.83404430396849</v>
      </c>
      <c r="C15" s="348">
        <f>INDICE!AB15</f>
        <v>23.466536179365828</v>
      </c>
      <c r="D15" s="348">
        <f>INDICE!AC15</f>
        <v>32.423188304648619</v>
      </c>
      <c r="E15" s="348">
        <f>INDICE!AD15</f>
        <v>32.9317303716551</v>
      </c>
    </row>
    <row r="16" spans="1:5">
      <c r="A16" s="21" t="s">
        <v>24</v>
      </c>
      <c r="B16" s="348">
        <f>INDICE!AA16</f>
        <v>47.469338807020172</v>
      </c>
      <c r="C16" s="348">
        <f>INDICE!AB16</f>
        <v>48.123445055399593</v>
      </c>
      <c r="D16" s="348">
        <f>INDICE!AC16</f>
        <v>47.284973635182475</v>
      </c>
      <c r="E16" s="348">
        <f>INDICE!AD16</f>
        <v>42.803765911892825</v>
      </c>
    </row>
    <row r="17" spans="1:5">
      <c r="A17" s="21" t="s">
        <v>25</v>
      </c>
      <c r="B17" s="348">
        <f>INDICE!AA17</f>
        <v>16.459675175899527</v>
      </c>
      <c r="C17" s="348">
        <f>INDICE!AB17</f>
        <v>16.235341012519559</v>
      </c>
      <c r="D17" s="348">
        <f>INDICE!AC17</f>
        <v>14.909761501363977</v>
      </c>
      <c r="E17" s="348">
        <f>INDICE!AD17</f>
        <v>25.327307085059758</v>
      </c>
    </row>
    <row r="18" spans="1:5">
      <c r="A18" s="21" t="s">
        <v>26</v>
      </c>
      <c r="B18" s="348">
        <f>INDICE!AA18</f>
        <v>32.305721441366948</v>
      </c>
      <c r="C18" s="348">
        <f>INDICE!AB18</f>
        <v>31.410910456157318</v>
      </c>
      <c r="D18" s="348">
        <f>INDICE!AC18</f>
        <v>29.468994305252544</v>
      </c>
      <c r="E18" s="348">
        <f>INDICE!AD18</f>
        <v>31.629834309437431</v>
      </c>
    </row>
    <row r="19" spans="1:5">
      <c r="A19" s="21" t="s">
        <v>27</v>
      </c>
      <c r="B19" s="348">
        <f>INDICE!AA19</f>
        <v>42.024081383834009</v>
      </c>
      <c r="C19" s="348">
        <f>INDICE!AB19</f>
        <v>47.294133187329209</v>
      </c>
      <c r="D19" s="348">
        <f>INDICE!AC19</f>
        <v>50.847743373640071</v>
      </c>
      <c r="E19" s="348">
        <f>INDICE!AD19</f>
        <v>49.218788156435181</v>
      </c>
    </row>
    <row r="20" spans="1:5">
      <c r="A20" s="21" t="s">
        <v>28</v>
      </c>
      <c r="B20" s="348">
        <f>INDICE!AA20</f>
        <v>23.683107423684838</v>
      </c>
      <c r="C20" s="348">
        <f>INDICE!AB20</f>
        <v>28.612645919563604</v>
      </c>
      <c r="D20" s="348">
        <f>INDICE!AC20</f>
        <v>24.327784613633742</v>
      </c>
      <c r="E20" s="348">
        <f>INDICE!AD20</f>
        <v>21.117480620357895</v>
      </c>
    </row>
    <row r="21" spans="1:5">
      <c r="A21" s="21" t="s">
        <v>29</v>
      </c>
      <c r="B21" s="348">
        <f>INDICE!AA21</f>
        <v>31.372539702841507</v>
      </c>
      <c r="C21" s="348">
        <f>INDICE!AB21</f>
        <v>44.663295393898714</v>
      </c>
      <c r="D21" s="348">
        <f>INDICE!AC21</f>
        <v>41.025476939914761</v>
      </c>
      <c r="E21" s="348">
        <f>INDICE!AD21</f>
        <v>29.820622242647861</v>
      </c>
    </row>
    <row r="22" spans="1:5">
      <c r="A22" s="351" t="s">
        <v>30</v>
      </c>
      <c r="B22" s="348">
        <f>INDICE!AA22</f>
        <v>16.333154364423471</v>
      </c>
      <c r="C22" s="348">
        <f>INDICE!AB22</f>
        <v>17.070687498680307</v>
      </c>
      <c r="D22" s="348">
        <f>INDICE!AC22</f>
        <v>17.485904207319944</v>
      </c>
      <c r="E22" s="348">
        <f>INDICE!AD22</f>
        <v>16.551652198510364</v>
      </c>
    </row>
    <row r="23" spans="1:5">
      <c r="A23" s="21" t="s">
        <v>31</v>
      </c>
      <c r="B23" s="348">
        <f>INDICE!AA23</f>
        <v>41.459207379184683</v>
      </c>
      <c r="C23" s="348">
        <f>INDICE!AB23</f>
        <v>47.852110117845505</v>
      </c>
      <c r="D23" s="348">
        <f>INDICE!AC23</f>
        <v>53.424521877604654</v>
      </c>
      <c r="E23" s="348">
        <f>INDICE!AD23</f>
        <v>49.95846025267705</v>
      </c>
    </row>
    <row r="24" spans="1:5">
      <c r="A24" s="21" t="s">
        <v>32</v>
      </c>
      <c r="B24" s="348">
        <f>INDICE!AA24</f>
        <v>36.976306211499129</v>
      </c>
      <c r="C24" s="348">
        <f>INDICE!AB24</f>
        <v>40.236301402360176</v>
      </c>
      <c r="D24" s="348">
        <f>INDICE!AC24</f>
        <v>40.576227213050636</v>
      </c>
      <c r="E24" s="348">
        <f>INDICE!AD24</f>
        <v>37.179709923057004</v>
      </c>
    </row>
    <row r="25" spans="1:5">
      <c r="A25" s="21" t="s">
        <v>33</v>
      </c>
      <c r="B25" s="348">
        <f>INDICE!AA25</f>
        <v>10.604877646389243</v>
      </c>
      <c r="C25" s="348">
        <f>INDICE!AB25</f>
        <v>10.552915399019275</v>
      </c>
      <c r="D25" s="348">
        <f>INDICE!AC25</f>
        <v>11.780043335527539</v>
      </c>
      <c r="E25" s="348">
        <f>INDICE!AD25</f>
        <v>12.984222709744317</v>
      </c>
    </row>
    <row r="26" spans="1:5">
      <c r="A26" s="21" t="s">
        <v>34</v>
      </c>
      <c r="B26" s="348">
        <f>INDICE!AA26</f>
        <v>10.747009315870129</v>
      </c>
      <c r="C26" s="348">
        <f>INDICE!AB26</f>
        <v>10.397689651018521</v>
      </c>
      <c r="D26" s="348">
        <f>INDICE!AC26</f>
        <v>10.2799780629613</v>
      </c>
      <c r="E26" s="348">
        <f>INDICE!AD26</f>
        <v>9.2174906610511247</v>
      </c>
    </row>
    <row r="27" spans="1:5">
      <c r="A27" s="351" t="s">
        <v>35</v>
      </c>
      <c r="B27" s="348">
        <f>INDICE!AA27</f>
        <v>25.480564725786667</v>
      </c>
      <c r="C27" s="348">
        <f>INDICE!AB27</f>
        <v>25.727835907928387</v>
      </c>
      <c r="D27" s="348">
        <f>INDICE!AC27</f>
        <v>25.592861980915544</v>
      </c>
      <c r="E27" s="348">
        <f>INDICE!AD27</f>
        <v>24.842239492742959</v>
      </c>
    </row>
    <row r="28" spans="1:5">
      <c r="A28" s="21" t="s">
        <v>36</v>
      </c>
      <c r="B28" s="348">
        <f>INDICE!AA28</f>
        <v>36.111808405103503</v>
      </c>
      <c r="C28" s="348">
        <f>INDICE!AB28</f>
        <v>32.556782554292965</v>
      </c>
      <c r="D28" s="348">
        <f>INDICE!AC28</f>
        <v>30.044134651761457</v>
      </c>
      <c r="E28" s="348">
        <f>INDICE!AD28</f>
        <v>30.395047017089023</v>
      </c>
    </row>
    <row r="29" spans="1:5">
      <c r="A29" s="21" t="s">
        <v>37</v>
      </c>
      <c r="B29" s="348">
        <f>INDICE!AA29</f>
        <v>16.858844404195164</v>
      </c>
      <c r="C29" s="348">
        <f>INDICE!AB29</f>
        <v>17.537513651076523</v>
      </c>
      <c r="D29" s="348">
        <f>INDICE!AC29</f>
        <v>17.349105055621276</v>
      </c>
      <c r="E29" s="348">
        <f>INDICE!AD29</f>
        <v>18.147876619988022</v>
      </c>
    </row>
    <row r="30" spans="1:5">
      <c r="A30" s="21" t="s">
        <v>38</v>
      </c>
      <c r="B30" s="348">
        <f>INDICE!AA30</f>
        <v>23.420685022234146</v>
      </c>
      <c r="C30" s="348">
        <f>INDICE!AB30</f>
        <v>27.284658519986749</v>
      </c>
      <c r="D30" s="348">
        <f>INDICE!AC30</f>
        <v>30.664655300296705</v>
      </c>
      <c r="E30" s="348">
        <f>INDICE!AD30</f>
        <v>25.961802641853577</v>
      </c>
    </row>
    <row r="31" spans="1:5">
      <c r="A31" s="351" t="s">
        <v>39</v>
      </c>
      <c r="B31" s="348">
        <f>INDICE!AA31</f>
        <v>30.684113826116992</v>
      </c>
      <c r="C31" s="348">
        <f>INDICE!AB31</f>
        <v>29.36890542282211</v>
      </c>
      <c r="D31" s="348">
        <f>INDICE!AC31</f>
        <v>29.762633899232103</v>
      </c>
      <c r="E31" s="348">
        <f>INDICE!AD31</f>
        <v>27.650098852316042</v>
      </c>
    </row>
    <row r="32" spans="1:5">
      <c r="A32" s="21" t="s">
        <v>40</v>
      </c>
      <c r="B32" s="348">
        <f>INDICE!AA32</f>
        <v>20.012462613600345</v>
      </c>
      <c r="C32" s="348">
        <f>INDICE!AB32</f>
        <v>19.803852861653461</v>
      </c>
      <c r="D32" s="348">
        <f>INDICE!AC32</f>
        <v>22.200689141246112</v>
      </c>
      <c r="E32" s="348">
        <f>INDICE!AD32</f>
        <v>18.260254567617107</v>
      </c>
    </row>
    <row r="33" spans="1:5">
      <c r="A33" s="21" t="s">
        <v>41</v>
      </c>
      <c r="B33" s="348">
        <f>INDICE!AA33</f>
        <v>27.596394887383042</v>
      </c>
      <c r="C33" s="348">
        <f>INDICE!AB33</f>
        <v>24.554799071637227</v>
      </c>
      <c r="D33" s="348">
        <f>INDICE!AC33</f>
        <v>25.993782534171231</v>
      </c>
      <c r="E33" s="348">
        <f>INDICE!AD33</f>
        <v>25.672937065958518</v>
      </c>
    </row>
    <row r="34" spans="1:5">
      <c r="A34" s="21" t="s">
        <v>42</v>
      </c>
      <c r="B34" s="348">
        <f>INDICE!AA34</f>
        <v>45.654637631906887</v>
      </c>
      <c r="C34" s="348">
        <f>INDICE!AB34</f>
        <v>46.592160736345683</v>
      </c>
      <c r="D34" s="348">
        <f>INDICE!AC34</f>
        <v>40.842651676122557</v>
      </c>
      <c r="E34" s="348">
        <f>INDICE!AD34</f>
        <v>39.070035198934072</v>
      </c>
    </row>
    <row r="35" spans="1:5" ht="15.75" thickBot="1">
      <c r="A35" s="33" t="s">
        <v>43</v>
      </c>
      <c r="B35" s="348">
        <f>INDICE!AA35</f>
        <v>42.629523581492521</v>
      </c>
      <c r="C35" s="348">
        <f>INDICE!AB35</f>
        <v>40.947736290223801</v>
      </c>
      <c r="D35" s="348">
        <f>INDICE!AC35</f>
        <v>41.316982123930082</v>
      </c>
      <c r="E35" s="348">
        <f>INDICE!AD35</f>
        <v>35.924396963060339</v>
      </c>
    </row>
    <row r="36" spans="1:5">
      <c r="A36" s="42"/>
      <c r="B36" s="43"/>
      <c r="C36" s="43"/>
      <c r="D36" s="43"/>
      <c r="E36" s="43"/>
    </row>
  </sheetData>
  <mergeCells count="1">
    <mergeCell ref="B1:E1"/>
  </mergeCells>
  <pageMargins left="0.511811024" right="0.511811024" top="0.78740157499999996" bottom="0.78740157499999996" header="0.31496062000000002" footer="0.31496062000000002"/>
  <pageSetup paperSize="9"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rgb="FFFF0066"/>
  </sheetPr>
  <dimension ref="A1:DP36"/>
  <sheetViews>
    <sheetView zoomScale="90" zoomScaleNormal="90" zoomScalePageLayoutView="90" workbookViewId="0">
      <selection activeCell="B1" sqref="B1:E1"/>
    </sheetView>
  </sheetViews>
  <sheetFormatPr defaultColWidth="8.85546875" defaultRowHeight="15"/>
  <cols>
    <col min="1" max="1" width="25.140625" style="3" bestFit="1" customWidth="1"/>
    <col min="2" max="5" width="8.85546875" style="3"/>
    <col min="6" max="120" width="8.85546875" style="1"/>
  </cols>
  <sheetData>
    <row r="1" spans="1:5" ht="15.75" thickBot="1">
      <c r="A1" s="345" t="s">
        <v>0</v>
      </c>
      <c r="B1" s="1282" t="s">
        <v>7</v>
      </c>
      <c r="C1" s="1283"/>
      <c r="D1" s="1283"/>
      <c r="E1" s="1284"/>
    </row>
    <row r="2" spans="1:5" ht="15.75" thickBot="1">
      <c r="A2" s="346" t="s">
        <v>10</v>
      </c>
      <c r="B2" s="354">
        <v>2004</v>
      </c>
      <c r="C2" s="352">
        <v>2005</v>
      </c>
      <c r="D2" s="352">
        <v>2006</v>
      </c>
      <c r="E2" s="353">
        <v>2007</v>
      </c>
    </row>
    <row r="3" spans="1:5" ht="15.75" thickBot="1">
      <c r="A3" s="347" t="s">
        <v>11</v>
      </c>
      <c r="B3" s="348">
        <f>INDICE!AF3</f>
        <v>8.7813474401433531</v>
      </c>
      <c r="C3" s="348">
        <f>INDICE!AG3</f>
        <v>8.353098180900945</v>
      </c>
      <c r="D3" s="348">
        <f>INDICE!AH3</f>
        <v>8.6370697200089062</v>
      </c>
      <c r="E3" s="348">
        <f>INDICE!AI3</f>
        <v>8.3544738123573996</v>
      </c>
    </row>
    <row r="4" spans="1:5">
      <c r="A4" s="350" t="s">
        <v>12</v>
      </c>
      <c r="B4" s="348">
        <f>INDICE!AF4</f>
        <v>4.216572906118973</v>
      </c>
      <c r="C4" s="348">
        <f>INDICE!AG4</f>
        <v>4.5992178450028112</v>
      </c>
      <c r="D4" s="348">
        <f>INDICE!AH4</f>
        <v>3.4894567554856453</v>
      </c>
      <c r="E4" s="348">
        <f>INDICE!AI4</f>
        <v>4.1961620757630618</v>
      </c>
    </row>
    <row r="5" spans="1:5" s="1" customFormat="1">
      <c r="A5" s="21" t="s">
        <v>13</v>
      </c>
      <c r="B5" s="348">
        <f>INDICE!AF5</f>
        <v>0</v>
      </c>
      <c r="C5" s="348">
        <f>INDICE!AG5</f>
        <v>0</v>
      </c>
      <c r="D5" s="348">
        <f>INDICE!AH5</f>
        <v>0</v>
      </c>
      <c r="E5" s="348">
        <f>INDICE!AI5</f>
        <v>1.4869536383069082</v>
      </c>
    </row>
    <row r="6" spans="1:5">
      <c r="A6" s="21" t="s">
        <v>14</v>
      </c>
      <c r="B6" s="348">
        <f>INDICE!AF6</f>
        <v>4.4359263228889763</v>
      </c>
      <c r="C6" s="348">
        <f>INDICE!AG6</f>
        <v>0</v>
      </c>
      <c r="D6" s="348">
        <f>INDICE!AH6</f>
        <v>0</v>
      </c>
      <c r="E6" s="348">
        <f>INDICE!AI6</f>
        <v>0</v>
      </c>
    </row>
    <row r="7" spans="1:5">
      <c r="A7" s="21" t="s">
        <v>15</v>
      </c>
      <c r="B7" s="348">
        <f>INDICE!AF7</f>
        <v>1.1802372422121237</v>
      </c>
      <c r="C7" s="348">
        <f>INDICE!AG7</f>
        <v>3.4944406704480611</v>
      </c>
      <c r="D7" s="348">
        <f>INDICE!AH7</f>
        <v>2.3910549123182077</v>
      </c>
      <c r="E7" s="348">
        <f>INDICE!AI7</f>
        <v>4.446165029903911</v>
      </c>
    </row>
    <row r="8" spans="1:5">
      <c r="A8" s="21" t="s">
        <v>16</v>
      </c>
      <c r="B8" s="348">
        <f>INDICE!AF8</f>
        <v>4.5588564177965409</v>
      </c>
      <c r="C8" s="348">
        <f>INDICE!AG8</f>
        <v>3.6008610172954238</v>
      </c>
      <c r="D8" s="348">
        <f>INDICE!AH8</f>
        <v>3.7612506321611883</v>
      </c>
      <c r="E8" s="348">
        <f>INDICE!AI8</f>
        <v>4.4545108421354342</v>
      </c>
    </row>
    <row r="9" spans="1:5">
      <c r="A9" s="21" t="s">
        <v>17</v>
      </c>
      <c r="B9" s="348">
        <f>INDICE!AF9</f>
        <v>4.0945801424900292</v>
      </c>
      <c r="C9" s="348">
        <f>INDICE!AG9</f>
        <v>5.1161374006732698</v>
      </c>
      <c r="D9" s="348">
        <f>INDICE!AH9</f>
        <v>4.7361325874612268</v>
      </c>
      <c r="E9" s="348">
        <f>INDICE!AI9</f>
        <v>7.1300199537917379</v>
      </c>
    </row>
    <row r="10" spans="1:5">
      <c r="A10" s="21" t="s">
        <v>18</v>
      </c>
      <c r="B10" s="348">
        <f>INDICE!AF10</f>
        <v>17.664479804987149</v>
      </c>
      <c r="C10" s="348">
        <f>INDICE!AG10</f>
        <v>0</v>
      </c>
      <c r="D10" s="348">
        <f>INDICE!AH10</f>
        <v>0</v>
      </c>
      <c r="E10" s="348">
        <f>INDICE!AI10</f>
        <v>0</v>
      </c>
    </row>
    <row r="11" spans="1:5">
      <c r="A11" s="21" t="s">
        <v>19</v>
      </c>
      <c r="B11" s="348">
        <f>INDICE!AF11</f>
        <v>6.0453745778104091</v>
      </c>
      <c r="C11" s="348">
        <f>INDICE!AG11</f>
        <v>10.31116985586578</v>
      </c>
      <c r="D11" s="348">
        <f>INDICE!AH11</f>
        <v>4.7643480610699909</v>
      </c>
      <c r="E11" s="348">
        <f>INDICE!AI11</f>
        <v>2.910841217247107</v>
      </c>
    </row>
    <row r="12" spans="1:5">
      <c r="A12" s="351" t="s">
        <v>20</v>
      </c>
      <c r="B12" s="348">
        <f>INDICE!AF12</f>
        <v>11.867687081511786</v>
      </c>
      <c r="C12" s="348">
        <f>INDICE!AG12</f>
        <v>14.7143267486888</v>
      </c>
      <c r="D12" s="348">
        <f>INDICE!AH12</f>
        <v>10.134508596254102</v>
      </c>
      <c r="E12" s="348">
        <f>INDICE!AI12</f>
        <v>10.821372358511869</v>
      </c>
    </row>
    <row r="13" spans="1:5">
      <c r="A13" s="21" t="s">
        <v>21</v>
      </c>
      <c r="B13" s="348">
        <f>INDICE!AF13</f>
        <v>10.216597748635476</v>
      </c>
      <c r="C13" s="348">
        <f>INDICE!AG13</f>
        <v>4.6343272073196848</v>
      </c>
      <c r="D13" s="348">
        <f>INDICE!AH13</f>
        <v>2.0664741861280569</v>
      </c>
      <c r="E13" s="348">
        <f>INDICE!AI13</f>
        <v>4.2102192055054353</v>
      </c>
    </row>
    <row r="14" spans="1:5">
      <c r="A14" s="21" t="s">
        <v>22</v>
      </c>
      <c r="B14" s="348">
        <f>INDICE!AF14</f>
        <v>6.0717948947903579</v>
      </c>
      <c r="C14" s="348">
        <f>INDICE!AG14</f>
        <v>10.130522292041471</v>
      </c>
      <c r="D14" s="348">
        <f>INDICE!AH14</f>
        <v>5.6765344071351267</v>
      </c>
      <c r="E14" s="348">
        <f>INDICE!AI14</f>
        <v>8.110802082149668</v>
      </c>
    </row>
    <row r="15" spans="1:5">
      <c r="A15" s="21" t="s">
        <v>23</v>
      </c>
      <c r="B15" s="348">
        <f>INDICE!AF15</f>
        <v>14.40545574311979</v>
      </c>
      <c r="C15" s="348">
        <f>INDICE!AG15</f>
        <v>5.1739503892178318</v>
      </c>
      <c r="D15" s="348">
        <f>INDICE!AH15</f>
        <v>6.1954317967503689</v>
      </c>
      <c r="E15" s="348">
        <f>INDICE!AI15</f>
        <v>4.4532177101839547</v>
      </c>
    </row>
    <row r="16" spans="1:5">
      <c r="A16" s="21" t="s">
        <v>24</v>
      </c>
      <c r="B16" s="348">
        <f>INDICE!AF16</f>
        <v>15.632544369756097</v>
      </c>
      <c r="C16" s="348">
        <f>INDICE!AG16</f>
        <v>38.605851905522805</v>
      </c>
      <c r="D16" s="348">
        <f>INDICE!AH16</f>
        <v>26.001961465719166</v>
      </c>
      <c r="E16" s="348">
        <f>INDICE!AI16</f>
        <v>20.657068565349139</v>
      </c>
    </row>
    <row r="17" spans="1:5">
      <c r="A17" s="21" t="s">
        <v>25</v>
      </c>
      <c r="B17" s="348">
        <f>INDICE!AF17</f>
        <v>9.0860522743179679</v>
      </c>
      <c r="C17" s="348">
        <f>INDICE!AG17</f>
        <v>2.864998420149881</v>
      </c>
      <c r="D17" s="348">
        <f>INDICE!AH17</f>
        <v>4.136836668423908</v>
      </c>
      <c r="E17" s="348">
        <f>INDICE!AI17</f>
        <v>16.958944271185491</v>
      </c>
    </row>
    <row r="18" spans="1:5">
      <c r="A18" s="21" t="s">
        <v>26</v>
      </c>
      <c r="B18" s="348">
        <f>INDICE!AF18</f>
        <v>13.62997202401054</v>
      </c>
      <c r="C18" s="348">
        <f>INDICE!AG18</f>
        <v>15.156156215082543</v>
      </c>
      <c r="D18" s="348">
        <f>INDICE!AH18</f>
        <v>10.343431481094774</v>
      </c>
      <c r="E18" s="348">
        <f>INDICE!AI18</f>
        <v>10.435093460580246</v>
      </c>
    </row>
    <row r="19" spans="1:5">
      <c r="A19" s="21" t="s">
        <v>27</v>
      </c>
      <c r="B19" s="348">
        <f>INDICE!AF19</f>
        <v>32.586521404667252</v>
      </c>
      <c r="C19" s="348">
        <f>INDICE!AG19</f>
        <v>25.197011105364496</v>
      </c>
      <c r="D19" s="348">
        <f>INDICE!AH19</f>
        <v>32.400160790594462</v>
      </c>
      <c r="E19" s="348">
        <f>INDICE!AI19</f>
        <v>17.746721371877403</v>
      </c>
    </row>
    <row r="20" spans="1:5">
      <c r="A20" s="21" t="s">
        <v>28</v>
      </c>
      <c r="B20" s="348">
        <f>INDICE!AF20</f>
        <v>1.3946526107349377</v>
      </c>
      <c r="C20" s="348">
        <f>INDICE!AG20</f>
        <v>4.0914689789531025</v>
      </c>
      <c r="D20" s="348">
        <f>INDICE!AH20</f>
        <v>2.5762635195170072</v>
      </c>
      <c r="E20" s="348">
        <f>INDICE!AI20</f>
        <v>4.429649249353961</v>
      </c>
    </row>
    <row r="21" spans="1:5">
      <c r="A21" s="21" t="s">
        <v>29</v>
      </c>
      <c r="B21" s="348">
        <f>INDICE!AF21</f>
        <v>29.116588161738466</v>
      </c>
      <c r="C21" s="348">
        <f>INDICE!AG21</f>
        <v>63.888977644055871</v>
      </c>
      <c r="D21" s="348">
        <f>INDICE!AH21</f>
        <v>26.641221311815166</v>
      </c>
      <c r="E21" s="348">
        <f>INDICE!AI21</f>
        <v>36.308941195226538</v>
      </c>
    </row>
    <row r="22" spans="1:5">
      <c r="A22" s="351" t="s">
        <v>30</v>
      </c>
      <c r="B22" s="348">
        <f>INDICE!AF22</f>
        <v>7.9495119633214992</v>
      </c>
      <c r="C22" s="348">
        <f>INDICE!AG22</f>
        <v>8.034539641633291</v>
      </c>
      <c r="D22" s="348">
        <f>INDICE!AH22</f>
        <v>8.2889762042012549</v>
      </c>
      <c r="E22" s="348">
        <f>INDICE!AI22</f>
        <v>7.4943989930833137</v>
      </c>
    </row>
    <row r="23" spans="1:5">
      <c r="A23" s="21" t="s">
        <v>31</v>
      </c>
      <c r="B23" s="348">
        <f>INDICE!AF23</f>
        <v>10.181400427193497</v>
      </c>
      <c r="C23" s="348">
        <f>INDICE!AG23</f>
        <v>8.9014644093393205</v>
      </c>
      <c r="D23" s="348">
        <f>INDICE!AH23</f>
        <v>13.732305084565164</v>
      </c>
      <c r="E23" s="348">
        <f>INDICE!AI23</f>
        <v>15.691611973532497</v>
      </c>
    </row>
    <row r="24" spans="1:5">
      <c r="A24" s="21" t="s">
        <v>32</v>
      </c>
      <c r="B24" s="348">
        <f>INDICE!AF24</f>
        <v>7.2482041540370599</v>
      </c>
      <c r="C24" s="348">
        <f>INDICE!AG24</f>
        <v>7.9706634512727117</v>
      </c>
      <c r="D24" s="348">
        <f>INDICE!AH24</f>
        <v>9.2298424678486519</v>
      </c>
      <c r="E24" s="348">
        <f>INDICE!AI24</f>
        <v>7.0633689801576329</v>
      </c>
    </row>
    <row r="25" spans="1:5">
      <c r="A25" s="21" t="s">
        <v>33</v>
      </c>
      <c r="B25" s="348">
        <f>INDICE!AF25</f>
        <v>25.453738286296701</v>
      </c>
      <c r="C25" s="348">
        <f>INDICE!AG25</f>
        <v>11.486678355942864</v>
      </c>
      <c r="D25" s="348">
        <f>INDICE!AH25</f>
        <v>16.906191594878745</v>
      </c>
      <c r="E25" s="348">
        <f>INDICE!AI25</f>
        <v>16.498230634430872</v>
      </c>
    </row>
    <row r="26" spans="1:5">
      <c r="A26" s="21" t="s">
        <v>34</v>
      </c>
      <c r="B26" s="348">
        <f>INDICE!AF26</f>
        <v>5.5832657771970791</v>
      </c>
      <c r="C26" s="348">
        <f>INDICE!AG26</f>
        <v>7.4746731295288793</v>
      </c>
      <c r="D26" s="348">
        <f>INDICE!AH26</f>
        <v>5.8645577320068867</v>
      </c>
      <c r="E26" s="348">
        <f>INDICE!AI26</f>
        <v>5.8183245940396455</v>
      </c>
    </row>
    <row r="27" spans="1:5">
      <c r="A27" s="351" t="s">
        <v>35</v>
      </c>
      <c r="B27" s="348">
        <f>INDICE!AF27</f>
        <v>9.3728727184229381</v>
      </c>
      <c r="C27" s="348">
        <f>INDICE!AG27</f>
        <v>6.729533281672305</v>
      </c>
      <c r="D27" s="348">
        <f>INDICE!AH27</f>
        <v>9.7352429074181064</v>
      </c>
      <c r="E27" s="348">
        <f>INDICE!AI27</f>
        <v>10.29129359829675</v>
      </c>
    </row>
    <row r="28" spans="1:5">
      <c r="A28" s="21" t="s">
        <v>36</v>
      </c>
      <c r="B28" s="348">
        <f>INDICE!AF28</f>
        <v>10.110259090490239</v>
      </c>
      <c r="C28" s="348">
        <f>INDICE!AG28</f>
        <v>7.1167869204854535</v>
      </c>
      <c r="D28" s="348">
        <f>INDICE!AH28</f>
        <v>9.6599848901697953</v>
      </c>
      <c r="E28" s="348">
        <f>INDICE!AI28</f>
        <v>10.388701575052327</v>
      </c>
    </row>
    <row r="29" spans="1:5">
      <c r="A29" s="21" t="s">
        <v>37</v>
      </c>
      <c r="B29" s="348">
        <f>INDICE!AF29</f>
        <v>6.5525254472057455</v>
      </c>
      <c r="C29" s="348">
        <f>INDICE!AG29</f>
        <v>5.5492925885556019</v>
      </c>
      <c r="D29" s="348">
        <f>INDICE!AH29</f>
        <v>9.5230822770513868</v>
      </c>
      <c r="E29" s="348">
        <f>INDICE!AI29</f>
        <v>8.7530263814059808</v>
      </c>
    </row>
    <row r="30" spans="1:5">
      <c r="A30" s="21" t="s">
        <v>38</v>
      </c>
      <c r="B30" s="348">
        <f>INDICE!AF30</f>
        <v>12.169958661414773</v>
      </c>
      <c r="C30" s="348">
        <f>INDICE!AG30</f>
        <v>7.7426194661856966</v>
      </c>
      <c r="D30" s="348">
        <f>INDICE!AH30</f>
        <v>10.136960441396862</v>
      </c>
      <c r="E30" s="348">
        <f>INDICE!AI30</f>
        <v>12.121502817835342</v>
      </c>
    </row>
    <row r="31" spans="1:5">
      <c r="A31" s="351" t="s">
        <v>39</v>
      </c>
      <c r="B31" s="348">
        <f>INDICE!AF31</f>
        <v>11.547548652274713</v>
      </c>
      <c r="C31" s="348">
        <f>INDICE!AG31</f>
        <v>9.3517902973497762</v>
      </c>
      <c r="D31" s="348">
        <f>INDICE!AH31</f>
        <v>11.163897095241913</v>
      </c>
      <c r="E31" s="348">
        <f>INDICE!AI31</f>
        <v>9.1025218592835166</v>
      </c>
    </row>
    <row r="32" spans="1:5">
      <c r="A32" s="21" t="s">
        <v>40</v>
      </c>
      <c r="B32" s="348">
        <f>INDICE!AF32</f>
        <v>3.9822158421032481</v>
      </c>
      <c r="C32" s="348">
        <f>INDICE!AG32</f>
        <v>4.8423580170761076</v>
      </c>
      <c r="D32" s="348">
        <f>INDICE!AH32</f>
        <v>8.4400298430442025</v>
      </c>
      <c r="E32" s="348">
        <f>INDICE!AI32</f>
        <v>4.4604530023393609</v>
      </c>
    </row>
    <row r="33" spans="1:5">
      <c r="A33" s="21" t="s">
        <v>41</v>
      </c>
      <c r="B33" s="348">
        <f>INDICE!AF33</f>
        <v>8.6563757791279645</v>
      </c>
      <c r="C33" s="348">
        <f>INDICE!AG33</f>
        <v>8.6423223361472363</v>
      </c>
      <c r="D33" s="348">
        <f>INDICE!AH33</f>
        <v>9.1547256867310161</v>
      </c>
      <c r="E33" s="348">
        <f>INDICE!AI33</f>
        <v>7.1189129357679599</v>
      </c>
    </row>
    <row r="34" spans="1:5">
      <c r="A34" s="21" t="s">
        <v>42</v>
      </c>
      <c r="B34" s="348">
        <f>INDICE!AF34</f>
        <v>13.55467702595397</v>
      </c>
      <c r="C34" s="348">
        <f>INDICE!AG34</f>
        <v>9.726239501713021</v>
      </c>
      <c r="D34" s="348">
        <f>INDICE!AH34</f>
        <v>12.11878846082535</v>
      </c>
      <c r="E34" s="348">
        <f>INDICE!AI34</f>
        <v>10.004062009280952</v>
      </c>
    </row>
    <row r="35" spans="1:5" ht="15.75" thickBot="1">
      <c r="A35" s="33" t="s">
        <v>43</v>
      </c>
      <c r="B35" s="348">
        <f>INDICE!AF35</f>
        <v>16.196078435228216</v>
      </c>
      <c r="C35" s="348">
        <f>INDICE!AG35</f>
        <v>11.473006409416737</v>
      </c>
      <c r="D35" s="348">
        <f>INDICE!AH35</f>
        <v>14.042886430721031</v>
      </c>
      <c r="E35" s="348">
        <f>INDICE!AI35</f>
        <v>12.778051203360816</v>
      </c>
    </row>
    <row r="36" spans="1:5">
      <c r="A36" s="42"/>
      <c r="B36" s="43"/>
      <c r="C36" s="43"/>
      <c r="D36" s="43"/>
      <c r="E36" s="43"/>
    </row>
  </sheetData>
  <mergeCells count="1">
    <mergeCell ref="B1:E1"/>
  </mergeCells>
  <pageMargins left="0.511811024" right="0.511811024" top="0.78740157499999996" bottom="0.78740157499999996" header="0.31496062000000002" footer="0.31496062000000002"/>
  <pageSetup paperSize="9"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rgb="FFCC00FF"/>
  </sheetPr>
  <dimension ref="A1:DP36"/>
  <sheetViews>
    <sheetView topLeftCell="A10" zoomScale="90" zoomScaleNormal="90" zoomScalePageLayoutView="90" workbookViewId="0">
      <selection activeCell="E31" sqref="E31"/>
    </sheetView>
  </sheetViews>
  <sheetFormatPr defaultColWidth="8.85546875" defaultRowHeight="15"/>
  <cols>
    <col min="1" max="1" width="25.140625" style="3" bestFit="1" customWidth="1"/>
    <col min="2" max="5" width="8.85546875" style="3"/>
    <col min="6" max="120" width="8.85546875" style="1"/>
  </cols>
  <sheetData>
    <row r="1" spans="1:5" ht="15.75" thickBot="1">
      <c r="A1" s="345" t="s">
        <v>0</v>
      </c>
      <c r="B1" s="1282" t="s">
        <v>8</v>
      </c>
      <c r="C1" s="1283"/>
      <c r="D1" s="1283"/>
      <c r="E1" s="1284"/>
    </row>
    <row r="2" spans="1:5" ht="15.75" thickBot="1">
      <c r="A2" s="346" t="s">
        <v>10</v>
      </c>
      <c r="B2" s="354">
        <v>2004</v>
      </c>
      <c r="C2" s="352">
        <v>2005</v>
      </c>
      <c r="D2" s="352">
        <v>2006</v>
      </c>
      <c r="E2" s="353">
        <v>2007</v>
      </c>
    </row>
    <row r="3" spans="1:5" ht="15.75" thickBot="1">
      <c r="A3" s="347" t="s">
        <v>11</v>
      </c>
      <c r="B3" s="348">
        <f>INDICE!AK3</f>
        <v>3.484834084290783</v>
      </c>
      <c r="C3" s="348">
        <f>INDICE!AL3</f>
        <v>2.8959430755123665</v>
      </c>
      <c r="D3" s="348">
        <f>INDICE!AM3</f>
        <v>3.3420183626525932</v>
      </c>
      <c r="E3" s="348">
        <f>INDICE!AN3</f>
        <v>3.1382194124861824</v>
      </c>
    </row>
    <row r="4" spans="1:5">
      <c r="A4" s="350" t="s">
        <v>12</v>
      </c>
      <c r="B4" s="348">
        <f>INDICE!AK4</f>
        <v>2.450078532647689</v>
      </c>
      <c r="C4" s="348">
        <f>INDICE!AL4</f>
        <v>4.2168893748822178</v>
      </c>
      <c r="D4" s="348">
        <f>INDICE!AM4</f>
        <v>3.0484568034920407</v>
      </c>
      <c r="E4" s="348">
        <f>INDICE!AN4</f>
        <v>5.0506817787036375</v>
      </c>
    </row>
    <row r="5" spans="1:5" s="1" customFormat="1">
      <c r="A5" s="21" t="s">
        <v>13</v>
      </c>
      <c r="B5" s="348">
        <f>INDICE!AK5</f>
        <v>0</v>
      </c>
      <c r="C5" s="348">
        <f>INDICE!AL5</f>
        <v>12.922969422841053</v>
      </c>
      <c r="D5" s="348">
        <f>INDICE!AM5</f>
        <v>0</v>
      </c>
      <c r="E5" s="348">
        <f>INDICE!AN5</f>
        <v>0</v>
      </c>
    </row>
    <row r="6" spans="1:5">
      <c r="A6" s="21" t="s">
        <v>14</v>
      </c>
      <c r="B6" s="348">
        <f>INDICE!AK6</f>
        <v>0</v>
      </c>
      <c r="C6" s="348">
        <f>INDICE!AL6</f>
        <v>0</v>
      </c>
      <c r="D6" s="348">
        <f>INDICE!AM6</f>
        <v>5.7797019108679448</v>
      </c>
      <c r="E6" s="348">
        <f>INDICE!AN6</f>
        <v>0</v>
      </c>
    </row>
    <row r="7" spans="1:5">
      <c r="A7" s="21" t="s">
        <v>15</v>
      </c>
      <c r="B7" s="348">
        <f>INDICE!AK7</f>
        <v>1.0784149858096401</v>
      </c>
      <c r="C7" s="348">
        <f>INDICE!AL7</f>
        <v>3.8871064291100912</v>
      </c>
      <c r="D7" s="348">
        <f>INDICE!AM7</f>
        <v>1.0970655118519494</v>
      </c>
      <c r="E7" s="348">
        <f>INDICE!AN7</f>
        <v>1.0640668044763717</v>
      </c>
    </row>
    <row r="8" spans="1:5">
      <c r="A8" s="21" t="s">
        <v>16</v>
      </c>
      <c r="B8" s="348">
        <f>INDICE!AK8</f>
        <v>3.6037360449508702</v>
      </c>
      <c r="C8" s="348">
        <f>INDICE!AL8</f>
        <v>3.1702119235884467</v>
      </c>
      <c r="D8" s="348">
        <f>INDICE!AM8</f>
        <v>1.672971924231025</v>
      </c>
      <c r="E8" s="348">
        <f>INDICE!AN8</f>
        <v>7.4790425140974817</v>
      </c>
    </row>
    <row r="9" spans="1:5">
      <c r="A9" s="21" t="s">
        <v>17</v>
      </c>
      <c r="B9" s="348">
        <f>INDICE!AK9</f>
        <v>4.9101361140864244</v>
      </c>
      <c r="C9" s="348">
        <f>INDICE!AL9</f>
        <v>8.7198040421020213</v>
      </c>
      <c r="D9" s="348">
        <f>INDICE!AM9</f>
        <v>2.0681881652652865</v>
      </c>
      <c r="E9" s="348">
        <f>INDICE!AN9</f>
        <v>2.0495792412370135</v>
      </c>
    </row>
    <row r="10" spans="1:5">
      <c r="A10" s="21" t="s">
        <v>18</v>
      </c>
      <c r="B10" s="348">
        <f>INDICE!AK10</f>
        <v>0</v>
      </c>
      <c r="C10" s="348">
        <f>INDICE!AL10</f>
        <v>0</v>
      </c>
      <c r="D10" s="348">
        <f>INDICE!AM10</f>
        <v>10.99346226727034</v>
      </c>
      <c r="E10" s="348">
        <f>INDICE!AN10</f>
        <v>0</v>
      </c>
    </row>
    <row r="11" spans="1:5">
      <c r="A11" s="21" t="s">
        <v>19</v>
      </c>
      <c r="B11" s="348">
        <f>INDICE!AK11</f>
        <v>0</v>
      </c>
      <c r="C11" s="348">
        <f>INDICE!AL11</f>
        <v>4.9305559560825527</v>
      </c>
      <c r="D11" s="348">
        <f>INDICE!AM11</f>
        <v>11.32084930692672</v>
      </c>
      <c r="E11" s="348">
        <f>INDICE!AN11</f>
        <v>10.010135480762651</v>
      </c>
    </row>
    <row r="12" spans="1:5">
      <c r="A12" s="351" t="s">
        <v>20</v>
      </c>
      <c r="B12" s="348">
        <f>INDICE!AK12</f>
        <v>5.0744491661239364</v>
      </c>
      <c r="C12" s="348">
        <f>INDICE!AL12</f>
        <v>3.2414854486462237</v>
      </c>
      <c r="D12" s="348">
        <f>INDICE!AM12</f>
        <v>3.685207022002265</v>
      </c>
      <c r="E12" s="348">
        <f>INDICE!AN12</f>
        <v>3.2605613702621841</v>
      </c>
    </row>
    <row r="13" spans="1:5">
      <c r="A13" s="21" t="s">
        <v>21</v>
      </c>
      <c r="B13" s="348">
        <f>INDICE!AK13</f>
        <v>0</v>
      </c>
      <c r="C13" s="348">
        <f>INDICE!AL13</f>
        <v>0</v>
      </c>
      <c r="D13" s="348">
        <f>INDICE!AM13</f>
        <v>1.7404339648893745</v>
      </c>
      <c r="E13" s="348">
        <f>INDICE!AN13</f>
        <v>0</v>
      </c>
    </row>
    <row r="14" spans="1:5">
      <c r="A14" s="21" t="s">
        <v>22</v>
      </c>
      <c r="B14" s="348">
        <f>INDICE!AK14</f>
        <v>1.285207043565229</v>
      </c>
      <c r="C14" s="348">
        <f>INDICE!AL14</f>
        <v>2.1031112657212696</v>
      </c>
      <c r="D14" s="348">
        <f>INDICE!AM14</f>
        <v>3.3268158328145798</v>
      </c>
      <c r="E14" s="348">
        <f>INDICE!AN14</f>
        <v>2.6711341182883963</v>
      </c>
    </row>
    <row r="15" spans="1:5">
      <c r="A15" s="21" t="s">
        <v>23</v>
      </c>
      <c r="B15" s="348">
        <f>INDICE!AK15</f>
        <v>6.6730103526380313</v>
      </c>
      <c r="C15" s="348">
        <f>INDICE!AL15</f>
        <v>4.1747706729184531</v>
      </c>
      <c r="D15" s="348">
        <f>INDICE!AM15</f>
        <v>6.2640463582885655</v>
      </c>
      <c r="E15" s="348">
        <f>INDICE!AN15</f>
        <v>3.4789797855355649</v>
      </c>
    </row>
    <row r="16" spans="1:5">
      <c r="A16" s="21" t="s">
        <v>24</v>
      </c>
      <c r="B16" s="348">
        <f>INDICE!AK16</f>
        <v>22.808448186179852</v>
      </c>
      <c r="C16" s="348">
        <f>INDICE!AL16</f>
        <v>7.6365756986488922</v>
      </c>
      <c r="D16" s="348">
        <f>INDICE!AM16</f>
        <v>12.860284569141896</v>
      </c>
      <c r="E16" s="348">
        <f>INDICE!AN16</f>
        <v>11.58754970004308</v>
      </c>
    </row>
    <row r="17" spans="1:5">
      <c r="A17" s="21" t="s">
        <v>25</v>
      </c>
      <c r="B17" s="348">
        <f>INDICE!AK17</f>
        <v>26.240312954440146</v>
      </c>
      <c r="C17" s="348">
        <f>INDICE!AL17</f>
        <v>5.4951026672253356</v>
      </c>
      <c r="D17" s="348">
        <f>INDICE!AM17</f>
        <v>1.7242528544174798</v>
      </c>
      <c r="E17" s="348">
        <f>INDICE!AN17</f>
        <v>1.5849738960873685</v>
      </c>
    </row>
    <row r="18" spans="1:5">
      <c r="A18" s="21" t="s">
        <v>26</v>
      </c>
      <c r="B18" s="348">
        <f>INDICE!AK18</f>
        <v>5.3627377534021745</v>
      </c>
      <c r="C18" s="348">
        <f>INDICE!AL18</f>
        <v>5.2815424025522679</v>
      </c>
      <c r="D18" s="348">
        <f>INDICE!AM18</f>
        <v>2.1747123726633442</v>
      </c>
      <c r="E18" s="348">
        <f>INDICE!AN18</f>
        <v>3.8368545385847539</v>
      </c>
    </row>
    <row r="19" spans="1:5">
      <c r="A19" s="21" t="s">
        <v>27</v>
      </c>
      <c r="B19" s="348">
        <f>INDICE!AK19</f>
        <v>2.09127643310448</v>
      </c>
      <c r="C19" s="348">
        <f>INDICE!AL19</f>
        <v>5.5988790482077242</v>
      </c>
      <c r="D19" s="348">
        <f>INDICE!AM19</f>
        <v>0</v>
      </c>
      <c r="E19" s="348">
        <f>INDICE!AN19</f>
        <v>3.0980106544878252</v>
      </c>
    </row>
    <row r="20" spans="1:5">
      <c r="A20" s="21" t="s">
        <v>28</v>
      </c>
      <c r="B20" s="348">
        <f>INDICE!AK20</f>
        <v>0</v>
      </c>
      <c r="C20" s="348">
        <f>INDICE!AL20</f>
        <v>0</v>
      </c>
      <c r="D20" s="348">
        <f>INDICE!AM20</f>
        <v>3.3119670779156971</v>
      </c>
      <c r="E20" s="348">
        <f>INDICE!AN20</f>
        <v>1.3972695718229282</v>
      </c>
    </row>
    <row r="21" spans="1:5">
      <c r="A21" s="21" t="s">
        <v>29</v>
      </c>
      <c r="B21" s="348">
        <f>INDICE!AK21</f>
        <v>0</v>
      </c>
      <c r="C21" s="348">
        <f>INDICE!AL21</f>
        <v>0</v>
      </c>
      <c r="D21" s="348">
        <f>INDICE!AM21</f>
        <v>1.8258728781706175</v>
      </c>
      <c r="E21" s="348">
        <f>INDICE!AN21</f>
        <v>1.768446049888903</v>
      </c>
    </row>
    <row r="22" spans="1:5">
      <c r="A22" s="351" t="s">
        <v>30</v>
      </c>
      <c r="B22" s="348">
        <f>INDICE!AK22</f>
        <v>2.1682115398025146</v>
      </c>
      <c r="C22" s="348">
        <f>INDICE!AL22</f>
        <v>2.1315292637467582</v>
      </c>
      <c r="D22" s="348">
        <f>INDICE!AM22</f>
        <v>2.5050362821880703</v>
      </c>
      <c r="E22" s="348">
        <f>INDICE!AN22</f>
        <v>2.55513639783352</v>
      </c>
    </row>
    <row r="23" spans="1:5">
      <c r="A23" s="21" t="s">
        <v>31</v>
      </c>
      <c r="B23" s="348">
        <f>INDICE!AK23</f>
        <v>1.7645092049550783</v>
      </c>
      <c r="C23" s="348">
        <f>INDICE!AL23</f>
        <v>0.78518746764968406</v>
      </c>
      <c r="D23" s="348">
        <f>INDICE!AM23</f>
        <v>0</v>
      </c>
      <c r="E23" s="348">
        <f>INDICE!AN23</f>
        <v>0.67959074724707613</v>
      </c>
    </row>
    <row r="24" spans="1:5">
      <c r="A24" s="21" t="s">
        <v>32</v>
      </c>
      <c r="B24" s="348">
        <f>INDICE!AK24</f>
        <v>1.9995404725127721</v>
      </c>
      <c r="C24" s="348">
        <f>INDICE!AL24</f>
        <v>1.6781584860747154</v>
      </c>
      <c r="D24" s="348">
        <f>INDICE!AM24</f>
        <v>4.1101696251536453</v>
      </c>
      <c r="E24" s="348">
        <f>INDICE!AN24</f>
        <v>3.1179780310985081</v>
      </c>
    </row>
    <row r="25" spans="1:5">
      <c r="A25" s="21" t="s">
        <v>33</v>
      </c>
      <c r="B25" s="348">
        <f>INDICE!AK25</f>
        <v>2.8870605590883427</v>
      </c>
      <c r="C25" s="348">
        <f>INDICE!AL25</f>
        <v>2.5270266930705678</v>
      </c>
      <c r="D25" s="348">
        <f>INDICE!AM25</f>
        <v>1.179066417911842</v>
      </c>
      <c r="E25" s="348">
        <f>INDICE!AN25</f>
        <v>3.1366687156428998</v>
      </c>
    </row>
    <row r="26" spans="1:5">
      <c r="A26" s="21" t="s">
        <v>34</v>
      </c>
      <c r="B26" s="348">
        <f>INDICE!AK26</f>
        <v>2.0075203523535716</v>
      </c>
      <c r="C26" s="348">
        <f>INDICE!AL26</f>
        <v>2.3138791217787258</v>
      </c>
      <c r="D26" s="348">
        <f>INDICE!AM26</f>
        <v>2.4498016943676526</v>
      </c>
      <c r="E26" s="348">
        <f>INDICE!AN26</f>
        <v>2.2308375172629034</v>
      </c>
    </row>
    <row r="27" spans="1:5">
      <c r="A27" s="351" t="s">
        <v>35</v>
      </c>
      <c r="B27" s="348">
        <f>INDICE!AK27</f>
        <v>5.9736155075715303</v>
      </c>
      <c r="C27" s="348">
        <f>INDICE!AL27</f>
        <v>2.3187598270204539</v>
      </c>
      <c r="D27" s="348">
        <f>INDICE!AM27</f>
        <v>4.9220350125319099</v>
      </c>
      <c r="E27" s="348">
        <f>INDICE!AN27</f>
        <v>4.5578242788220482</v>
      </c>
    </row>
    <row r="28" spans="1:5">
      <c r="A28" s="21" t="s">
        <v>36</v>
      </c>
      <c r="B28" s="348">
        <f>INDICE!AK28</f>
        <v>9.0438537294542609</v>
      </c>
      <c r="C28" s="348">
        <f>INDICE!AL28</f>
        <v>3.8254954870202549</v>
      </c>
      <c r="D28" s="348">
        <f>INDICE!AM28</f>
        <v>1.6570149501773601</v>
      </c>
      <c r="E28" s="348">
        <f>INDICE!AN28</f>
        <v>5.7905858420415273</v>
      </c>
    </row>
    <row r="29" spans="1:5">
      <c r="A29" s="21" t="s">
        <v>37</v>
      </c>
      <c r="B29" s="348">
        <f>INDICE!AK29</f>
        <v>2.9909727475563201</v>
      </c>
      <c r="C29" s="348">
        <f>INDICE!AL29</f>
        <v>1.6998361117794445</v>
      </c>
      <c r="D29" s="348">
        <f>INDICE!AM29</f>
        <v>1.1341344672205886</v>
      </c>
      <c r="E29" s="348">
        <f>INDICE!AN29</f>
        <v>4.4505744034298758</v>
      </c>
    </row>
    <row r="30" spans="1:5">
      <c r="A30" s="21" t="s">
        <v>38</v>
      </c>
      <c r="B30" s="348">
        <f>INDICE!AK30</f>
        <v>6.1894041048086716</v>
      </c>
      <c r="C30" s="348">
        <f>INDICE!AL30</f>
        <v>0.58377818496429157</v>
      </c>
      <c r="D30" s="348">
        <f>INDICE!AM30</f>
        <v>19.025040336756476</v>
      </c>
      <c r="E30" s="348">
        <f>INDICE!AN30</f>
        <v>2.2132039088567441</v>
      </c>
    </row>
    <row r="31" spans="1:5">
      <c r="A31" s="351" t="s">
        <v>39</v>
      </c>
      <c r="B31" s="348">
        <f>INDICE!AK31</f>
        <v>4.2346002477422626</v>
      </c>
      <c r="C31" s="348">
        <f>INDICE!AL31</f>
        <v>7.5314730465512403</v>
      </c>
      <c r="D31" s="348">
        <f>INDICE!AM31</f>
        <v>5.1799302554824438</v>
      </c>
      <c r="E31" s="348">
        <f>INDICE!AN31</f>
        <v>1.9842498760182121</v>
      </c>
    </row>
    <row r="32" spans="1:5">
      <c r="A32" s="21" t="s">
        <v>40</v>
      </c>
      <c r="B32" s="348">
        <f>INDICE!AK32</f>
        <v>0</v>
      </c>
      <c r="C32" s="348">
        <f>INDICE!AL32</f>
        <v>3.4833475448799809</v>
      </c>
      <c r="D32" s="348">
        <f>INDICE!AM32</f>
        <v>3.5685881942726958</v>
      </c>
      <c r="E32" s="348">
        <f>INDICE!AN32</f>
        <v>1.1958451546733624</v>
      </c>
    </row>
    <row r="33" spans="1:5">
      <c r="A33" s="21" t="s">
        <v>41</v>
      </c>
      <c r="B33" s="348">
        <f>INDICE!AK33</f>
        <v>4.4996679916584892</v>
      </c>
      <c r="C33" s="348">
        <f>INDICE!AL33</f>
        <v>12.789958986435078</v>
      </c>
      <c r="D33" s="348">
        <f>INDICE!AM33</f>
        <v>6.4228250468184376</v>
      </c>
      <c r="E33" s="348">
        <f>INDICE!AN33</f>
        <v>3.3675860749458661</v>
      </c>
    </row>
    <row r="34" spans="1:5">
      <c r="A34" s="21" t="s">
        <v>42</v>
      </c>
      <c r="B34" s="348">
        <f>INDICE!AK34</f>
        <v>9.9147280596041938</v>
      </c>
      <c r="C34" s="348">
        <f>INDICE!AL34</f>
        <v>3.953075959114182</v>
      </c>
      <c r="D34" s="348">
        <f>INDICE!AM34</f>
        <v>3.4866853376902882</v>
      </c>
      <c r="E34" s="348">
        <f>INDICE!AN34</f>
        <v>0</v>
      </c>
    </row>
    <row r="35" spans="1:5" ht="15.75" thickBot="1">
      <c r="A35" s="33" t="s">
        <v>43</v>
      </c>
      <c r="B35" s="348">
        <f>INDICE!AK35</f>
        <v>3.339438393567844</v>
      </c>
      <c r="C35" s="348">
        <f>INDICE!AL35</f>
        <v>6.0104174235576879</v>
      </c>
      <c r="D35" s="348">
        <f>INDICE!AM35</f>
        <v>7.085128485379995</v>
      </c>
      <c r="E35" s="348">
        <f>INDICE!AN35</f>
        <v>2.6317122062159299</v>
      </c>
    </row>
    <row r="36" spans="1:5">
      <c r="A36" s="42"/>
      <c r="B36" s="43"/>
      <c r="C36" s="43"/>
      <c r="D36" s="43"/>
      <c r="E36" s="43"/>
    </row>
  </sheetData>
  <mergeCells count="1">
    <mergeCell ref="B1:E1"/>
  </mergeCells>
  <pageMargins left="0.511811024" right="0.511811024" top="0.78740157499999996" bottom="0.78740157499999996" header="0.31496062000000002" footer="0.31496062000000002"/>
  <pageSetup paperSize="9"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FF0066"/>
  </sheetPr>
  <dimension ref="A1:DP36"/>
  <sheetViews>
    <sheetView zoomScale="90" zoomScaleNormal="90" zoomScalePageLayoutView="90" workbookViewId="0">
      <selection activeCell="G17" sqref="G17"/>
    </sheetView>
  </sheetViews>
  <sheetFormatPr defaultColWidth="8.85546875" defaultRowHeight="15"/>
  <cols>
    <col min="1" max="1" width="25.140625" style="3" bestFit="1" customWidth="1"/>
    <col min="2" max="5" width="8.85546875" style="3"/>
    <col min="6" max="120" width="8.85546875" style="1"/>
  </cols>
  <sheetData>
    <row r="1" spans="1:5" ht="15.75" thickBot="1">
      <c r="A1" s="345" t="s">
        <v>0</v>
      </c>
      <c r="B1" s="1282" t="s">
        <v>9</v>
      </c>
      <c r="C1" s="1283"/>
      <c r="D1" s="1283"/>
      <c r="E1" s="1284"/>
    </row>
    <row r="2" spans="1:5" ht="15.75" thickBot="1">
      <c r="A2" s="346" t="s">
        <v>10</v>
      </c>
      <c r="B2" s="354">
        <v>2004</v>
      </c>
      <c r="C2" s="352">
        <v>2005</v>
      </c>
      <c r="D2" s="352">
        <v>2006</v>
      </c>
      <c r="E2" s="353">
        <v>2007</v>
      </c>
    </row>
    <row r="3" spans="1:5" ht="15.75" thickBot="1">
      <c r="A3" s="347" t="s">
        <v>11</v>
      </c>
      <c r="B3" s="348">
        <f>INDICE!AP3</f>
        <v>2.9215016183273632</v>
      </c>
      <c r="C3" s="348">
        <f>INDICE!AQ3</f>
        <v>2.6229209232576909</v>
      </c>
      <c r="D3" s="348">
        <f>INDICE!AR3</f>
        <v>2.4211726428765168</v>
      </c>
      <c r="E3" s="348">
        <f>INDICE!AS3</f>
        <v>2.2376887475796021</v>
      </c>
    </row>
    <row r="4" spans="1:5">
      <c r="A4" s="350" t="s">
        <v>12</v>
      </c>
      <c r="B4" s="348">
        <f>INDICE!AP4</f>
        <v>17.637850344936712</v>
      </c>
      <c r="C4" s="348">
        <f>INDICE!AQ4</f>
        <v>18.716928830860734</v>
      </c>
      <c r="D4" s="348">
        <f>INDICE!AR4</f>
        <v>16.702903894169143</v>
      </c>
      <c r="E4" s="348">
        <f>INDICE!AS4</f>
        <v>14.042408864797423</v>
      </c>
    </row>
    <row r="5" spans="1:5" s="1" customFormat="1">
      <c r="A5" s="21" t="s">
        <v>13</v>
      </c>
      <c r="B5" s="348">
        <f>INDICE!AP5</f>
        <v>51.926410889212711</v>
      </c>
      <c r="C5" s="348">
        <f>INDICE!AQ5</f>
        <v>46.792689042469505</v>
      </c>
      <c r="D5" s="348">
        <f>INDICE!AR5</f>
        <v>46.878446378987825</v>
      </c>
      <c r="E5" s="348">
        <f>INDICE!AS5</f>
        <v>21.563090524134694</v>
      </c>
    </row>
    <row r="6" spans="1:5">
      <c r="A6" s="21" t="s">
        <v>14</v>
      </c>
      <c r="B6" s="348">
        <f>INDICE!AP6</f>
        <v>42.442531163425159</v>
      </c>
      <c r="C6" s="348">
        <f>INDICE!AQ6</f>
        <v>49.730328482779235</v>
      </c>
      <c r="D6" s="348">
        <f>INDICE!AR6</f>
        <v>48.700272020019945</v>
      </c>
      <c r="E6" s="348">
        <f>INDICE!AS6</f>
        <v>33.042158898947029</v>
      </c>
    </row>
    <row r="7" spans="1:5">
      <c r="A7" s="21" t="s">
        <v>15</v>
      </c>
      <c r="B7" s="348">
        <f>INDICE!AP7</f>
        <v>9.6436366986080966</v>
      </c>
      <c r="C7" s="348">
        <f>INDICE!AQ7</f>
        <v>12.480856681824768</v>
      </c>
      <c r="D7" s="348">
        <f>INDICE!AR7</f>
        <v>13.204462042231132</v>
      </c>
      <c r="E7" s="348">
        <f>INDICE!AS7</f>
        <v>9.2507767726300401</v>
      </c>
    </row>
    <row r="8" spans="1:5">
      <c r="A8" s="21" t="s">
        <v>16</v>
      </c>
      <c r="B8" s="348">
        <f>INDICE!AP8</f>
        <v>9.894907206769668</v>
      </c>
      <c r="C8" s="348">
        <f>INDICE!AQ8</f>
        <v>9.6973605910621821</v>
      </c>
      <c r="D8" s="348">
        <f>INDICE!AR8</f>
        <v>7.0284782958697694</v>
      </c>
      <c r="E8" s="348">
        <f>INDICE!AS8</f>
        <v>7.9492090044998216</v>
      </c>
    </row>
    <row r="9" spans="1:5">
      <c r="A9" s="21" t="s">
        <v>17</v>
      </c>
      <c r="B9" s="348">
        <f>INDICE!AP9</f>
        <v>27.389200326658148</v>
      </c>
      <c r="C9" s="348">
        <f>INDICE!AQ9</f>
        <v>31.241626420356454</v>
      </c>
      <c r="D9" s="348">
        <f>INDICE!AR9</f>
        <v>27.072259363917656</v>
      </c>
      <c r="E9" s="348">
        <f>INDICE!AS9</f>
        <v>28.068817000597228</v>
      </c>
    </row>
    <row r="10" spans="1:5">
      <c r="A10" s="21" t="s">
        <v>18</v>
      </c>
      <c r="B10" s="348">
        <f>INDICE!AP10</f>
        <v>35.859649843910532</v>
      </c>
      <c r="C10" s="348">
        <f>INDICE!AQ10</f>
        <v>11.124672690116919</v>
      </c>
      <c r="D10" s="348">
        <f>INDICE!AR10</f>
        <v>14.773004365751341</v>
      </c>
      <c r="E10" s="348">
        <f>INDICE!AS10</f>
        <v>7.9666852770431333</v>
      </c>
    </row>
    <row r="11" spans="1:5">
      <c r="A11" s="21" t="s">
        <v>19</v>
      </c>
      <c r="B11" s="348">
        <f>INDICE!AP11</f>
        <v>12.819083075783078</v>
      </c>
      <c r="C11" s="348">
        <f>INDICE!AQ11</f>
        <v>16.923123542094803</v>
      </c>
      <c r="D11" s="348">
        <f>INDICE!AR11</f>
        <v>13.900539339133202</v>
      </c>
      <c r="E11" s="348">
        <f>INDICE!AS11</f>
        <v>12.761548391254019</v>
      </c>
    </row>
    <row r="12" spans="1:5">
      <c r="A12" s="351" t="s">
        <v>20</v>
      </c>
      <c r="B12" s="348">
        <f>INDICE!AP12</f>
        <v>18.637163724483727</v>
      </c>
      <c r="C12" s="348">
        <f>INDICE!AQ12</f>
        <v>21.804154194807015</v>
      </c>
      <c r="D12" s="348">
        <f>INDICE!AR12</f>
        <v>20.102209758977089</v>
      </c>
      <c r="E12" s="348">
        <f>INDICE!AS12</f>
        <v>19.008874303884379</v>
      </c>
    </row>
    <row r="13" spans="1:5">
      <c r="A13" s="21" t="s">
        <v>21</v>
      </c>
      <c r="B13" s="348">
        <f>INDICE!AP13</f>
        <v>60.905715703951813</v>
      </c>
      <c r="C13" s="348">
        <f>INDICE!AQ13</f>
        <v>77.925872895425812</v>
      </c>
      <c r="D13" s="348">
        <f>INDICE!AR13</f>
        <v>80.538219714722658</v>
      </c>
      <c r="E13" s="348">
        <f>INDICE!AS13</f>
        <v>71.808547538382726</v>
      </c>
    </row>
    <row r="14" spans="1:5">
      <c r="A14" s="21" t="s">
        <v>22</v>
      </c>
      <c r="B14" s="348">
        <f>INDICE!AP14</f>
        <v>11.092941172599463</v>
      </c>
      <c r="C14" s="348">
        <f>INDICE!AQ14</f>
        <v>17.06994853840613</v>
      </c>
      <c r="D14" s="348">
        <f>INDICE!AR14</f>
        <v>15.22781549029594</v>
      </c>
      <c r="E14" s="348">
        <f>INDICE!AS14</f>
        <v>13.647501709063535</v>
      </c>
    </row>
    <row r="15" spans="1:5">
      <c r="A15" s="21" t="s">
        <v>23</v>
      </c>
      <c r="B15" s="348">
        <f>INDICE!AP15</f>
        <v>8.7702772823087258</v>
      </c>
      <c r="C15" s="348">
        <f>INDICE!AQ15</f>
        <v>23.194086162454223</v>
      </c>
      <c r="D15" s="348">
        <f>INDICE!AR15</f>
        <v>23.474505152937162</v>
      </c>
      <c r="E15" s="348">
        <f>INDICE!AS15</f>
        <v>29.084946743588745</v>
      </c>
    </row>
    <row r="16" spans="1:5">
      <c r="A16" s="21" t="s">
        <v>24</v>
      </c>
      <c r="B16" s="348">
        <f>INDICE!AP16</f>
        <v>32.352976717347545</v>
      </c>
      <c r="C16" s="348">
        <f>INDICE!AQ16</f>
        <v>27.046852476819812</v>
      </c>
      <c r="D16" s="348">
        <f>INDICE!AR16</f>
        <v>25.4251761839399</v>
      </c>
      <c r="E16" s="348">
        <f>INDICE!AS16</f>
        <v>22.859665936939326</v>
      </c>
    </row>
    <row r="17" spans="1:5">
      <c r="A17" s="21" t="s">
        <v>25</v>
      </c>
      <c r="B17" s="348">
        <f>INDICE!AP17</f>
        <v>44.290756006878517</v>
      </c>
      <c r="C17" s="348">
        <f>INDICE!AQ17</f>
        <v>40.174019123756338</v>
      </c>
      <c r="D17" s="348">
        <f>INDICE!AR17</f>
        <v>31.479082600105851</v>
      </c>
      <c r="E17" s="348">
        <f>INDICE!AS17</f>
        <v>27.609948744992799</v>
      </c>
    </row>
    <row r="18" spans="1:5">
      <c r="A18" s="21" t="s">
        <v>26</v>
      </c>
      <c r="B18" s="348">
        <f>INDICE!AP18</f>
        <v>17.004535434414134</v>
      </c>
      <c r="C18" s="348">
        <f>INDICE!AQ18</f>
        <v>15.516076407284235</v>
      </c>
      <c r="D18" s="348">
        <f>INDICE!AR18</f>
        <v>12.640670683157886</v>
      </c>
      <c r="E18" s="348">
        <f>INDICE!AS18</f>
        <v>9.3591568486398238</v>
      </c>
    </row>
    <row r="19" spans="1:5">
      <c r="A19" s="21" t="s">
        <v>27</v>
      </c>
      <c r="B19" s="348">
        <f>INDICE!AP19</f>
        <v>19.656723089433417</v>
      </c>
      <c r="C19" s="348">
        <f>INDICE!AQ19</f>
        <v>10.908073668244603</v>
      </c>
      <c r="D19" s="348">
        <f>INDICE!AR19</f>
        <v>13.075968155971044</v>
      </c>
      <c r="E19" s="348">
        <f>INDICE!AS19</f>
        <v>10.828453837080577</v>
      </c>
    </row>
    <row r="20" spans="1:5">
      <c r="A20" s="21" t="s">
        <v>28</v>
      </c>
      <c r="B20" s="348">
        <f>INDICE!AP20</f>
        <v>9.960439887743803</v>
      </c>
      <c r="C20" s="348">
        <f>INDICE!AQ20</f>
        <v>11.104370414641966</v>
      </c>
      <c r="D20" s="348">
        <f>INDICE!AR20</f>
        <v>8.5805258965811095</v>
      </c>
      <c r="E20" s="348">
        <f>INDICE!AS20</f>
        <v>9.6314010383204227</v>
      </c>
    </row>
    <row r="21" spans="1:5">
      <c r="A21" s="21" t="s">
        <v>29</v>
      </c>
      <c r="B21" s="348">
        <f>INDICE!AP21</f>
        <v>4.0699735008489979</v>
      </c>
      <c r="C21" s="348">
        <f>INDICE!AQ21</f>
        <v>2.761804774542242</v>
      </c>
      <c r="D21" s="348">
        <f>INDICE!AR21</f>
        <v>0.14924690729204279</v>
      </c>
      <c r="E21" s="348">
        <f>INDICE!AS21</f>
        <v>0.40434303728567428</v>
      </c>
    </row>
    <row r="22" spans="1:5">
      <c r="A22" s="351" t="s">
        <v>30</v>
      </c>
      <c r="B22" s="348">
        <f>INDICE!AP22</f>
        <v>8.2510570555699196</v>
      </c>
      <c r="C22" s="348">
        <f>INDICE!AQ22</f>
        <v>8.6103809639614237</v>
      </c>
      <c r="D22" s="348">
        <f>INDICE!AR22</f>
        <v>7.9298295158131999</v>
      </c>
      <c r="E22" s="348">
        <f>INDICE!AS22</f>
        <v>8.3895291005935686</v>
      </c>
    </row>
    <row r="23" spans="1:5">
      <c r="A23" s="21" t="s">
        <v>31</v>
      </c>
      <c r="B23" s="348">
        <f>INDICE!AP23</f>
        <v>14.645345712261594</v>
      </c>
      <c r="C23" s="348">
        <f>INDICE!AQ23</f>
        <v>15.881196259057242</v>
      </c>
      <c r="D23" s="348">
        <f>INDICE!AR23</f>
        <v>7.9911447478924247</v>
      </c>
      <c r="E23" s="348">
        <f>INDICE!AS23</f>
        <v>8.3326356686140244</v>
      </c>
    </row>
    <row r="24" spans="1:5">
      <c r="A24" s="21" t="s">
        <v>32</v>
      </c>
      <c r="B24" s="348">
        <f>INDICE!AP24</f>
        <v>11.293157042447525</v>
      </c>
      <c r="C24" s="348">
        <f>INDICE!AQ24</f>
        <v>10.121783147719663</v>
      </c>
      <c r="D24" s="348">
        <f>INDICE!AR24</f>
        <v>9.6596574862028106</v>
      </c>
      <c r="E24" s="348">
        <f>INDICE!AS24</f>
        <v>9.1806507905129262</v>
      </c>
    </row>
    <row r="25" spans="1:5">
      <c r="A25" s="21" t="s">
        <v>33</v>
      </c>
      <c r="B25" s="348">
        <f>INDICE!AP25</f>
        <v>4.7264610336956343</v>
      </c>
      <c r="C25" s="348">
        <f>INDICE!AQ25</f>
        <v>9.8408080190877278</v>
      </c>
      <c r="D25" s="348">
        <f>INDICE!AR25</f>
        <v>8.9081866408228709</v>
      </c>
      <c r="E25" s="348">
        <f>INDICE!AS25</f>
        <v>14.513340853526334</v>
      </c>
    </row>
    <row r="26" spans="1:5">
      <c r="A26" s="21" t="s">
        <v>34</v>
      </c>
      <c r="B26" s="348">
        <f>INDICE!AP26</f>
        <v>7.5971216910458779</v>
      </c>
      <c r="C26" s="348">
        <f>INDICE!AQ26</f>
        <v>7.2388208985325653</v>
      </c>
      <c r="D26" s="348">
        <f>INDICE!AR26</f>
        <v>7.0090291440978474</v>
      </c>
      <c r="E26" s="348">
        <f>INDICE!AS26</f>
        <v>6.5338785295941078</v>
      </c>
    </row>
    <row r="27" spans="1:5">
      <c r="A27" s="351" t="s">
        <v>35</v>
      </c>
      <c r="B27" s="348">
        <f>INDICE!AP27</f>
        <v>12.178045329822147</v>
      </c>
      <c r="C27" s="348">
        <f>INDICE!AQ27</f>
        <v>12.225605101361859</v>
      </c>
      <c r="D27" s="348">
        <f>INDICE!AR27</f>
        <v>10.137690550323898</v>
      </c>
      <c r="E27" s="348">
        <f>INDICE!AS27</f>
        <v>9.0331614263744964</v>
      </c>
    </row>
    <row r="28" spans="1:5">
      <c r="A28" s="21" t="s">
        <v>36</v>
      </c>
      <c r="B28" s="348">
        <f>INDICE!AP28</f>
        <v>12.965690996271862</v>
      </c>
      <c r="C28" s="348">
        <f>INDICE!AQ28</f>
        <v>14.295682650240918</v>
      </c>
      <c r="D28" s="348">
        <f>INDICE!AR28</f>
        <v>13.431287569209983</v>
      </c>
      <c r="E28" s="348">
        <f>INDICE!AS28</f>
        <v>12.23109584424993</v>
      </c>
    </row>
    <row r="29" spans="1:5">
      <c r="A29" s="21" t="s">
        <v>37</v>
      </c>
      <c r="B29" s="348">
        <f>INDICE!AP29</f>
        <v>14.182954223717104</v>
      </c>
      <c r="C29" s="348">
        <f>INDICE!AQ29</f>
        <v>14.70924403621164</v>
      </c>
      <c r="D29" s="348">
        <f>INDICE!AR29</f>
        <v>10.588685316005209</v>
      </c>
      <c r="E29" s="348">
        <f>INDICE!AS29</f>
        <v>8.8758955034918383</v>
      </c>
    </row>
    <row r="30" spans="1:5">
      <c r="A30" s="21" t="s">
        <v>38</v>
      </c>
      <c r="B30" s="348">
        <f>INDICE!AP30</f>
        <v>8.4356112554030087</v>
      </c>
      <c r="C30" s="348">
        <f>INDICE!AQ30</f>
        <v>6.1164397722893717</v>
      </c>
      <c r="D30" s="348">
        <f>INDICE!AR30</f>
        <v>4.9665499130532114</v>
      </c>
      <c r="E30" s="348">
        <f>INDICE!AS30</f>
        <v>4.6356873845495725</v>
      </c>
    </row>
    <row r="31" spans="1:5">
      <c r="A31" s="351" t="s">
        <v>39</v>
      </c>
      <c r="B31" s="348">
        <f>INDICE!AP31</f>
        <v>11.775179871220006</v>
      </c>
      <c r="C31" s="348">
        <f>INDICE!AQ31</f>
        <v>11.556401292093785</v>
      </c>
      <c r="D31" s="348">
        <f>INDICE!AR31</f>
        <v>10.102384064198665</v>
      </c>
      <c r="E31" s="348">
        <f>INDICE!AS31</f>
        <v>9.7468277262669165</v>
      </c>
    </row>
    <row r="32" spans="1:5">
      <c r="A32" s="21" t="s">
        <v>40</v>
      </c>
      <c r="B32" s="348">
        <f>INDICE!AP32</f>
        <v>1.3023720025955532</v>
      </c>
      <c r="C32" s="348">
        <f>INDICE!AQ32</f>
        <v>0.14180021760986444</v>
      </c>
      <c r="D32" s="348">
        <f>INDICE!AR32</f>
        <v>0.26496045449025502</v>
      </c>
      <c r="E32" s="348">
        <f>INDICE!AS32</f>
        <v>0.56565771956833422</v>
      </c>
    </row>
    <row r="33" spans="1:5">
      <c r="A33" s="21" t="s">
        <v>41</v>
      </c>
      <c r="B33" s="348">
        <f>INDICE!AP33</f>
        <v>19.466149466212094</v>
      </c>
      <c r="C33" s="348">
        <f>INDICE!AQ33</f>
        <v>19.622010303099284</v>
      </c>
      <c r="D33" s="348">
        <f>INDICE!AR33</f>
        <v>17.121764201837177</v>
      </c>
      <c r="E33" s="348">
        <f>INDICE!AS33</f>
        <v>16.577860988215416</v>
      </c>
    </row>
    <row r="34" spans="1:5">
      <c r="A34" s="21" t="s">
        <v>42</v>
      </c>
      <c r="B34" s="348">
        <f>INDICE!AP34</f>
        <v>13.240827819022142</v>
      </c>
      <c r="C34" s="348">
        <f>INDICE!AQ34</f>
        <v>10.791461913725355</v>
      </c>
      <c r="D34" s="348">
        <f>INDICE!AR34</f>
        <v>10.250237426688869</v>
      </c>
      <c r="E34" s="348">
        <f>INDICE!AS34</f>
        <v>8.847679570897693</v>
      </c>
    </row>
    <row r="35" spans="1:5" ht="15.75" thickBot="1">
      <c r="A35" s="33" t="s">
        <v>43</v>
      </c>
      <c r="B35" s="348">
        <f>INDICE!AP35</f>
        <v>3.4310972202329362</v>
      </c>
      <c r="C35" s="348">
        <f>INDICE!AQ35</f>
        <v>5.5581356923504392</v>
      </c>
      <c r="D35" s="348">
        <f>INDICE!AR35</f>
        <v>3.705402838192942</v>
      </c>
      <c r="E35" s="348">
        <f>INDICE!AS35</f>
        <v>3.7723454345299219</v>
      </c>
    </row>
    <row r="36" spans="1:5">
      <c r="A36" s="42"/>
      <c r="B36" s="43"/>
      <c r="C36" s="43"/>
      <c r="D36" s="43"/>
      <c r="E36" s="43"/>
    </row>
  </sheetData>
  <mergeCells count="1">
    <mergeCell ref="B1:E1"/>
  </mergeCells>
  <pageMargins left="0.511811024" right="0.511811024" top="0.78740157499999996" bottom="0.78740157499999996" header="0.31496062000000002" footer="0.31496062000000002"/>
  <pageSetup paperSize="9"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rgb="FF00FF00"/>
  </sheetPr>
  <dimension ref="A1:F35"/>
  <sheetViews>
    <sheetView workbookViewId="0">
      <selection activeCell="B5" sqref="B5"/>
    </sheetView>
  </sheetViews>
  <sheetFormatPr defaultColWidth="8.85546875" defaultRowHeight="15"/>
  <cols>
    <col min="1" max="1" width="22.42578125" customWidth="1"/>
  </cols>
  <sheetData>
    <row r="1" spans="1:6" ht="15.75" thickBot="1">
      <c r="A1" s="4" t="s">
        <v>0</v>
      </c>
      <c r="B1" s="1048" t="s">
        <v>81</v>
      </c>
      <c r="C1" s="1049"/>
      <c r="D1" s="1049"/>
      <c r="E1" s="1049"/>
      <c r="F1" s="1050"/>
    </row>
    <row r="2" spans="1:6" ht="15.75" thickBot="1">
      <c r="A2" s="5" t="s">
        <v>10</v>
      </c>
      <c r="B2" s="432">
        <v>2004</v>
      </c>
      <c r="C2" s="433">
        <v>2005</v>
      </c>
      <c r="D2" s="433">
        <v>2006</v>
      </c>
      <c r="E2" s="434">
        <v>2007</v>
      </c>
      <c r="F2" s="434">
        <v>2008</v>
      </c>
    </row>
    <row r="3" spans="1:6" ht="15.75" thickBot="1">
      <c r="A3" s="710" t="s">
        <v>86</v>
      </c>
      <c r="B3" s="711">
        <f>MOR!AZ3</f>
        <v>37024</v>
      </c>
      <c r="C3" s="712">
        <f>MOR!BA3</f>
        <v>42225</v>
      </c>
      <c r="D3" s="712">
        <f>MOR!BB3</f>
        <v>42695</v>
      </c>
      <c r="E3" s="712">
        <f>MOR!BC3</f>
        <v>44316</v>
      </c>
      <c r="F3" s="713">
        <f>MOR!BD3</f>
        <v>41723</v>
      </c>
    </row>
    <row r="4" spans="1:6" ht="15.75" thickBot="1">
      <c r="A4" s="710" t="s">
        <v>87</v>
      </c>
      <c r="B4" s="711">
        <f>MOR!AZ4</f>
        <v>2665</v>
      </c>
      <c r="C4" s="712">
        <f>MOR!BA4</f>
        <v>3332</v>
      </c>
      <c r="D4" s="712">
        <f>MOR!BB4</f>
        <v>3411</v>
      </c>
      <c r="E4" s="712">
        <f>MOR!BC4</f>
        <v>3603</v>
      </c>
      <c r="F4" s="713">
        <f>MOR!BD4</f>
        <v>3423</v>
      </c>
    </row>
    <row r="5" spans="1:6">
      <c r="A5" s="704" t="s">
        <v>13</v>
      </c>
      <c r="B5" s="707">
        <f>MOR!AZ5</f>
        <v>119</v>
      </c>
      <c r="C5" s="708">
        <f>MOR!BA5</f>
        <v>138</v>
      </c>
      <c r="D5" s="708">
        <f>MOR!BB5</f>
        <v>163</v>
      </c>
      <c r="E5" s="708">
        <f>MOR!BC5</f>
        <v>157</v>
      </c>
      <c r="F5" s="709">
        <f>MOR!BD5</f>
        <v>128</v>
      </c>
    </row>
    <row r="6" spans="1:6">
      <c r="A6" s="668" t="s">
        <v>14</v>
      </c>
      <c r="B6" s="436">
        <f>MOR!AZ6</f>
        <v>107</v>
      </c>
      <c r="C6" s="435">
        <f>MOR!BA6</f>
        <v>121</v>
      </c>
      <c r="D6" s="435">
        <f>MOR!BB6</f>
        <v>150</v>
      </c>
      <c r="E6" s="435">
        <f>MOR!BC6</f>
        <v>122</v>
      </c>
      <c r="F6" s="437">
        <f>MOR!BD6</f>
        <v>114</v>
      </c>
    </row>
    <row r="7" spans="1:6">
      <c r="A7" s="668" t="s">
        <v>15</v>
      </c>
      <c r="B7" s="436">
        <f>MOR!AZ7</f>
        <v>365</v>
      </c>
      <c r="C7" s="435">
        <f>MOR!BA7</f>
        <v>467</v>
      </c>
      <c r="D7" s="435">
        <f>MOR!BB7</f>
        <v>506</v>
      </c>
      <c r="E7" s="435">
        <f>MOR!BC7</f>
        <v>457</v>
      </c>
      <c r="F7" s="437">
        <f>MOR!BD7</f>
        <v>453</v>
      </c>
    </row>
    <row r="8" spans="1:6">
      <c r="A8" s="668" t="s">
        <v>16</v>
      </c>
      <c r="B8" s="436">
        <f>MOR!AZ8</f>
        <v>1010</v>
      </c>
      <c r="C8" s="435">
        <f>MOR!BA8</f>
        <v>1341</v>
      </c>
      <c r="D8" s="435">
        <f>MOR!BB8</f>
        <v>1349</v>
      </c>
      <c r="E8" s="435">
        <f>MOR!BC8</f>
        <v>1512</v>
      </c>
      <c r="F8" s="437">
        <f>MOR!BD8</f>
        <v>1546</v>
      </c>
    </row>
    <row r="9" spans="1:6">
      <c r="A9" s="668" t="s">
        <v>17</v>
      </c>
      <c r="B9" s="436">
        <f>MOR!AZ9</f>
        <v>488</v>
      </c>
      <c r="C9" s="435">
        <f>MOR!BA9</f>
        <v>597</v>
      </c>
      <c r="D9" s="435">
        <f>MOR!BB9</f>
        <v>581</v>
      </c>
      <c r="E9" s="435">
        <f>MOR!BC9</f>
        <v>663</v>
      </c>
      <c r="F9" s="437">
        <f>MOR!BD9</f>
        <v>535</v>
      </c>
    </row>
    <row r="10" spans="1:6">
      <c r="A10" s="668" t="s">
        <v>18</v>
      </c>
      <c r="B10" s="436">
        <f>MOR!AZ10</f>
        <v>126</v>
      </c>
      <c r="C10" s="435">
        <f>MOR!BA10</f>
        <v>145</v>
      </c>
      <c r="D10" s="435">
        <f>MOR!BB10</f>
        <v>134</v>
      </c>
      <c r="E10" s="435">
        <f>MOR!BC10</f>
        <v>148</v>
      </c>
      <c r="F10" s="437">
        <f>MOR!BD10</f>
        <v>151</v>
      </c>
    </row>
    <row r="11" spans="1:6" ht="15.75" thickBot="1">
      <c r="A11" s="714" t="s">
        <v>19</v>
      </c>
      <c r="B11" s="715">
        <f>MOR!AZ11</f>
        <v>450</v>
      </c>
      <c r="C11" s="716">
        <f>MOR!BA11</f>
        <v>523</v>
      </c>
      <c r="D11" s="716">
        <f>MOR!BB11</f>
        <v>528</v>
      </c>
      <c r="E11" s="716">
        <f>MOR!BC11</f>
        <v>544</v>
      </c>
      <c r="F11" s="717">
        <f>MOR!BD11</f>
        <v>496</v>
      </c>
    </row>
    <row r="12" spans="1:6" ht="15.75" thickBot="1">
      <c r="A12" s="718" t="s">
        <v>88</v>
      </c>
      <c r="B12" s="711">
        <f>MOR!AZ12</f>
        <v>9566</v>
      </c>
      <c r="C12" s="712">
        <f>MOR!BA12</f>
        <v>11762</v>
      </c>
      <c r="D12" s="712">
        <f>MOR!BB12</f>
        <v>11974</v>
      </c>
      <c r="E12" s="712">
        <f>MOR!BC12</f>
        <v>13212</v>
      </c>
      <c r="F12" s="713">
        <f>MOR!BD12</f>
        <v>12638</v>
      </c>
    </row>
    <row r="13" spans="1:6">
      <c r="A13" s="704" t="s">
        <v>21</v>
      </c>
      <c r="B13" s="707">
        <f>MOR!AZ13</f>
        <v>659</v>
      </c>
      <c r="C13" s="708">
        <f>MOR!BA13</f>
        <v>783</v>
      </c>
      <c r="D13" s="708">
        <f>MOR!BB13</f>
        <v>853</v>
      </c>
      <c r="E13" s="708">
        <f>MOR!BC13</f>
        <v>840</v>
      </c>
      <c r="F13" s="709">
        <f>MOR!BD13</f>
        <v>780</v>
      </c>
    </row>
    <row r="14" spans="1:6">
      <c r="A14" s="668" t="s">
        <v>22</v>
      </c>
      <c r="B14" s="436">
        <f>MOR!AZ14</f>
        <v>1831</v>
      </c>
      <c r="C14" s="435">
        <f>MOR!BA14</f>
        <v>2601</v>
      </c>
      <c r="D14" s="435">
        <f>MOR!BB14</f>
        <v>2620</v>
      </c>
      <c r="E14" s="435">
        <f>MOR!BC14</f>
        <v>2834</v>
      </c>
      <c r="F14" s="437">
        <f>MOR!BD14</f>
        <v>2660</v>
      </c>
    </row>
    <row r="15" spans="1:6">
      <c r="A15" s="668" t="s">
        <v>23</v>
      </c>
      <c r="B15" s="436">
        <f>MOR!AZ15</f>
        <v>1515</v>
      </c>
      <c r="C15" s="435">
        <f>MOR!BA15</f>
        <v>2015</v>
      </c>
      <c r="D15" s="435">
        <f>MOR!BB15</f>
        <v>2041</v>
      </c>
      <c r="E15" s="435">
        <f>MOR!BC15</f>
        <v>2423</v>
      </c>
      <c r="F15" s="437">
        <f>MOR!BD15</f>
        <v>2321</v>
      </c>
    </row>
    <row r="16" spans="1:6">
      <c r="A16" s="668" t="s">
        <v>24</v>
      </c>
      <c r="B16" s="436">
        <f>MOR!AZ16</f>
        <v>1109</v>
      </c>
      <c r="C16" s="435">
        <f>MOR!BA16</f>
        <v>1275</v>
      </c>
      <c r="D16" s="435">
        <f>MOR!BB16</f>
        <v>1463</v>
      </c>
      <c r="E16" s="435">
        <f>MOR!BC16</f>
        <v>1652</v>
      </c>
      <c r="F16" s="437">
        <f>MOR!BD16</f>
        <v>1559</v>
      </c>
    </row>
    <row r="17" spans="1:6">
      <c r="A17" s="668" t="s">
        <v>25</v>
      </c>
      <c r="B17" s="436">
        <f>MOR!AZ17</f>
        <v>774</v>
      </c>
      <c r="C17" s="435">
        <f>MOR!BA17</f>
        <v>829</v>
      </c>
      <c r="D17" s="435">
        <f>MOR!BB17</f>
        <v>782</v>
      </c>
      <c r="E17" s="435">
        <f>MOR!BC17</f>
        <v>970</v>
      </c>
      <c r="F17" s="437">
        <f>MOR!BD17</f>
        <v>1004</v>
      </c>
    </row>
    <row r="18" spans="1:6">
      <c r="A18" s="668" t="s">
        <v>26</v>
      </c>
      <c r="B18" s="436">
        <f>MOR!AZ18</f>
        <v>1740</v>
      </c>
      <c r="C18" s="435">
        <f>MOR!BA18</f>
        <v>1939</v>
      </c>
      <c r="D18" s="435">
        <f>MOR!BB18</f>
        <v>1950</v>
      </c>
      <c r="E18" s="435">
        <f>MOR!BC18</f>
        <v>2048</v>
      </c>
      <c r="F18" s="437">
        <f>MOR!BD18</f>
        <v>1854</v>
      </c>
    </row>
    <row r="19" spans="1:6">
      <c r="A19" s="668" t="s">
        <v>27</v>
      </c>
      <c r="B19" s="436">
        <f>MOR!AZ19</f>
        <v>903</v>
      </c>
      <c r="C19" s="435">
        <f>MOR!BA19</f>
        <v>1044</v>
      </c>
      <c r="D19" s="435">
        <f>MOR!BB19</f>
        <v>1085</v>
      </c>
      <c r="E19" s="435">
        <f>MOR!BC19</f>
        <v>1195</v>
      </c>
      <c r="F19" s="437">
        <f>MOR!BD19</f>
        <v>1194</v>
      </c>
    </row>
    <row r="20" spans="1:6">
      <c r="A20" s="668" t="s">
        <v>28</v>
      </c>
      <c r="B20" s="436">
        <f>MOR!AZ20</f>
        <v>501</v>
      </c>
      <c r="C20" s="435">
        <f>MOR!BA20</f>
        <v>649</v>
      </c>
      <c r="D20" s="435">
        <f>MOR!BB20</f>
        <v>590</v>
      </c>
      <c r="E20" s="435">
        <f>MOR!BC20</f>
        <v>600</v>
      </c>
      <c r="F20" s="437">
        <f>MOR!BD20</f>
        <v>602</v>
      </c>
    </row>
    <row r="21" spans="1:6" ht="15.75" thickBot="1">
      <c r="A21" s="670" t="s">
        <v>29</v>
      </c>
      <c r="B21" s="715">
        <f>MOR!AZ21</f>
        <v>534</v>
      </c>
      <c r="C21" s="716">
        <f>MOR!BA21</f>
        <v>627</v>
      </c>
      <c r="D21" s="716">
        <f>MOR!BB21</f>
        <v>590</v>
      </c>
      <c r="E21" s="716">
        <f>MOR!BC21</f>
        <v>650</v>
      </c>
      <c r="F21" s="717">
        <f>MOR!BD21</f>
        <v>664</v>
      </c>
    </row>
    <row r="22" spans="1:6" ht="15.75" thickBot="1">
      <c r="A22" s="706" t="s">
        <v>90</v>
      </c>
      <c r="B22" s="711">
        <f>MOR!AZ22</f>
        <v>13864</v>
      </c>
      <c r="C22" s="712">
        <f>MOR!BA22</f>
        <v>15287</v>
      </c>
      <c r="D22" s="712">
        <f>MOR!BB22</f>
        <v>15608</v>
      </c>
      <c r="E22" s="712">
        <f>MOR!BC22</f>
        <v>15443</v>
      </c>
      <c r="F22" s="713">
        <f>MOR!BD22</f>
        <v>14348</v>
      </c>
    </row>
    <row r="23" spans="1:6">
      <c r="A23" s="705" t="s">
        <v>31</v>
      </c>
      <c r="B23" s="707">
        <f>MOR!AZ23</f>
        <v>958</v>
      </c>
      <c r="C23" s="708">
        <f>MOR!BA23</f>
        <v>1143</v>
      </c>
      <c r="D23" s="708">
        <f>MOR!BB23</f>
        <v>1154</v>
      </c>
      <c r="E23" s="708">
        <f>MOR!BC23</f>
        <v>1182</v>
      </c>
      <c r="F23" s="709">
        <f>MOR!BD23</f>
        <v>1112</v>
      </c>
    </row>
    <row r="24" spans="1:6">
      <c r="A24" s="668" t="s">
        <v>32</v>
      </c>
      <c r="B24" s="436">
        <f>MOR!AZ24</f>
        <v>3863</v>
      </c>
      <c r="C24" s="435">
        <f>MOR!BA24</f>
        <v>4286</v>
      </c>
      <c r="D24" s="435">
        <f>MOR!BB24</f>
        <v>4489</v>
      </c>
      <c r="E24" s="435">
        <f>MOR!BC24</f>
        <v>4394</v>
      </c>
      <c r="F24" s="437">
        <f>MOR!BD24</f>
        <v>4158</v>
      </c>
    </row>
    <row r="25" spans="1:6">
      <c r="A25" s="668" t="s">
        <v>33</v>
      </c>
      <c r="B25" s="436">
        <f>MOR!AZ25</f>
        <v>2284</v>
      </c>
      <c r="C25" s="435">
        <f>MOR!BA25</f>
        <v>2829</v>
      </c>
      <c r="D25" s="435">
        <f>MOR!BB25</f>
        <v>2704</v>
      </c>
      <c r="E25" s="435">
        <f>MOR!BC25</f>
        <v>2992</v>
      </c>
      <c r="F25" s="437">
        <f>MOR!BD25</f>
        <v>2619</v>
      </c>
    </row>
    <row r="26" spans="1:6" ht="15.75" thickBot="1">
      <c r="A26" s="670" t="s">
        <v>34</v>
      </c>
      <c r="B26" s="715">
        <f>MOR!AZ26</f>
        <v>6759</v>
      </c>
      <c r="C26" s="716">
        <f>MOR!BA26</f>
        <v>7029</v>
      </c>
      <c r="D26" s="716">
        <f>MOR!BB26</f>
        <v>7261</v>
      </c>
      <c r="E26" s="716">
        <f>MOR!BC26</f>
        <v>6875</v>
      </c>
      <c r="F26" s="717">
        <f>MOR!BD26</f>
        <v>6459</v>
      </c>
    </row>
    <row r="27" spans="1:6" ht="15.75" thickBot="1">
      <c r="A27" s="706" t="s">
        <v>91</v>
      </c>
      <c r="B27" s="711">
        <f>MOR!AZ27</f>
        <v>6870</v>
      </c>
      <c r="C27" s="712">
        <f>MOR!BA27</f>
        <v>7404</v>
      </c>
      <c r="D27" s="712">
        <f>MOR!BB27</f>
        <v>7323</v>
      </c>
      <c r="E27" s="712">
        <f>MOR!BC27</f>
        <v>7534</v>
      </c>
      <c r="F27" s="713">
        <f>MOR!BD27</f>
        <v>6770</v>
      </c>
    </row>
    <row r="28" spans="1:6">
      <c r="A28" s="705" t="s">
        <v>36</v>
      </c>
      <c r="B28" s="707">
        <f>MOR!AZ28</f>
        <v>3079</v>
      </c>
      <c r="C28" s="708">
        <f>MOR!BA28</f>
        <v>3388</v>
      </c>
      <c r="D28" s="708">
        <f>MOR!BB28</f>
        <v>3313</v>
      </c>
      <c r="E28" s="708">
        <f>MOR!BC28</f>
        <v>3584</v>
      </c>
      <c r="F28" s="709">
        <f>MOR!BD28</f>
        <v>3116</v>
      </c>
    </row>
    <row r="29" spans="1:6">
      <c r="A29" s="668" t="s">
        <v>37</v>
      </c>
      <c r="B29" s="436">
        <f>MOR!AZ29</f>
        <v>1979</v>
      </c>
      <c r="C29" s="435">
        <f>MOR!BA29</f>
        <v>2181</v>
      </c>
      <c r="D29" s="435">
        <f>MOR!BB29</f>
        <v>2035</v>
      </c>
      <c r="E29" s="435">
        <f>MOR!BC29</f>
        <v>2060</v>
      </c>
      <c r="F29" s="437">
        <f>MOR!BD29</f>
        <v>1988</v>
      </c>
    </row>
    <row r="30" spans="1:6" ht="15.75" thickBot="1">
      <c r="A30" s="670" t="s">
        <v>38</v>
      </c>
      <c r="B30" s="715">
        <f>MOR!AZ30</f>
        <v>1812</v>
      </c>
      <c r="C30" s="716">
        <f>MOR!BA30</f>
        <v>1835</v>
      </c>
      <c r="D30" s="716">
        <f>MOR!BB30</f>
        <v>1975</v>
      </c>
      <c r="E30" s="716">
        <f>MOR!BC30</f>
        <v>1890</v>
      </c>
      <c r="F30" s="717">
        <f>MOR!BD30</f>
        <v>1666</v>
      </c>
    </row>
    <row r="31" spans="1:6" ht="15.75" thickBot="1">
      <c r="A31" s="706" t="s">
        <v>92</v>
      </c>
      <c r="B31" s="711">
        <f>MOR!AZ31</f>
        <v>4059</v>
      </c>
      <c r="C31" s="712">
        <f>MOR!BA31</f>
        <v>4440</v>
      </c>
      <c r="D31" s="712">
        <f>MOR!BB31</f>
        <v>4379</v>
      </c>
      <c r="E31" s="712">
        <f>MOR!BC31</f>
        <v>4524</v>
      </c>
      <c r="F31" s="713">
        <f>MOR!BD31</f>
        <v>4544</v>
      </c>
    </row>
    <row r="32" spans="1:6">
      <c r="A32" s="705" t="s">
        <v>40</v>
      </c>
      <c r="B32" s="707">
        <f>MOR!AZ32</f>
        <v>576</v>
      </c>
      <c r="C32" s="708">
        <f>MOR!BA32</f>
        <v>636</v>
      </c>
      <c r="D32" s="708">
        <f>MOR!BB32</f>
        <v>641</v>
      </c>
      <c r="E32" s="708">
        <f>MOR!BC32</f>
        <v>550</v>
      </c>
      <c r="F32" s="709">
        <f>MOR!BD32</f>
        <v>536</v>
      </c>
    </row>
    <row r="33" spans="1:6">
      <c r="A33" s="668" t="s">
        <v>41</v>
      </c>
      <c r="B33" s="436">
        <f>MOR!AZ33</f>
        <v>1677</v>
      </c>
      <c r="C33" s="435">
        <f>MOR!BA33</f>
        <v>1923</v>
      </c>
      <c r="D33" s="435">
        <f>MOR!BB33</f>
        <v>1822</v>
      </c>
      <c r="E33" s="435">
        <f>MOR!BC33</f>
        <v>2025</v>
      </c>
      <c r="F33" s="437">
        <f>MOR!BD33</f>
        <v>1988</v>
      </c>
    </row>
    <row r="34" spans="1:6">
      <c r="A34" s="668" t="s">
        <v>42</v>
      </c>
      <c r="B34" s="436">
        <f>MOR!AZ34</f>
        <v>1105</v>
      </c>
      <c r="C34" s="435">
        <f>MOR!BA34</f>
        <v>1103</v>
      </c>
      <c r="D34" s="435">
        <f>MOR!BB34</f>
        <v>1071</v>
      </c>
      <c r="E34" s="435">
        <f>MOR!BC34</f>
        <v>1143</v>
      </c>
      <c r="F34" s="437">
        <f>MOR!BD34</f>
        <v>1192</v>
      </c>
    </row>
    <row r="35" spans="1:6" ht="15.75" thickBot="1">
      <c r="A35" s="670" t="s">
        <v>43</v>
      </c>
      <c r="B35" s="438">
        <f>MOR!AZ35</f>
        <v>701</v>
      </c>
      <c r="C35" s="439">
        <f>MOR!BA35</f>
        <v>778</v>
      </c>
      <c r="D35" s="439">
        <f>MOR!BB35</f>
        <v>845</v>
      </c>
      <c r="E35" s="439">
        <f>MOR!BC35</f>
        <v>806</v>
      </c>
      <c r="F35" s="440">
        <f>MOR!BD35</f>
        <v>828</v>
      </c>
    </row>
  </sheetData>
  <mergeCells count="1">
    <mergeCell ref="B1:F1"/>
  </mergeCells>
  <pageMargins left="0.511811024" right="0.511811024" top="0.78740157499999996" bottom="0.78740157499999996" header="0.31496062000000002" footer="0.31496062000000002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FFFF00"/>
  </sheetPr>
  <dimension ref="A1:AZ29"/>
  <sheetViews>
    <sheetView workbookViewId="0">
      <selection activeCell="I11" sqref="I11"/>
    </sheetView>
  </sheetViews>
  <sheetFormatPr defaultColWidth="8.85546875" defaultRowHeight="15"/>
  <cols>
    <col min="1" max="1" width="8.42578125" style="45" customWidth="1"/>
    <col min="2" max="6" width="8.85546875" style="3"/>
    <col min="7" max="52" width="8.85546875" style="1"/>
  </cols>
  <sheetData>
    <row r="1" spans="1:6" ht="15.75" thickBot="1">
      <c r="A1" s="164" t="s">
        <v>569</v>
      </c>
      <c r="B1" s="355">
        <v>2004</v>
      </c>
      <c r="C1" s="356">
        <v>2005</v>
      </c>
      <c r="D1" s="356">
        <v>2006</v>
      </c>
      <c r="E1" s="357">
        <v>2007</v>
      </c>
      <c r="F1" s="357">
        <v>2008</v>
      </c>
    </row>
    <row r="2" spans="1:6">
      <c r="A2" s="738" t="s">
        <v>570</v>
      </c>
      <c r="B2" s="736">
        <f>INDICE!B5</f>
        <v>60.580812704081495</v>
      </c>
      <c r="C2" s="736">
        <f>INDICE!C5</f>
        <v>57.145053874874257</v>
      </c>
      <c r="D2" s="736">
        <f>INDICE!D5</f>
        <v>61.622473869153353</v>
      </c>
      <c r="E2" s="736">
        <f>INDICE!E5</f>
        <v>50.528436004315623</v>
      </c>
      <c r="F2" s="737" t="e">
        <f>INDICE!F5</f>
        <v>#DIV/0!</v>
      </c>
    </row>
    <row r="3" spans="1:6">
      <c r="A3" s="738" t="s">
        <v>571</v>
      </c>
      <c r="B3" s="563">
        <f>INDICE!B6</f>
        <v>52.806405052168515</v>
      </c>
      <c r="C3" s="563">
        <f>INDICE!C6</f>
        <v>53.251059702799004</v>
      </c>
      <c r="D3" s="563">
        <f>INDICE!D6</f>
        <v>58.911619379056383</v>
      </c>
      <c r="E3" s="563">
        <f>INDICE!E6</f>
        <v>39.912310749223145</v>
      </c>
      <c r="F3" s="564" t="e">
        <f>INDICE!F6</f>
        <v>#DIV/0!</v>
      </c>
    </row>
    <row r="4" spans="1:6">
      <c r="A4" s="738" t="s">
        <v>572</v>
      </c>
      <c r="B4" s="563">
        <f>INDICE!B7</f>
        <v>40.45893557462017</v>
      </c>
      <c r="C4" s="563">
        <f>INDICE!C7</f>
        <v>50.246207503553158</v>
      </c>
      <c r="D4" s="563">
        <f>INDICE!D7</f>
        <v>48.416360821514147</v>
      </c>
      <c r="E4" s="563">
        <f>INDICE!E7</f>
        <v>41.04470859312552</v>
      </c>
      <c r="F4" s="564" t="e">
        <f>INDICE!F7</f>
        <v>#DIV/0!</v>
      </c>
    </row>
    <row r="5" spans="1:6">
      <c r="A5" s="738" t="s">
        <v>220</v>
      </c>
      <c r="B5" s="563">
        <f>INDICE!B8</f>
        <v>64.895170641801073</v>
      </c>
      <c r="C5" s="563">
        <f>INDICE!C8</f>
        <v>74.73655490008268</v>
      </c>
      <c r="D5" s="563">
        <f>INDICE!D8</f>
        <v>66.770543810762803</v>
      </c>
      <c r="E5" s="563">
        <f>INDICE!E8</f>
        <v>64.273818260982523</v>
      </c>
      <c r="F5" s="564" t="e">
        <f>INDICE!F8</f>
        <v>#DIV/0!</v>
      </c>
    </row>
    <row r="6" spans="1:6">
      <c r="A6" s="738" t="s">
        <v>573</v>
      </c>
      <c r="B6" s="563">
        <f>INDICE!B9</f>
        <v>61.879304441709152</v>
      </c>
      <c r="C6" s="563">
        <f>INDICE!C9</f>
        <v>67.090830837959714</v>
      </c>
      <c r="D6" s="563">
        <f>INDICE!D9</f>
        <v>61.441338634516249</v>
      </c>
      <c r="E6" s="563">
        <f>INDICE!E9</f>
        <v>66.226425876853952</v>
      </c>
      <c r="F6" s="564" t="e">
        <f>INDICE!F9</f>
        <v>#DIV/0!</v>
      </c>
    </row>
    <row r="7" spans="1:6">
      <c r="A7" s="738" t="s">
        <v>574</v>
      </c>
      <c r="B7" s="563">
        <f>INDICE!B10</f>
        <v>76.581625090385202</v>
      </c>
      <c r="C7" s="563">
        <f>INDICE!C10</f>
        <v>70.133806089867534</v>
      </c>
      <c r="D7" s="563">
        <f>INDICE!D10</f>
        <v>68.261468448644123</v>
      </c>
      <c r="E7" s="563">
        <f>INDICE!E10</f>
        <v>69.357024764846102</v>
      </c>
      <c r="F7" s="564" t="e">
        <f>INDICE!F10</f>
        <v>#DIV/0!</v>
      </c>
    </row>
    <row r="8" spans="1:6">
      <c r="A8" s="738" t="s">
        <v>573</v>
      </c>
      <c r="B8" s="563">
        <f>INDICE!B11</f>
        <v>74.916719274056945</v>
      </c>
      <c r="C8" s="563">
        <f>INDICE!C11</f>
        <v>75.006725529793059</v>
      </c>
      <c r="D8" s="563">
        <f>INDICE!D11</f>
        <v>71.257133699634267</v>
      </c>
      <c r="E8" s="563">
        <f>INDICE!E11</f>
        <v>64.881143222824164</v>
      </c>
      <c r="F8" s="564" t="e">
        <f>INDICE!F11</f>
        <v>#DIV/0!</v>
      </c>
    </row>
    <row r="9" spans="1:6">
      <c r="A9" s="738" t="s">
        <v>217</v>
      </c>
      <c r="B9" s="563">
        <f>INDICE!B13</f>
        <v>126.21656178900706</v>
      </c>
      <c r="C9" s="563">
        <f>INDICE!C13</f>
        <v>127.11658016066335</v>
      </c>
      <c r="D9" s="563">
        <f>INDICE!D13</f>
        <v>120.9491222124268</v>
      </c>
      <c r="E9" s="563">
        <f>INDICE!E13</f>
        <v>105.82312268814296</v>
      </c>
      <c r="F9" s="564" t="e">
        <f>INDICE!F13</f>
        <v>#DIV/0!</v>
      </c>
    </row>
    <row r="10" spans="1:6">
      <c r="A10" s="738" t="s">
        <v>207</v>
      </c>
      <c r="B10" s="563">
        <f>INDICE!B14</f>
        <v>59.389401424063209</v>
      </c>
      <c r="C10" s="563">
        <f>INDICE!C14</f>
        <v>74.121763185967197</v>
      </c>
      <c r="D10" s="563">
        <f>INDICE!D14</f>
        <v>67.85183092614858</v>
      </c>
      <c r="E10" s="563">
        <f>INDICE!E14</f>
        <v>65.777244631779013</v>
      </c>
      <c r="F10" s="564" t="e">
        <f>INDICE!F14</f>
        <v>#DIV/0!</v>
      </c>
    </row>
    <row r="11" spans="1:6">
      <c r="A11" s="738" t="s">
        <v>215</v>
      </c>
      <c r="B11" s="563">
        <f>INDICE!B15</f>
        <v>87.414276859853416</v>
      </c>
      <c r="C11" s="563">
        <f>INDICE!C15</f>
        <v>98.185049616271556</v>
      </c>
      <c r="D11" s="563">
        <f>INDICE!D15</f>
        <v>89.890178268564256</v>
      </c>
      <c r="E11" s="563">
        <f>INDICE!E15</f>
        <v>92.362812529116027</v>
      </c>
      <c r="F11" s="564" t="e">
        <f>INDICE!F15</f>
        <v>#DIV/0!</v>
      </c>
    </row>
    <row r="12" spans="1:6">
      <c r="A12" s="738" t="s">
        <v>213</v>
      </c>
      <c r="B12" s="563">
        <f>INDICE!B16</f>
        <v>109.72309229216644</v>
      </c>
      <c r="C12" s="563">
        <f>INDICE!C16</f>
        <v>103.55776849232811</v>
      </c>
      <c r="D12" s="563">
        <f>INDICE!D16</f>
        <v>103.61290461588878</v>
      </c>
      <c r="E12" s="563">
        <f>INDICE!E16</f>
        <v>98.600961169252656</v>
      </c>
      <c r="F12" s="564" t="e">
        <f>INDICE!F16</f>
        <v>#DIV/0!</v>
      </c>
    </row>
    <row r="13" spans="1:6">
      <c r="A13" s="738" t="s">
        <v>218</v>
      </c>
      <c r="B13" s="563">
        <f>INDICE!B17</f>
        <v>88.353209147742191</v>
      </c>
      <c r="C13" s="563">
        <f>INDICE!C17</f>
        <v>81.628092778416672</v>
      </c>
      <c r="D13" s="563">
        <f>INDICE!D17</f>
        <v>69.93364373091697</v>
      </c>
      <c r="E13" s="563">
        <f>INDICE!E17</f>
        <v>77.18054836496546</v>
      </c>
      <c r="F13" s="564" t="e">
        <f>INDICE!F17</f>
        <v>#DIV/0!</v>
      </c>
    </row>
    <row r="14" spans="1:6">
      <c r="A14" s="738" t="s">
        <v>219</v>
      </c>
      <c r="B14" s="563">
        <f>INDICE!B18</f>
        <v>91.039666633478745</v>
      </c>
      <c r="C14" s="563">
        <f>INDICE!C18</f>
        <v>85.228533013382815</v>
      </c>
      <c r="D14" s="563">
        <f>INDICE!D18</f>
        <v>77.029086975493371</v>
      </c>
      <c r="E14" s="563">
        <f>INDICE!E18</f>
        <v>70.990937874127255</v>
      </c>
      <c r="F14" s="564" t="e">
        <f>INDICE!F18</f>
        <v>#DIV/0!</v>
      </c>
    </row>
    <row r="15" spans="1:6">
      <c r="A15" s="738" t="s">
        <v>214</v>
      </c>
      <c r="B15" s="563">
        <f>INDICE!B19</f>
        <v>127.69799244430486</v>
      </c>
      <c r="C15" s="563">
        <f>INDICE!C19</f>
        <v>123.78292293094962</v>
      </c>
      <c r="D15" s="563">
        <f>INDICE!D19</f>
        <v>120.23241906125917</v>
      </c>
      <c r="E15" s="563">
        <f>INDICE!E19</f>
        <v>108.73951542278395</v>
      </c>
      <c r="F15" s="564" t="e">
        <f>INDICE!F19</f>
        <v>#DIV/0!</v>
      </c>
    </row>
    <row r="16" spans="1:6">
      <c r="A16" s="738" t="s">
        <v>216</v>
      </c>
      <c r="B16" s="563">
        <f>INDICE!B20</f>
        <v>56.706595269995972</v>
      </c>
      <c r="C16" s="563">
        <f>INDICE!C20</f>
        <v>65.515785446387611</v>
      </c>
      <c r="D16" s="563">
        <f>INDICE!D20</f>
        <v>53.289581884030049</v>
      </c>
      <c r="E16" s="563">
        <f>INDICE!E20</f>
        <v>47.759013413159124</v>
      </c>
      <c r="F16" s="564" t="e">
        <f>INDICE!F20</f>
        <v>#DIV/0!</v>
      </c>
    </row>
    <row r="17" spans="1:6">
      <c r="A17" s="738" t="s">
        <v>30</v>
      </c>
      <c r="B17" s="563">
        <f>INDICE!B21</f>
        <v>98.789356793334775</v>
      </c>
      <c r="C17" s="563">
        <f>INDICE!C21</f>
        <v>101.86185844929328</v>
      </c>
      <c r="D17" s="563">
        <f>INDICE!D21</f>
        <v>88.055675302305247</v>
      </c>
      <c r="E17" s="563">
        <f>INDICE!E21</f>
        <v>87.607658078562764</v>
      </c>
      <c r="F17" s="564" t="e">
        <f>INDICE!F21</f>
        <v>#DIV/0!</v>
      </c>
    </row>
    <row r="18" spans="1:6">
      <c r="A18" s="738" t="s">
        <v>208</v>
      </c>
      <c r="B18" s="563">
        <f>INDICE!B23</f>
        <v>77.945784401925593</v>
      </c>
      <c r="C18" s="563">
        <f>INDICE!C23</f>
        <v>82.510033291374668</v>
      </c>
      <c r="D18" s="563">
        <f>INDICE!D23</f>
        <v>75.588369172687365</v>
      </c>
      <c r="E18" s="563">
        <f>INDICE!E23</f>
        <v>69.360389861280126</v>
      </c>
      <c r="F18" s="564" t="e">
        <f>INDICE!F23</f>
        <v>#DIV/0!</v>
      </c>
    </row>
    <row r="19" spans="1:6">
      <c r="A19" s="738" t="s">
        <v>204</v>
      </c>
      <c r="B19" s="563">
        <f>INDICE!B24</f>
        <v>50.66836893725295</v>
      </c>
      <c r="C19" s="563">
        <f>INDICE!C24</f>
        <v>49.921706065738178</v>
      </c>
      <c r="D19" s="563">
        <f>INDICE!D24</f>
        <v>49.052265221226712</v>
      </c>
      <c r="E19" s="563">
        <f>INDICE!E24</f>
        <v>45.223968131741927</v>
      </c>
      <c r="F19" s="564" t="e">
        <f>INDICE!F24</f>
        <v>#DIV/0!</v>
      </c>
    </row>
    <row r="20" spans="1:6">
      <c r="A20" s="738" t="s">
        <v>209</v>
      </c>
      <c r="B20" s="563">
        <f>INDICE!B25</f>
        <v>44.980154170670126</v>
      </c>
      <c r="C20" s="563">
        <f>INDICE!C25</f>
        <v>52.428711649715972</v>
      </c>
      <c r="D20" s="563">
        <f>INDICE!D25</f>
        <v>45.881403193876267</v>
      </c>
      <c r="E20" s="563">
        <f>INDICE!E25</f>
        <v>48.681519992994154</v>
      </c>
      <c r="F20" s="564" t="e">
        <f>INDICE!F25</f>
        <v>#DIV/0!</v>
      </c>
    </row>
    <row r="21" spans="1:6">
      <c r="A21" s="738" t="s">
        <v>202</v>
      </c>
      <c r="B21" s="563">
        <f>INDICE!B26</f>
        <v>33.871336088244782</v>
      </c>
      <c r="C21" s="563">
        <f>INDICE!C26</f>
        <v>32.553852908371979</v>
      </c>
      <c r="D21" s="563">
        <f>INDICE!D26</f>
        <v>31.126948388559306</v>
      </c>
      <c r="E21" s="563">
        <f>INDICE!E26</f>
        <v>28.340955767166871</v>
      </c>
      <c r="F21" s="564" t="e">
        <f>INDICE!F26</f>
        <v>#DIV/0!</v>
      </c>
    </row>
    <row r="22" spans="1:6">
      <c r="A22" s="738" t="s">
        <v>212</v>
      </c>
      <c r="B22" s="563">
        <f>INDICE!B28</f>
        <v>68.948812741832583</v>
      </c>
      <c r="C22" s="563">
        <f>INDICE!C28</f>
        <v>65.451044350021931</v>
      </c>
      <c r="D22" s="563">
        <f>INDICE!D28</f>
        <v>59.251472325955625</v>
      </c>
      <c r="E22" s="563">
        <f>INDICE!E28</f>
        <v>57.755266806049733</v>
      </c>
      <c r="F22" s="564" t="e">
        <f>INDICE!F28</f>
        <v>#DIV/0!</v>
      </c>
    </row>
    <row r="23" spans="1:6">
      <c r="A23" s="738" t="s">
        <v>211</v>
      </c>
      <c r="B23" s="563">
        <f>INDICE!B29</f>
        <v>42.591906538294616</v>
      </c>
      <c r="C23" s="563">
        <f>INDICE!C29</f>
        <v>42.888851929114416</v>
      </c>
      <c r="D23" s="563">
        <f>INDICE!D29</f>
        <v>38.20562875544433</v>
      </c>
      <c r="E23" s="563">
        <f>INDICE!E29</f>
        <v>36.20662324196671</v>
      </c>
      <c r="F23" s="564" t="e">
        <f>INDICE!F29</f>
        <v>#DIV/0!</v>
      </c>
    </row>
    <row r="24" spans="1:6">
      <c r="A24" s="738" t="s">
        <v>210</v>
      </c>
      <c r="B24" s="563">
        <f>INDICE!B30</f>
        <v>53.074054148577261</v>
      </c>
      <c r="C24" s="563">
        <f>INDICE!C30</f>
        <v>48.170244558587974</v>
      </c>
      <c r="D24" s="563">
        <f>INDICE!D30</f>
        <v>49.044680391400462</v>
      </c>
      <c r="E24" s="563">
        <f>INDICE!E30</f>
        <v>43.807245783993459</v>
      </c>
      <c r="F24" s="564" t="e">
        <f>INDICE!F30</f>
        <v>#DIV/0!</v>
      </c>
    </row>
    <row r="25" spans="1:6">
      <c r="A25" s="738" t="s">
        <v>206</v>
      </c>
      <c r="B25" s="563">
        <f>INDICE!B32</f>
        <v>44.127427852649333</v>
      </c>
      <c r="C25" s="563">
        <f>INDICE!C32</f>
        <v>45.092469199936886</v>
      </c>
      <c r="D25" s="563">
        <f>INDICE!D32</f>
        <v>42.459912832063367</v>
      </c>
      <c r="E25" s="563">
        <f>INDICE!E32</f>
        <v>34.567971751398204</v>
      </c>
      <c r="F25" s="564" t="e">
        <f>INDICE!F32</f>
        <v>#DIV/0!</v>
      </c>
    </row>
    <row r="26" spans="1:6">
      <c r="A26" s="738" t="s">
        <v>205</v>
      </c>
      <c r="B26" s="563">
        <f>INDICE!B33</f>
        <v>61.362279426386621</v>
      </c>
      <c r="C26" s="563">
        <f>INDICE!C33</f>
        <v>61.354676118471417</v>
      </c>
      <c r="D26" s="563">
        <f>INDICE!D33</f>
        <v>54.15946940233912</v>
      </c>
      <c r="E26" s="563">
        <f>INDICE!E33</f>
        <v>53.540938598303377</v>
      </c>
      <c r="F26" s="564" t="e">
        <f>INDICE!F33</f>
        <v>#DIV/0!</v>
      </c>
    </row>
    <row r="27" spans="1:6">
      <c r="A27" s="738" t="s">
        <v>222</v>
      </c>
      <c r="B27" s="563">
        <f>INDICE!B34</f>
        <v>71.024828835045952</v>
      </c>
      <c r="C27" s="563">
        <f>INDICE!C34</f>
        <v>64.340445896427383</v>
      </c>
      <c r="D27" s="563">
        <f>INDICE!D34</f>
        <v>56.880851212351189</v>
      </c>
      <c r="E27" s="563">
        <f>INDICE!E34</f>
        <v>51.075241159273041</v>
      </c>
      <c r="F27" s="564" t="e">
        <f>INDICE!F34</f>
        <v>#DIV/0!</v>
      </c>
    </row>
    <row r="28" spans="1:6" ht="15.75" thickBot="1">
      <c r="A28" s="739" t="s">
        <v>221</v>
      </c>
      <c r="B28" s="565">
        <f>INDICE!B35</f>
        <v>61.671773112392003</v>
      </c>
      <c r="C28" s="565">
        <f>INDICE!C35</f>
        <v>60.9046418119527</v>
      </c>
      <c r="D28" s="565">
        <f>INDICE!D35</f>
        <v>60.212796120635311</v>
      </c>
      <c r="E28" s="565">
        <f>INDICE!E35</f>
        <v>51.534074919171474</v>
      </c>
      <c r="F28" s="566" t="e">
        <f>INDICE!F35</f>
        <v>#DIV/0!</v>
      </c>
    </row>
    <row r="29" spans="1:6">
      <c r="A29" s="730"/>
      <c r="B29" s="43"/>
      <c r="C29" s="43"/>
      <c r="D29" s="43"/>
      <c r="E29" s="43"/>
      <c r="F29" s="43"/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BQ28"/>
  <sheetViews>
    <sheetView workbookViewId="0">
      <pane xSplit="1" topLeftCell="B8" activePane="topRight" state="frozen"/>
      <selection pane="topRight" activeCell="A8" sqref="A8"/>
    </sheetView>
  </sheetViews>
  <sheetFormatPr defaultColWidth="8.85546875" defaultRowHeight="15"/>
  <cols>
    <col min="1" max="1" width="19.28515625" style="665" bestFit="1" customWidth="1"/>
    <col min="2" max="6" width="11.42578125" style="1" bestFit="1" customWidth="1"/>
    <col min="7" max="11" width="8.85546875" style="759"/>
    <col min="12" max="16" width="9.42578125" style="1" bestFit="1" customWidth="1"/>
    <col min="17" max="21" width="9.42578125" style="767" bestFit="1" customWidth="1"/>
    <col min="22" max="26" width="9.42578125" style="1" bestFit="1" customWidth="1"/>
    <col min="27" max="31" width="8.85546875" style="758"/>
    <col min="32" max="36" width="8.85546875" style="1"/>
    <col min="37" max="41" width="8.85546875" style="760"/>
    <col min="42" max="69" width="8.85546875" style="1"/>
  </cols>
  <sheetData>
    <row r="1" spans="1:41">
      <c r="A1" s="771" t="s">
        <v>10</v>
      </c>
      <c r="B1" s="762">
        <v>2004</v>
      </c>
      <c r="C1" s="762">
        <v>2005</v>
      </c>
      <c r="D1" s="762">
        <v>2006</v>
      </c>
      <c r="E1" s="762">
        <v>2007</v>
      </c>
      <c r="F1" s="762">
        <v>2008</v>
      </c>
      <c r="G1" s="763">
        <v>2004</v>
      </c>
      <c r="H1" s="763">
        <v>2005</v>
      </c>
      <c r="I1" s="763">
        <v>2006</v>
      </c>
      <c r="J1" s="763">
        <v>2007</v>
      </c>
      <c r="K1" s="763">
        <v>2008</v>
      </c>
      <c r="L1" s="762">
        <v>2004</v>
      </c>
      <c r="M1" s="762">
        <v>2005</v>
      </c>
      <c r="N1" s="762">
        <v>2006</v>
      </c>
      <c r="O1" s="762">
        <v>2007</v>
      </c>
      <c r="P1" s="762">
        <v>2008</v>
      </c>
      <c r="Q1" s="765">
        <v>2004</v>
      </c>
      <c r="R1" s="765">
        <v>2005</v>
      </c>
      <c r="S1" s="765">
        <v>2006</v>
      </c>
      <c r="T1" s="765">
        <v>2007</v>
      </c>
      <c r="U1" s="765">
        <v>2008</v>
      </c>
      <c r="V1" s="762">
        <v>2004</v>
      </c>
      <c r="W1" s="762">
        <v>2005</v>
      </c>
      <c r="X1" s="762">
        <v>2006</v>
      </c>
      <c r="Y1" s="762">
        <v>2007</v>
      </c>
      <c r="Z1" s="762">
        <v>2008</v>
      </c>
      <c r="AA1" s="768">
        <v>2004</v>
      </c>
      <c r="AB1" s="768">
        <v>2005</v>
      </c>
      <c r="AC1" s="768">
        <v>2006</v>
      </c>
      <c r="AD1" s="768">
        <v>2007</v>
      </c>
      <c r="AE1" s="768">
        <v>2008</v>
      </c>
      <c r="AF1" s="762">
        <v>2004</v>
      </c>
      <c r="AG1" s="762">
        <v>2005</v>
      </c>
      <c r="AH1" s="762">
        <v>2006</v>
      </c>
      <c r="AI1" s="762">
        <v>2007</v>
      </c>
      <c r="AJ1" s="762">
        <v>2008</v>
      </c>
      <c r="AK1" s="764">
        <v>2004</v>
      </c>
      <c r="AL1" s="764">
        <v>2005</v>
      </c>
      <c r="AM1" s="764">
        <v>2006</v>
      </c>
      <c r="AN1" s="764">
        <v>2007</v>
      </c>
      <c r="AO1" s="764">
        <v>2008</v>
      </c>
    </row>
    <row r="2" spans="1:41">
      <c r="A2" s="665" t="s">
        <v>36</v>
      </c>
      <c r="B2" s="757">
        <v>85.616552964280388</v>
      </c>
      <c r="C2" s="757">
        <v>73.576254365759439</v>
      </c>
      <c r="D2" s="757">
        <v>74.567486376758623</v>
      </c>
      <c r="E2" s="757">
        <v>74.375597609322753</v>
      </c>
      <c r="F2" s="757">
        <v>69.289262866886006</v>
      </c>
      <c r="G2" s="759">
        <v>3059</v>
      </c>
      <c r="H2" s="759">
        <v>2944</v>
      </c>
      <c r="I2" s="759">
        <v>2900</v>
      </c>
      <c r="J2" s="759">
        <v>3127</v>
      </c>
      <c r="K2" s="759">
        <v>3166</v>
      </c>
      <c r="L2" s="761">
        <f t="shared" ref="L2:L28" si="0">B2/MAX(B$2:B$28)</f>
        <v>0.55579964486590316</v>
      </c>
      <c r="M2" s="761">
        <f t="shared" ref="M2:M28" si="1">C2/MAX(C$2:C$28)</f>
        <v>0.45308470976675325</v>
      </c>
      <c r="N2" s="761">
        <f t="shared" ref="N2:N28" si="2">D2/MAX(D$2:D$28)</f>
        <v>0.47092213672309796</v>
      </c>
      <c r="O2" s="761">
        <f t="shared" ref="O2:O28" si="3">E2/MAX(E$2:E$28)</f>
        <v>0.50315875340185501</v>
      </c>
      <c r="P2" s="761">
        <f t="shared" ref="P2:P28" si="4">F2/MAX(F$2:F$28)</f>
        <v>0.47466130650947957</v>
      </c>
      <c r="Q2" s="766">
        <f t="shared" ref="Q2:Q28" si="5">G2/MAX(G$2:G$28)</f>
        <v>0.44494545454545453</v>
      </c>
      <c r="R2" s="766">
        <f t="shared" ref="R2:R28" si="6">H2/MAX(H$2:H$28)</f>
        <v>0.42099242099242101</v>
      </c>
      <c r="S2" s="766">
        <f t="shared" ref="S2:S28" si="7">I2/MAX(I$2:I$28)</f>
        <v>0.41666666666666669</v>
      </c>
      <c r="T2" s="766">
        <f t="shared" ref="T2:T28" si="8">J2/MAX(J$2:J$28)</f>
        <v>0.43136984411642987</v>
      </c>
      <c r="U2" s="766">
        <f t="shared" ref="U2:U28" si="9">K2/MAX(K$2:K$28)</f>
        <v>0.43080691250510272</v>
      </c>
      <c r="V2" s="761">
        <f t="shared" ref="V2:V28" si="10">L2*Q2</f>
        <v>0.2473005256210615</v>
      </c>
      <c r="W2" s="761">
        <f t="shared" ref="W2:W28" si="11">M2*R2</f>
        <v>0.19074522887935388</v>
      </c>
      <c r="X2" s="761">
        <f t="shared" ref="X2:X28" si="12">N2*S2</f>
        <v>0.19621755696795748</v>
      </c>
      <c r="Y2" s="761">
        <f t="shared" ref="Y2:Y28" si="13">O2*T2</f>
        <v>0.21704751302077538</v>
      </c>
      <c r="Z2" s="761">
        <f t="shared" ref="Z2:Z28" si="14">P2*U2</f>
        <v>0.20448737194298711</v>
      </c>
      <c r="AA2" s="769">
        <f t="shared" ref="AA2:AA28" si="15">(B2-MIN(B$2:B$28))/(MAX(B$2:B$28)-MIN(B$2:B$28))</f>
        <v>0.36719481483016359</v>
      </c>
      <c r="AB2" s="769">
        <f t="shared" ref="AB2:AB28" si="16">(C2-MIN(C$2:C$28))/(MAX(C$2:C$28)-MIN(C$2:C$28))</f>
        <v>0.24052557015456852</v>
      </c>
      <c r="AC2" s="769">
        <f t="shared" ref="AC2:AC28" si="17">(D2-MIN(D$2:D$28))/(MAX(D$2:D$28)-MIN(D$2:D$28))</f>
        <v>0.28516372345520891</v>
      </c>
      <c r="AD2" s="769">
        <f t="shared" ref="AD2:AD28" si="18">(E2-MIN(E$2:E$28))/(MAX(E$2:E$28)-MIN(E$2:E$28))</f>
        <v>0.32997317812120275</v>
      </c>
      <c r="AE2" s="769">
        <f t="shared" ref="AE2:AE28" si="19">(F2-MIN(F$2:F$28))/(MAX(F$2:F$28)-MIN(F$2:F$28))</f>
        <v>0.30437699376667726</v>
      </c>
      <c r="AF2" s="757">
        <f t="shared" ref="AF2:AF28" si="20">(G2-MIN(G$2:G$28))/(MAX(G$2:G$28)-MIN(G$2:G$28))</f>
        <v>0.43923585598824394</v>
      </c>
      <c r="AG2" s="757">
        <f t="shared" ref="AG2:AG28" si="21">(H2-MIN(H$2:H$28))/(MAX(H$2:H$28)-MIN(H$2:H$28))</f>
        <v>0.41301826616410553</v>
      </c>
      <c r="AH2" s="757">
        <f t="shared" ref="AH2:AH28" si="22">(I2-MIN(I$2:I$28))/(MAX(I$2:I$28)-MIN(I$2:I$28))</f>
        <v>0.40996948118006105</v>
      </c>
      <c r="AI2" s="757">
        <f t="shared" ref="AI2:AI28" si="23">(J2-MIN(J$2:J$28))/(MAX(J$2:J$28)-MIN(J$2:J$28))</f>
        <v>0.42357712208082787</v>
      </c>
      <c r="AJ2" s="757">
        <f t="shared" ref="AJ2:AJ28" si="24">(K2-MIN(K$2:K$28))/(MAX(K$2:K$28)-MIN(K$2:K$28))</f>
        <v>0.42374982779997244</v>
      </c>
      <c r="AK2" s="770">
        <f t="shared" ref="AK2:AK28" si="25">AA2*AF2</f>
        <v>0.16128512880637164</v>
      </c>
      <c r="AL2" s="770">
        <f t="shared" ref="AL2:AL28" si="26">AB2*AG2</f>
        <v>9.9341453953372821E-2</v>
      </c>
      <c r="AM2" s="770">
        <f t="shared" ref="AM2:AM28" si="27">AC2*AH2</f>
        <v>0.1169084237563064</v>
      </c>
      <c r="AN2" s="770">
        <f t="shared" ref="AN2:AN28" si="28">AD2*AI2</f>
        <v>0.13976908915244346</v>
      </c>
      <c r="AO2" s="770">
        <f t="shared" ref="AO2:AO28" si="29">AE2*AJ2</f>
        <v>0.12897969869490278</v>
      </c>
    </row>
    <row r="3" spans="1:41">
      <c r="A3" s="665" t="s">
        <v>23</v>
      </c>
      <c r="B3" s="757">
        <v>146.56110059869724</v>
      </c>
      <c r="C3" s="757">
        <v>144.85064216629786</v>
      </c>
      <c r="D3" s="757">
        <v>127.70420707638267</v>
      </c>
      <c r="E3" s="757">
        <v>116.64586452413887</v>
      </c>
      <c r="F3" s="757">
        <v>100.81693816547882</v>
      </c>
      <c r="G3" s="759">
        <v>1640</v>
      </c>
      <c r="H3" s="759">
        <v>1698</v>
      </c>
      <c r="I3" s="759">
        <v>1651</v>
      </c>
      <c r="J3" s="759">
        <v>1668</v>
      </c>
      <c r="K3" s="759">
        <v>1663</v>
      </c>
      <c r="L3" s="761">
        <f t="shared" si="0"/>
        <v>0.95143526390155808</v>
      </c>
      <c r="M3" s="761">
        <f t="shared" si="1"/>
        <v>0.89199445841846614</v>
      </c>
      <c r="N3" s="761">
        <f t="shared" si="2"/>
        <v>0.8065008086913773</v>
      </c>
      <c r="O3" s="761">
        <f t="shared" si="3"/>
        <v>0.7891215623132094</v>
      </c>
      <c r="P3" s="761">
        <f t="shared" si="4"/>
        <v>0.69063946718332636</v>
      </c>
      <c r="Q3" s="766">
        <f t="shared" si="5"/>
        <v>0.23854545454545453</v>
      </c>
      <c r="R3" s="766">
        <f t="shared" si="6"/>
        <v>0.24281424281424283</v>
      </c>
      <c r="S3" s="766">
        <f t="shared" si="7"/>
        <v>0.23721264367816092</v>
      </c>
      <c r="T3" s="766">
        <f t="shared" si="8"/>
        <v>0.23010070354531659</v>
      </c>
      <c r="U3" s="766">
        <f t="shared" si="9"/>
        <v>0.22628929106000817</v>
      </c>
      <c r="V3" s="761">
        <f t="shared" si="10"/>
        <v>0.22696055749797167</v>
      </c>
      <c r="W3" s="761">
        <f t="shared" si="11"/>
        <v>0.21658895901538047</v>
      </c>
      <c r="X3" s="761">
        <f t="shared" si="12"/>
        <v>0.1913121889582563</v>
      </c>
      <c r="Y3" s="761">
        <f t="shared" si="13"/>
        <v>0.18157742667104887</v>
      </c>
      <c r="Z3" s="761">
        <f t="shared" si="14"/>
        <v>0.15628431540697671</v>
      </c>
      <c r="AA3" s="769">
        <f t="shared" si="15"/>
        <v>0.93081496566966659</v>
      </c>
      <c r="AB3" s="769">
        <f t="shared" si="16"/>
        <v>0.85001800355993029</v>
      </c>
      <c r="AC3" s="769">
        <f t="shared" si="17"/>
        <v>0.73856354417706616</v>
      </c>
      <c r="AD3" s="769">
        <f t="shared" si="18"/>
        <v>0.71561497686940678</v>
      </c>
      <c r="AE3" s="769">
        <f t="shared" si="19"/>
        <v>0.59036273833547315</v>
      </c>
      <c r="AF3" s="757">
        <f t="shared" si="20"/>
        <v>0.23071271124173401</v>
      </c>
      <c r="AG3" s="757">
        <f t="shared" si="21"/>
        <v>0.23238619889823137</v>
      </c>
      <c r="AH3" s="757">
        <f t="shared" si="22"/>
        <v>0.22845516640023253</v>
      </c>
      <c r="AI3" s="757">
        <f t="shared" si="23"/>
        <v>0.21954971332680745</v>
      </c>
      <c r="AJ3" s="757">
        <f t="shared" si="24"/>
        <v>0.21669651467144235</v>
      </c>
      <c r="AK3" s="770">
        <f t="shared" si="25"/>
        <v>0.21475084439403033</v>
      </c>
      <c r="AL3" s="770">
        <f t="shared" si="26"/>
        <v>0.19753245284235549</v>
      </c>
      <c r="AM3" s="770">
        <f t="shared" si="27"/>
        <v>0.16872865738211715</v>
      </c>
      <c r="AN3" s="770">
        <f t="shared" si="28"/>
        <v>0.15711306302404821</v>
      </c>
      <c r="AO3" s="770">
        <f t="shared" si="29"/>
        <v>0.12792954778918575</v>
      </c>
    </row>
    <row r="4" spans="1:41">
      <c r="A4" s="665" t="s">
        <v>24</v>
      </c>
      <c r="B4" s="757">
        <v>129.98376193257437</v>
      </c>
      <c r="C4" s="757">
        <v>144.94735169603149</v>
      </c>
      <c r="D4" s="757">
        <v>124.7986647968108</v>
      </c>
      <c r="E4" s="757">
        <v>128.05795634112854</v>
      </c>
      <c r="F4" s="757">
        <v>119.72338633749609</v>
      </c>
      <c r="G4" s="759">
        <v>738</v>
      </c>
      <c r="H4" s="759">
        <v>879</v>
      </c>
      <c r="I4" s="759">
        <v>814</v>
      </c>
      <c r="J4" s="759">
        <v>985</v>
      </c>
      <c r="K4" s="759">
        <v>1128</v>
      </c>
      <c r="L4" s="761">
        <f t="shared" si="0"/>
        <v>0.84381963789875836</v>
      </c>
      <c r="M4" s="761">
        <f t="shared" si="1"/>
        <v>0.89258999850933862</v>
      </c>
      <c r="N4" s="761">
        <f t="shared" si="2"/>
        <v>0.78815120023438956</v>
      </c>
      <c r="O4" s="761">
        <f t="shared" si="3"/>
        <v>0.86632556573521724</v>
      </c>
      <c r="P4" s="761">
        <f t="shared" si="4"/>
        <v>0.82015678371220979</v>
      </c>
      <c r="Q4" s="766">
        <f t="shared" si="5"/>
        <v>0.10734545454545455</v>
      </c>
      <c r="R4" s="766">
        <f t="shared" si="6"/>
        <v>0.12569712569712568</v>
      </c>
      <c r="S4" s="766">
        <f t="shared" si="7"/>
        <v>0.11695402298850574</v>
      </c>
      <c r="T4" s="766">
        <f t="shared" si="8"/>
        <v>0.13588081114636502</v>
      </c>
      <c r="U4" s="766">
        <f t="shared" si="9"/>
        <v>0.15349027078514083</v>
      </c>
      <c r="V4" s="761">
        <f t="shared" si="10"/>
        <v>9.0580202584623085E-2</v>
      </c>
      <c r="W4" s="761">
        <f t="shared" si="11"/>
        <v>0.11219599723862557</v>
      </c>
      <c r="X4" s="761">
        <f t="shared" si="12"/>
        <v>9.2177453590631189E-2</v>
      </c>
      <c r="Y4" s="761">
        <f t="shared" si="13"/>
        <v>0.11771702058893489</v>
      </c>
      <c r="Z4" s="761">
        <f t="shared" si="14"/>
        <v>0.12588608681825725</v>
      </c>
      <c r="AA4" s="769">
        <f t="shared" si="15"/>
        <v>0.77750638463687716</v>
      </c>
      <c r="AB4" s="769">
        <f t="shared" si="16"/>
        <v>0.8508450008647096</v>
      </c>
      <c r="AC4" s="769">
        <f t="shared" si="17"/>
        <v>0.71377141678733469</v>
      </c>
      <c r="AD4" s="769">
        <f t="shared" si="18"/>
        <v>0.81973023179913063</v>
      </c>
      <c r="AE4" s="769">
        <f t="shared" si="19"/>
        <v>0.76186205144426555</v>
      </c>
      <c r="AF4" s="757">
        <f t="shared" si="20"/>
        <v>9.8163115356355621E-2</v>
      </c>
      <c r="AG4" s="757">
        <f t="shared" si="21"/>
        <v>0.11365613221223543</v>
      </c>
      <c r="AH4" s="757">
        <f t="shared" si="22"/>
        <v>0.10681586978636826</v>
      </c>
      <c r="AI4" s="757">
        <f t="shared" si="23"/>
        <v>0.12403859600055936</v>
      </c>
      <c r="AJ4" s="757">
        <f t="shared" si="24"/>
        <v>0.14299490287918445</v>
      </c>
      <c r="AK4" s="770">
        <f t="shared" si="25"/>
        <v>7.6322448925412775E-2</v>
      </c>
      <c r="AL4" s="770">
        <f t="shared" si="26"/>
        <v>9.6703751910398997E-2</v>
      </c>
      <c r="AM4" s="770">
        <f t="shared" si="27"/>
        <v>7.6242114712787523E-2</v>
      </c>
      <c r="AN4" s="770">
        <f t="shared" si="28"/>
        <v>0.10167818705157725</v>
      </c>
      <c r="AO4" s="770">
        <f t="shared" si="29"/>
        <v>0.10894239005360898</v>
      </c>
    </row>
    <row r="5" spans="1:41">
      <c r="A5" s="665" t="s">
        <v>27</v>
      </c>
      <c r="B5" s="757">
        <v>154.04211527507712</v>
      </c>
      <c r="C5" s="757">
        <v>162.38962114531805</v>
      </c>
      <c r="D5" s="757">
        <v>158.34355737794564</v>
      </c>
      <c r="E5" s="757">
        <v>147.81735805343649</v>
      </c>
      <c r="F5" s="757">
        <v>145.97621907801792</v>
      </c>
      <c r="G5" s="759">
        <v>576</v>
      </c>
      <c r="H5" s="759">
        <v>636</v>
      </c>
      <c r="I5" s="759">
        <v>771</v>
      </c>
      <c r="J5" s="759">
        <v>772</v>
      </c>
      <c r="K5" s="759">
        <v>829</v>
      </c>
      <c r="L5" s="761">
        <f t="shared" si="0"/>
        <v>1</v>
      </c>
      <c r="M5" s="761">
        <f t="shared" si="1"/>
        <v>1</v>
      </c>
      <c r="N5" s="761">
        <f t="shared" si="2"/>
        <v>1</v>
      </c>
      <c r="O5" s="761">
        <f t="shared" si="3"/>
        <v>1</v>
      </c>
      <c r="P5" s="761">
        <f t="shared" si="4"/>
        <v>1</v>
      </c>
      <c r="Q5" s="766">
        <f t="shared" si="5"/>
        <v>8.378181818181818E-2</v>
      </c>
      <c r="R5" s="766">
        <f t="shared" si="6"/>
        <v>9.0948090948090948E-2</v>
      </c>
      <c r="S5" s="766">
        <f t="shared" si="7"/>
        <v>0.11077586206896552</v>
      </c>
      <c r="T5" s="766">
        <f t="shared" si="8"/>
        <v>0.10649744792385156</v>
      </c>
      <c r="U5" s="766">
        <f t="shared" si="9"/>
        <v>0.11280446319227105</v>
      </c>
      <c r="V5" s="761">
        <f t="shared" si="10"/>
        <v>8.378181818181818E-2</v>
      </c>
      <c r="W5" s="761">
        <f t="shared" si="11"/>
        <v>9.0948090948090948E-2</v>
      </c>
      <c r="X5" s="761">
        <f t="shared" si="12"/>
        <v>0.11077586206896552</v>
      </c>
      <c r="Y5" s="761">
        <f t="shared" si="13"/>
        <v>0.10649744792385156</v>
      </c>
      <c r="Z5" s="761">
        <f t="shared" si="14"/>
        <v>0.11280446319227105</v>
      </c>
      <c r="AA5" s="769">
        <f t="shared" si="15"/>
        <v>1</v>
      </c>
      <c r="AB5" s="769">
        <f t="shared" si="16"/>
        <v>1</v>
      </c>
      <c r="AC5" s="769">
        <f t="shared" si="17"/>
        <v>1</v>
      </c>
      <c r="AD5" s="769">
        <f t="shared" si="18"/>
        <v>1</v>
      </c>
      <c r="AE5" s="769">
        <f t="shared" si="19"/>
        <v>1</v>
      </c>
      <c r="AF5" s="757">
        <f t="shared" si="20"/>
        <v>7.435709037472446E-2</v>
      </c>
      <c r="AG5" s="757">
        <f t="shared" si="21"/>
        <v>7.8428530008698177E-2</v>
      </c>
      <c r="AH5" s="757">
        <f t="shared" si="22"/>
        <v>0.10056677808458073</v>
      </c>
      <c r="AI5" s="757">
        <f t="shared" si="23"/>
        <v>9.4252552090616698E-2</v>
      </c>
      <c r="AJ5" s="757">
        <f t="shared" si="24"/>
        <v>0.10180465628874501</v>
      </c>
      <c r="AK5" s="770">
        <f t="shared" si="25"/>
        <v>7.435709037472446E-2</v>
      </c>
      <c r="AL5" s="770">
        <f t="shared" si="26"/>
        <v>7.8428530008698177E-2</v>
      </c>
      <c r="AM5" s="770">
        <f t="shared" si="27"/>
        <v>0.10056677808458073</v>
      </c>
      <c r="AN5" s="770">
        <f t="shared" si="28"/>
        <v>9.4252552090616698E-2</v>
      </c>
      <c r="AO5" s="770">
        <f t="shared" si="29"/>
        <v>0.10180465628874501</v>
      </c>
    </row>
    <row r="6" spans="1:41">
      <c r="A6" s="665" t="s">
        <v>26</v>
      </c>
      <c r="B6" s="757">
        <v>103.39182873681783</v>
      </c>
      <c r="C6" s="757">
        <v>100.03947019238996</v>
      </c>
      <c r="D6" s="757">
        <v>96.393098840526676</v>
      </c>
      <c r="E6" s="757">
        <v>90.739200432609394</v>
      </c>
      <c r="F6" s="757">
        <v>84.170202518936577</v>
      </c>
      <c r="G6" s="759">
        <v>1388</v>
      </c>
      <c r="H6" s="759">
        <v>1407</v>
      </c>
      <c r="I6" s="759">
        <v>1433</v>
      </c>
      <c r="J6" s="759">
        <v>1416</v>
      </c>
      <c r="K6" s="759">
        <v>1533</v>
      </c>
      <c r="L6" s="761">
        <f t="shared" si="0"/>
        <v>0.67119195651259578</v>
      </c>
      <c r="M6" s="761">
        <f t="shared" si="1"/>
        <v>0.61604596086142327</v>
      </c>
      <c r="N6" s="761">
        <f t="shared" si="2"/>
        <v>0.60875920963711072</v>
      </c>
      <c r="O6" s="761">
        <f t="shared" si="3"/>
        <v>0.61386025043017511</v>
      </c>
      <c r="P6" s="761">
        <f t="shared" si="4"/>
        <v>0.57660215513563395</v>
      </c>
      <c r="Q6" s="766">
        <f t="shared" si="5"/>
        <v>0.20189090909090909</v>
      </c>
      <c r="R6" s="766">
        <f t="shared" si="6"/>
        <v>0.20120120120120119</v>
      </c>
      <c r="S6" s="766">
        <f t="shared" si="7"/>
        <v>0.20589080459770115</v>
      </c>
      <c r="T6" s="766">
        <f t="shared" si="8"/>
        <v>0.19533728790177957</v>
      </c>
      <c r="U6" s="766">
        <f t="shared" si="9"/>
        <v>0.20859980949789086</v>
      </c>
      <c r="V6" s="761">
        <f t="shared" si="10"/>
        <v>0.13550755427483388</v>
      </c>
      <c r="W6" s="761">
        <f t="shared" si="11"/>
        <v>0.12394918732046653</v>
      </c>
      <c r="X6" s="761">
        <f t="shared" si="12"/>
        <v>0.12533792347844536</v>
      </c>
      <c r="Y6" s="761">
        <f t="shared" si="13"/>
        <v>0.11990979646973762</v>
      </c>
      <c r="Z6" s="761">
        <f t="shared" si="14"/>
        <v>0.12027909971736656</v>
      </c>
      <c r="AA6" s="769">
        <f t="shared" si="15"/>
        <v>0.53158201599914279</v>
      </c>
      <c r="AB6" s="769">
        <f t="shared" si="16"/>
        <v>0.46682186406370363</v>
      </c>
      <c r="AC6" s="769">
        <f t="shared" si="17"/>
        <v>0.47139517786047075</v>
      </c>
      <c r="AD6" s="769">
        <f t="shared" si="18"/>
        <v>0.47926225735721684</v>
      </c>
      <c r="AE6" s="769">
        <f t="shared" si="19"/>
        <v>0.43936114867089082</v>
      </c>
      <c r="AF6" s="757">
        <f t="shared" si="20"/>
        <v>0.19368111682586334</v>
      </c>
      <c r="AG6" s="757">
        <f t="shared" si="21"/>
        <v>0.19020005798782255</v>
      </c>
      <c r="AH6" s="757">
        <f t="shared" si="22"/>
        <v>0.19677372474930968</v>
      </c>
      <c r="AI6" s="757">
        <f t="shared" si="23"/>
        <v>0.18430988672912879</v>
      </c>
      <c r="AJ6" s="757">
        <f t="shared" si="24"/>
        <v>0.19878771180603388</v>
      </c>
      <c r="AK6" s="770">
        <f t="shared" si="25"/>
        <v>0.10295739854325793</v>
      </c>
      <c r="AL6" s="770">
        <f t="shared" si="26"/>
        <v>8.8789545614899851E-2</v>
      </c>
      <c r="AM6" s="770">
        <f t="shared" si="27"/>
        <v>9.275818497646815E-2</v>
      </c>
      <c r="AN6" s="770">
        <f t="shared" si="28"/>
        <v>8.833277236705521E-2</v>
      </c>
      <c r="AO6" s="770">
        <f t="shared" si="29"/>
        <v>8.7339597400757057E-2</v>
      </c>
    </row>
    <row r="7" spans="1:41">
      <c r="A7" s="665" t="s">
        <v>32</v>
      </c>
      <c r="B7" s="757">
        <v>61.145377396381477</v>
      </c>
      <c r="C7" s="757">
        <v>55.945451256462661</v>
      </c>
      <c r="D7" s="757">
        <v>57.999669779740245</v>
      </c>
      <c r="E7" s="757">
        <v>53.357046440108753</v>
      </c>
      <c r="F7" s="757">
        <v>51.537964966255238</v>
      </c>
      <c r="G7" s="759">
        <v>3288</v>
      </c>
      <c r="H7" s="759">
        <v>3381</v>
      </c>
      <c r="I7" s="759">
        <v>3638</v>
      </c>
      <c r="J7" s="759">
        <v>3764</v>
      </c>
      <c r="K7" s="759">
        <v>3942</v>
      </c>
      <c r="L7" s="761">
        <f t="shared" si="0"/>
        <v>0.39693935185966867</v>
      </c>
      <c r="M7" s="761">
        <f t="shared" si="1"/>
        <v>0.34451371252599083</v>
      </c>
      <c r="N7" s="761">
        <f t="shared" si="2"/>
        <v>0.36629005145629334</v>
      </c>
      <c r="O7" s="761">
        <f t="shared" si="3"/>
        <v>0.36096604040792013</v>
      </c>
      <c r="P7" s="761">
        <f t="shared" si="4"/>
        <v>0.35305726707930724</v>
      </c>
      <c r="Q7" s="766">
        <f t="shared" si="5"/>
        <v>0.47825454545454543</v>
      </c>
      <c r="R7" s="766">
        <f t="shared" si="6"/>
        <v>0.48348348348348347</v>
      </c>
      <c r="S7" s="766">
        <f t="shared" si="7"/>
        <v>0.52270114942528734</v>
      </c>
      <c r="T7" s="766">
        <f t="shared" si="8"/>
        <v>0.5192440336598152</v>
      </c>
      <c r="U7" s="766">
        <f t="shared" si="9"/>
        <v>0.5363995101374337</v>
      </c>
      <c r="V7" s="761">
        <f t="shared" si="10"/>
        <v>0.1898380492966677</v>
      </c>
      <c r="W7" s="761">
        <f t="shared" si="11"/>
        <v>0.16656668983989345</v>
      </c>
      <c r="X7" s="761">
        <f t="shared" si="12"/>
        <v>0.19146023091925218</v>
      </c>
      <c r="Y7" s="761">
        <f t="shared" si="13"/>
        <v>0.18742946283562029</v>
      </c>
      <c r="Z7" s="761">
        <f t="shared" si="14"/>
        <v>0.1893797451118015</v>
      </c>
      <c r="AA7" s="769">
        <f t="shared" si="15"/>
        <v>0.14088338583187501</v>
      </c>
      <c r="AB7" s="769">
        <f t="shared" si="16"/>
        <v>8.9758353183889264E-2</v>
      </c>
      <c r="AC7" s="769">
        <f t="shared" si="17"/>
        <v>0.14379547611257809</v>
      </c>
      <c r="AD7" s="769">
        <f t="shared" si="18"/>
        <v>0.13821588696637085</v>
      </c>
      <c r="AE7" s="769">
        <f t="shared" si="19"/>
        <v>0.14335598288989432</v>
      </c>
      <c r="AF7" s="757">
        <f t="shared" si="20"/>
        <v>0.47288758265980896</v>
      </c>
      <c r="AG7" s="757">
        <f t="shared" si="21"/>
        <v>0.47636996230791534</v>
      </c>
      <c r="AH7" s="757">
        <f t="shared" si="22"/>
        <v>0.51722133410841442</v>
      </c>
      <c r="AI7" s="757">
        <f t="shared" si="23"/>
        <v>0.5126555726471822</v>
      </c>
      <c r="AJ7" s="757">
        <f t="shared" si="24"/>
        <v>0.53065160490425678</v>
      </c>
      <c r="AK7" s="770">
        <f t="shared" si="25"/>
        <v>6.6622003762964552E-2</v>
      </c>
      <c r="AL7" s="770">
        <f t="shared" si="26"/>
        <v>4.2758183323029879E-2</v>
      </c>
      <c r="AM7" s="770">
        <f t="shared" si="27"/>
        <v>7.4374087993702279E-2</v>
      </c>
      <c r="AN7" s="770">
        <f t="shared" si="28"/>
        <v>7.0857144681683054E-2</v>
      </c>
      <c r="AO7" s="770">
        <f t="shared" si="29"/>
        <v>7.6072082393149595E-2</v>
      </c>
    </row>
    <row r="8" spans="1:41">
      <c r="A8" s="665" t="s">
        <v>31</v>
      </c>
      <c r="B8" s="757">
        <v>93.778087528805088</v>
      </c>
      <c r="C8" s="757">
        <v>90.091611229297314</v>
      </c>
      <c r="D8" s="757">
        <v>88.969704621129978</v>
      </c>
      <c r="E8" s="757">
        <v>90.30415039772906</v>
      </c>
      <c r="F8" s="757">
        <v>84.237016885634773</v>
      </c>
      <c r="G8" s="759">
        <v>859</v>
      </c>
      <c r="H8" s="759">
        <v>864</v>
      </c>
      <c r="I8" s="759">
        <v>928</v>
      </c>
      <c r="J8" s="759">
        <v>1034</v>
      </c>
      <c r="K8" s="759">
        <v>1061</v>
      </c>
      <c r="L8" s="761">
        <f t="shared" si="0"/>
        <v>0.60878213312861262</v>
      </c>
      <c r="M8" s="761">
        <f t="shared" si="1"/>
        <v>0.5547867566528577</v>
      </c>
      <c r="N8" s="761">
        <f t="shared" si="2"/>
        <v>0.56187764184665101</v>
      </c>
      <c r="O8" s="761">
        <f t="shared" si="3"/>
        <v>0.61091709111107095</v>
      </c>
      <c r="P8" s="761">
        <f t="shared" si="4"/>
        <v>0.57705986233698625</v>
      </c>
      <c r="Q8" s="766">
        <f t="shared" si="5"/>
        <v>0.12494545454545454</v>
      </c>
      <c r="R8" s="766">
        <f t="shared" si="6"/>
        <v>0.12355212355212356</v>
      </c>
      <c r="S8" s="766">
        <f t="shared" si="7"/>
        <v>0.13333333333333333</v>
      </c>
      <c r="T8" s="766">
        <f t="shared" si="8"/>
        <v>0.14264036418816389</v>
      </c>
      <c r="U8" s="766">
        <f t="shared" si="9"/>
        <v>0.14437338413389578</v>
      </c>
      <c r="V8" s="761">
        <f t="shared" si="10"/>
        <v>7.6064560342905929E-2</v>
      </c>
      <c r="W8" s="761">
        <f t="shared" si="11"/>
        <v>6.8545081903055777E-2</v>
      </c>
      <c r="X8" s="761">
        <f t="shared" si="12"/>
        <v>7.4917018912886796E-2</v>
      </c>
      <c r="Y8" s="761">
        <f t="shared" si="13"/>
        <v>8.714143636485687E-2</v>
      </c>
      <c r="Z8" s="761">
        <f t="shared" si="14"/>
        <v>8.3312085173430736E-2</v>
      </c>
      <c r="AA8" s="769">
        <f t="shared" si="15"/>
        <v>0.44267335263034402</v>
      </c>
      <c r="AB8" s="769">
        <f t="shared" si="16"/>
        <v>0.38175421278402655</v>
      </c>
      <c r="AC8" s="769">
        <f t="shared" si="17"/>
        <v>0.40805356468022896</v>
      </c>
      <c r="AD8" s="769">
        <f t="shared" si="18"/>
        <v>0.47529319138621601</v>
      </c>
      <c r="AE8" s="769">
        <f t="shared" si="19"/>
        <v>0.43996721798069904</v>
      </c>
      <c r="AF8" s="757">
        <f t="shared" si="20"/>
        <v>0.11594415870683321</v>
      </c>
      <c r="AG8" s="757">
        <f t="shared" si="21"/>
        <v>0.11148158886633806</v>
      </c>
      <c r="AH8" s="757">
        <f t="shared" si="22"/>
        <v>0.12338322918180497</v>
      </c>
      <c r="AI8" s="757">
        <f t="shared" si="23"/>
        <v>0.13089078450566355</v>
      </c>
      <c r="AJ8" s="757">
        <f t="shared" si="24"/>
        <v>0.13376498140239704</v>
      </c>
      <c r="AK8" s="770">
        <f t="shared" si="25"/>
        <v>5.1325389452658549E-2</v>
      </c>
      <c r="AL8" s="770">
        <f t="shared" si="26"/>
        <v>4.2558566197581388E-2</v>
      </c>
      <c r="AM8" s="770">
        <f t="shared" si="27"/>
        <v>5.0346966489393172E-2</v>
      </c>
      <c r="AN8" s="770">
        <f t="shared" si="28"/>
        <v>6.2211498690742301E-2</v>
      </c>
      <c r="AO8" s="770">
        <f t="shared" si="29"/>
        <v>5.885220673085257E-2</v>
      </c>
    </row>
    <row r="9" spans="1:41">
      <c r="A9" s="665" t="s">
        <v>22</v>
      </c>
      <c r="B9" s="757">
        <v>65.439181803045216</v>
      </c>
      <c r="C9" s="757">
        <v>86.101550298376026</v>
      </c>
      <c r="D9" s="757">
        <v>71.79194111196631</v>
      </c>
      <c r="E9" s="757">
        <v>74.934361659693892</v>
      </c>
      <c r="F9" s="757">
        <v>62.699678007260808</v>
      </c>
      <c r="G9" s="759">
        <v>1300</v>
      </c>
      <c r="H9" s="759">
        <v>1771</v>
      </c>
      <c r="I9" s="759">
        <v>1732</v>
      </c>
      <c r="J9" s="759">
        <v>1927</v>
      </c>
      <c r="K9" s="759">
        <v>1725</v>
      </c>
      <c r="L9" s="761">
        <f t="shared" si="0"/>
        <v>0.42481357573017431</v>
      </c>
      <c r="M9" s="761">
        <f t="shared" si="1"/>
        <v>0.53021584563785695</v>
      </c>
      <c r="N9" s="761">
        <f t="shared" si="2"/>
        <v>0.45339350903054559</v>
      </c>
      <c r="O9" s="761">
        <f t="shared" si="3"/>
        <v>0.50693885106920156</v>
      </c>
      <c r="P9" s="761">
        <f t="shared" si="4"/>
        <v>0.42951981085186597</v>
      </c>
      <c r="Q9" s="766">
        <f t="shared" si="5"/>
        <v>0.18909090909090909</v>
      </c>
      <c r="R9" s="766">
        <f t="shared" si="6"/>
        <v>0.25325325325325326</v>
      </c>
      <c r="S9" s="766">
        <f t="shared" si="7"/>
        <v>0.24885057471264369</v>
      </c>
      <c r="T9" s="766">
        <f t="shared" si="8"/>
        <v>0.26582976962339633</v>
      </c>
      <c r="U9" s="766">
        <f t="shared" si="9"/>
        <v>0.23472581303578718</v>
      </c>
      <c r="V9" s="761">
        <f t="shared" si="10"/>
        <v>8.0328385228978408E-2</v>
      </c>
      <c r="W9" s="761">
        <f t="shared" si="11"/>
        <v>0.13427888783421202</v>
      </c>
      <c r="X9" s="761">
        <f t="shared" si="12"/>
        <v>0.11282723529323348</v>
      </c>
      <c r="Y9" s="761">
        <f t="shared" si="13"/>
        <v>0.13475943799287507</v>
      </c>
      <c r="Z9" s="761">
        <f t="shared" si="14"/>
        <v>0.10081938681718176</v>
      </c>
      <c r="AA9" s="769">
        <f t="shared" si="15"/>
        <v>0.18059283944659779</v>
      </c>
      <c r="AB9" s="769">
        <f t="shared" si="16"/>
        <v>0.34763379419791968</v>
      </c>
      <c r="AC9" s="769">
        <f t="shared" si="17"/>
        <v>0.26148082189686833</v>
      </c>
      <c r="AD9" s="769">
        <f t="shared" si="18"/>
        <v>0.33507091677270462</v>
      </c>
      <c r="AE9" s="769">
        <f t="shared" si="19"/>
        <v>0.2446032453176982</v>
      </c>
      <c r="AF9" s="757">
        <f t="shared" si="20"/>
        <v>0.1807494489346069</v>
      </c>
      <c r="AG9" s="757">
        <f t="shared" si="21"/>
        <v>0.24296897651493188</v>
      </c>
      <c r="AH9" s="757">
        <f t="shared" si="22"/>
        <v>0.2402267112338323</v>
      </c>
      <c r="AI9" s="757">
        <f t="shared" si="23"/>
        <v>0.25576842399664385</v>
      </c>
      <c r="AJ9" s="757">
        <f t="shared" si="24"/>
        <v>0.22523763603802177</v>
      </c>
      <c r="AK9" s="770">
        <f t="shared" si="25"/>
        <v>3.2642056211508487E-2</v>
      </c>
      <c r="AL9" s="770">
        <f t="shared" si="26"/>
        <v>8.4464227178271012E-2</v>
      </c>
      <c r="AM9" s="770">
        <f t="shared" si="27"/>
        <v>6.2814677895004126E-2</v>
      </c>
      <c r="AN9" s="770">
        <f t="shared" si="28"/>
        <v>8.5700560310065274E-2</v>
      </c>
      <c r="AO9" s="770">
        <f t="shared" si="29"/>
        <v>5.5093856742586662E-2</v>
      </c>
    </row>
    <row r="10" spans="1:41">
      <c r="A10" s="665" t="s">
        <v>25</v>
      </c>
      <c r="B10" s="757">
        <v>104.66232358478791</v>
      </c>
      <c r="C10" s="757">
        <v>104.50093084812208</v>
      </c>
      <c r="D10" s="757">
        <v>107.13526838851328</v>
      </c>
      <c r="E10" s="757">
        <v>93.86439353294783</v>
      </c>
      <c r="F10" s="757">
        <v>97.367905491885139</v>
      </c>
      <c r="G10" s="759">
        <v>629</v>
      </c>
      <c r="H10" s="759">
        <v>638</v>
      </c>
      <c r="I10" s="759">
        <v>693</v>
      </c>
      <c r="J10" s="759">
        <v>695</v>
      </c>
      <c r="K10" s="759">
        <v>788</v>
      </c>
      <c r="L10" s="761">
        <f t="shared" si="0"/>
        <v>0.6794396675083928</v>
      </c>
      <c r="M10" s="761">
        <f t="shared" si="1"/>
        <v>0.64351976506310737</v>
      </c>
      <c r="N10" s="761">
        <f t="shared" si="2"/>
        <v>0.67660011030821554</v>
      </c>
      <c r="O10" s="761">
        <f t="shared" si="3"/>
        <v>0.63500251099749405</v>
      </c>
      <c r="P10" s="761">
        <f t="shared" si="4"/>
        <v>0.66701210722443938</v>
      </c>
      <c r="Q10" s="766">
        <f t="shared" si="5"/>
        <v>9.1490909090909095E-2</v>
      </c>
      <c r="R10" s="766">
        <f t="shared" si="6"/>
        <v>9.1234091234091236E-2</v>
      </c>
      <c r="S10" s="766">
        <f t="shared" si="7"/>
        <v>9.9568965517241384E-2</v>
      </c>
      <c r="T10" s="766">
        <f t="shared" si="8"/>
        <v>9.5875293143881921E-2</v>
      </c>
      <c r="U10" s="766">
        <f t="shared" si="9"/>
        <v>0.10722547285344945</v>
      </c>
      <c r="V10" s="761">
        <f t="shared" si="10"/>
        <v>6.2162552852767866E-2</v>
      </c>
      <c r="W10" s="761">
        <f t="shared" si="11"/>
        <v>5.8710940956708493E-2</v>
      </c>
      <c r="X10" s="761">
        <f t="shared" si="12"/>
        <v>6.7368373052240429E-2</v>
      </c>
      <c r="Y10" s="761">
        <f t="shared" si="13"/>
        <v>6.0881051888985849E-2</v>
      </c>
      <c r="Z10" s="761">
        <f t="shared" si="14"/>
        <v>7.1520688596116239E-2</v>
      </c>
      <c r="AA10" s="769">
        <f t="shared" si="15"/>
        <v>0.5433316560514273</v>
      </c>
      <c r="AB10" s="769">
        <f t="shared" si="16"/>
        <v>0.50497338799140423</v>
      </c>
      <c r="AC10" s="769">
        <f t="shared" si="17"/>
        <v>0.56305491303218569</v>
      </c>
      <c r="AD10" s="769">
        <f t="shared" si="18"/>
        <v>0.50777414471006332</v>
      </c>
      <c r="AE10" s="769">
        <f t="shared" si="19"/>
        <v>0.5590767596561691</v>
      </c>
      <c r="AF10" s="757">
        <f t="shared" si="20"/>
        <v>8.2145481263776632E-2</v>
      </c>
      <c r="AG10" s="757">
        <f t="shared" si="21"/>
        <v>7.8718469121484488E-2</v>
      </c>
      <c r="AH10" s="757">
        <f t="shared" si="22"/>
        <v>8.9231216392966134E-2</v>
      </c>
      <c r="AI10" s="757">
        <f t="shared" si="23"/>
        <v>8.3484827296881559E-2</v>
      </c>
      <c r="AJ10" s="757">
        <f t="shared" si="24"/>
        <v>9.6156495385039259E-2</v>
      </c>
      <c r="AK10" s="770">
        <f t="shared" si="25"/>
        <v>4.4632240372189248E-2</v>
      </c>
      <c r="AL10" s="770">
        <f t="shared" si="26"/>
        <v>3.9750732049772759E-2</v>
      </c>
      <c r="AM10" s="770">
        <f t="shared" si="27"/>
        <v>5.0242074785897692E-2</v>
      </c>
      <c r="AN10" s="770">
        <f t="shared" si="28"/>
        <v>4.2391436776941384E-2</v>
      </c>
      <c r="AO10" s="770">
        <f t="shared" si="29"/>
        <v>5.3758861859761128E-2</v>
      </c>
    </row>
    <row r="11" spans="1:41">
      <c r="A11" s="665" t="s">
        <v>21</v>
      </c>
      <c r="B11" s="757">
        <v>147.04151823336281</v>
      </c>
      <c r="C11" s="757">
        <v>146.72549344995807</v>
      </c>
      <c r="D11" s="757">
        <v>135.89009553438424</v>
      </c>
      <c r="E11" s="757">
        <v>147.17058361934781</v>
      </c>
      <c r="F11" s="757">
        <v>119.81291829578933</v>
      </c>
      <c r="G11" s="759">
        <v>561</v>
      </c>
      <c r="H11" s="759">
        <v>592</v>
      </c>
      <c r="I11" s="759">
        <v>574</v>
      </c>
      <c r="J11" s="759">
        <v>660</v>
      </c>
      <c r="K11" s="759">
        <v>592</v>
      </c>
      <c r="L11" s="761">
        <f t="shared" si="0"/>
        <v>0.95455400603131713</v>
      </c>
      <c r="M11" s="761">
        <f t="shared" si="1"/>
        <v>0.90353984703651358</v>
      </c>
      <c r="N11" s="761">
        <f t="shared" si="2"/>
        <v>0.8581978186206346</v>
      </c>
      <c r="O11" s="761">
        <f t="shared" si="3"/>
        <v>0.99562450281478532</v>
      </c>
      <c r="P11" s="761">
        <f t="shared" si="4"/>
        <v>0.82077011620471241</v>
      </c>
      <c r="Q11" s="766">
        <f t="shared" si="5"/>
        <v>8.1600000000000006E-2</v>
      </c>
      <c r="R11" s="766">
        <f t="shared" si="6"/>
        <v>8.4656084656084651E-2</v>
      </c>
      <c r="S11" s="766">
        <f t="shared" si="7"/>
        <v>8.2471264367816086E-2</v>
      </c>
      <c r="T11" s="766">
        <f t="shared" si="8"/>
        <v>9.1047040971168433E-2</v>
      </c>
      <c r="U11" s="766">
        <f t="shared" si="9"/>
        <v>8.0555177575180298E-2</v>
      </c>
      <c r="V11" s="761">
        <f t="shared" si="10"/>
        <v>7.7891606892155477E-2</v>
      </c>
      <c r="W11" s="761">
        <f t="shared" si="11"/>
        <v>7.6490145780868865E-2</v>
      </c>
      <c r="X11" s="761">
        <f t="shared" si="12"/>
        <v>7.0776659179345433E-2</v>
      </c>
      <c r="Y11" s="761">
        <f t="shared" si="13"/>
        <v>9.0648664899676962E-2</v>
      </c>
      <c r="Z11" s="761">
        <f t="shared" si="14"/>
        <v>6.6117282459271981E-2</v>
      </c>
      <c r="AA11" s="769">
        <f t="shared" si="15"/>
        <v>0.93525790716691803</v>
      </c>
      <c r="AB11" s="769">
        <f t="shared" si="16"/>
        <v>0.86605051827403901</v>
      </c>
      <c r="AC11" s="769">
        <f t="shared" si="17"/>
        <v>0.80841129372652787</v>
      </c>
      <c r="AD11" s="769">
        <f t="shared" si="18"/>
        <v>0.99409932147698632</v>
      </c>
      <c r="AE11" s="769">
        <f t="shared" si="19"/>
        <v>0.7626741907318183</v>
      </c>
      <c r="AF11" s="757">
        <f t="shared" si="20"/>
        <v>7.2152828802351215E-2</v>
      </c>
      <c r="AG11" s="757">
        <f t="shared" si="21"/>
        <v>7.2049869527399252E-2</v>
      </c>
      <c r="AH11" s="757">
        <f t="shared" si="22"/>
        <v>7.1937218427554128E-2</v>
      </c>
      <c r="AI11" s="757">
        <f t="shared" si="23"/>
        <v>7.8590406936092858E-2</v>
      </c>
      <c r="AJ11" s="757">
        <f t="shared" si="24"/>
        <v>6.9155531064884965E-2</v>
      </c>
      <c r="AK11" s="770">
        <f t="shared" si="25"/>
        <v>6.7481503661859926E-2</v>
      </c>
      <c r="AL11" s="770">
        <f t="shared" si="26"/>
        <v>6.2398826845781012E-2</v>
      </c>
      <c r="AM11" s="770">
        <f t="shared" si="27"/>
        <v>5.8154859816106852E-2</v>
      </c>
      <c r="AN11" s="770">
        <f t="shared" si="28"/>
        <v>7.8126670209770155E-2</v>
      </c>
      <c r="AO11" s="770">
        <f t="shared" si="29"/>
        <v>5.274313868954026E-2</v>
      </c>
    </row>
    <row r="12" spans="1:41">
      <c r="A12" s="665" t="s">
        <v>16</v>
      </c>
      <c r="B12" s="757">
        <v>98.244694705162644</v>
      </c>
      <c r="C12" s="757">
        <v>100.01050570126829</v>
      </c>
      <c r="D12" s="757">
        <v>97.414268809336278</v>
      </c>
      <c r="E12" s="757">
        <v>80.244097077583731</v>
      </c>
      <c r="F12" s="757">
        <v>76.558258005690135</v>
      </c>
      <c r="G12" s="759">
        <v>850</v>
      </c>
      <c r="H12" s="759">
        <v>958</v>
      </c>
      <c r="I12" s="759">
        <v>1001</v>
      </c>
      <c r="J12" s="759">
        <v>1058</v>
      </c>
      <c r="K12" s="759">
        <v>1103</v>
      </c>
      <c r="L12" s="761">
        <f t="shared" si="0"/>
        <v>0.63777814612402894</v>
      </c>
      <c r="M12" s="761">
        <f t="shared" si="1"/>
        <v>0.615867596684468</v>
      </c>
      <c r="N12" s="761">
        <f t="shared" si="2"/>
        <v>0.61520828774119929</v>
      </c>
      <c r="O12" s="761">
        <f t="shared" si="3"/>
        <v>0.54285977055938994</v>
      </c>
      <c r="P12" s="761">
        <f t="shared" si="4"/>
        <v>0.52445705532880726</v>
      </c>
      <c r="Q12" s="766">
        <f t="shared" si="5"/>
        <v>0.12363636363636364</v>
      </c>
      <c r="R12" s="766">
        <f t="shared" si="6"/>
        <v>0.13699413699413698</v>
      </c>
      <c r="S12" s="766">
        <f t="shared" si="7"/>
        <v>0.14382183908045976</v>
      </c>
      <c r="T12" s="766">
        <f t="shared" si="8"/>
        <v>0.14595116567802455</v>
      </c>
      <c r="U12" s="766">
        <f t="shared" si="9"/>
        <v>0.15008844740781058</v>
      </c>
      <c r="V12" s="761">
        <f t="shared" si="10"/>
        <v>7.8852570793516305E-2</v>
      </c>
      <c r="W12" s="761">
        <f t="shared" si="11"/>
        <v>8.4370249910441911E-2</v>
      </c>
      <c r="X12" s="761">
        <f t="shared" si="12"/>
        <v>8.8480387360479945E-2</v>
      </c>
      <c r="Y12" s="761">
        <f t="shared" si="13"/>
        <v>7.9231016312847916E-2</v>
      </c>
      <c r="Z12" s="761">
        <f t="shared" si="14"/>
        <v>7.8714945166372896E-2</v>
      </c>
      <c r="AA12" s="769">
        <f t="shared" si="15"/>
        <v>0.4839809003634209</v>
      </c>
      <c r="AB12" s="769">
        <f t="shared" si="16"/>
        <v>0.4665741784823767</v>
      </c>
      <c r="AC12" s="769">
        <f t="shared" si="17"/>
        <v>0.48010851723649467</v>
      </c>
      <c r="AD12" s="769">
        <f t="shared" si="18"/>
        <v>0.38351290843456376</v>
      </c>
      <c r="AE12" s="769">
        <f t="shared" si="19"/>
        <v>0.37031363411042761</v>
      </c>
      <c r="AF12" s="757">
        <f t="shared" si="20"/>
        <v>0.11462160176340926</v>
      </c>
      <c r="AG12" s="757">
        <f t="shared" si="21"/>
        <v>0.12510872716729488</v>
      </c>
      <c r="AH12" s="757">
        <f t="shared" si="22"/>
        <v>0.13399215230344427</v>
      </c>
      <c r="AI12" s="757">
        <f t="shared" si="23"/>
        <v>0.13424695846734722</v>
      </c>
      <c r="AJ12" s="757">
        <f t="shared" si="24"/>
        <v>0.13955090232814438</v>
      </c>
      <c r="AK12" s="770">
        <f t="shared" si="25"/>
        <v>5.5474666022552285E-2</v>
      </c>
      <c r="AL12" s="770">
        <f t="shared" si="26"/>
        <v>5.8372501599056409E-2</v>
      </c>
      <c r="AM12" s="770">
        <f t="shared" si="27"/>
        <v>6.4330773563733193E-2</v>
      </c>
      <c r="AN12" s="770">
        <f t="shared" si="28"/>
        <v>5.148544149030642E-2</v>
      </c>
      <c r="AO12" s="770">
        <f t="shared" si="29"/>
        <v>5.1677601784524477E-2</v>
      </c>
    </row>
    <row r="13" spans="1:41">
      <c r="A13" s="665" t="s">
        <v>41</v>
      </c>
      <c r="B13" s="757">
        <v>75.862544341716216</v>
      </c>
      <c r="C13" s="757">
        <v>77.02830736092325</v>
      </c>
      <c r="D13" s="757">
        <v>66.675759227330659</v>
      </c>
      <c r="E13" s="757">
        <v>61.335284947068423</v>
      </c>
      <c r="F13" s="757">
        <v>60.631037088365588</v>
      </c>
      <c r="G13" s="759">
        <v>1559</v>
      </c>
      <c r="H13" s="759">
        <v>1492</v>
      </c>
      <c r="I13" s="759">
        <v>1377</v>
      </c>
      <c r="J13" s="759">
        <v>1411</v>
      </c>
      <c r="K13" s="759">
        <v>1587</v>
      </c>
      <c r="L13" s="761">
        <f t="shared" si="0"/>
        <v>0.49247924313585567</v>
      </c>
      <c r="M13" s="761">
        <f t="shared" si="1"/>
        <v>0.47434255229891026</v>
      </c>
      <c r="N13" s="761">
        <f t="shared" si="2"/>
        <v>0.42108286773035053</v>
      </c>
      <c r="O13" s="761">
        <f t="shared" si="3"/>
        <v>0.41493966442625435</v>
      </c>
      <c r="P13" s="761">
        <f t="shared" si="4"/>
        <v>0.41534872920609722</v>
      </c>
      <c r="Q13" s="766">
        <f t="shared" si="5"/>
        <v>0.22676363636363636</v>
      </c>
      <c r="R13" s="766">
        <f t="shared" si="6"/>
        <v>0.21335621335621335</v>
      </c>
      <c r="S13" s="766">
        <f t="shared" si="7"/>
        <v>0.19784482758620689</v>
      </c>
      <c r="T13" s="766">
        <f t="shared" si="8"/>
        <v>0.19464753759139192</v>
      </c>
      <c r="U13" s="766">
        <f t="shared" si="9"/>
        <v>0.21594774799292421</v>
      </c>
      <c r="V13" s="761">
        <f t="shared" si="10"/>
        <v>0.11167638400709803</v>
      </c>
      <c r="W13" s="761">
        <f t="shared" si="11"/>
        <v>0.10120393079221708</v>
      </c>
      <c r="X13" s="761">
        <f t="shared" si="12"/>
        <v>8.330906736561676E-2</v>
      </c>
      <c r="Y13" s="761">
        <f t="shared" si="13"/>
        <v>8.0766983929568895E-2</v>
      </c>
      <c r="Z13" s="761">
        <f t="shared" si="14"/>
        <v>8.9693622703779605E-2</v>
      </c>
      <c r="AA13" s="769">
        <f t="shared" si="15"/>
        <v>0.27698894696291521</v>
      </c>
      <c r="AB13" s="769">
        <f t="shared" si="16"/>
        <v>0.27004529309003183</v>
      </c>
      <c r="AC13" s="769">
        <f t="shared" si="17"/>
        <v>0.21782596478991423</v>
      </c>
      <c r="AD13" s="769">
        <f t="shared" si="18"/>
        <v>0.21100327330737562</v>
      </c>
      <c r="AE13" s="769">
        <f t="shared" si="19"/>
        <v>0.2258387215197088</v>
      </c>
      <c r="AF13" s="757">
        <f t="shared" si="20"/>
        <v>0.21880969875091844</v>
      </c>
      <c r="AG13" s="757">
        <f t="shared" si="21"/>
        <v>0.20252247028124093</v>
      </c>
      <c r="AH13" s="757">
        <f t="shared" si="22"/>
        <v>0.1886353727655864</v>
      </c>
      <c r="AI13" s="757">
        <f t="shared" si="23"/>
        <v>0.18361068382044468</v>
      </c>
      <c r="AJ13" s="757">
        <f t="shared" si="24"/>
        <v>0.20622675299628049</v>
      </c>
      <c r="AK13" s="770">
        <f t="shared" si="25"/>
        <v>6.0607868042289598E-2</v>
      </c>
      <c r="AL13" s="770">
        <f t="shared" si="26"/>
        <v>5.469023984441497E-2</v>
      </c>
      <c r="AM13" s="770">
        <f t="shared" si="27"/>
        <v>4.1089682066168969E-2</v>
      </c>
      <c r="AN13" s="770">
        <f t="shared" si="28"/>
        <v>3.8742455300319417E-2</v>
      </c>
      <c r="AO13" s="770">
        <f t="shared" si="29"/>
        <v>4.6573986239840763E-2</v>
      </c>
    </row>
    <row r="14" spans="1:41">
      <c r="A14" s="665" t="s">
        <v>42</v>
      </c>
      <c r="B14" s="757">
        <v>85.189186672654216</v>
      </c>
      <c r="C14" s="757">
        <v>72.540038360329604</v>
      </c>
      <c r="D14" s="757">
        <v>75.487147602747982</v>
      </c>
      <c r="E14" s="757">
        <v>75.073980304757427</v>
      </c>
      <c r="F14" s="757">
        <v>74.052137421610126</v>
      </c>
      <c r="G14" s="759">
        <v>904</v>
      </c>
      <c r="H14" s="759">
        <v>859</v>
      </c>
      <c r="I14" s="759">
        <v>844</v>
      </c>
      <c r="J14" s="759">
        <v>887</v>
      </c>
      <c r="K14" s="759">
        <v>1033</v>
      </c>
      <c r="L14" s="761">
        <f t="shared" si="0"/>
        <v>0.55302529779294196</v>
      </c>
      <c r="M14" s="761">
        <f t="shared" si="1"/>
        <v>0.44670366153151808</v>
      </c>
      <c r="N14" s="761">
        <f t="shared" si="2"/>
        <v>0.47673014837332406</v>
      </c>
      <c r="O14" s="761">
        <f t="shared" si="3"/>
        <v>0.50788338591207893</v>
      </c>
      <c r="P14" s="761">
        <f t="shared" si="4"/>
        <v>0.50728904947204101</v>
      </c>
      <c r="Q14" s="766">
        <f t="shared" si="5"/>
        <v>0.1314909090909091</v>
      </c>
      <c r="R14" s="766">
        <f t="shared" si="6"/>
        <v>0.12283712283712284</v>
      </c>
      <c r="S14" s="766">
        <f t="shared" si="7"/>
        <v>0.12126436781609196</v>
      </c>
      <c r="T14" s="766">
        <f t="shared" si="8"/>
        <v>0.12236170506276728</v>
      </c>
      <c r="U14" s="766">
        <f t="shared" si="9"/>
        <v>0.14056334195128589</v>
      </c>
      <c r="V14" s="761">
        <f t="shared" si="10"/>
        <v>7.2717799157064666E-2</v>
      </c>
      <c r="W14" s="761">
        <f t="shared" si="11"/>
        <v>5.4871792543339633E-2</v>
      </c>
      <c r="X14" s="761">
        <f t="shared" si="12"/>
        <v>5.7810380061362861E-2</v>
      </c>
      <c r="Y14" s="761">
        <f t="shared" si="13"/>
        <v>6.2145477073253415E-2</v>
      </c>
      <c r="Z14" s="761">
        <f t="shared" si="14"/>
        <v>7.1306244129081292E-2</v>
      </c>
      <c r="AA14" s="769">
        <f t="shared" si="15"/>
        <v>0.36324249648341067</v>
      </c>
      <c r="AB14" s="769">
        <f t="shared" si="16"/>
        <v>0.23166452154829423</v>
      </c>
      <c r="AC14" s="769">
        <f t="shared" si="17"/>
        <v>0.29301091894447384</v>
      </c>
      <c r="AD14" s="769">
        <f t="shared" si="18"/>
        <v>0.33634469120922744</v>
      </c>
      <c r="AE14" s="769">
        <f t="shared" si="19"/>
        <v>0.34758075721958698</v>
      </c>
      <c r="AF14" s="757">
        <f t="shared" si="20"/>
        <v>0.12255694342395297</v>
      </c>
      <c r="AG14" s="757">
        <f t="shared" si="21"/>
        <v>0.11075674108437228</v>
      </c>
      <c r="AH14" s="757">
        <f t="shared" si="22"/>
        <v>0.11117570120622003</v>
      </c>
      <c r="AI14" s="757">
        <f t="shared" si="23"/>
        <v>0.11033421899035099</v>
      </c>
      <c r="AJ14" s="757">
        <f t="shared" si="24"/>
        <v>0.12990770078523212</v>
      </c>
      <c r="AK14" s="770">
        <f t="shared" si="25"/>
        <v>4.4517890090692798E-2</v>
      </c>
      <c r="AL14" s="770">
        <f t="shared" si="26"/>
        <v>2.5658407431559407E-2</v>
      </c>
      <c r="AM14" s="770">
        <f t="shared" si="27"/>
        <v>3.2575694374730776E-2</v>
      </c>
      <c r="AN14" s="770">
        <f t="shared" si="28"/>
        <v>3.7110328816120884E-2</v>
      </c>
      <c r="AO14" s="770">
        <f t="shared" si="29"/>
        <v>4.5153417007586516E-2</v>
      </c>
    </row>
    <row r="15" spans="1:41">
      <c r="A15" s="665" t="s">
        <v>33</v>
      </c>
      <c r="B15" s="757">
        <v>70.284446170304477</v>
      </c>
      <c r="C15" s="757">
        <v>67.612450108406591</v>
      </c>
      <c r="D15" s="757">
        <v>68.265936771271853</v>
      </c>
      <c r="E15" s="757">
        <v>54.361358875746426</v>
      </c>
      <c r="F15" s="757">
        <v>49.482743039541752</v>
      </c>
      <c r="G15" s="759">
        <v>2833</v>
      </c>
      <c r="H15" s="759">
        <v>2854</v>
      </c>
      <c r="I15" s="759">
        <v>3011</v>
      </c>
      <c r="J15" s="759">
        <v>2652</v>
      </c>
      <c r="K15" s="759">
        <v>2573</v>
      </c>
      <c r="L15" s="761">
        <f t="shared" si="0"/>
        <v>0.45626772941150323</v>
      </c>
      <c r="M15" s="761">
        <f t="shared" si="1"/>
        <v>0.41635943006420373</v>
      </c>
      <c r="N15" s="761">
        <f t="shared" si="2"/>
        <v>0.43112544584513701</v>
      </c>
      <c r="O15" s="761">
        <f t="shared" si="3"/>
        <v>0.36776031984074969</v>
      </c>
      <c r="P15" s="761">
        <f t="shared" si="4"/>
        <v>0.33897811131205818</v>
      </c>
      <c r="Q15" s="766">
        <f t="shared" si="5"/>
        <v>0.41207272727272726</v>
      </c>
      <c r="R15" s="766">
        <f t="shared" si="6"/>
        <v>0.40812240812240813</v>
      </c>
      <c r="S15" s="766">
        <f t="shared" si="7"/>
        <v>0.43261494252873561</v>
      </c>
      <c r="T15" s="766">
        <f t="shared" si="8"/>
        <v>0.3658435646296041</v>
      </c>
      <c r="U15" s="766">
        <f t="shared" si="9"/>
        <v>0.35011566199482924</v>
      </c>
      <c r="V15" s="761">
        <f t="shared" si="10"/>
        <v>0.1880154876251329</v>
      </c>
      <c r="W15" s="761">
        <f t="shared" si="11"/>
        <v>0.1699256132422762</v>
      </c>
      <c r="X15" s="761">
        <f t="shared" si="12"/>
        <v>0.18651130997696946</v>
      </c>
      <c r="Y15" s="761">
        <f t="shared" si="13"/>
        <v>0.13454274633986318</v>
      </c>
      <c r="Z15" s="761">
        <f t="shared" si="14"/>
        <v>0.11868154584377817</v>
      </c>
      <c r="AA15" s="769">
        <f t="shared" si="15"/>
        <v>0.225402239787273</v>
      </c>
      <c r="AB15" s="769">
        <f t="shared" si="16"/>
        <v>0.18952697611066732</v>
      </c>
      <c r="AC15" s="769">
        <f t="shared" si="17"/>
        <v>0.23139447643018868</v>
      </c>
      <c r="AD15" s="769">
        <f t="shared" si="18"/>
        <v>0.14737847056124159</v>
      </c>
      <c r="AE15" s="769">
        <f t="shared" si="19"/>
        <v>0.12471318200468268</v>
      </c>
      <c r="AF15" s="757">
        <f t="shared" si="20"/>
        <v>0.40602498163115358</v>
      </c>
      <c r="AG15" s="757">
        <f t="shared" si="21"/>
        <v>0.39997100608872138</v>
      </c>
      <c r="AH15" s="757">
        <f t="shared" si="22"/>
        <v>0.42610085743351256</v>
      </c>
      <c r="AI15" s="757">
        <f t="shared" si="23"/>
        <v>0.35715284575583833</v>
      </c>
      <c r="AJ15" s="757">
        <f t="shared" si="24"/>
        <v>0.34205813472930158</v>
      </c>
      <c r="AK15" s="770">
        <f t="shared" si="25"/>
        <v>9.1518940269248394E-2</v>
      </c>
      <c r="AL15" s="770">
        <f t="shared" si="26"/>
        <v>7.5805295315936674E-2</v>
      </c>
      <c r="AM15" s="770">
        <f t="shared" si="27"/>
        <v>9.8597384812282113E-2</v>
      </c>
      <c r="AN15" s="770">
        <f t="shared" si="28"/>
        <v>5.2636640164090476E-2</v>
      </c>
      <c r="AO15" s="770">
        <f t="shared" si="29"/>
        <v>4.2659158412677659E-2</v>
      </c>
    </row>
    <row r="16" spans="1:41">
      <c r="A16" s="665" t="s">
        <v>38</v>
      </c>
      <c r="B16" s="757">
        <v>63.533414415458004</v>
      </c>
      <c r="C16" s="757">
        <v>64.202563747030325</v>
      </c>
      <c r="D16" s="757">
        <v>62.211669473117666</v>
      </c>
      <c r="E16" s="757">
        <v>60.552534992497094</v>
      </c>
      <c r="F16" s="757">
        <v>54.132825309654883</v>
      </c>
      <c r="G16" s="759">
        <v>1779</v>
      </c>
      <c r="H16" s="759">
        <v>1845</v>
      </c>
      <c r="I16" s="759">
        <v>1928</v>
      </c>
      <c r="J16" s="759">
        <v>1890</v>
      </c>
      <c r="K16" s="759">
        <v>1827</v>
      </c>
      <c r="L16" s="761">
        <f t="shared" si="0"/>
        <v>0.41244184619254731</v>
      </c>
      <c r="M16" s="761">
        <f t="shared" si="1"/>
        <v>0.39536125088670043</v>
      </c>
      <c r="N16" s="761">
        <f t="shared" si="2"/>
        <v>0.39289043711848937</v>
      </c>
      <c r="O16" s="761">
        <f t="shared" si="3"/>
        <v>0.40964427851976043</v>
      </c>
      <c r="P16" s="761">
        <f t="shared" si="4"/>
        <v>0.37083317852425846</v>
      </c>
      <c r="Q16" s="766">
        <f t="shared" si="5"/>
        <v>0.25876363636363636</v>
      </c>
      <c r="R16" s="766">
        <f t="shared" si="6"/>
        <v>0.26383526383526384</v>
      </c>
      <c r="S16" s="766">
        <f t="shared" si="7"/>
        <v>0.27701149425287358</v>
      </c>
      <c r="T16" s="766">
        <f t="shared" si="8"/>
        <v>0.26072561732652777</v>
      </c>
      <c r="U16" s="766">
        <f t="shared" si="9"/>
        <v>0.2486052524152946</v>
      </c>
      <c r="V16" s="761">
        <f t="shared" si="10"/>
        <v>0.10672495190931515</v>
      </c>
      <c r="W16" s="761">
        <f t="shared" si="11"/>
        <v>0.10431023993793255</v>
      </c>
      <c r="X16" s="761">
        <f t="shared" si="12"/>
        <v>0.1088351670638574</v>
      </c>
      <c r="Y16" s="761">
        <f t="shared" si="13"/>
        <v>0.10680475740134462</v>
      </c>
      <c r="Z16" s="761">
        <f t="shared" si="14"/>
        <v>9.2191075950989285E-2</v>
      </c>
      <c r="AA16" s="769">
        <f t="shared" si="15"/>
        <v>0.16296814709675544</v>
      </c>
      <c r="AB16" s="769">
        <f t="shared" si="16"/>
        <v>0.16036783493576023</v>
      </c>
      <c r="AC16" s="769">
        <f t="shared" si="17"/>
        <v>0.1797352157260419</v>
      </c>
      <c r="AD16" s="769">
        <f t="shared" si="18"/>
        <v>0.20386205744850064</v>
      </c>
      <c r="AE16" s="769">
        <f t="shared" si="19"/>
        <v>0.1668938130765783</v>
      </c>
      <c r="AF16" s="757">
        <f t="shared" si="20"/>
        <v>0.25113886847905953</v>
      </c>
      <c r="AG16" s="757">
        <f t="shared" si="21"/>
        <v>0.25369672368802554</v>
      </c>
      <c r="AH16" s="757">
        <f t="shared" si="22"/>
        <v>0.26871094317686384</v>
      </c>
      <c r="AI16" s="757">
        <f t="shared" si="23"/>
        <v>0.2505943224723815</v>
      </c>
      <c r="AJ16" s="757">
        <f t="shared" si="24"/>
        <v>0.23928915828626532</v>
      </c>
      <c r="AK16" s="770">
        <f t="shared" si="25"/>
        <v>4.0927636060008092E-2</v>
      </c>
      <c r="AL16" s="770">
        <f t="shared" si="26"/>
        <v>4.0684794308144451E-2</v>
      </c>
      <c r="AM16" s="770">
        <f t="shared" si="27"/>
        <v>4.8296819339841805E-2</v>
      </c>
      <c r="AN16" s="770">
        <f t="shared" si="28"/>
        <v>5.1086674164132734E-2</v>
      </c>
      <c r="AO16" s="770">
        <f t="shared" si="29"/>
        <v>3.993588005427972E-2</v>
      </c>
    </row>
    <row r="17" spans="1:41">
      <c r="A17" s="665" t="s">
        <v>29</v>
      </c>
      <c r="B17" s="757">
        <v>120.76131696724147</v>
      </c>
      <c r="C17" s="757">
        <v>99.8451414429083</v>
      </c>
      <c r="D17" s="757">
        <v>91.565423201988466</v>
      </c>
      <c r="E17" s="757">
        <v>97.156082118404527</v>
      </c>
      <c r="F17" s="757">
        <v>95.388107915125175</v>
      </c>
      <c r="G17" s="759">
        <v>447</v>
      </c>
      <c r="H17" s="759">
        <v>382</v>
      </c>
      <c r="I17" s="759">
        <v>372</v>
      </c>
      <c r="J17" s="759">
        <v>436</v>
      </c>
      <c r="K17" s="759">
        <v>475</v>
      </c>
      <c r="L17" s="761">
        <f t="shared" si="0"/>
        <v>0.78395000452697472</v>
      </c>
      <c r="M17" s="761">
        <f t="shared" si="1"/>
        <v>0.614849278782168</v>
      </c>
      <c r="N17" s="761">
        <f t="shared" si="2"/>
        <v>0.57827059539551462</v>
      </c>
      <c r="O17" s="761">
        <f t="shared" si="3"/>
        <v>0.65727113106217383</v>
      </c>
      <c r="P17" s="761">
        <f t="shared" si="4"/>
        <v>0.6534496407537751</v>
      </c>
      <c r="Q17" s="766">
        <f t="shared" si="5"/>
        <v>6.5018181818181822E-2</v>
      </c>
      <c r="R17" s="766">
        <f t="shared" si="6"/>
        <v>5.4626054626054625E-2</v>
      </c>
      <c r="S17" s="766">
        <f t="shared" si="7"/>
        <v>5.3448275862068968E-2</v>
      </c>
      <c r="T17" s="766">
        <f t="shared" si="8"/>
        <v>6.014622706580218E-2</v>
      </c>
      <c r="U17" s="766">
        <f t="shared" si="9"/>
        <v>6.4634644169274738E-2</v>
      </c>
      <c r="V17" s="761">
        <f t="shared" si="10"/>
        <v>5.0971003930699303E-2</v>
      </c>
      <c r="W17" s="761">
        <f t="shared" si="11"/>
        <v>3.3586790289544997E-2</v>
      </c>
      <c r="X17" s="761">
        <f t="shared" si="12"/>
        <v>3.0907566305622334E-2</v>
      </c>
      <c r="Y17" s="761">
        <f t="shared" si="13"/>
        <v>3.9532378692662129E-2</v>
      </c>
      <c r="Z17" s="761">
        <f t="shared" si="14"/>
        <v>4.223548501266066E-2</v>
      </c>
      <c r="AA17" s="769">
        <f t="shared" si="15"/>
        <v>0.69221646085812494</v>
      </c>
      <c r="AB17" s="769">
        <f t="shared" si="16"/>
        <v>0.46516009037392242</v>
      </c>
      <c r="AC17" s="769">
        <f t="shared" si="17"/>
        <v>0.43020205867289568</v>
      </c>
      <c r="AD17" s="769">
        <f t="shared" si="18"/>
        <v>0.53780501036730177</v>
      </c>
      <c r="AE17" s="769">
        <f t="shared" si="19"/>
        <v>0.54111812874783616</v>
      </c>
      <c r="AF17" s="757">
        <f t="shared" si="20"/>
        <v>5.5400440852314471E-2</v>
      </c>
      <c r="AG17" s="757">
        <f t="shared" si="21"/>
        <v>4.1606262684836186E-2</v>
      </c>
      <c r="AH17" s="757">
        <f t="shared" si="22"/>
        <v>4.2581020200552246E-2</v>
      </c>
      <c r="AI17" s="757">
        <f t="shared" si="23"/>
        <v>4.726611662704517E-2</v>
      </c>
      <c r="AJ17" s="757">
        <f t="shared" si="24"/>
        <v>5.3037608486017358E-2</v>
      </c>
      <c r="AK17" s="770">
        <f t="shared" si="25"/>
        <v>3.8349097096769008E-2</v>
      </c>
      <c r="AL17" s="770">
        <f t="shared" si="26"/>
        <v>1.9353572910599557E-2</v>
      </c>
      <c r="AM17" s="770">
        <f t="shared" si="27"/>
        <v>1.8318442550669733E-2</v>
      </c>
      <c r="AN17" s="770">
        <f t="shared" si="28"/>
        <v>2.5419954342630124E-2</v>
      </c>
      <c r="AO17" s="770">
        <f t="shared" si="29"/>
        <v>2.8699611457214069E-2</v>
      </c>
    </row>
    <row r="18" spans="1:41">
      <c r="A18" s="665" t="s">
        <v>43</v>
      </c>
      <c r="B18" s="757">
        <v>81.614554578184794</v>
      </c>
      <c r="C18" s="757">
        <v>91.877791338267343</v>
      </c>
      <c r="D18" s="757">
        <v>80.098878520121431</v>
      </c>
      <c r="E18" s="757">
        <v>73.041750571227269</v>
      </c>
      <c r="F18" s="757">
        <v>70.153514296126346</v>
      </c>
      <c r="G18" s="759">
        <v>688</v>
      </c>
      <c r="H18" s="759">
        <v>727</v>
      </c>
      <c r="I18" s="759">
        <v>672</v>
      </c>
      <c r="J18" s="759">
        <v>678</v>
      </c>
      <c r="K18" s="759">
        <v>695</v>
      </c>
      <c r="L18" s="761">
        <f t="shared" si="0"/>
        <v>0.52981974723239489</v>
      </c>
      <c r="M18" s="761">
        <f t="shared" si="1"/>
        <v>0.56578610560368514</v>
      </c>
      <c r="N18" s="761">
        <f t="shared" si="2"/>
        <v>0.50585498928090733</v>
      </c>
      <c r="O18" s="761">
        <f t="shared" si="3"/>
        <v>0.49413513766646011</v>
      </c>
      <c r="P18" s="761">
        <f t="shared" si="4"/>
        <v>0.48058180119483951</v>
      </c>
      <c r="Q18" s="766">
        <f t="shared" si="5"/>
        <v>0.10007272727272727</v>
      </c>
      <c r="R18" s="766">
        <f t="shared" si="6"/>
        <v>0.10396110396110396</v>
      </c>
      <c r="S18" s="766">
        <f t="shared" si="7"/>
        <v>9.6551724137931033E-2</v>
      </c>
      <c r="T18" s="766">
        <f t="shared" si="8"/>
        <v>9.3530142088563945E-2</v>
      </c>
      <c r="U18" s="766">
        <f t="shared" si="9"/>
        <v>9.4570689889780929E-2</v>
      </c>
      <c r="V18" s="761">
        <f t="shared" si="10"/>
        <v>5.3020507068492755E-2</v>
      </c>
      <c r="W18" s="761">
        <f t="shared" si="11"/>
        <v>5.8819748144412855E-2</v>
      </c>
      <c r="X18" s="761">
        <f t="shared" si="12"/>
        <v>4.8841171378846221E-2</v>
      </c>
      <c r="Y18" s="761">
        <f t="shared" si="13"/>
        <v>4.6216529636896118E-2</v>
      </c>
      <c r="Z18" s="761">
        <f t="shared" si="14"/>
        <v>4.5448952487469517E-2</v>
      </c>
      <c r="AA18" s="769">
        <f t="shared" si="15"/>
        <v>0.33018400711096985</v>
      </c>
      <c r="AB18" s="769">
        <f t="shared" si="16"/>
        <v>0.39702846900300698</v>
      </c>
      <c r="AC18" s="769">
        <f t="shared" si="17"/>
        <v>0.33236144610580393</v>
      </c>
      <c r="AD18" s="769">
        <f t="shared" si="18"/>
        <v>0.31780417119104282</v>
      </c>
      <c r="AE18" s="769">
        <f t="shared" si="19"/>
        <v>0.31221656919192203</v>
      </c>
      <c r="AF18" s="757">
        <f t="shared" si="20"/>
        <v>9.081557678177811E-2</v>
      </c>
      <c r="AG18" s="757">
        <f t="shared" si="21"/>
        <v>9.1620759640475502E-2</v>
      </c>
      <c r="AH18" s="757">
        <f t="shared" si="22"/>
        <v>8.6179334399069898E-2</v>
      </c>
      <c r="AI18" s="757">
        <f t="shared" si="23"/>
        <v>8.1107537407355615E-2</v>
      </c>
      <c r="AJ18" s="757">
        <f t="shared" si="24"/>
        <v>8.3344813335170131E-2</v>
      </c>
      <c r="AK18" s="770">
        <f t="shared" si="25"/>
        <v>2.9985851049901452E-2</v>
      </c>
      <c r="AL18" s="770">
        <f t="shared" si="26"/>
        <v>3.637604992895048E-2</v>
      </c>
      <c r="AM18" s="770">
        <f t="shared" si="27"/>
        <v>2.8642688205310525E-2</v>
      </c>
      <c r="AN18" s="770">
        <f t="shared" si="28"/>
        <v>2.5776313703091153E-2</v>
      </c>
      <c r="AO18" s="770">
        <f t="shared" si="29"/>
        <v>2.602163167944797E-2</v>
      </c>
    </row>
    <row r="19" spans="1:41">
      <c r="A19" s="665" t="s">
        <v>37</v>
      </c>
      <c r="B19" s="757">
        <v>52.115967867166525</v>
      </c>
      <c r="C19" s="757">
        <v>52.698453059031017</v>
      </c>
      <c r="D19" s="757">
        <v>50.609217029444345</v>
      </c>
      <c r="E19" s="757">
        <v>46.12482834359767</v>
      </c>
      <c r="F19" s="757">
        <v>43.978328579679349</v>
      </c>
      <c r="G19" s="759">
        <v>2041</v>
      </c>
      <c r="H19" s="759">
        <v>1970</v>
      </c>
      <c r="I19" s="759">
        <v>1885</v>
      </c>
      <c r="J19" s="759">
        <v>1874</v>
      </c>
      <c r="K19" s="759">
        <v>1969</v>
      </c>
      <c r="L19" s="761">
        <f t="shared" si="0"/>
        <v>0.33832285264391265</v>
      </c>
      <c r="M19" s="761">
        <f t="shared" si="1"/>
        <v>0.32451860338951471</v>
      </c>
      <c r="N19" s="761">
        <f t="shared" si="2"/>
        <v>0.31961652161601167</v>
      </c>
      <c r="O19" s="761">
        <f t="shared" si="3"/>
        <v>0.3120393230605798</v>
      </c>
      <c r="P19" s="761">
        <f t="shared" si="4"/>
        <v>0.30127050047908727</v>
      </c>
      <c r="Q19" s="766">
        <f t="shared" si="5"/>
        <v>0.29687272727272729</v>
      </c>
      <c r="R19" s="766">
        <f t="shared" si="6"/>
        <v>0.28171028171028173</v>
      </c>
      <c r="S19" s="766">
        <f t="shared" si="7"/>
        <v>0.27083333333333331</v>
      </c>
      <c r="T19" s="766">
        <f t="shared" si="8"/>
        <v>0.25851841633328737</v>
      </c>
      <c r="U19" s="766">
        <f t="shared" si="9"/>
        <v>0.26792760919853043</v>
      </c>
      <c r="V19" s="761">
        <f t="shared" si="10"/>
        <v>0.10043882796308738</v>
      </c>
      <c r="W19" s="761">
        <f t="shared" si="11"/>
        <v>9.1420227181087374E-2</v>
      </c>
      <c r="X19" s="761">
        <f t="shared" si="12"/>
        <v>8.6562807937669822E-2</v>
      </c>
      <c r="Y19" s="761">
        <f t="shared" si="13"/>
        <v>8.066791163133212E-2</v>
      </c>
      <c r="Z19" s="761">
        <f t="shared" si="14"/>
        <v>8.0718684915406569E-2</v>
      </c>
      <c r="AA19" s="769">
        <f t="shared" si="15"/>
        <v>5.7378669521964992E-2</v>
      </c>
      <c r="AB19" s="769">
        <f t="shared" si="16"/>
        <v>6.1992126160603823E-2</v>
      </c>
      <c r="AC19" s="769">
        <f t="shared" si="17"/>
        <v>8.0734942682610028E-2</v>
      </c>
      <c r="AD19" s="769">
        <f t="shared" si="18"/>
        <v>7.2234624030454539E-2</v>
      </c>
      <c r="AE19" s="769">
        <f t="shared" si="19"/>
        <v>7.4782952363258506E-2</v>
      </c>
      <c r="AF19" s="757">
        <f t="shared" si="20"/>
        <v>0.2896399706098457</v>
      </c>
      <c r="AG19" s="757">
        <f t="shared" si="21"/>
        <v>0.27181791823717022</v>
      </c>
      <c r="AH19" s="757">
        <f t="shared" si="22"/>
        <v>0.26246185147507628</v>
      </c>
      <c r="AI19" s="757">
        <f t="shared" si="23"/>
        <v>0.24835687316459237</v>
      </c>
      <c r="AJ19" s="757">
        <f t="shared" si="24"/>
        <v>0.25885108141617302</v>
      </c>
      <c r="AK19" s="770">
        <f t="shared" si="25"/>
        <v>1.6619156153973989E-2</v>
      </c>
      <c r="AL19" s="770">
        <f t="shared" si="26"/>
        <v>1.6850570680071352E-2</v>
      </c>
      <c r="AM19" s="770">
        <f t="shared" si="27"/>
        <v>2.118984253521199E-2</v>
      </c>
      <c r="AN19" s="770">
        <f t="shared" si="28"/>
        <v>1.7939965358423616E-2</v>
      </c>
      <c r="AO19" s="770">
        <f t="shared" si="29"/>
        <v>1.9357648090723618E-2</v>
      </c>
    </row>
    <row r="20" spans="1:41">
      <c r="A20" s="665" t="s">
        <v>19</v>
      </c>
      <c r="B20" s="757">
        <v>112.45202311991731</v>
      </c>
      <c r="C20" s="757">
        <v>95.3173015136083</v>
      </c>
      <c r="D20" s="757">
        <v>90.351942241556728</v>
      </c>
      <c r="E20" s="757">
        <v>86.392722343157857</v>
      </c>
      <c r="F20" s="757">
        <v>77.904989477854201</v>
      </c>
      <c r="G20" s="759">
        <v>455</v>
      </c>
      <c r="H20" s="759">
        <v>362</v>
      </c>
      <c r="I20" s="759">
        <v>350</v>
      </c>
      <c r="J20" s="759">
        <v>427</v>
      </c>
      <c r="K20" s="759">
        <v>446</v>
      </c>
      <c r="L20" s="761">
        <f t="shared" si="0"/>
        <v>0.73000830272363326</v>
      </c>
      <c r="M20" s="761">
        <f t="shared" si="1"/>
        <v>0.58696670908734649</v>
      </c>
      <c r="N20" s="761">
        <f t="shared" si="2"/>
        <v>0.57060699997978637</v>
      </c>
      <c r="O20" s="761">
        <f t="shared" si="3"/>
        <v>0.58445586824739881</v>
      </c>
      <c r="P20" s="761">
        <f t="shared" si="4"/>
        <v>0.53368274620277278</v>
      </c>
      <c r="Q20" s="766">
        <f t="shared" si="5"/>
        <v>6.6181818181818175E-2</v>
      </c>
      <c r="R20" s="766">
        <f t="shared" si="6"/>
        <v>5.1766051766051764E-2</v>
      </c>
      <c r="S20" s="766">
        <f t="shared" si="7"/>
        <v>5.0287356321839081E-2</v>
      </c>
      <c r="T20" s="766">
        <f t="shared" si="8"/>
        <v>5.8904676507104431E-2</v>
      </c>
      <c r="U20" s="766">
        <f t="shared" si="9"/>
        <v>6.0688529051571641E-2</v>
      </c>
      <c r="V20" s="761">
        <f t="shared" si="10"/>
        <v>4.8313276762073178E-2</v>
      </c>
      <c r="W20" s="761">
        <f t="shared" si="11"/>
        <v>3.0384949047564624E-2</v>
      </c>
      <c r="X20" s="761">
        <f t="shared" si="12"/>
        <v>2.8694317527719143E-2</v>
      </c>
      <c r="Y20" s="761">
        <f t="shared" si="13"/>
        <v>3.4427183851791873E-2</v>
      </c>
      <c r="Z20" s="761">
        <f t="shared" si="14"/>
        <v>3.2388420847249508E-2</v>
      </c>
      <c r="AA20" s="769">
        <f t="shared" si="15"/>
        <v>0.61537143315044796</v>
      </c>
      <c r="AB20" s="769">
        <f t="shared" si="16"/>
        <v>0.42644093386145959</v>
      </c>
      <c r="AC20" s="769">
        <f t="shared" si="17"/>
        <v>0.41984778684985052</v>
      </c>
      <c r="AD20" s="769">
        <f t="shared" si="18"/>
        <v>0.43960829368545612</v>
      </c>
      <c r="AE20" s="769">
        <f t="shared" si="19"/>
        <v>0.3825297584885628</v>
      </c>
      <c r="AF20" s="757">
        <f t="shared" si="20"/>
        <v>5.657604702424688E-2</v>
      </c>
      <c r="AG20" s="757">
        <f t="shared" si="21"/>
        <v>3.8706871556973034E-2</v>
      </c>
      <c r="AH20" s="757">
        <f t="shared" si="22"/>
        <v>3.9383810492660952E-2</v>
      </c>
      <c r="AI20" s="757">
        <f t="shared" si="23"/>
        <v>4.6007551391413791E-2</v>
      </c>
      <c r="AJ20" s="757">
        <f t="shared" si="24"/>
        <v>4.9042567846810853E-2</v>
      </c>
      <c r="AK20" s="770">
        <f t="shared" si="25"/>
        <v>3.4815283139297937E-2</v>
      </c>
      <c r="AL20" s="770">
        <f t="shared" si="26"/>
        <v>1.650619445361115E-2</v>
      </c>
      <c r="AM20" s="770">
        <f t="shared" si="27"/>
        <v>1.6535205673057621E-2</v>
      </c>
      <c r="AN20" s="770">
        <f t="shared" si="28"/>
        <v>2.022530116382535E-2</v>
      </c>
      <c r="AO20" s="770">
        <f t="shared" si="29"/>
        <v>1.8760241634099509E-2</v>
      </c>
    </row>
    <row r="21" spans="1:41">
      <c r="A21" s="665" t="s">
        <v>17</v>
      </c>
      <c r="B21" s="757">
        <v>71.963424489262266</v>
      </c>
      <c r="C21" s="757">
        <v>67.888387479120425</v>
      </c>
      <c r="D21" s="757">
        <v>68.052728345430211</v>
      </c>
      <c r="E21" s="757">
        <v>57.742845239224231</v>
      </c>
      <c r="F21" s="757">
        <v>63.763512544252187</v>
      </c>
      <c r="G21" s="759">
        <v>340</v>
      </c>
      <c r="H21" s="759">
        <v>335</v>
      </c>
      <c r="I21" s="759">
        <v>408</v>
      </c>
      <c r="J21" s="759">
        <v>354</v>
      </c>
      <c r="K21" s="759">
        <v>449</v>
      </c>
      <c r="L21" s="761">
        <f t="shared" si="0"/>
        <v>0.46716720528509531</v>
      </c>
      <c r="M21" s="761">
        <f t="shared" si="1"/>
        <v>0.41805866040151024</v>
      </c>
      <c r="N21" s="761">
        <f t="shared" si="2"/>
        <v>0.42977895326045457</v>
      </c>
      <c r="O21" s="761">
        <f t="shared" si="3"/>
        <v>0.39063643133406556</v>
      </c>
      <c r="P21" s="761">
        <f t="shared" si="4"/>
        <v>0.43680753582316972</v>
      </c>
      <c r="Q21" s="766">
        <f t="shared" si="5"/>
        <v>4.9454545454545452E-2</v>
      </c>
      <c r="R21" s="766">
        <f t="shared" si="6"/>
        <v>4.7905047905047904E-2</v>
      </c>
      <c r="S21" s="766">
        <f t="shared" si="7"/>
        <v>5.8620689655172413E-2</v>
      </c>
      <c r="T21" s="766">
        <f t="shared" si="8"/>
        <v>4.8834321975444892E-2</v>
      </c>
      <c r="U21" s="766">
        <f t="shared" si="9"/>
        <v>6.109674785685127E-2</v>
      </c>
      <c r="V21" s="761">
        <f t="shared" si="10"/>
        <v>2.3103541788644714E-2</v>
      </c>
      <c r="W21" s="761">
        <f t="shared" si="11"/>
        <v>2.0027120153654501E-2</v>
      </c>
      <c r="X21" s="761">
        <f t="shared" si="12"/>
        <v>2.5193938639405958E-2</v>
      </c>
      <c r="Y21" s="761">
        <f t="shared" si="13"/>
        <v>1.9076465263106527E-2</v>
      </c>
      <c r="Z21" s="761">
        <f t="shared" si="14"/>
        <v>2.6687519878160728E-2</v>
      </c>
      <c r="AA21" s="769">
        <f t="shared" si="15"/>
        <v>0.24092956831982318</v>
      </c>
      <c r="AB21" s="769">
        <f t="shared" si="16"/>
        <v>0.19188661390951461</v>
      </c>
      <c r="AC21" s="769">
        <f t="shared" si="17"/>
        <v>0.22957523239743313</v>
      </c>
      <c r="AD21" s="769">
        <f t="shared" si="18"/>
        <v>0.17822858291757082</v>
      </c>
      <c r="AE21" s="769">
        <f t="shared" si="19"/>
        <v>0.25425322773086584</v>
      </c>
      <c r="AF21" s="757">
        <f t="shared" si="20"/>
        <v>3.9676708302718591E-2</v>
      </c>
      <c r="AG21" s="757">
        <f t="shared" si="21"/>
        <v>3.4792693534357787E-2</v>
      </c>
      <c r="AH21" s="757">
        <f t="shared" si="22"/>
        <v>4.7812817904374368E-2</v>
      </c>
      <c r="AI21" s="757">
        <f t="shared" si="23"/>
        <v>3.5799188924625927E-2</v>
      </c>
      <c r="AJ21" s="757">
        <f t="shared" si="24"/>
        <v>4.9455847912935669E-2</v>
      </c>
      <c r="AK21" s="770">
        <f t="shared" si="25"/>
        <v>9.5592922037255352E-3</v>
      </c>
      <c r="AL21" s="770">
        <f t="shared" si="26"/>
        <v>6.6762521510993784E-3</v>
      </c>
      <c r="AM21" s="770">
        <f t="shared" si="27"/>
        <v>1.0976638781972897E-2</v>
      </c>
      <c r="AN21" s="770">
        <f t="shared" si="28"/>
        <v>6.3804387116344749E-3</v>
      </c>
      <c r="AO21" s="770">
        <f t="shared" si="29"/>
        <v>1.2574308962030699E-2</v>
      </c>
    </row>
    <row r="22" spans="1:41">
      <c r="A22" s="665" t="s">
        <v>28</v>
      </c>
      <c r="B22" s="757">
        <v>73.575784256111277</v>
      </c>
      <c r="C22" s="757">
        <v>68.81547528622886</v>
      </c>
      <c r="D22" s="757">
        <v>70.127392385295977</v>
      </c>
      <c r="E22" s="757">
        <v>61.098960761445809</v>
      </c>
      <c r="F22" s="757">
        <v>56.00230179246374</v>
      </c>
      <c r="G22" s="759">
        <v>427</v>
      </c>
      <c r="H22" s="759">
        <v>450</v>
      </c>
      <c r="I22" s="759">
        <v>482</v>
      </c>
      <c r="J22" s="759">
        <v>470</v>
      </c>
      <c r="K22" s="759">
        <v>454</v>
      </c>
      <c r="L22" s="761">
        <f t="shared" si="0"/>
        <v>0.47763421142799184</v>
      </c>
      <c r="M22" s="761">
        <f t="shared" si="1"/>
        <v>0.42376769402428599</v>
      </c>
      <c r="N22" s="761">
        <f t="shared" si="2"/>
        <v>0.44288124851149413</v>
      </c>
      <c r="O22" s="761">
        <f t="shared" si="3"/>
        <v>0.41334090641342891</v>
      </c>
      <c r="P22" s="761">
        <f t="shared" si="4"/>
        <v>0.38363989796538678</v>
      </c>
      <c r="Q22" s="766">
        <f t="shared" si="5"/>
        <v>6.2109090909090912E-2</v>
      </c>
      <c r="R22" s="766">
        <f t="shared" si="6"/>
        <v>6.4350064350064351E-2</v>
      </c>
      <c r="S22" s="766">
        <f t="shared" si="7"/>
        <v>6.9252873563218395E-2</v>
      </c>
      <c r="T22" s="766">
        <f t="shared" si="8"/>
        <v>6.4836529176438132E-2</v>
      </c>
      <c r="U22" s="766">
        <f t="shared" si="9"/>
        <v>6.1777112532317324E-2</v>
      </c>
      <c r="V22" s="761">
        <f t="shared" si="10"/>
        <v>2.9665426658873093E-2</v>
      </c>
      <c r="W22" s="761">
        <f t="shared" si="11"/>
        <v>2.7269478379941182E-2</v>
      </c>
      <c r="X22" s="761">
        <f t="shared" si="12"/>
        <v>3.0670799106686807E-2</v>
      </c>
      <c r="Y22" s="761">
        <f t="shared" si="13"/>
        <v>2.6799589738489667E-2</v>
      </c>
      <c r="Z22" s="761">
        <f t="shared" si="14"/>
        <v>2.3700165148494434E-2</v>
      </c>
      <c r="AA22" s="769">
        <f t="shared" si="15"/>
        <v>0.25584080304504064</v>
      </c>
      <c r="AB22" s="769">
        <f t="shared" si="16"/>
        <v>0.19981446879500678</v>
      </c>
      <c r="AC22" s="769">
        <f t="shared" si="17"/>
        <v>0.24727772309215673</v>
      </c>
      <c r="AD22" s="769">
        <f t="shared" si="18"/>
        <v>0.20884723099482363</v>
      </c>
      <c r="AE22" s="769">
        <f t="shared" si="19"/>
        <v>0.18385172763343774</v>
      </c>
      <c r="AF22" s="757">
        <f t="shared" si="20"/>
        <v>5.2461425422483471E-2</v>
      </c>
      <c r="AG22" s="757">
        <f t="shared" si="21"/>
        <v>5.1464192519570892E-2</v>
      </c>
      <c r="AH22" s="757">
        <f t="shared" si="22"/>
        <v>5.8567068740008721E-2</v>
      </c>
      <c r="AI22" s="757">
        <f t="shared" si="23"/>
        <v>5.202069640609705E-2</v>
      </c>
      <c r="AJ22" s="757">
        <f t="shared" si="24"/>
        <v>5.0144648023143681E-2</v>
      </c>
      <c r="AK22" s="770">
        <f t="shared" si="25"/>
        <v>1.3421773208975682E-2</v>
      </c>
      <c r="AL22" s="770">
        <f t="shared" si="26"/>
        <v>1.028329029026202E-2</v>
      </c>
      <c r="AM22" s="770">
        <f t="shared" si="27"/>
        <v>1.4482331406211186E-2</v>
      </c>
      <c r="AN22" s="770">
        <f t="shared" si="28"/>
        <v>1.0864378398835743E-2</v>
      </c>
      <c r="AO22" s="770">
        <f t="shared" si="29"/>
        <v>9.2191801706256148E-3</v>
      </c>
    </row>
    <row r="23" spans="1:41">
      <c r="A23" s="665" t="s">
        <v>40</v>
      </c>
      <c r="B23" s="757">
        <v>56.36767044064112</v>
      </c>
      <c r="C23" s="757">
        <v>56.920380973024542</v>
      </c>
      <c r="D23" s="757">
        <v>52.124791097393228</v>
      </c>
      <c r="E23" s="757">
        <v>53.459706929096249</v>
      </c>
      <c r="F23" s="757">
        <v>48.373721439681184</v>
      </c>
      <c r="G23" s="759">
        <v>580</v>
      </c>
      <c r="H23" s="759">
        <v>600</v>
      </c>
      <c r="I23" s="759">
        <v>567</v>
      </c>
      <c r="J23" s="759">
        <v>620</v>
      </c>
      <c r="K23" s="759">
        <v>610</v>
      </c>
      <c r="L23" s="761">
        <f t="shared" si="0"/>
        <v>0.36592376273192473</v>
      </c>
      <c r="M23" s="761">
        <f t="shared" si="1"/>
        <v>0.35051735801568285</v>
      </c>
      <c r="N23" s="761">
        <f t="shared" si="2"/>
        <v>0.32918795030591663</v>
      </c>
      <c r="O23" s="761">
        <f t="shared" si="3"/>
        <v>0.36166054943134879</v>
      </c>
      <c r="P23" s="761">
        <f t="shared" si="4"/>
        <v>0.33138083548956382</v>
      </c>
      <c r="Q23" s="766">
        <f t="shared" si="5"/>
        <v>8.4363636363636363E-2</v>
      </c>
      <c r="R23" s="766">
        <f t="shared" si="6"/>
        <v>8.5800085800085801E-2</v>
      </c>
      <c r="S23" s="766">
        <f t="shared" si="7"/>
        <v>8.1465517241379307E-2</v>
      </c>
      <c r="T23" s="766">
        <f t="shared" si="8"/>
        <v>8.5529038488067324E-2</v>
      </c>
      <c r="U23" s="766">
        <f t="shared" si="9"/>
        <v>8.3004490406858075E-2</v>
      </c>
      <c r="V23" s="761">
        <f t="shared" si="10"/>
        <v>3.0870659255929651E-2</v>
      </c>
      <c r="W23" s="761">
        <f t="shared" si="11"/>
        <v>3.0074419392164979E-2</v>
      </c>
      <c r="X23" s="761">
        <f t="shared" si="12"/>
        <v>2.6817466641300965E-2</v>
      </c>
      <c r="Y23" s="761">
        <f t="shared" si="13"/>
        <v>3.0932479051929404E-2</v>
      </c>
      <c r="Z23" s="761">
        <f t="shared" si="14"/>
        <v>2.7506097380410113E-2</v>
      </c>
      <c r="AA23" s="769">
        <f t="shared" si="15"/>
        <v>9.6698761946987455E-2</v>
      </c>
      <c r="AB23" s="769">
        <f t="shared" si="16"/>
        <v>9.8095321114212361E-2</v>
      </c>
      <c r="AC23" s="769">
        <f t="shared" si="17"/>
        <v>9.3666885069178529E-2</v>
      </c>
      <c r="AD23" s="769">
        <f t="shared" si="18"/>
        <v>0.13915248326734267</v>
      </c>
      <c r="AE23" s="769">
        <f t="shared" si="19"/>
        <v>0.1146533103213062</v>
      </c>
      <c r="AF23" s="757">
        <f t="shared" si="20"/>
        <v>7.4944893460690665E-2</v>
      </c>
      <c r="AG23" s="757">
        <f t="shared" si="21"/>
        <v>7.320962597854451E-2</v>
      </c>
      <c r="AH23" s="757">
        <f t="shared" si="22"/>
        <v>7.0919924429588721E-2</v>
      </c>
      <c r="AI23" s="757">
        <f t="shared" si="23"/>
        <v>7.2996783666620046E-2</v>
      </c>
      <c r="AJ23" s="757">
        <f t="shared" si="24"/>
        <v>7.1635211461633833E-2</v>
      </c>
      <c r="AK23" s="770">
        <f t="shared" si="25"/>
        <v>7.2470784118976632E-3</v>
      </c>
      <c r="AL23" s="770">
        <f t="shared" si="26"/>
        <v>7.1815217690167068E-3</v>
      </c>
      <c r="AM23" s="770">
        <f t="shared" si="27"/>
        <v>6.6428484106611134E-3</v>
      </c>
      <c r="AN23" s="770">
        <f t="shared" si="28"/>
        <v>1.015768371773918E-2</v>
      </c>
      <c r="AO23" s="770">
        <f t="shared" si="29"/>
        <v>8.2132141296430948E-3</v>
      </c>
    </row>
    <row r="24" spans="1:41">
      <c r="A24" s="665" t="s">
        <v>15</v>
      </c>
      <c r="B24" s="757">
        <v>63.166838652924582</v>
      </c>
      <c r="C24" s="757">
        <v>62.882091766441881</v>
      </c>
      <c r="D24" s="757">
        <v>62.306632479221925</v>
      </c>
      <c r="E24" s="757">
        <v>51.172117231374699</v>
      </c>
      <c r="F24" s="757">
        <v>48.0055422525827</v>
      </c>
      <c r="G24" s="759">
        <v>352</v>
      </c>
      <c r="H24" s="759">
        <v>381</v>
      </c>
      <c r="I24" s="759">
        <v>420</v>
      </c>
      <c r="J24" s="759">
        <v>360</v>
      </c>
      <c r="K24" s="759">
        <v>375</v>
      </c>
      <c r="L24" s="761">
        <f t="shared" si="0"/>
        <v>0.41006213489165527</v>
      </c>
      <c r="M24" s="761">
        <f t="shared" si="1"/>
        <v>0.38722974610655941</v>
      </c>
      <c r="N24" s="761">
        <f t="shared" si="2"/>
        <v>0.39349016474667187</v>
      </c>
      <c r="O24" s="761">
        <f t="shared" si="3"/>
        <v>0.34618476412544053</v>
      </c>
      <c r="P24" s="761">
        <f t="shared" si="4"/>
        <v>0.32885864941416132</v>
      </c>
      <c r="Q24" s="766">
        <f t="shared" si="5"/>
        <v>5.1200000000000002E-2</v>
      </c>
      <c r="R24" s="766">
        <f t="shared" si="6"/>
        <v>5.4483054483054481E-2</v>
      </c>
      <c r="S24" s="766">
        <f t="shared" si="7"/>
        <v>6.0344827586206899E-2</v>
      </c>
      <c r="T24" s="766">
        <f t="shared" si="8"/>
        <v>4.9662022347910055E-2</v>
      </c>
      <c r="U24" s="766">
        <f t="shared" si="9"/>
        <v>5.1027350659953737E-2</v>
      </c>
      <c r="V24" s="761">
        <f t="shared" si="10"/>
        <v>2.099518130645275E-2</v>
      </c>
      <c r="W24" s="761">
        <f t="shared" si="11"/>
        <v>2.1097459354583032E-2</v>
      </c>
      <c r="X24" s="761">
        <f t="shared" si="12"/>
        <v>2.3745096148506062E-2</v>
      </c>
      <c r="Y24" s="761">
        <f t="shared" si="13"/>
        <v>1.7192235492503597E-2</v>
      </c>
      <c r="Z24" s="761">
        <f t="shared" si="14"/>
        <v>1.67807856212152E-2</v>
      </c>
      <c r="AA24" s="769">
        <f t="shared" si="15"/>
        <v>0.15957802452479766</v>
      </c>
      <c r="AB24" s="769">
        <f t="shared" si="16"/>
        <v>0.14907601320949396</v>
      </c>
      <c r="AC24" s="769">
        <f t="shared" si="17"/>
        <v>0.18054550678984826</v>
      </c>
      <c r="AD24" s="769">
        <f t="shared" si="18"/>
        <v>0.11828225295616421</v>
      </c>
      <c r="AE24" s="769">
        <f t="shared" si="19"/>
        <v>0.11131357791287856</v>
      </c>
      <c r="AF24" s="757">
        <f t="shared" si="20"/>
        <v>4.144011756061719E-2</v>
      </c>
      <c r="AG24" s="757">
        <f t="shared" si="21"/>
        <v>4.146129312844303E-2</v>
      </c>
      <c r="AH24" s="757">
        <f t="shared" si="22"/>
        <v>4.9556750472315073E-2</v>
      </c>
      <c r="AI24" s="757">
        <f t="shared" si="23"/>
        <v>3.6638232415046844E-2</v>
      </c>
      <c r="AJ24" s="757">
        <f t="shared" si="24"/>
        <v>3.9261606281857007E-2</v>
      </c>
      <c r="AK24" s="770">
        <f t="shared" si="25"/>
        <v>6.6129320963986679E-3</v>
      </c>
      <c r="AL24" s="770">
        <f t="shared" si="26"/>
        <v>6.1808842820984741E-3</v>
      </c>
      <c r="AM24" s="770">
        <f t="shared" si="27"/>
        <v>8.9472486288821769E-3</v>
      </c>
      <c r="AN24" s="770">
        <f t="shared" si="28"/>
        <v>4.3336526743833056E-3</v>
      </c>
      <c r="AO24" s="770">
        <f t="shared" si="29"/>
        <v>4.3703498698402527E-3</v>
      </c>
    </row>
    <row r="25" spans="1:41">
      <c r="A25" s="665" t="s">
        <v>18</v>
      </c>
      <c r="B25" s="757">
        <v>73.097057315963085</v>
      </c>
      <c r="C25" s="757">
        <v>106.31448731875332</v>
      </c>
      <c r="D25" s="757">
        <v>102.63854603103654</v>
      </c>
      <c r="E25" s="757">
        <v>122.62341901441735</v>
      </c>
      <c r="F25" s="757">
        <v>88.2377015843647</v>
      </c>
      <c r="G25" s="759">
        <v>70</v>
      </c>
      <c r="H25" s="759">
        <v>104</v>
      </c>
      <c r="I25" s="759">
        <v>110</v>
      </c>
      <c r="J25" s="759">
        <v>142</v>
      </c>
      <c r="K25" s="759">
        <v>120</v>
      </c>
      <c r="L25" s="761">
        <f t="shared" si="0"/>
        <v>0.47452644483251682</v>
      </c>
      <c r="M25" s="761">
        <f t="shared" si="1"/>
        <v>0.65468769844358088</v>
      </c>
      <c r="N25" s="761">
        <f t="shared" si="2"/>
        <v>0.64820159235182251</v>
      </c>
      <c r="O25" s="761">
        <f t="shared" si="3"/>
        <v>0.82956034818379421</v>
      </c>
      <c r="P25" s="761">
        <f t="shared" si="4"/>
        <v>0.60446627636797123</v>
      </c>
      <c r="Q25" s="766">
        <f t="shared" si="5"/>
        <v>1.0181818181818183E-2</v>
      </c>
      <c r="R25" s="766">
        <f t="shared" si="6"/>
        <v>1.4872014872014873E-2</v>
      </c>
      <c r="S25" s="766">
        <f t="shared" si="7"/>
        <v>1.5804597701149427E-2</v>
      </c>
      <c r="T25" s="766">
        <f t="shared" si="8"/>
        <v>1.9588908815008965E-2</v>
      </c>
      <c r="U25" s="766">
        <f t="shared" si="9"/>
        <v>1.6328752211185196E-2</v>
      </c>
      <c r="V25" s="761">
        <f t="shared" si="10"/>
        <v>4.8315419837492626E-3</v>
      </c>
      <c r="W25" s="761">
        <f t="shared" si="11"/>
        <v>9.736525187778124E-3</v>
      </c>
      <c r="X25" s="761">
        <f t="shared" si="12"/>
        <v>1.0244565396365013E-2</v>
      </c>
      <c r="Y25" s="761">
        <f t="shared" si="13"/>
        <v>1.6250182017119433E-2</v>
      </c>
      <c r="Z25" s="761">
        <f t="shared" si="14"/>
        <v>9.870180046830393E-3</v>
      </c>
      <c r="AA25" s="769">
        <f t="shared" si="15"/>
        <v>0.251413497228681</v>
      </c>
      <c r="AB25" s="769">
        <f t="shared" si="16"/>
        <v>0.52048174913645395</v>
      </c>
      <c r="AC25" s="769">
        <f t="shared" si="17"/>
        <v>0.52468571967828814</v>
      </c>
      <c r="AD25" s="769">
        <f t="shared" si="18"/>
        <v>0.77014964234459449</v>
      </c>
      <c r="AE25" s="769">
        <f t="shared" si="19"/>
        <v>0.47625720071857425</v>
      </c>
      <c r="AF25" s="757">
        <f t="shared" si="20"/>
        <v>0</v>
      </c>
      <c r="AG25" s="757">
        <f t="shared" si="21"/>
        <v>1.3047260075384169E-3</v>
      </c>
      <c r="AH25" s="757">
        <f t="shared" si="22"/>
        <v>4.505159133846825E-3</v>
      </c>
      <c r="AI25" s="757">
        <f t="shared" si="23"/>
        <v>6.1529855964200814E-3</v>
      </c>
      <c r="AJ25" s="757">
        <f t="shared" si="24"/>
        <v>4.1328006612481056E-3</v>
      </c>
      <c r="AK25" s="770">
        <f t="shared" si="25"/>
        <v>0</v>
      </c>
      <c r="AL25" s="770">
        <f t="shared" si="26"/>
        <v>6.7908607454741747E-4</v>
      </c>
      <c r="AM25" s="770">
        <f t="shared" si="27"/>
        <v>2.3637926624076348E-3</v>
      </c>
      <c r="AN25" s="770">
        <f t="shared" si="28"/>
        <v>4.7387196564343675E-3</v>
      </c>
      <c r="AO25" s="770">
        <f t="shared" si="29"/>
        <v>1.9682760740538955E-3</v>
      </c>
    </row>
    <row r="26" spans="1:41">
      <c r="A26" s="665" t="s">
        <v>13</v>
      </c>
      <c r="B26" s="757">
        <v>74.664926296678303</v>
      </c>
      <c r="C26" s="757">
        <v>81.057786226598992</v>
      </c>
      <c r="D26" s="757">
        <v>61.304990090623605</v>
      </c>
      <c r="E26" s="757">
        <v>63.45991540196588</v>
      </c>
      <c r="F26" s="757">
        <v>63.726072749320601</v>
      </c>
      <c r="G26" s="759">
        <v>83</v>
      </c>
      <c r="H26" s="759">
        <v>95</v>
      </c>
      <c r="I26" s="759">
        <v>79</v>
      </c>
      <c r="J26" s="759">
        <v>98</v>
      </c>
      <c r="K26" s="759">
        <v>112</v>
      </c>
      <c r="L26" s="761">
        <f t="shared" si="0"/>
        <v>0.48470462875264436</v>
      </c>
      <c r="M26" s="761">
        <f t="shared" si="1"/>
        <v>0.49915620010014428</v>
      </c>
      <c r="N26" s="761">
        <f t="shared" si="2"/>
        <v>0.3871644107647304</v>
      </c>
      <c r="O26" s="761">
        <f t="shared" si="3"/>
        <v>0.42931301328647004</v>
      </c>
      <c r="P26" s="761">
        <f t="shared" si="4"/>
        <v>0.43655105709555198</v>
      </c>
      <c r="Q26" s="766">
        <f t="shared" si="5"/>
        <v>1.2072727272727273E-2</v>
      </c>
      <c r="R26" s="766">
        <f t="shared" si="6"/>
        <v>1.3585013585013584E-2</v>
      </c>
      <c r="S26" s="766">
        <f t="shared" si="7"/>
        <v>1.1350574712643679E-2</v>
      </c>
      <c r="T26" s="766">
        <f t="shared" si="8"/>
        <v>1.3519106083597738E-2</v>
      </c>
      <c r="U26" s="766">
        <f t="shared" si="9"/>
        <v>1.5240168730439516E-2</v>
      </c>
      <c r="V26" s="761">
        <f t="shared" si="10"/>
        <v>5.8517067907591976E-3</v>
      </c>
      <c r="W26" s="761">
        <f t="shared" si="11"/>
        <v>6.7810437594042188E-3</v>
      </c>
      <c r="X26" s="761">
        <f t="shared" si="12"/>
        <v>4.3945385704617394E-3</v>
      </c>
      <c r="Y26" s="761">
        <f t="shared" si="13"/>
        <v>5.8039281696887933E-3</v>
      </c>
      <c r="Z26" s="761">
        <f t="shared" si="14"/>
        <v>6.6531117695879469E-3</v>
      </c>
      <c r="AA26" s="769">
        <f t="shared" si="15"/>
        <v>0.26591327753237881</v>
      </c>
      <c r="AB26" s="769">
        <f t="shared" si="16"/>
        <v>0.30450278834160988</v>
      </c>
      <c r="AC26" s="769">
        <f t="shared" si="17"/>
        <v>0.17199879044306579</v>
      </c>
      <c r="AD26" s="769">
        <f t="shared" si="18"/>
        <v>0.23038678730204787</v>
      </c>
      <c r="AE26" s="769">
        <f t="shared" si="19"/>
        <v>0.25391361348628211</v>
      </c>
      <c r="AF26" s="757">
        <f t="shared" si="20"/>
        <v>1.9103600293901542E-3</v>
      </c>
      <c r="AG26" s="757">
        <f t="shared" si="21"/>
        <v>0</v>
      </c>
      <c r="AH26" s="757">
        <f t="shared" si="22"/>
        <v>0</v>
      </c>
      <c r="AI26" s="757">
        <f t="shared" si="23"/>
        <v>0</v>
      </c>
      <c r="AJ26" s="757">
        <f t="shared" si="24"/>
        <v>3.0307204849152774E-3</v>
      </c>
      <c r="AK26" s="770">
        <f t="shared" si="25"/>
        <v>5.0799009668198744E-4</v>
      </c>
      <c r="AL26" s="770">
        <f t="shared" si="26"/>
        <v>0</v>
      </c>
      <c r="AM26" s="770">
        <f t="shared" si="27"/>
        <v>0</v>
      </c>
      <c r="AN26" s="770">
        <f t="shared" si="28"/>
        <v>0</v>
      </c>
      <c r="AO26" s="770">
        <f t="shared" si="29"/>
        <v>7.6954118979173528E-4</v>
      </c>
    </row>
    <row r="27" spans="1:41">
      <c r="A27" s="665" t="s">
        <v>34</v>
      </c>
      <c r="B27" s="757">
        <v>45.91158171689802</v>
      </c>
      <c r="C27" s="757">
        <v>45.449058975721449</v>
      </c>
      <c r="D27" s="757">
        <v>41.147391276633243</v>
      </c>
      <c r="E27" s="757">
        <v>38.207178212906477</v>
      </c>
      <c r="F27" s="757">
        <v>35.734097233344606</v>
      </c>
      <c r="G27" s="759">
        <v>6875</v>
      </c>
      <c r="H27" s="759">
        <v>6993</v>
      </c>
      <c r="I27" s="759">
        <v>6960</v>
      </c>
      <c r="J27" s="759">
        <v>7249</v>
      </c>
      <c r="K27" s="759">
        <v>7349</v>
      </c>
      <c r="L27" s="761">
        <f t="shared" si="0"/>
        <v>0.29804564573079562</v>
      </c>
      <c r="M27" s="761">
        <f t="shared" si="1"/>
        <v>0.27987662422742104</v>
      </c>
      <c r="N27" s="761">
        <f t="shared" si="2"/>
        <v>0.25986148068165305</v>
      </c>
      <c r="O27" s="761">
        <f t="shared" si="3"/>
        <v>0.25847558579077329</v>
      </c>
      <c r="P27" s="761">
        <f t="shared" si="4"/>
        <v>0.24479396342116719</v>
      </c>
      <c r="Q27" s="766">
        <f t="shared" si="5"/>
        <v>1</v>
      </c>
      <c r="R27" s="766">
        <f t="shared" si="6"/>
        <v>1</v>
      </c>
      <c r="S27" s="766">
        <f t="shared" si="7"/>
        <v>1</v>
      </c>
      <c r="T27" s="766">
        <f t="shared" si="8"/>
        <v>1</v>
      </c>
      <c r="U27" s="766">
        <f t="shared" si="9"/>
        <v>1</v>
      </c>
      <c r="V27" s="761">
        <f t="shared" si="10"/>
        <v>0.29804564573079562</v>
      </c>
      <c r="W27" s="761">
        <f t="shared" si="11"/>
        <v>0.27987662422742104</v>
      </c>
      <c r="X27" s="761">
        <f t="shared" si="12"/>
        <v>0.25986148068165305</v>
      </c>
      <c r="Y27" s="761">
        <f t="shared" si="13"/>
        <v>0.25847558579077329</v>
      </c>
      <c r="Z27" s="761">
        <f t="shared" si="14"/>
        <v>0.24479396342116719</v>
      </c>
      <c r="AA27" s="769">
        <f t="shared" si="15"/>
        <v>0</v>
      </c>
      <c r="AB27" s="769">
        <f t="shared" si="16"/>
        <v>0</v>
      </c>
      <c r="AC27" s="769">
        <f t="shared" si="17"/>
        <v>0</v>
      </c>
      <c r="AD27" s="769">
        <f t="shared" si="18"/>
        <v>0</v>
      </c>
      <c r="AE27" s="769">
        <f t="shared" si="19"/>
        <v>0</v>
      </c>
      <c r="AF27" s="757">
        <f t="shared" si="20"/>
        <v>1</v>
      </c>
      <c r="AG27" s="757">
        <f t="shared" si="21"/>
        <v>1</v>
      </c>
      <c r="AH27" s="757">
        <f t="shared" si="22"/>
        <v>1</v>
      </c>
      <c r="AI27" s="757">
        <f t="shared" si="23"/>
        <v>1</v>
      </c>
      <c r="AJ27" s="757">
        <f t="shared" si="24"/>
        <v>1</v>
      </c>
      <c r="AK27" s="770">
        <f t="shared" si="25"/>
        <v>0</v>
      </c>
      <c r="AL27" s="770">
        <f t="shared" si="26"/>
        <v>0</v>
      </c>
      <c r="AM27" s="770">
        <f t="shared" si="27"/>
        <v>0</v>
      </c>
      <c r="AN27" s="770">
        <f t="shared" si="28"/>
        <v>0</v>
      </c>
      <c r="AO27" s="770">
        <f t="shared" si="29"/>
        <v>0</v>
      </c>
    </row>
    <row r="28" spans="1:41">
      <c r="A28" s="665" t="s">
        <v>14</v>
      </c>
      <c r="B28" s="757">
        <v>95.705253065558992</v>
      </c>
      <c r="C28" s="757">
        <v>81.476841565069478</v>
      </c>
      <c r="D28" s="757">
        <v>83.361128757462396</v>
      </c>
      <c r="E28" s="757">
        <v>62.971699896931369</v>
      </c>
      <c r="F28" s="757">
        <v>51.164317817628977</v>
      </c>
      <c r="G28" s="759">
        <v>117</v>
      </c>
      <c r="H28" s="759">
        <v>108</v>
      </c>
      <c r="I28" s="759">
        <v>117</v>
      </c>
      <c r="J28" s="759">
        <v>99</v>
      </c>
      <c r="K28" s="759">
        <v>90</v>
      </c>
      <c r="L28" s="761">
        <f t="shared" si="0"/>
        <v>0.62129277369799529</v>
      </c>
      <c r="M28" s="761">
        <f t="shared" si="1"/>
        <v>0.50173675503656767</v>
      </c>
      <c r="N28" s="761">
        <f t="shared" si="2"/>
        <v>0.52645734463632221</v>
      </c>
      <c r="O28" s="761">
        <f t="shared" si="3"/>
        <v>0.42601018396071511</v>
      </c>
      <c r="P28" s="761">
        <f t="shared" si="4"/>
        <v>0.35049762311136362</v>
      </c>
      <c r="Q28" s="766">
        <f t="shared" si="5"/>
        <v>1.7018181818181818E-2</v>
      </c>
      <c r="R28" s="766">
        <f t="shared" si="6"/>
        <v>1.5444015444015444E-2</v>
      </c>
      <c r="S28" s="766">
        <f t="shared" si="7"/>
        <v>1.6810344827586206E-2</v>
      </c>
      <c r="T28" s="766">
        <f t="shared" si="8"/>
        <v>1.3657056145675266E-2</v>
      </c>
      <c r="U28" s="766">
        <f t="shared" si="9"/>
        <v>1.2246564158388897E-2</v>
      </c>
      <c r="V28" s="761">
        <f t="shared" si="10"/>
        <v>1.0573273385114974E-2</v>
      </c>
      <c r="W28" s="761">
        <f t="shared" si="11"/>
        <v>7.7488301936149452E-3</v>
      </c>
      <c r="X28" s="761">
        <f t="shared" si="12"/>
        <v>8.8499295003519676E-3</v>
      </c>
      <c r="Y28" s="761">
        <f t="shared" si="13"/>
        <v>5.8180450009809349E-3</v>
      </c>
      <c r="Z28" s="761">
        <f t="shared" si="14"/>
        <v>4.2923916287961258E-3</v>
      </c>
      <c r="AA28" s="769">
        <f t="shared" si="15"/>
        <v>0.46049593681020473</v>
      </c>
      <c r="AB28" s="769">
        <f t="shared" si="16"/>
        <v>0.30808627837018299</v>
      </c>
      <c r="AC28" s="769">
        <f t="shared" si="17"/>
        <v>0.36019725631926136</v>
      </c>
      <c r="AD28" s="769">
        <f t="shared" si="18"/>
        <v>0.2259326799760239</v>
      </c>
      <c r="AE28" s="769">
        <f t="shared" si="19"/>
        <v>0.13996665091429325</v>
      </c>
      <c r="AF28" s="757">
        <f t="shared" si="20"/>
        <v>6.9066862601028659E-3</v>
      </c>
      <c r="AG28" s="757">
        <f t="shared" si="21"/>
        <v>1.8846042331110468E-3</v>
      </c>
      <c r="AH28" s="757">
        <f t="shared" si="22"/>
        <v>5.5224531318122366E-3</v>
      </c>
      <c r="AI28" s="757">
        <f t="shared" si="23"/>
        <v>1.3984058173682003E-4</v>
      </c>
      <c r="AJ28" s="757">
        <f t="shared" si="24"/>
        <v>0</v>
      </c>
      <c r="AK28" s="770">
        <f t="shared" si="25"/>
        <v>3.1805009596002384E-3</v>
      </c>
      <c r="AL28" s="770">
        <f t="shared" si="26"/>
        <v>5.8062070437987518E-4</v>
      </c>
      <c r="AM28" s="770">
        <f t="shared" si="27"/>
        <v>1.98917246623048E-3</v>
      </c>
      <c r="AN28" s="770">
        <f t="shared" si="28"/>
        <v>3.1594557401205971E-5</v>
      </c>
      <c r="AO28" s="770">
        <f t="shared" si="29"/>
        <v>0</v>
      </c>
    </row>
  </sheetData>
  <autoFilter ref="A1:AO1" xr:uid="{00000000-0009-0000-0000-00003B000000}">
    <sortState xmlns:xlrd2="http://schemas.microsoft.com/office/spreadsheetml/2017/richdata2" ref="A2:AO28">
      <sortCondition descending="1" ref="AO1"/>
    </sortState>
  </autoFilter>
  <pageMargins left="0.511811024" right="0.511811024" top="0.78740157499999996" bottom="0.78740157499999996" header="0.31496062000000002" footer="0.31496062000000002"/>
  <drawing r:id="rId1"/>
  <extLst>
    <ext xmlns:mx="http://schemas.microsoft.com/office/mac/excel/2008/main" uri="{64002731-A6B0-56B0-2670-7721B7C09600}">
      <mx:PLV Mode="0" OnePage="0" WScale="0"/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a35b26e6-7832-4067-9ceb-2941cfbb770c">
      <Terms xmlns="http://schemas.microsoft.com/office/infopath/2007/PartnerControls"/>
    </lcf76f155ced4ddcb4097134ff3c332f>
    <TaxCatchAll xmlns="ce29b8ed-6d9c-45d6-831d-9b2ee93b4f7e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3270C7F360A7F47A1B720549C3E9397" ma:contentTypeVersion="11" ma:contentTypeDescription="Create a new document." ma:contentTypeScope="" ma:versionID="c9288f290db4371e77049984c4ad053e">
  <xsd:schema xmlns:xsd="http://www.w3.org/2001/XMLSchema" xmlns:xs="http://www.w3.org/2001/XMLSchema" xmlns:p="http://schemas.microsoft.com/office/2006/metadata/properties" xmlns:ns2="a35b26e6-7832-4067-9ceb-2941cfbb770c" xmlns:ns3="ce29b8ed-6d9c-45d6-831d-9b2ee93b4f7e" targetNamespace="http://schemas.microsoft.com/office/2006/metadata/properties" ma:root="true" ma:fieldsID="9eb003a68fbdb5cdeec7318484af4a94" ns2:_="" ns3:_="">
    <xsd:import namespace="a35b26e6-7832-4067-9ceb-2941cfbb770c"/>
    <xsd:import namespace="ce29b8ed-6d9c-45d6-831d-9b2ee93b4f7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5b26e6-7832-4067-9ceb-2941cfbb77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a5e3a396-6ff9-41c4-9ea6-a3ac188d4dd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1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29b8ed-6d9c-45d6-831d-9b2ee93b4f7e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f4e1a75e-c2e7-4bfb-84a0-05fbf59eaf5f}" ma:internalName="TaxCatchAll" ma:showField="CatchAllData" ma:web="ce29b8ed-6d9c-45d6-831d-9b2ee93b4f7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244707D-CF83-4478-9925-D71123A2171E}"/>
</file>

<file path=customXml/itemProps2.xml><?xml version="1.0" encoding="utf-8"?>
<ds:datastoreItem xmlns:ds="http://schemas.openxmlformats.org/officeDocument/2006/customXml" ds:itemID="{CED2BA3D-8537-4206-BAA1-A928A2B62F6A}"/>
</file>

<file path=customXml/itemProps3.xml><?xml version="1.0" encoding="utf-8"?>
<ds:datastoreItem xmlns:ds="http://schemas.openxmlformats.org/officeDocument/2006/customXml" ds:itemID="{EB696B65-986C-4E64-9983-93E82181AF9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eesc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jtbastos</dc:creator>
  <cp:keywords/>
  <dc:description/>
  <cp:lastModifiedBy>Louise Fuhrmann</cp:lastModifiedBy>
  <cp:revision/>
  <dcterms:created xsi:type="dcterms:W3CDTF">2010-06-01T17:22:22Z</dcterms:created>
  <dcterms:modified xsi:type="dcterms:W3CDTF">2023-07-01T01:18:54Z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0x01010033270C7F360A7F47A1B720549C3E9397</vt:lpwstr>
  </property>
  <property fmtid="{D5CDD505-2E9C-101B-9397-08002B2CF9AE}" pid="3" name="MediaServiceImageTags">
    <vt:lpwstr/>
  </property>
</Properties>
</file>